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ediart-my.sharepoint.com/personal/eyal_dirprompt_com/Documents/@AIOS/projects-workspace/CodeBase/one-page-web-app/apps/cd-calculator/public/Files/"/>
    </mc:Choice>
  </mc:AlternateContent>
  <xr:revisionPtr revIDLastSave="96" documentId="11_3DDFF79F3FC94F66DB79C5A1143D00AF86581D2A" xr6:coauthVersionLast="47" xr6:coauthVersionMax="47" xr10:uidLastSave="{6B68AD25-5A55-40C9-BEA6-588301C78D39}"/>
  <bookViews>
    <workbookView xWindow="-120" yWindow="-120" windowWidth="29040" windowHeight="15720" xr2:uid="{00000000-000D-0000-FFFF-FFFF00000000}"/>
  </bookViews>
  <sheets>
    <sheet name="Calculator" sheetId="1" r:id="rId1"/>
    <sheet name="Breakdown" sheetId="2" r:id="rId2"/>
    <sheet name="About &amp; Assumptions" sheetId="3" r:id="rId3"/>
    <sheet name="_Engine" sheetId="4" state="hidden" r:id="rId4"/>
  </sheets>
  <definedNames>
    <definedName name="ch_back" localSheetId="3">OFFSET(_Engine!$G$25,0,0,MIN(MAX(Calculator!$C$11,1),120),1)</definedName>
    <definedName name="ch_dep" localSheetId="3">OFFSET(_Engine!$I$25,0,0,MIN(MAX(Calculator!$C$11,1),120),1)</definedName>
    <definedName name="ch_months" localSheetId="3">OFFSET(_Engine!$D$25,0,0,MIN(MAX(Calculator!$C$11,1),120),1)</definedName>
    <definedName name="_xlnm.Print_Area" localSheetId="1">OFFSET(Breakdown!$A$1,0,0,MIN(MAX(Calculator!$C$11,0),120)+3,6)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4" i="4" l="1"/>
  <c r="I143" i="4"/>
  <c r="I142" i="4"/>
  <c r="I141" i="4"/>
  <c r="I140" i="4"/>
  <c r="I139" i="4"/>
  <c r="I138" i="4"/>
  <c r="I137" i="4"/>
  <c r="I136" i="4"/>
  <c r="I135" i="4"/>
  <c r="I134" i="4"/>
  <c r="I133" i="4"/>
  <c r="I132" i="4"/>
  <c r="I131" i="4"/>
  <c r="I130" i="4"/>
  <c r="I129" i="4"/>
  <c r="I128" i="4"/>
  <c r="I127" i="4"/>
  <c r="I126" i="4"/>
  <c r="I125" i="4"/>
  <c r="I124" i="4"/>
  <c r="I123" i="4"/>
  <c r="I122" i="4"/>
  <c r="I121" i="4"/>
  <c r="I120" i="4"/>
  <c r="I119" i="4"/>
  <c r="I118" i="4"/>
  <c r="I117" i="4"/>
  <c r="I116" i="4"/>
  <c r="I115" i="4"/>
  <c r="I114" i="4"/>
  <c r="I113" i="4"/>
  <c r="I112" i="4"/>
  <c r="I111" i="4"/>
  <c r="I110" i="4"/>
  <c r="I109" i="4"/>
  <c r="I108" i="4"/>
  <c r="I107" i="4"/>
  <c r="I106" i="4"/>
  <c r="I105" i="4"/>
  <c r="I104" i="4"/>
  <c r="I103" i="4"/>
  <c r="I102" i="4"/>
  <c r="I101" i="4"/>
  <c r="I100" i="4"/>
  <c r="I99" i="4"/>
  <c r="I98" i="4"/>
  <c r="I97" i="4"/>
  <c r="I96" i="4"/>
  <c r="I95" i="4"/>
  <c r="I94" i="4"/>
  <c r="I93" i="4"/>
  <c r="I92" i="4"/>
  <c r="I91" i="4"/>
  <c r="I90" i="4"/>
  <c r="I89" i="4"/>
  <c r="I88"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B18" i="4"/>
  <c r="B19" i="4" s="1"/>
  <c r="B7" i="4"/>
  <c r="B6" i="4"/>
  <c r="G24" i="1" s="1"/>
  <c r="B2" i="4"/>
  <c r="E140" i="4" s="1"/>
  <c r="G140" i="4" s="1"/>
  <c r="H140" i="4" s="1"/>
  <c r="C39" i="3"/>
  <c r="A123" i="2"/>
  <c r="F123" i="2" s="1"/>
  <c r="A122" i="2"/>
  <c r="A121" i="2"/>
  <c r="A120" i="2"/>
  <c r="F120" i="2" s="1"/>
  <c r="A119" i="2"/>
  <c r="A118" i="2"/>
  <c r="F118" i="2" s="1"/>
  <c r="A117" i="2"/>
  <c r="A116" i="2"/>
  <c r="A115" i="2"/>
  <c r="F115" i="2" s="1"/>
  <c r="A114" i="2"/>
  <c r="A113" i="2"/>
  <c r="F113" i="2" s="1"/>
  <c r="A112" i="2"/>
  <c r="A111" i="2"/>
  <c r="F111" i="2" s="1"/>
  <c r="A110" i="2"/>
  <c r="A109" i="2"/>
  <c r="A108" i="2"/>
  <c r="A107" i="2"/>
  <c r="B107" i="2" s="1"/>
  <c r="A106" i="2"/>
  <c r="F106" i="2" s="1"/>
  <c r="A105" i="2"/>
  <c r="A104" i="2"/>
  <c r="A103" i="2"/>
  <c r="A102" i="2"/>
  <c r="F102" i="2" s="1"/>
  <c r="A101" i="2"/>
  <c r="B101" i="2" s="1"/>
  <c r="A100" i="2"/>
  <c r="A99" i="2"/>
  <c r="F99" i="2" s="1"/>
  <c r="A98" i="2"/>
  <c r="A97" i="2"/>
  <c r="A96" i="2"/>
  <c r="F96" i="2" s="1"/>
  <c r="A95" i="2"/>
  <c r="A94" i="2"/>
  <c r="F94" i="2" s="1"/>
  <c r="A93" i="2"/>
  <c r="A92" i="2"/>
  <c r="A91" i="2"/>
  <c r="F91" i="2" s="1"/>
  <c r="A90" i="2"/>
  <c r="A89" i="2"/>
  <c r="F89" i="2" s="1"/>
  <c r="A88" i="2"/>
  <c r="A87" i="2"/>
  <c r="F87" i="2" s="1"/>
  <c r="A86" i="2"/>
  <c r="A85" i="2"/>
  <c r="A84" i="2"/>
  <c r="A83" i="2"/>
  <c r="B83" i="2" s="1"/>
  <c r="A82" i="2"/>
  <c r="F82" i="2" s="1"/>
  <c r="A81" i="2"/>
  <c r="A80" i="2"/>
  <c r="A79" i="2"/>
  <c r="A78" i="2"/>
  <c r="F78" i="2" s="1"/>
  <c r="A77" i="2"/>
  <c r="F77" i="2" s="1"/>
  <c r="A76" i="2"/>
  <c r="A75" i="2"/>
  <c r="B75" i="2" s="1"/>
  <c r="A74" i="2"/>
  <c r="A73" i="2"/>
  <c r="A72" i="2"/>
  <c r="F72" i="2" s="1"/>
  <c r="A71" i="2"/>
  <c r="A70" i="2"/>
  <c r="F70" i="2" s="1"/>
  <c r="A69" i="2"/>
  <c r="A68" i="2"/>
  <c r="A67" i="2"/>
  <c r="F67" i="2" s="1"/>
  <c r="A66" i="2"/>
  <c r="F66" i="2" s="1"/>
  <c r="A65" i="2"/>
  <c r="F65" i="2" s="1"/>
  <c r="A64" i="2"/>
  <c r="A63" i="2"/>
  <c r="F63" i="2" s="1"/>
  <c r="A62" i="2"/>
  <c r="A61" i="2"/>
  <c r="A60" i="2"/>
  <c r="A59" i="2"/>
  <c r="B59" i="2" s="1"/>
  <c r="A58" i="2"/>
  <c r="F58" i="2" s="1"/>
  <c r="A57" i="2"/>
  <c r="A56" i="2"/>
  <c r="A55" i="2"/>
  <c r="A54" i="2"/>
  <c r="F54" i="2" s="1"/>
  <c r="A53" i="2"/>
  <c r="F53" i="2" s="1"/>
  <c r="A52" i="2"/>
  <c r="F52" i="2" s="1"/>
  <c r="A51" i="2"/>
  <c r="F51" i="2" s="1"/>
  <c r="A50" i="2"/>
  <c r="A49" i="2"/>
  <c r="A48" i="2"/>
  <c r="F48" i="2" s="1"/>
  <c r="A47" i="2"/>
  <c r="A46" i="2"/>
  <c r="F46" i="2" s="1"/>
  <c r="A45" i="2"/>
  <c r="A44" i="2"/>
  <c r="A43" i="2"/>
  <c r="F43" i="2" s="1"/>
  <c r="A42" i="2"/>
  <c r="F42" i="2" s="1"/>
  <c r="A41" i="2"/>
  <c r="F41" i="2" s="1"/>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A2" i="2"/>
  <c r="G25" i="1"/>
  <c r="C25" i="1"/>
  <c r="E23" i="1"/>
  <c r="C23" i="1"/>
  <c r="B17" i="1"/>
  <c r="E14" i="1"/>
  <c r="F101" i="2" l="1"/>
  <c r="E45" i="4"/>
  <c r="B24" i="2" s="1"/>
  <c r="C24" i="2" s="1"/>
  <c r="B8" i="4"/>
  <c r="B9" i="4" s="1"/>
  <c r="E25" i="4"/>
  <c r="F25" i="4" s="1"/>
  <c r="E57" i="4"/>
  <c r="B36" i="2" s="1"/>
  <c r="C36" i="2" s="1"/>
  <c r="E37" i="4"/>
  <c r="B16" i="2" s="1"/>
  <c r="C16" i="2" s="1"/>
  <c r="F83" i="2"/>
  <c r="E105" i="4"/>
  <c r="G105" i="4" s="1"/>
  <c r="H105" i="4" s="1"/>
  <c r="E49" i="4"/>
  <c r="B28" i="2" s="1"/>
  <c r="C28" i="2" s="1"/>
  <c r="E117" i="4"/>
  <c r="G117" i="4" s="1"/>
  <c r="H117" i="4" s="1"/>
  <c r="E129" i="4"/>
  <c r="G129" i="4" s="1"/>
  <c r="H129" i="4" s="1"/>
  <c r="E85" i="4"/>
  <c r="F85" i="4" s="1"/>
  <c r="E33" i="4"/>
  <c r="B12" i="2" s="1"/>
  <c r="C12" i="2" s="1"/>
  <c r="F107" i="2"/>
  <c r="F59" i="2"/>
  <c r="F75" i="2"/>
  <c r="B51" i="2"/>
  <c r="B123" i="2"/>
  <c r="E97" i="4"/>
  <c r="G97" i="4" s="1"/>
  <c r="H97" i="4" s="1"/>
  <c r="B77" i="2"/>
  <c r="B53" i="2"/>
  <c r="E109" i="4"/>
  <c r="G109" i="4" s="1"/>
  <c r="H109" i="4" s="1"/>
  <c r="F140" i="4"/>
  <c r="E69" i="4"/>
  <c r="F69" i="4" s="1"/>
  <c r="E121" i="4"/>
  <c r="F121" i="4" s="1"/>
  <c r="E141" i="4"/>
  <c r="F141" i="4" s="1"/>
  <c r="B99" i="2"/>
  <c r="E81" i="4"/>
  <c r="G81" i="4" s="1"/>
  <c r="H81" i="4" s="1"/>
  <c r="E61" i="4"/>
  <c r="G61" i="4" s="1"/>
  <c r="H61" i="4" s="1"/>
  <c r="E133" i="4"/>
  <c r="G133" i="4" s="1"/>
  <c r="H133" i="4" s="1"/>
  <c r="E93" i="4"/>
  <c r="G93" i="4" s="1"/>
  <c r="H93" i="4" s="1"/>
  <c r="E73" i="4"/>
  <c r="G73" i="4" s="1"/>
  <c r="H73" i="4" s="1"/>
  <c r="E44" i="2"/>
  <c r="D44" i="2"/>
  <c r="C44" i="2"/>
  <c r="B44" i="2"/>
  <c r="E49" i="2"/>
  <c r="D49" i="2"/>
  <c r="C49" i="2"/>
  <c r="B63" i="2"/>
  <c r="E68" i="2"/>
  <c r="D68" i="2"/>
  <c r="C68" i="2"/>
  <c r="B68" i="2"/>
  <c r="E73" i="2"/>
  <c r="D73" i="2"/>
  <c r="C73" i="2"/>
  <c r="B87" i="2"/>
  <c r="E92" i="2"/>
  <c r="D92" i="2"/>
  <c r="C92" i="2"/>
  <c r="B92" i="2"/>
  <c r="E97" i="2"/>
  <c r="D97" i="2"/>
  <c r="C97" i="2"/>
  <c r="B111" i="2"/>
  <c r="E116" i="2"/>
  <c r="D116" i="2"/>
  <c r="C116" i="2"/>
  <c r="B116" i="2"/>
  <c r="E121" i="2"/>
  <c r="D121" i="2"/>
  <c r="C121" i="2"/>
  <c r="E106" i="2"/>
  <c r="D106" i="2"/>
  <c r="C106" i="2"/>
  <c r="B106" i="2"/>
  <c r="F44" i="2"/>
  <c r="B49" i="2"/>
  <c r="E54" i="2"/>
  <c r="D54" i="2"/>
  <c r="C54" i="2"/>
  <c r="B54" i="2"/>
  <c r="E59" i="2"/>
  <c r="D59" i="2"/>
  <c r="C59" i="2"/>
  <c r="F68" i="2"/>
  <c r="B73" i="2"/>
  <c r="E78" i="2"/>
  <c r="D78" i="2"/>
  <c r="C78" i="2"/>
  <c r="B78" i="2"/>
  <c r="E83" i="2"/>
  <c r="D83" i="2"/>
  <c r="C83" i="2"/>
  <c r="F92" i="2"/>
  <c r="B97" i="2"/>
  <c r="E102" i="2"/>
  <c r="D102" i="2"/>
  <c r="C102" i="2"/>
  <c r="B102" i="2"/>
  <c r="E107" i="2"/>
  <c r="D107" i="2"/>
  <c r="C107" i="2"/>
  <c r="F116" i="2"/>
  <c r="B121" i="2"/>
  <c r="E82" i="2"/>
  <c r="D82" i="2"/>
  <c r="C82" i="2"/>
  <c r="B82" i="2"/>
  <c r="E45" i="2"/>
  <c r="D45" i="2"/>
  <c r="C45" i="2"/>
  <c r="E64" i="2"/>
  <c r="D64" i="2"/>
  <c r="C64" i="2"/>
  <c r="B64" i="2"/>
  <c r="E69" i="2"/>
  <c r="D69" i="2"/>
  <c r="C69" i="2"/>
  <c r="F73" i="2"/>
  <c r="E88" i="2"/>
  <c r="D88" i="2"/>
  <c r="C88" i="2"/>
  <c r="B88" i="2"/>
  <c r="E93" i="2"/>
  <c r="D93" i="2"/>
  <c r="C93" i="2"/>
  <c r="F97" i="2"/>
  <c r="E112" i="2"/>
  <c r="D112" i="2"/>
  <c r="C112" i="2"/>
  <c r="B112" i="2"/>
  <c r="E117" i="2"/>
  <c r="D117" i="2"/>
  <c r="C117" i="2"/>
  <c r="F121" i="2"/>
  <c r="D39" i="2"/>
  <c r="E63" i="2"/>
  <c r="D63" i="2"/>
  <c r="C63" i="2"/>
  <c r="E87" i="2"/>
  <c r="D87" i="2"/>
  <c r="C87" i="2"/>
  <c r="E40" i="2"/>
  <c r="D40" i="2"/>
  <c r="C40" i="2"/>
  <c r="B40" i="2"/>
  <c r="E50" i="2"/>
  <c r="D50" i="2"/>
  <c r="C50" i="2"/>
  <c r="B50" i="2"/>
  <c r="E55" i="2"/>
  <c r="D55" i="2"/>
  <c r="C55" i="2"/>
  <c r="F64" i="2"/>
  <c r="E74" i="2"/>
  <c r="D74" i="2"/>
  <c r="C74" i="2"/>
  <c r="B74" i="2"/>
  <c r="E79" i="2"/>
  <c r="D79" i="2"/>
  <c r="C79" i="2"/>
  <c r="F88" i="2"/>
  <c r="B93" i="2"/>
  <c r="E98" i="2"/>
  <c r="D98" i="2"/>
  <c r="C98" i="2"/>
  <c r="B98" i="2"/>
  <c r="E103" i="2"/>
  <c r="D103" i="2"/>
  <c r="C103" i="2"/>
  <c r="F112" i="2"/>
  <c r="B117" i="2"/>
  <c r="E122" i="2"/>
  <c r="D122" i="2"/>
  <c r="C122" i="2"/>
  <c r="B122" i="2"/>
  <c r="F49" i="2"/>
  <c r="E41" i="2"/>
  <c r="D41" i="2"/>
  <c r="C41" i="2"/>
  <c r="F45" i="2"/>
  <c r="F50" i="2"/>
  <c r="E60" i="2"/>
  <c r="D60" i="2"/>
  <c r="C60" i="2"/>
  <c r="B60" i="2"/>
  <c r="E65" i="2"/>
  <c r="D65" i="2"/>
  <c r="C65" i="2"/>
  <c r="F69" i="2"/>
  <c r="F74" i="2"/>
  <c r="B79" i="2"/>
  <c r="E84" i="2"/>
  <c r="D84" i="2"/>
  <c r="C84" i="2"/>
  <c r="B84" i="2"/>
  <c r="E89" i="2"/>
  <c r="D89" i="2"/>
  <c r="C89" i="2"/>
  <c r="F93" i="2"/>
  <c r="F98" i="2"/>
  <c r="B103" i="2"/>
  <c r="E108" i="2"/>
  <c r="D108" i="2"/>
  <c r="C108" i="2"/>
  <c r="B108" i="2"/>
  <c r="E113" i="2"/>
  <c r="D113" i="2"/>
  <c r="C113" i="2"/>
  <c r="F117" i="2"/>
  <c r="F122" i="2"/>
  <c r="F40" i="2"/>
  <c r="B45" i="2"/>
  <c r="B69" i="2"/>
  <c r="B55" i="2"/>
  <c r="B41" i="2"/>
  <c r="E46" i="2"/>
  <c r="D46" i="2"/>
  <c r="C46" i="2"/>
  <c r="B46" i="2"/>
  <c r="E51" i="2"/>
  <c r="D51" i="2"/>
  <c r="C51" i="2"/>
  <c r="F55" i="2"/>
  <c r="F60" i="2"/>
  <c r="B65" i="2"/>
  <c r="E70" i="2"/>
  <c r="D70" i="2"/>
  <c r="C70" i="2"/>
  <c r="B70" i="2"/>
  <c r="E75" i="2"/>
  <c r="D75" i="2"/>
  <c r="C75" i="2"/>
  <c r="F79" i="2"/>
  <c r="F84" i="2"/>
  <c r="B89" i="2"/>
  <c r="E94" i="2"/>
  <c r="D94" i="2"/>
  <c r="C94" i="2"/>
  <c r="B94" i="2"/>
  <c r="E99" i="2"/>
  <c r="D99" i="2"/>
  <c r="C99" i="2"/>
  <c r="F103" i="2"/>
  <c r="F108" i="2"/>
  <c r="B113" i="2"/>
  <c r="E118" i="2"/>
  <c r="D118" i="2"/>
  <c r="C118" i="2"/>
  <c r="B118" i="2"/>
  <c r="E123" i="2"/>
  <c r="D123" i="2"/>
  <c r="C123" i="2"/>
  <c r="E56" i="2"/>
  <c r="D56" i="2"/>
  <c r="C56" i="2"/>
  <c r="B56" i="2"/>
  <c r="E61" i="2"/>
  <c r="D61" i="2"/>
  <c r="C61" i="2"/>
  <c r="E80" i="2"/>
  <c r="D80" i="2"/>
  <c r="C80" i="2"/>
  <c r="B80" i="2"/>
  <c r="E85" i="2"/>
  <c r="D85" i="2"/>
  <c r="C85" i="2"/>
  <c r="E104" i="2"/>
  <c r="D104" i="2"/>
  <c r="C104" i="2"/>
  <c r="B104" i="2"/>
  <c r="E109" i="2"/>
  <c r="D109" i="2"/>
  <c r="C109" i="2"/>
  <c r="E58" i="2"/>
  <c r="D58" i="2"/>
  <c r="C58" i="2"/>
  <c r="B58" i="2"/>
  <c r="E47" i="2"/>
  <c r="D47" i="2"/>
  <c r="C47" i="2"/>
  <c r="B61" i="2"/>
  <c r="E71" i="2"/>
  <c r="D71" i="2"/>
  <c r="C71" i="2"/>
  <c r="F80" i="2"/>
  <c r="B85" i="2"/>
  <c r="E90" i="2"/>
  <c r="D90" i="2"/>
  <c r="C90" i="2"/>
  <c r="B90" i="2"/>
  <c r="E95" i="2"/>
  <c r="D95" i="2"/>
  <c r="C95" i="2"/>
  <c r="F104" i="2"/>
  <c r="B109" i="2"/>
  <c r="E114" i="2"/>
  <c r="D114" i="2"/>
  <c r="C114" i="2"/>
  <c r="B114" i="2"/>
  <c r="E119" i="2"/>
  <c r="D119" i="2"/>
  <c r="C119" i="2"/>
  <c r="E111" i="2"/>
  <c r="D111" i="2"/>
  <c r="C111" i="2"/>
  <c r="F56" i="2"/>
  <c r="B47" i="2"/>
  <c r="E57" i="2"/>
  <c r="D57" i="2"/>
  <c r="C57" i="2"/>
  <c r="E76" i="2"/>
  <c r="D76" i="2"/>
  <c r="C76" i="2"/>
  <c r="B76" i="2"/>
  <c r="E81" i="2"/>
  <c r="D81" i="2"/>
  <c r="C81" i="2"/>
  <c r="F85" i="2"/>
  <c r="B95" i="2"/>
  <c r="E100" i="2"/>
  <c r="D100" i="2"/>
  <c r="C100" i="2"/>
  <c r="B100" i="2"/>
  <c r="E105" i="2"/>
  <c r="D105" i="2"/>
  <c r="C105" i="2"/>
  <c r="F109" i="2"/>
  <c r="F114" i="2"/>
  <c r="B119" i="2"/>
  <c r="E66" i="2"/>
  <c r="D66" i="2"/>
  <c r="C66" i="2"/>
  <c r="B66" i="2"/>
  <c r="B71" i="2"/>
  <c r="E43" i="2"/>
  <c r="D43" i="2"/>
  <c r="C43" i="2"/>
  <c r="F47" i="2"/>
  <c r="B57" i="2"/>
  <c r="E62" i="2"/>
  <c r="D62" i="2"/>
  <c r="C62" i="2"/>
  <c r="B62" i="2"/>
  <c r="E67" i="2"/>
  <c r="D67" i="2"/>
  <c r="C67" i="2"/>
  <c r="F71" i="2"/>
  <c r="F76" i="2"/>
  <c r="B81" i="2"/>
  <c r="E86" i="2"/>
  <c r="D86" i="2"/>
  <c r="C86" i="2"/>
  <c r="B86" i="2"/>
  <c r="E91" i="2"/>
  <c r="D91" i="2"/>
  <c r="C91" i="2"/>
  <c r="F95" i="2"/>
  <c r="F100" i="2"/>
  <c r="B105" i="2"/>
  <c r="E110" i="2"/>
  <c r="D110" i="2"/>
  <c r="C110" i="2"/>
  <c r="B110" i="2"/>
  <c r="E115" i="2"/>
  <c r="D115" i="2"/>
  <c r="C115" i="2"/>
  <c r="F119" i="2"/>
  <c r="E42" i="2"/>
  <c r="D42" i="2"/>
  <c r="C42" i="2"/>
  <c r="B42" i="2"/>
  <c r="E52" i="2"/>
  <c r="D52" i="2"/>
  <c r="C52" i="2"/>
  <c r="B52" i="2"/>
  <c r="F61" i="2"/>
  <c r="F90" i="2"/>
  <c r="B43" i="2"/>
  <c r="E48" i="2"/>
  <c r="D48" i="2"/>
  <c r="C48" i="2"/>
  <c r="B48" i="2"/>
  <c r="E53" i="2"/>
  <c r="D53" i="2"/>
  <c r="C53" i="2"/>
  <c r="F57" i="2"/>
  <c r="F62" i="2"/>
  <c r="B67" i="2"/>
  <c r="E72" i="2"/>
  <c r="D72" i="2"/>
  <c r="C72" i="2"/>
  <c r="B72" i="2"/>
  <c r="E77" i="2"/>
  <c r="D77" i="2"/>
  <c r="C77" i="2"/>
  <c r="F81" i="2"/>
  <c r="F86" i="2"/>
  <c r="B91" i="2"/>
  <c r="E96" i="2"/>
  <c r="D96" i="2"/>
  <c r="C96" i="2"/>
  <c r="B96" i="2"/>
  <c r="E101" i="2"/>
  <c r="D101" i="2"/>
  <c r="C101" i="2"/>
  <c r="F105" i="2"/>
  <c r="F110" i="2"/>
  <c r="B115" i="2"/>
  <c r="E120" i="2"/>
  <c r="D120" i="2"/>
  <c r="C120" i="2"/>
  <c r="B120" i="2"/>
  <c r="E30" i="4"/>
  <c r="E42" i="4"/>
  <c r="B21" i="2" s="1"/>
  <c r="C21" i="2" s="1"/>
  <c r="E54" i="4"/>
  <c r="B33" i="2" s="1"/>
  <c r="C33" i="2" s="1"/>
  <c r="E66" i="4"/>
  <c r="E78" i="4"/>
  <c r="E90" i="4"/>
  <c r="E102" i="4"/>
  <c r="E114" i="4"/>
  <c r="E126" i="4"/>
  <c r="E138" i="4"/>
  <c r="E35" i="4"/>
  <c r="B14" i="2" s="1"/>
  <c r="C14" i="2" s="1"/>
  <c r="E47" i="4"/>
  <c r="B26" i="2" s="1"/>
  <c r="C26" i="2" s="1"/>
  <c r="E59" i="4"/>
  <c r="B38" i="2" s="1"/>
  <c r="C38" i="2" s="1"/>
  <c r="E71" i="4"/>
  <c r="E83" i="4"/>
  <c r="E95" i="4"/>
  <c r="E107" i="4"/>
  <c r="E119" i="4"/>
  <c r="E131" i="4"/>
  <c r="E143" i="4"/>
  <c r="E28" i="4"/>
  <c r="E40" i="4"/>
  <c r="B19" i="2" s="1"/>
  <c r="C19" i="2" s="1"/>
  <c r="E52" i="4"/>
  <c r="B31" i="2" s="1"/>
  <c r="C31" i="2" s="1"/>
  <c r="E64" i="4"/>
  <c r="E76" i="4"/>
  <c r="E88" i="4"/>
  <c r="E100" i="4"/>
  <c r="E112" i="4"/>
  <c r="E124" i="4"/>
  <c r="E136" i="4"/>
  <c r="E26" i="4"/>
  <c r="E38" i="4"/>
  <c r="B17" i="2" s="1"/>
  <c r="C17" i="2" s="1"/>
  <c r="E50" i="4"/>
  <c r="B29" i="2" s="1"/>
  <c r="C29" i="2" s="1"/>
  <c r="E62" i="4"/>
  <c r="E74" i="4"/>
  <c r="E86" i="4"/>
  <c r="E98" i="4"/>
  <c r="E110" i="4"/>
  <c r="E122" i="4"/>
  <c r="E134" i="4"/>
  <c r="E31" i="4"/>
  <c r="E43" i="4"/>
  <c r="B22" i="2" s="1"/>
  <c r="C22" i="2" s="1"/>
  <c r="E55" i="4"/>
  <c r="B34" i="2" s="1"/>
  <c r="C34" i="2" s="1"/>
  <c r="E67" i="4"/>
  <c r="E79" i="4"/>
  <c r="E91" i="4"/>
  <c r="E103" i="4"/>
  <c r="E115" i="4"/>
  <c r="E127" i="4"/>
  <c r="E139" i="4"/>
  <c r="B3" i="4"/>
  <c r="E36" i="4"/>
  <c r="E48" i="4"/>
  <c r="B27" i="2" s="1"/>
  <c r="C27" i="2" s="1"/>
  <c r="E60" i="4"/>
  <c r="B39" i="2" s="1"/>
  <c r="C39" i="2" s="1"/>
  <c r="E72" i="4"/>
  <c r="E84" i="4"/>
  <c r="E96" i="4"/>
  <c r="E108" i="4"/>
  <c r="E120" i="4"/>
  <c r="E132" i="4"/>
  <c r="E144" i="4"/>
  <c r="E29" i="4"/>
  <c r="B8" i="2" s="1"/>
  <c r="C8" i="2" s="1"/>
  <c r="E41" i="4"/>
  <c r="B20" i="2" s="1"/>
  <c r="C20" i="2" s="1"/>
  <c r="E53" i="4"/>
  <c r="B32" i="2" s="1"/>
  <c r="C32" i="2" s="1"/>
  <c r="E65" i="4"/>
  <c r="E77" i="4"/>
  <c r="E89" i="4"/>
  <c r="E101" i="4"/>
  <c r="E113" i="4"/>
  <c r="E125" i="4"/>
  <c r="E137" i="4"/>
  <c r="B5" i="4"/>
  <c r="D6" i="2" s="1"/>
  <c r="E34" i="4"/>
  <c r="B13" i="2" s="1"/>
  <c r="C13" i="2" s="1"/>
  <c r="E46" i="4"/>
  <c r="B25" i="2" s="1"/>
  <c r="C25" i="2" s="1"/>
  <c r="E58" i="4"/>
  <c r="B37" i="2" s="1"/>
  <c r="C37" i="2" s="1"/>
  <c r="E70" i="4"/>
  <c r="E82" i="4"/>
  <c r="E94" i="4"/>
  <c r="E106" i="4"/>
  <c r="E118" i="4"/>
  <c r="E130" i="4"/>
  <c r="E142" i="4"/>
  <c r="E27" i="4"/>
  <c r="B6" i="2" s="1"/>
  <c r="C6" i="2" s="1"/>
  <c r="E39" i="4"/>
  <c r="B18" i="2" s="1"/>
  <c r="C18" i="2" s="1"/>
  <c r="E51" i="4"/>
  <c r="B30" i="2" s="1"/>
  <c r="C30" i="2" s="1"/>
  <c r="E63" i="4"/>
  <c r="E75" i="4"/>
  <c r="E87" i="4"/>
  <c r="E99" i="4"/>
  <c r="E111" i="4"/>
  <c r="E123" i="4"/>
  <c r="E135" i="4"/>
  <c r="E32" i="4"/>
  <c r="E44" i="4"/>
  <c r="B23" i="2" s="1"/>
  <c r="C23" i="2" s="1"/>
  <c r="E56" i="4"/>
  <c r="B35" i="2" s="1"/>
  <c r="C35" i="2" s="1"/>
  <c r="E68" i="4"/>
  <c r="E80" i="4"/>
  <c r="E92" i="4"/>
  <c r="E104" i="4"/>
  <c r="E116" i="4"/>
  <c r="E128" i="4"/>
  <c r="F133" i="4" l="1"/>
  <c r="F57" i="4"/>
  <c r="F45" i="4"/>
  <c r="D34" i="2"/>
  <c r="B4" i="2"/>
  <c r="C4" i="2" s="1"/>
  <c r="D26" i="2"/>
  <c r="D20" i="2"/>
  <c r="D19" i="2"/>
  <c r="D18" i="2"/>
  <c r="D30" i="2"/>
  <c r="G45" i="4"/>
  <c r="H45" i="4" s="1"/>
  <c r="D31" i="2"/>
  <c r="D22" i="2"/>
  <c r="D36" i="2"/>
  <c r="G49" i="4"/>
  <c r="D29" i="2"/>
  <c r="D37" i="2"/>
  <c r="D16" i="2"/>
  <c r="D17" i="2"/>
  <c r="D35" i="2"/>
  <c r="G37" i="4"/>
  <c r="D23" i="2"/>
  <c r="G57" i="4"/>
  <c r="D27" i="2"/>
  <c r="D21" i="2"/>
  <c r="D38" i="2"/>
  <c r="D32" i="2"/>
  <c r="D15" i="2"/>
  <c r="D28" i="2"/>
  <c r="D33" i="2"/>
  <c r="D24" i="2"/>
  <c r="D25" i="2"/>
  <c r="F105" i="4"/>
  <c r="F97" i="4"/>
  <c r="G69" i="4"/>
  <c r="H69" i="4" s="1"/>
  <c r="F33" i="4"/>
  <c r="F61" i="4"/>
  <c r="F129" i="4"/>
  <c r="F37" i="4"/>
  <c r="F117" i="4"/>
  <c r="F93" i="4"/>
  <c r="F49" i="4"/>
  <c r="G121" i="4"/>
  <c r="H121" i="4" s="1"/>
  <c r="G85" i="4"/>
  <c r="H85" i="4" s="1"/>
  <c r="G141" i="4"/>
  <c r="H141" i="4" s="1"/>
  <c r="F73" i="4"/>
  <c r="D4" i="2"/>
  <c r="F81" i="4"/>
  <c r="B10" i="4"/>
  <c r="B11" i="4" s="1"/>
  <c r="B12" i="4" s="1"/>
  <c r="G25" i="4"/>
  <c r="H25" i="4" s="1"/>
  <c r="F109" i="4"/>
  <c r="G44" i="4"/>
  <c r="F44" i="4"/>
  <c r="G32" i="4"/>
  <c r="F32" i="4"/>
  <c r="G108" i="4"/>
  <c r="H108" i="4" s="1"/>
  <c r="F108" i="4"/>
  <c r="B11" i="2"/>
  <c r="C11" i="2" s="1"/>
  <c r="G114" i="4"/>
  <c r="H114" i="4" s="1"/>
  <c r="F114" i="4"/>
  <c r="D5" i="2"/>
  <c r="G113" i="4"/>
  <c r="H113" i="4" s="1"/>
  <c r="F113" i="4"/>
  <c r="F143" i="4"/>
  <c r="G143" i="4"/>
  <c r="H143" i="4" s="1"/>
  <c r="G33" i="4"/>
  <c r="D9" i="2"/>
  <c r="G91" i="4"/>
  <c r="H91" i="4" s="1"/>
  <c r="F91" i="4"/>
  <c r="G118" i="4"/>
  <c r="H118" i="4" s="1"/>
  <c r="F118" i="4"/>
  <c r="G38" i="4"/>
  <c r="F38" i="4"/>
  <c r="F123" i="4"/>
  <c r="G123" i="4"/>
  <c r="H123" i="4" s="1"/>
  <c r="G26" i="4"/>
  <c r="F26" i="4"/>
  <c r="G77" i="4"/>
  <c r="H77" i="4" s="1"/>
  <c r="F77" i="4"/>
  <c r="G102" i="4"/>
  <c r="H102" i="4" s="1"/>
  <c r="F102" i="4"/>
  <c r="G128" i="4"/>
  <c r="H128" i="4" s="1"/>
  <c r="F128" i="4"/>
  <c r="F99" i="4"/>
  <c r="G99" i="4"/>
  <c r="H99" i="4" s="1"/>
  <c r="G82" i="4"/>
  <c r="H82" i="4" s="1"/>
  <c r="F82" i="4"/>
  <c r="G65" i="4"/>
  <c r="H65" i="4" s="1"/>
  <c r="F65" i="4"/>
  <c r="G48" i="4"/>
  <c r="F48" i="4"/>
  <c r="G31" i="4"/>
  <c r="F31" i="4"/>
  <c r="G124" i="4"/>
  <c r="H124" i="4" s="1"/>
  <c r="F124" i="4"/>
  <c r="F107" i="4"/>
  <c r="G107" i="4"/>
  <c r="H107" i="4" s="1"/>
  <c r="G90" i="4"/>
  <c r="H90" i="4" s="1"/>
  <c r="F90" i="4"/>
  <c r="B10" i="2"/>
  <c r="C10" i="2" s="1"/>
  <c r="D7" i="2"/>
  <c r="G138" i="4"/>
  <c r="H138" i="4" s="1"/>
  <c r="F138" i="4"/>
  <c r="F135" i="4"/>
  <c r="G135" i="4"/>
  <c r="H135" i="4" s="1"/>
  <c r="G55" i="4"/>
  <c r="F55" i="4"/>
  <c r="F111" i="4"/>
  <c r="G111" i="4"/>
  <c r="H111" i="4" s="1"/>
  <c r="G70" i="4"/>
  <c r="H70" i="4" s="1"/>
  <c r="F70" i="4"/>
  <c r="G53" i="4"/>
  <c r="F53" i="4"/>
  <c r="G36" i="4"/>
  <c r="F36" i="4"/>
  <c r="G134" i="4"/>
  <c r="H134" i="4" s="1"/>
  <c r="F134" i="4"/>
  <c r="G112" i="4"/>
  <c r="H112" i="4" s="1"/>
  <c r="F112" i="4"/>
  <c r="F95" i="4"/>
  <c r="G95" i="4"/>
  <c r="H95" i="4" s="1"/>
  <c r="G78" i="4"/>
  <c r="H78" i="4" s="1"/>
  <c r="F78" i="4"/>
  <c r="B5" i="2"/>
  <c r="C5" i="2" s="1"/>
  <c r="G50" i="4"/>
  <c r="F50" i="4"/>
  <c r="F131" i="4"/>
  <c r="G131" i="4"/>
  <c r="H131" i="4" s="1"/>
  <c r="G94" i="4"/>
  <c r="H94" i="4" s="1"/>
  <c r="F94" i="4"/>
  <c r="G136" i="4"/>
  <c r="H136" i="4" s="1"/>
  <c r="F136" i="4"/>
  <c r="G104" i="4"/>
  <c r="H104" i="4" s="1"/>
  <c r="F104" i="4"/>
  <c r="F83" i="4"/>
  <c r="G83" i="4"/>
  <c r="H83" i="4" s="1"/>
  <c r="G142" i="4"/>
  <c r="H142" i="4" s="1"/>
  <c r="F142" i="4"/>
  <c r="G62" i="4"/>
  <c r="H62" i="4" s="1"/>
  <c r="F62" i="4"/>
  <c r="G28" i="4"/>
  <c r="F28" i="4"/>
  <c r="G84" i="4"/>
  <c r="H84" i="4" s="1"/>
  <c r="F84" i="4"/>
  <c r="G126" i="4"/>
  <c r="H126" i="4" s="1"/>
  <c r="F126" i="4"/>
  <c r="G72" i="4"/>
  <c r="H72" i="4" s="1"/>
  <c r="F72" i="4"/>
  <c r="F119" i="4"/>
  <c r="G119" i="4"/>
  <c r="H119" i="4" s="1"/>
  <c r="G116" i="4"/>
  <c r="H116" i="4" s="1"/>
  <c r="F116" i="4"/>
  <c r="B4" i="4"/>
  <c r="C24" i="1"/>
  <c r="B20" i="1"/>
  <c r="G66" i="4"/>
  <c r="H66" i="4" s="1"/>
  <c r="F66" i="4"/>
  <c r="G92" i="4"/>
  <c r="H92" i="4" s="1"/>
  <c r="F92" i="4"/>
  <c r="F63" i="4"/>
  <c r="G63" i="4"/>
  <c r="H63" i="4" s="1"/>
  <c r="G46" i="4"/>
  <c r="F46" i="4"/>
  <c r="G29" i="4"/>
  <c r="F29" i="4"/>
  <c r="G139" i="4"/>
  <c r="H139" i="4" s="1"/>
  <c r="F139" i="4"/>
  <c r="G110" i="4"/>
  <c r="H110" i="4" s="1"/>
  <c r="F110" i="4"/>
  <c r="G88" i="4"/>
  <c r="H88" i="4" s="1"/>
  <c r="F88" i="4"/>
  <c r="F71" i="4"/>
  <c r="G71" i="4"/>
  <c r="H71" i="4" s="1"/>
  <c r="G54" i="4"/>
  <c r="F54" i="4"/>
  <c r="G96" i="4"/>
  <c r="H96" i="4" s="1"/>
  <c r="F96" i="4"/>
  <c r="G101" i="4"/>
  <c r="H101" i="4" s="1"/>
  <c r="F101" i="4"/>
  <c r="B7" i="2"/>
  <c r="C7" i="2" s="1"/>
  <c r="G60" i="4"/>
  <c r="F60" i="4"/>
  <c r="F75" i="4"/>
  <c r="G75" i="4"/>
  <c r="H75" i="4" s="1"/>
  <c r="F51" i="4"/>
  <c r="G51" i="4"/>
  <c r="G42" i="4"/>
  <c r="F42" i="4"/>
  <c r="D14" i="2"/>
  <c r="D10" i="2"/>
  <c r="G130" i="4"/>
  <c r="H130" i="4" s="1"/>
  <c r="F130" i="4"/>
  <c r="G89" i="4"/>
  <c r="H89" i="4" s="1"/>
  <c r="F89" i="4"/>
  <c r="G58" i="4"/>
  <c r="F58" i="4"/>
  <c r="G122" i="4"/>
  <c r="H122" i="4" s="1"/>
  <c r="F122" i="4"/>
  <c r="G80" i="4"/>
  <c r="H80" i="4" s="1"/>
  <c r="F80" i="4"/>
  <c r="G144" i="4"/>
  <c r="H144" i="4" s="1"/>
  <c r="F144" i="4"/>
  <c r="G127" i="4"/>
  <c r="H127" i="4" s="1"/>
  <c r="F127" i="4"/>
  <c r="G76" i="4"/>
  <c r="H76" i="4" s="1"/>
  <c r="F76" i="4"/>
  <c r="F59" i="4"/>
  <c r="G59" i="4"/>
  <c r="G68" i="4"/>
  <c r="H68" i="4" s="1"/>
  <c r="F68" i="4"/>
  <c r="G132" i="4"/>
  <c r="H132" i="4" s="1"/>
  <c r="F132" i="4"/>
  <c r="G86" i="4"/>
  <c r="H86" i="4" s="1"/>
  <c r="F86" i="4"/>
  <c r="G64" i="4"/>
  <c r="H64" i="4" s="1"/>
  <c r="F64" i="4"/>
  <c r="F47" i="4"/>
  <c r="G47" i="4"/>
  <c r="G30" i="4"/>
  <c r="F30" i="4"/>
  <c r="B15" i="2"/>
  <c r="C15" i="2" s="1"/>
  <c r="D12" i="2"/>
  <c r="D13" i="2"/>
  <c r="G125" i="4"/>
  <c r="H125" i="4" s="1"/>
  <c r="F125" i="4"/>
  <c r="G40" i="4"/>
  <c r="F40" i="4"/>
  <c r="G79" i="4"/>
  <c r="H79" i="4" s="1"/>
  <c r="F79" i="4"/>
  <c r="G67" i="4"/>
  <c r="H67" i="4" s="1"/>
  <c r="F67" i="4"/>
  <c r="G106" i="4"/>
  <c r="H106" i="4" s="1"/>
  <c r="F106" i="4"/>
  <c r="G43" i="4"/>
  <c r="F43" i="4"/>
  <c r="F87" i="4"/>
  <c r="G87" i="4"/>
  <c r="H87" i="4" s="1"/>
  <c r="G41" i="4"/>
  <c r="F41" i="4"/>
  <c r="G100" i="4"/>
  <c r="H100" i="4" s="1"/>
  <c r="F100" i="4"/>
  <c r="G34" i="4"/>
  <c r="F34" i="4"/>
  <c r="G98" i="4"/>
  <c r="H98" i="4" s="1"/>
  <c r="F98" i="4"/>
  <c r="F39" i="4"/>
  <c r="G39" i="4"/>
  <c r="G115" i="4"/>
  <c r="H115" i="4" s="1"/>
  <c r="F115" i="4"/>
  <c r="G56" i="4"/>
  <c r="F56" i="4"/>
  <c r="F27" i="4"/>
  <c r="G27" i="4"/>
  <c r="G137" i="4"/>
  <c r="H137" i="4" s="1"/>
  <c r="F137" i="4"/>
  <c r="G120" i="4"/>
  <c r="H120" i="4" s="1"/>
  <c r="F120" i="4"/>
  <c r="G103" i="4"/>
  <c r="H103" i="4" s="1"/>
  <c r="F103" i="4"/>
  <c r="G74" i="4"/>
  <c r="H74" i="4" s="1"/>
  <c r="F74" i="4"/>
  <c r="G52" i="4"/>
  <c r="F52" i="4"/>
  <c r="F35" i="4"/>
  <c r="G35" i="4"/>
  <c r="B9" i="2"/>
  <c r="C9" i="2" s="1"/>
  <c r="D8" i="2"/>
  <c r="D11" i="2"/>
  <c r="H49" i="4" l="1"/>
  <c r="E28" i="2"/>
  <c r="F28" i="2" s="1"/>
  <c r="H57" i="4"/>
  <c r="E36" i="2"/>
  <c r="F36" i="2" s="1"/>
  <c r="E24" i="2"/>
  <c r="F24" i="2" s="1"/>
  <c r="H37" i="4"/>
  <c r="E16" i="2"/>
  <c r="F16" i="2" s="1"/>
  <c r="H43" i="4"/>
  <c r="E22" i="2"/>
  <c r="F22" i="2" s="1"/>
  <c r="H50" i="4"/>
  <c r="E29" i="2"/>
  <c r="F29" i="2" s="1"/>
  <c r="H59" i="4"/>
  <c r="E38" i="2"/>
  <c r="F38" i="2" s="1"/>
  <c r="H53" i="4"/>
  <c r="E32" i="2"/>
  <c r="F32" i="2" s="1"/>
  <c r="H44" i="4"/>
  <c r="E23" i="2"/>
  <c r="F23" i="2" s="1"/>
  <c r="H39" i="4"/>
  <c r="E18" i="2"/>
  <c r="F18" i="2" s="1"/>
  <c r="H54" i="4"/>
  <c r="E33" i="2"/>
  <c r="F33" i="2" s="1"/>
  <c r="H47" i="4"/>
  <c r="E26" i="2"/>
  <c r="F26" i="2" s="1"/>
  <c r="H51" i="4"/>
  <c r="E30" i="2"/>
  <c r="F30" i="2" s="1"/>
  <c r="H58" i="4"/>
  <c r="E37" i="2"/>
  <c r="F37" i="2" s="1"/>
  <c r="H38" i="4"/>
  <c r="E17" i="2"/>
  <c r="F17" i="2" s="1"/>
  <c r="H48" i="4"/>
  <c r="E27" i="2"/>
  <c r="F27" i="2" s="1"/>
  <c r="H42" i="4"/>
  <c r="E21" i="2"/>
  <c r="F21" i="2" s="1"/>
  <c r="H46" i="4"/>
  <c r="E25" i="2"/>
  <c r="F25" i="2" s="1"/>
  <c r="H60" i="4"/>
  <c r="E39" i="2"/>
  <c r="F39" i="2" s="1"/>
  <c r="H56" i="4"/>
  <c r="E35" i="2"/>
  <c r="F35" i="2" s="1"/>
  <c r="H40" i="4"/>
  <c r="E19" i="2"/>
  <c r="F19" i="2" s="1"/>
  <c r="H55" i="4"/>
  <c r="E34" i="2"/>
  <c r="F34" i="2" s="1"/>
  <c r="H52" i="4"/>
  <c r="E31" i="2"/>
  <c r="F31" i="2" s="1"/>
  <c r="H41" i="4"/>
  <c r="E20" i="2"/>
  <c r="F20" i="2" s="1"/>
  <c r="B29" i="1"/>
  <c r="E4" i="2"/>
  <c r="F4" i="2" s="1"/>
  <c r="H27" i="4"/>
  <c r="E6" i="2"/>
  <c r="F6" i="2" s="1"/>
  <c r="B14" i="4"/>
  <c r="B16" i="4" s="1"/>
  <c r="B17" i="4" s="1"/>
  <c r="E24" i="1"/>
  <c r="B21" i="1"/>
  <c r="H28" i="4"/>
  <c r="E7" i="2"/>
  <c r="F7" i="2" s="1"/>
  <c r="H29" i="4"/>
  <c r="E8" i="2"/>
  <c r="F8" i="2" s="1"/>
  <c r="H31" i="4"/>
  <c r="E10" i="2"/>
  <c r="F10" i="2" s="1"/>
  <c r="H36" i="4"/>
  <c r="E15" i="2"/>
  <c r="F15" i="2" s="1"/>
  <c r="H33" i="4"/>
  <c r="E12" i="2"/>
  <c r="F12" i="2" s="1"/>
  <c r="H35" i="4"/>
  <c r="E14" i="2"/>
  <c r="F14" i="2" s="1"/>
  <c r="H32" i="4"/>
  <c r="E11" i="2"/>
  <c r="F11" i="2" s="1"/>
  <c r="H26" i="4"/>
  <c r="E5" i="2"/>
  <c r="F5" i="2" s="1"/>
  <c r="E9" i="2"/>
  <c r="F9" i="2" s="1"/>
  <c r="H30" i="4"/>
  <c r="H34" i="4"/>
  <c r="E13" i="2"/>
  <c r="F13" i="2" s="1"/>
  <c r="B13" i="4" l="1"/>
  <c r="B30" i="1" s="1"/>
  <c r="B15" i="4"/>
  <c r="B33" i="1" s="1"/>
</calcChain>
</file>

<file path=xl/sharedStrings.xml><?xml version="1.0" encoding="utf-8"?>
<sst xmlns="http://schemas.openxmlformats.org/spreadsheetml/2006/main" count="115" uniqueCount="109">
  <si>
    <t>NEEDTHESEAPPS.COM</t>
  </si>
  <si>
    <t>CD Calculator</t>
  </si>
  <si>
    <t>How much will your CD (certificate of deposit) really earn? See what you'll have at the end, what an early withdrawal would cost, and what you keep after tax and inflation.</t>
  </si>
  <si>
    <t>Open the full calculator online  ↗</t>
  </si>
  <si>
    <t>YOUR NUMBERS</t>
  </si>
  <si>
    <t>Currency symbol you use</t>
  </si>
  <si>
    <t>$</t>
  </si>
  <si>
    <t>Deposit amount</t>
  </si>
  <si>
    <t>Yearly interest rate</t>
  </si>
  <si>
    <t>The yearly rate your bank quotes. Banks often call it APY.</t>
  </si>
  <si>
    <t>Term (months, max 120)</t>
  </si>
  <si>
    <t>How long the money is locked in.</t>
  </si>
  <si>
    <t>Start date</t>
  </si>
  <si>
    <t>An example date. Type the day your CD starts. It never changes by itself.</t>
  </si>
  <si>
    <t>Early withdrawal penalty (months of interest)</t>
  </si>
  <si>
    <t>A common penalty: 3 months of interest for CDs up to 1 year, 6 up to 3 years, 12 above. Each bank sets its own. Ask your bank and enter it here.</t>
  </si>
  <si>
    <t>Month you take the money out</t>
  </si>
  <si>
    <t>Tax rate on interest</t>
  </si>
  <si>
    <t>Optional. An estimate: your own tax depends on your situation.</t>
  </si>
  <si>
    <t>Inflation assumption (yearly)</t>
  </si>
  <si>
    <t>Inflation is how fast prices rise. Fill in how fast you expect them to rise.</t>
  </si>
  <si>
    <t>YOUR RESULT</t>
  </si>
  <si>
    <t>The date your CD ends</t>
  </si>
  <si>
    <t>the interest your CD pays if you leave the money in</t>
  </si>
  <si>
    <t>MORE DETAIL</t>
  </si>
  <si>
    <t>If you take the money out early</t>
  </si>
  <si>
    <t>What you really keep</t>
  </si>
  <si>
    <t>The penalty, tax rate and inflation are your assumptions. Your bank's terms and your real tax decide.
The rate is fixed for the whole term and the interest stays in the CD.
This file is a snapshot of the calculator. The full calculator online also compares your rate with the US national average and checks the insurance limit.</t>
  </si>
  <si>
    <t>The scale on the left can start above zero, so the difference between months is visible. Your bank sets its own penalty.</t>
  </si>
  <si>
    <t>Month-by-month breakdown</t>
  </si>
  <si>
    <t>Month</t>
  </si>
  <si>
    <t>Balance if left in</t>
  </si>
  <si>
    <t>Interest so far</t>
  </si>
  <si>
    <t>Penalty</t>
  </si>
  <si>
    <t>What you get back if you take it out this month</t>
  </si>
  <si>
    <t>Compared with your deposit (+/−)</t>
  </si>
  <si>
    <t>About this workbook</t>
  </si>
  <si>
    <t>WHAT THIS WORKBOOK DOES</t>
  </si>
  <si>
    <t>It answers one question offline: if you put a deposit in a CD at a fixed yearly rate for a set time, what will you have at the end, what would an early withdrawal give you back, and what do you really keep after tax and inflation.</t>
  </si>
  <si>
    <t>WHAT IT DOES NOT DO</t>
  </si>
  <si>
    <t>It does not compare your rate</t>
  </si>
  <si>
    <t>The US national average CD rate (FDIC) updates every month, so it is on the site.</t>
  </si>
  <si>
    <t>It does not check the insurance limit</t>
  </si>
  <si>
    <t>That is a US rule, shown on the site for deposits above the standard limit.</t>
  </si>
  <si>
    <t>It does not compare a savings account</t>
  </si>
  <si>
    <t>That is a second scenario, on the site.</t>
  </si>
  <si>
    <t>It does not convert a quoted rate</t>
  </si>
  <si>
    <t>It takes the yearly rate your bank quotes (what banks call APY).</t>
  </si>
  <si>
    <t>It does not work out your exact tax</t>
  </si>
  <si>
    <t>One tax rate that you enter, used as an estimate.</t>
  </si>
  <si>
    <t>It does not know your bank's penalty</t>
  </si>
  <si>
    <t>A common one is suggested. Your bank's terms decide.</t>
  </si>
  <si>
    <t>It is not financial advice</t>
  </si>
  <si>
    <t>A planning estimate, based on what you entered.</t>
  </si>
  <si>
    <t>FOR THESE, USE THE FULL CALCULATOR ONLINE</t>
  </si>
  <si>
    <t>Your rate against the US national average</t>
  </si>
  <si>
    <t>in dollars, with the source month</t>
  </si>
  <si>
    <t>The standard insurance limit</t>
  </si>
  <si>
    <t>and how much of a deposit is above it</t>
  </si>
  <si>
    <t>The same money in a savings account</t>
  </si>
  <si>
    <t>side by side with your CD</t>
  </si>
  <si>
    <t>Guide and FAQ</t>
  </si>
  <si>
    <t>to understand what the numbers mean</t>
  </si>
  <si>
    <t>ASSUMPTIONS USED</t>
  </si>
  <si>
    <t>The rate</t>
  </si>
  <si>
    <t>Fixed for the whole term. The yearly rate you enter is read as an APY: interest on interest is already included.</t>
  </si>
  <si>
    <t>Growth</t>
  </si>
  <si>
    <t>Deposit × (1 + rate)^(months ÷ 12). The interest stays in the CD.</t>
  </si>
  <si>
    <t>Early withdrawal</t>
  </si>
  <si>
    <t>You get back the balance in that month minus the penalty. At the end of the term there is no penalty.</t>
  </si>
  <si>
    <t>The penalty</t>
  </si>
  <si>
    <t>Months of simple interest on the deposit: deposit × rate ÷ 12 × penalty months.</t>
  </si>
  <si>
    <t>Tax and inflation</t>
  </si>
  <si>
    <t>One tax rate on the interest and one yearly inflation rate, for the whole term.</t>
  </si>
  <si>
    <t>The end date</t>
  </si>
  <si>
    <t>The start date plus the term in months. The start date is an example you can change.</t>
  </si>
  <si>
    <t>Longest term</t>
  </si>
  <si>
    <t>120 months (10 years).</t>
  </si>
  <si>
    <t>THE WORKBOOK</t>
  </si>
  <si>
    <t>Site</t>
  </si>
  <si>
    <t>needtheseapps.com</t>
  </si>
  <si>
    <t>Sheets</t>
  </si>
  <si>
    <t>Calculator · Breakdown · About &amp; Assumptions</t>
  </si>
  <si>
    <t>Version</t>
  </si>
  <si>
    <t>1.0</t>
  </si>
  <si>
    <t>Generated</t>
  </si>
  <si>
    <t>Oct 1, 2026</t>
  </si>
  <si>
    <t>Currency</t>
  </si>
  <si>
    <t>This file is a snapshot. It does not update itself when the online calculator changes.</t>
  </si>
  <si>
    <t>Helper calculations. Do not edit.</t>
  </si>
  <si>
    <t>Yearly rate as a fraction (APY)</t>
  </si>
  <si>
    <t>What you'll have at the end</t>
  </si>
  <si>
    <t>Interest earned</t>
  </si>
  <si>
    <t>The chosen month (kept inside 1 .. term - 1)</t>
  </si>
  <si>
    <t>Balance in the chosen month</t>
  </si>
  <si>
    <t>Interest up to the chosen month</t>
  </si>
  <si>
    <t>What comes back in the chosen month</t>
  </si>
  <si>
    <t>Back minus deposit</t>
  </si>
  <si>
    <t>... as a percent of the deposit</t>
  </si>
  <si>
    <t>First month you get back at least the deposit</t>
  </si>
  <si>
    <t>Interest after tax</t>
  </si>
  <si>
    <t>Tax, in money</t>
  </si>
  <si>
    <t>What the money at the end buys, in today's money</t>
  </si>
  <si>
    <t>Real gain</t>
  </si>
  <si>
    <t>Price rise over the term, in percent</t>
  </si>
  <si>
    <t>Yearly rate that would keep the buying power</t>
  </si>
  <si>
    <t>What you get back</t>
  </si>
  <si>
    <t>At least the deposit (1/0)</t>
  </si>
  <si>
    <t>Deposit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</si>
</sst>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 d\,\ yyyy"/>
    <numFmt numFmtId="165" formatCode="\+#,##0;\−#,##0;0"/>
    <numFmt numFmtId="166" formatCode="0.0&quot;%&quot;"/>
  </numFmts>
  <fonts count="22" x14ac:knownFonts="1">
    <font>
      <sz val="11"/>
      <color theme="1"/>
      <name val="Calibri"/>
      <family val="2"/>
      <scheme val="minor"/>
    </font>
    <font>
      <b/>
      <sz val="11"/>
      <color rgb="FF1B2733"/>
      <name val="Segoe UI"/>
    </font>
    <font>
      <sz val="11"/>
      <color rgb="FF1B2733"/>
      <name val="Segoe UI"/>
    </font>
    <font>
      <b/>
      <sz val="18"/>
      <color rgb="FF12354E"/>
      <name val="Segoe UI"/>
    </font>
    <font>
      <sz val="10"/>
      <color rgb="FF6C6D70"/>
      <name val="Segoe UI"/>
    </font>
    <font>
      <b/>
      <sz val="10"/>
      <color rgb="FFFFFFFF"/>
      <name val="Segoe UI"/>
    </font>
    <font>
      <sz val="10"/>
      <color rgb="FF1B2733"/>
      <name val="Segoe UI"/>
    </font>
    <font>
      <b/>
      <u/>
      <sz val="10"/>
      <color rgb="FF1E5A85"/>
      <name val="Segoe UI"/>
    </font>
    <font>
      <b/>
      <sz val="24"/>
      <color rgb="FF12354E"/>
      <name val="Segoe UI"/>
    </font>
    <font>
      <b/>
      <u/>
      <sz val="11"/>
      <color rgb="FF1E5A85"/>
      <name val="Segoe UI"/>
    </font>
    <font>
      <b/>
      <sz val="12"/>
      <color rgb="FF1E5A85"/>
      <name val="Segoe UI"/>
    </font>
    <font>
      <b/>
      <sz val="12"/>
      <color rgb="FF12354E"/>
      <name val="Segoe UI"/>
    </font>
    <font>
      <sz val="9.5"/>
      <color rgb="FF6C6D70"/>
      <name val="Segoe UI"/>
    </font>
    <font>
      <i/>
      <sz val="10"/>
      <color rgb="FF6C6D70"/>
      <name val="Segoe UI"/>
    </font>
    <font>
      <b/>
      <sz val="22"/>
      <color rgb="FF1E5A85"/>
      <name val="Segoe UI"/>
    </font>
    <font>
      <sz val="12"/>
      <color rgb="FF1B2733"/>
      <name val="Segoe UI"/>
    </font>
    <font>
      <b/>
      <sz val="16"/>
      <color rgb="FF1B2733"/>
      <name val="Segoe UI"/>
    </font>
    <font>
      <b/>
      <sz val="11"/>
      <color rgb="FF12354E"/>
      <name val="Segoe UI"/>
    </font>
    <font>
      <i/>
      <sz val="9.5"/>
      <color rgb="FF6C6D70"/>
      <name val="Segoe UI"/>
    </font>
    <font>
      <b/>
      <sz val="20"/>
      <color rgb="FF12354E"/>
      <name val="Segoe UI"/>
    </font>
    <font>
      <sz val="11"/>
      <color rgb="FF6C6D70"/>
      <name val="Segoe UI"/>
    </font>
    <font>
      <b/>
      <u/>
      <sz val="12"/>
      <color rgb="FF1E5A85"/>
      <name val="Segoe UI"/>
    </font>
  </fonts>
  <fills count="7">
    <fill>
      <patternFill patternType="none"/>
    </fill>
    <fill>
      <patternFill patternType="gray125"/>
    </fill>
    <fill>
      <patternFill patternType="solid">
        <fgColor rgb="FFF5F8FB"/>
      </patternFill>
    </fill>
    <fill>
      <patternFill patternType="solid">
        <fgColor rgb="FF1E5A85"/>
      </patternFill>
    </fill>
    <fill>
      <patternFill patternType="solid">
        <fgColor rgb="FFE4EDF5"/>
      </patternFill>
    </fill>
    <fill>
      <patternFill patternType="solid">
        <fgColor rgb="FFC9DEEF"/>
      </patternFill>
    </fill>
    <fill>
      <patternFill patternType="solid">
        <fgColor rgb="FFFFFFFF"/>
      </patternFill>
    </fill>
  </fills>
  <borders count="10">
    <border>
      <left/>
      <right/>
      <top/>
      <bottom/>
      <diagonal/>
    </border>
    <border>
      <left style="thin">
        <color rgb="FF1E5A85"/>
      </left>
      <right style="thin">
        <color rgb="FF1E5A85"/>
      </right>
      <top style="thin">
        <color rgb="FF1E5A85"/>
      </top>
      <bottom style="thin">
        <color rgb="FF1E5A85"/>
      </bottom>
      <diagonal/>
    </border>
    <border>
      <left/>
      <right/>
      <top/>
      <bottom style="thin">
        <color rgb="FF748BA0"/>
      </bottom>
      <diagonal/>
    </border>
    <border>
      <left style="thin">
        <color rgb="FFD6E1EA"/>
      </left>
      <right style="thin">
        <color rgb="FFD6E1EA"/>
      </right>
      <top style="thin">
        <color rgb="FFD6E1EA"/>
      </top>
      <bottom/>
      <diagonal/>
    </border>
    <border>
      <left style="thin">
        <color rgb="FFD6E1EA"/>
      </left>
      <right style="thin">
        <color rgb="FFD6E1EA"/>
      </right>
      <top/>
      <bottom/>
      <diagonal/>
    </border>
    <border>
      <left style="thin">
        <color rgb="FFD6E1EA"/>
      </left>
      <right style="thin">
        <color rgb="FFD6E1EA"/>
      </right>
      <top/>
      <bottom style="thin">
        <color rgb="FFD6E1EA"/>
      </bottom>
      <diagonal/>
    </border>
    <border>
      <left style="medium">
        <color rgb="FFB26A00"/>
      </left>
      <right/>
      <top style="thin">
        <color rgb="FFD6E1EA"/>
      </top>
      <bottom/>
      <diagonal/>
    </border>
    <border>
      <left/>
      <right/>
      <top style="thin">
        <color rgb="FFD6E1EA"/>
      </top>
      <bottom/>
      <diagonal/>
    </border>
    <border>
      <left style="medium">
        <color rgb="FFB26A00"/>
      </left>
      <right/>
      <top/>
      <bottom/>
      <diagonal/>
    </border>
    <border>
      <left/>
      <right/>
      <top/>
      <bottom style="thin">
        <color rgb="FFD6E1EA"/>
      </bottom>
      <diagonal/>
    </border>
  </borders>
  <cellStyleXfs count="1">
    <xf numFmtId="0" fontId="0" fillId="0" borderId="0"/>
  </cellStyleXfs>
  <cellXfs count="42">
    <xf numFmtId="0" fontId="0" fillId="0" borderId="0" xfId="0"/>
    <xf numFmtId="0" fontId="0" fillId="2" borderId="0" xfId="0" applyFill="1"/>
    <xf numFmtId="0" fontId="2" fillId="2" borderId="0" xfId="0" applyFont="1" applyFill="1" applyAlignment="1">
      <alignment horizontal="left" vertical="center" wrapText="1"/>
    </xf>
    <xf numFmtId="0" fontId="11" fillId="5" borderId="1" xfId="0" applyFont="1" applyFill="1" applyBorder="1" applyAlignment="1" applyProtection="1">
      <alignment horizontal="right" vertical="center"/>
      <protection locked="0"/>
    </xf>
    <xf numFmtId="3" fontId="11" fillId="5" borderId="1" xfId="0" applyNumberFormat="1" applyFont="1" applyFill="1" applyBorder="1" applyAlignment="1" applyProtection="1">
      <alignment horizontal="right" vertical="center"/>
      <protection locked="0"/>
    </xf>
    <xf numFmtId="166" fontId="11" fillId="5" borderId="1" xfId="0" applyNumberFormat="1" applyFont="1" applyFill="1" applyBorder="1" applyAlignment="1" applyProtection="1">
      <alignment horizontal="right" vertical="center"/>
      <protection locked="0"/>
    </xf>
    <xf numFmtId="1" fontId="11" fillId="5" borderId="1" xfId="0" applyNumberFormat="1" applyFont="1" applyFill="1" applyBorder="1" applyAlignment="1" applyProtection="1">
      <alignment horizontal="right" vertical="center"/>
      <protection locked="0"/>
    </xf>
    <xf numFmtId="164" fontId="11" fillId="5" borderId="1" xfId="0" applyNumberFormat="1" applyFont="1" applyFill="1" applyBorder="1" applyAlignment="1" applyProtection="1">
      <alignment horizontal="right" vertical="center"/>
      <protection locked="0"/>
    </xf>
    <xf numFmtId="0" fontId="4" fillId="6" borderId="3" xfId="0" applyFont="1" applyFill="1" applyBorder="1" applyAlignment="1">
      <alignment horizontal="left" vertical="top" wrapText="1"/>
    </xf>
    <xf numFmtId="3" fontId="16" fillId="6" borderId="4" xfId="0" applyNumberFormat="1" applyFont="1" applyFill="1" applyBorder="1" applyAlignment="1">
      <alignment horizontal="left" vertical="center" shrinkToFit="1"/>
    </xf>
    <xf numFmtId="164" fontId="16" fillId="6" borderId="4" xfId="0" applyNumberFormat="1" applyFont="1" applyFill="1" applyBorder="1" applyAlignment="1">
      <alignment horizontal="left" vertical="center" shrinkToFit="1"/>
    </xf>
    <xf numFmtId="0" fontId="12" fillId="6" borderId="5" xfId="0" applyFont="1" applyFill="1" applyBorder="1" applyAlignment="1">
      <alignment horizontal="left" vertical="top" wrapText="1"/>
    </xf>
    <xf numFmtId="0" fontId="5" fillId="3" borderId="1" xfId="0" applyFont="1" applyFill="1" applyBorder="1" applyAlignment="1">
      <alignment horizontal="center" vertical="center" wrapText="1"/>
    </xf>
    <xf numFmtId="1" fontId="6" fillId="0" borderId="0" xfId="0" applyNumberFormat="1" applyFont="1" applyAlignment="1">
      <alignment horizontal="center" vertical="center"/>
    </xf>
    <xf numFmtId="3" fontId="6" fillId="0" borderId="0" xfId="0" applyNumberFormat="1" applyFont="1" applyAlignment="1">
      <alignment horizontal="right" vertical="center"/>
    </xf>
    <xf numFmtId="165" fontId="6" fillId="0" borderId="0" xfId="0" applyNumberFormat="1" applyFont="1" applyAlignment="1">
      <alignment horizontal="right" vertical="center"/>
    </xf>
    <xf numFmtId="0" fontId="2" fillId="6" borderId="9" xfId="0" applyFont="1" applyFill="1" applyBorder="1" applyAlignment="1">
      <alignment horizontal="left" vertical="center" wrapText="1"/>
    </xf>
    <xf numFmtId="0" fontId="20" fillId="6" borderId="9" xfId="0" applyFont="1" applyFill="1" applyBorder="1" applyAlignment="1">
      <alignment horizontal="left" vertical="center" wrapText="1"/>
    </xf>
    <xf numFmtId="0" fontId="1" fillId="0" borderId="0" xfId="0" applyFont="1" applyAlignment="1">
      <alignment horizontal="left" vertical="center"/>
    </xf>
    <xf numFmtId="0" fontId="2" fillId="0" borderId="0" xfId="0" applyFont="1" applyAlignment="1">
      <alignment horizontal="left" vertical="center"/>
    </xf>
    <xf numFmtId="164" fontId="2" fillId="0" borderId="0" xfId="0" applyNumberFormat="1" applyFont="1" applyAlignment="1">
      <alignment horizontal="left" vertical="center"/>
    </xf>
    <xf numFmtId="0" fontId="18" fillId="2" borderId="0" xfId="0" applyFont="1" applyFill="1" applyAlignment="1">
      <alignment horizontal="left" vertical="center" wrapText="1"/>
    </xf>
    <xf numFmtId="0" fontId="0" fillId="0" borderId="0" xfId="0"/>
    <xf numFmtId="0" fontId="15" fillId="2" borderId="0" xfId="0" applyFont="1" applyFill="1" applyAlignment="1">
      <alignment horizontal="left" vertical="center" wrapText="1"/>
    </xf>
    <xf numFmtId="0" fontId="7" fillId="2" borderId="0" xfId="0" applyFont="1" applyFill="1" applyAlignment="1">
      <alignment horizontal="left" vertical="center" wrapText="1"/>
    </xf>
    <xf numFmtId="0" fontId="2" fillId="2" borderId="0" xfId="0" applyFont="1" applyFill="1" applyAlignment="1">
      <alignment horizontal="left" vertical="center" wrapText="1"/>
    </xf>
    <xf numFmtId="0" fontId="12" fillId="2" borderId="0" xfId="0" applyFont="1" applyFill="1" applyAlignment="1">
      <alignment horizontal="left" vertical="center" wrapText="1"/>
    </xf>
    <xf numFmtId="0" fontId="4" fillId="6" borderId="6" xfId="0" applyFont="1" applyFill="1" applyBorder="1" applyAlignment="1">
      <alignment horizontal="left" vertical="top" wrapText="1"/>
    </xf>
    <xf numFmtId="0" fontId="0" fillId="0" borderId="7" xfId="0" applyBorder="1"/>
    <xf numFmtId="0" fontId="0" fillId="0" borderId="8" xfId="0" applyBorder="1"/>
    <xf numFmtId="0" fontId="10" fillId="4" borderId="2" xfId="0" applyFont="1" applyFill="1" applyBorder="1" applyAlignment="1">
      <alignment horizontal="left" vertical="center" wrapText="1"/>
    </xf>
    <xf numFmtId="0" fontId="8" fillId="2" borderId="0" xfId="0" applyFont="1" applyFill="1" applyAlignment="1">
      <alignment horizontal="left" vertical="center" wrapText="1"/>
    </xf>
    <xf numFmtId="0" fontId="17" fillId="6" borderId="0" xfId="0" applyFont="1" applyFill="1" applyAlignment="1">
      <alignment horizontal="left" vertical="top" wrapText="1"/>
    </xf>
    <xf numFmtId="0" fontId="2" fillId="6" borderId="0" xfId="0" applyFont="1" applyFill="1" applyAlignment="1">
      <alignment horizontal="left" vertical="top" wrapText="1"/>
    </xf>
    <xf numFmtId="0" fontId="14" fillId="2" borderId="0" xfId="0" applyFont="1" applyFill="1" applyAlignment="1">
      <alignment horizontal="left" vertical="center" shrinkToFit="1"/>
    </xf>
    <xf numFmtId="0" fontId="9" fillId="2" borderId="0" xfId="0" applyFont="1" applyFill="1" applyAlignment="1">
      <alignment horizontal="left" vertical="center" wrapText="1"/>
    </xf>
    <xf numFmtId="0" fontId="17" fillId="6" borderId="0" xfId="0" applyFont="1" applyFill="1" applyAlignment="1">
      <alignment horizontal="left" vertical="center" wrapText="1"/>
    </xf>
    <xf numFmtId="0" fontId="13" fillId="2" borderId="0" xfId="0" applyFont="1" applyFill="1" applyAlignment="1">
      <alignment horizontal="left" vertical="center" wrapText="1"/>
    </xf>
    <xf numFmtId="0" fontId="4" fillId="2" borderId="0" xfId="0" applyFont="1" applyFill="1" applyAlignment="1">
      <alignment horizontal="left" vertical="center" wrapText="1"/>
    </xf>
    <xf numFmtId="0" fontId="3" fillId="2" borderId="0" xfId="0" applyFont="1" applyFill="1" applyAlignment="1">
      <alignment horizontal="left" vertical="center" wrapText="1"/>
    </xf>
    <xf numFmtId="0" fontId="19" fillId="2" borderId="0" xfId="0" applyFont="1" applyFill="1" applyAlignment="1">
      <alignment horizontal="left" vertical="center" wrapText="1"/>
    </xf>
    <xf numFmtId="0" fontId="21" fillId="6" borderId="0" xfId="0" applyFont="1" applyFill="1" applyAlignment="1">
      <alignment horizontal="left" vertical="center" wrapText="1"/>
    </xf>
  </cellXfs>
  <cellStyles count="1">
    <cellStyle name="Normal" xfId="0" builtinId="0"/>
  </cellStyles>
  <dxfs count="4">
    <dxf>
      <border>
        <bottom style="thin">
          <color rgb="FFD6E1EA"/>
        </bottom>
      </border>
    </dxf>
    <dxf>
      <fill>
        <patternFill patternType="solid">
          <fgColor rgb="FFFBFDFE"/>
        </patternFill>
      </fill>
      <border>
        <bottom style="thin">
          <color rgb="FFD6E1EA"/>
        </bottom>
      </border>
    </dxf>
    <dxf>
      <font>
        <b/>
        <color rgb="FF146540"/>
      </font>
      <fill>
        <patternFill patternType="solid">
          <fgColor rgb="FFDDF0E5"/>
        </patternFill>
      </fill>
      <border>
        <bottom style="thin">
          <color rgb="FFD6E1EA"/>
        </bottom>
      </border>
    </dxf>
    <dxf>
      <font>
        <b/>
        <color rgb="FF12354E"/>
      </font>
      <fill>
        <patternFill patternType="solid">
          <fgColor rgb="FFD9E8F5"/>
        </patternFill>
      </fill>
      <border>
        <bottom style="thin">
          <color rgb="FFD6E1EA"/>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What you get back, by the month you take the money out</a:t>
            </a:r>
          </a:p>
        </c:rich>
      </c:tx>
      <c:overlay val="0"/>
    </c:title>
    <c:autoTitleDeleted val="0"/>
    <c:plotArea>
      <c:layout/>
      <c:lineChart>
        <c:grouping val="standard"/>
        <c:varyColors val="1"/>
        <c:ser>
          <c:idx val="0"/>
          <c:order val="0"/>
          <c:tx>
            <c:v>What you get back</c:v>
          </c:tx>
          <c:spPr>
            <a:ln w="28575">
              <a:solidFill>
                <a:srgbClr val="1E5A85"/>
              </a:solidFill>
              <a:prstDash val="solid"/>
            </a:ln>
          </c:spPr>
          <c:marker>
            <c:symbol val="none"/>
          </c:marker>
          <c:cat>
            <c:numRef>
              <c:f>_Engine!ch_months</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_Engine!ch_back</c:f>
              <c:numCache>
                <c:formatCode>General</c:formatCode>
                <c:ptCount val="12"/>
                <c:pt idx="0">
                  <c:v>9932.7373978219894</c:v>
                </c:pt>
                <c:pt idx="1">
                  <c:v>9965.581969365594</c:v>
                </c:pt>
                <c:pt idx="2">
                  <c:v>9998.5340654896881</c:v>
                </c:pt>
                <c:pt idx="3">
                  <c:v>10031.594038201772</c:v>
                </c:pt>
                <c:pt idx="4">
                  <c:v>10064.762240661723</c:v>
                </c:pt>
                <c:pt idx="5">
                  <c:v>10098.03902718557</c:v>
                </c:pt>
                <c:pt idx="6">
                  <c:v>10131.424753249283</c:v>
                </c:pt>
                <c:pt idx="7">
                  <c:v>10164.91977549257</c:v>
                </c:pt>
                <c:pt idx="8">
                  <c:v>10198.52445172268</c:v>
                </c:pt>
                <c:pt idx="9">
                  <c:v>10232.239140918233</c:v>
                </c:pt>
                <c:pt idx="10">
                  <c:v>10266.064203233049</c:v>
                </c:pt>
                <c:pt idx="11">
                  <c:v>10400</c:v>
                </c:pt>
              </c:numCache>
            </c:numRef>
          </c:val>
          <c:smooth val="0"/>
          <c:extLst>
            <c:ext xmlns:c16="http://schemas.microsoft.com/office/drawing/2014/chart" uri="{C3380CC4-5D6E-409C-BE32-E72D297353CC}">
              <c16:uniqueId val="{00000000-ECB0-479E-956F-49AAA569B84F}"/>
            </c:ext>
          </c:extLst>
        </c:ser>
        <c:ser>
          <c:idx val="1"/>
          <c:order val="1"/>
          <c:tx>
            <c:v>Your deposit</c:v>
          </c:tx>
          <c:spPr>
            <a:ln w="22225">
              <a:solidFill>
                <a:srgbClr val="A65F00"/>
              </a:solidFill>
              <a:prstDash val="dash"/>
            </a:ln>
          </c:spPr>
          <c:marker>
            <c:symbol val="none"/>
          </c:marker>
          <c:cat>
            <c:numRef>
              <c:f>_Engine!ch_months</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_Engine!ch_dep</c:f>
              <c:numCache>
                <c:formatCode>General</c:formatCode>
                <c:ptCount val="12"/>
                <c:pt idx="0">
                  <c:v>10000</c:v>
                </c:pt>
                <c:pt idx="1">
                  <c:v>10000</c:v>
                </c:pt>
                <c:pt idx="2">
                  <c:v>10000</c:v>
                </c:pt>
                <c:pt idx="3">
                  <c:v>10000</c:v>
                </c:pt>
                <c:pt idx="4">
                  <c:v>10000</c:v>
                </c:pt>
                <c:pt idx="5">
                  <c:v>10000</c:v>
                </c:pt>
                <c:pt idx="6">
                  <c:v>10000</c:v>
                </c:pt>
                <c:pt idx="7">
                  <c:v>10000</c:v>
                </c:pt>
                <c:pt idx="8">
                  <c:v>10000</c:v>
                </c:pt>
                <c:pt idx="9">
                  <c:v>10000</c:v>
                </c:pt>
                <c:pt idx="10">
                  <c:v>10000</c:v>
                </c:pt>
                <c:pt idx="11">
                  <c:v>10000</c:v>
                </c:pt>
              </c:numCache>
            </c:numRef>
          </c:val>
          <c:smooth val="0"/>
          <c:extLst>
            <c:ext xmlns:c16="http://schemas.microsoft.com/office/drawing/2014/chart" uri="{C3380CC4-5D6E-409C-BE32-E72D297353CC}">
              <c16:uniqueId val="{00000001-ECB0-479E-956F-49AAA569B84F}"/>
            </c:ext>
          </c:extLst>
        </c:ser>
        <c:dLbls>
          <c:showLegendKey val="0"/>
          <c:showVal val="0"/>
          <c:showCatName val="0"/>
          <c:showSerName val="0"/>
          <c:showPercent val="0"/>
          <c:showBubbleSize val="0"/>
        </c:dLbls>
        <c:smooth val="0"/>
        <c:axId val="10"/>
        <c:axId val="100"/>
      </c:lineChart>
      <c:catAx>
        <c:axId val="10"/>
        <c:scaling>
          <c:orientation val="minMax"/>
        </c:scaling>
        <c:delete val="0"/>
        <c:axPos val="b"/>
        <c:title>
          <c:tx>
            <c:rich>
              <a:bodyPr/>
              <a:lstStyle/>
              <a:p>
                <a:pPr>
                  <a:defRPr/>
                </a:pPr>
                <a:r>
                  <a:rPr lang="en-US"/>
                  <a:t>Month you take the money out</a:t>
                </a:r>
              </a:p>
            </c:rich>
          </c:tx>
          <c:overlay val="0"/>
        </c:title>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spPr>
            <a:ln>
              <a:solidFill>
                <a:srgbClr val="DBE3EF"/>
              </a:solidFill>
              <a:prstDash val="dash"/>
            </a:ln>
          </c:spPr>
        </c:majorGridlines>
        <c:title>
          <c:tx>
            <c:rich>
              <a:bodyPr/>
              <a:lstStyle/>
              <a:p>
                <a:pPr>
                  <a:defRPr/>
                </a:pPr>
                <a:r>
                  <a:rPr lang="en-US"/>
                  <a:t>What you get back</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38</xdr:row>
      <xdr:rowOff>0</xdr:rowOff>
    </xdr:from>
    <xdr:ext cx="6480000" cy="324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needtheseapps.com/apps/financial/cd-calculator/" TargetMode="External"/><Relationship Id="rId1" Type="http://schemas.openxmlformats.org/officeDocument/2006/relationships/hyperlink" Target="https://needtheseapps.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needtheseapps.com/apps/financial/cd-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2"/>
  <sheetViews>
    <sheetView showGridLines="0" tabSelected="1" workbookViewId="0">
      <pane ySplit="6" topLeftCell="A7" activePane="bottomLeft" state="frozen"/>
      <selection pane="bottomLeft"/>
    </sheetView>
  </sheetViews>
  <sheetFormatPr defaultRowHeight="15" x14ac:dyDescent="0.25"/>
  <cols>
    <col min="1" max="1" width="2.140625" customWidth="1"/>
    <col min="2" max="2" width="36" customWidth="1"/>
    <col min="3" max="3" width="19" customWidth="1"/>
    <col min="4" max="4" width="1.5703125" customWidth="1"/>
    <col min="5" max="5" width="23" customWidth="1"/>
    <col min="6" max="6" width="1.5703125" customWidth="1"/>
    <col min="7" max="7" width="23" customWidth="1"/>
    <col min="8" max="8" width="2.140625" customWidth="1"/>
  </cols>
  <sheetData>
    <row r="1" spans="1:8" x14ac:dyDescent="0.25">
      <c r="A1" s="1"/>
      <c r="B1" s="1"/>
      <c r="C1" s="1"/>
      <c r="D1" s="1"/>
      <c r="E1" s="1"/>
      <c r="F1" s="1"/>
      <c r="G1" s="1"/>
      <c r="H1" s="1"/>
    </row>
    <row r="2" spans="1:8" ht="18" customHeight="1" x14ac:dyDescent="0.25">
      <c r="A2" s="1"/>
      <c r="B2" s="24" t="s">
        <v>0</v>
      </c>
      <c r="C2" s="22"/>
      <c r="D2" s="22"/>
      <c r="E2" s="1"/>
      <c r="F2" s="1"/>
      <c r="G2" s="1"/>
      <c r="H2" s="1"/>
    </row>
    <row r="3" spans="1:8" ht="33.950000000000003" customHeight="1" x14ac:dyDescent="0.25">
      <c r="A3" s="1"/>
      <c r="B3" s="31" t="s">
        <v>1</v>
      </c>
      <c r="C3" s="22"/>
      <c r="D3" s="22"/>
      <c r="E3" s="22"/>
      <c r="F3" s="22"/>
      <c r="G3" s="22"/>
      <c r="H3" s="1"/>
    </row>
    <row r="4" spans="1:8" ht="36" customHeight="1" x14ac:dyDescent="0.25">
      <c r="A4" s="1"/>
      <c r="B4" s="25" t="s">
        <v>2</v>
      </c>
      <c r="C4" s="22"/>
      <c r="D4" s="22"/>
      <c r="E4" s="22"/>
      <c r="F4" s="22"/>
      <c r="G4" s="22"/>
      <c r="H4" s="1"/>
    </row>
    <row r="5" spans="1:8" ht="20.100000000000001" customHeight="1" x14ac:dyDescent="0.25">
      <c r="A5" s="1"/>
      <c r="B5" s="35" t="s">
        <v>3</v>
      </c>
      <c r="C5" s="22"/>
      <c r="D5" s="22"/>
      <c r="E5" s="22"/>
      <c r="F5" s="22"/>
      <c r="G5" s="22"/>
      <c r="H5" s="1"/>
    </row>
    <row r="6" spans="1:8" x14ac:dyDescent="0.25">
      <c r="A6" s="1"/>
      <c r="B6" s="1"/>
      <c r="C6" s="1"/>
      <c r="D6" s="1"/>
      <c r="E6" s="1"/>
      <c r="F6" s="1"/>
      <c r="G6" s="1"/>
      <c r="H6" s="1"/>
    </row>
    <row r="7" spans="1:8" ht="26.1" customHeight="1" x14ac:dyDescent="0.25">
      <c r="A7" s="1"/>
      <c r="B7" s="30" t="s">
        <v>4</v>
      </c>
      <c r="C7" s="22"/>
      <c r="D7" s="22"/>
      <c r="E7" s="22"/>
      <c r="F7" s="22"/>
      <c r="G7" s="22"/>
      <c r="H7" s="1"/>
    </row>
    <row r="8" spans="1:8" ht="24" customHeight="1" x14ac:dyDescent="0.25">
      <c r="A8" s="1"/>
      <c r="B8" s="2" t="s">
        <v>5</v>
      </c>
      <c r="C8" s="3" t="s">
        <v>6</v>
      </c>
      <c r="D8" s="1"/>
      <c r="E8" s="1"/>
      <c r="F8" s="1"/>
      <c r="G8" s="1"/>
      <c r="H8" s="1"/>
    </row>
    <row r="9" spans="1:8" ht="24" customHeight="1" x14ac:dyDescent="0.25">
      <c r="A9" s="1"/>
      <c r="B9" s="2" t="s">
        <v>7</v>
      </c>
      <c r="C9" s="4">
        <v>10000</v>
      </c>
      <c r="D9" s="1"/>
      <c r="E9" s="1"/>
      <c r="F9" s="1"/>
      <c r="G9" s="1"/>
      <c r="H9" s="1"/>
    </row>
    <row r="10" spans="1:8" ht="33.950000000000003" customHeight="1" x14ac:dyDescent="0.25">
      <c r="A10" s="1"/>
      <c r="B10" s="2" t="s">
        <v>8</v>
      </c>
      <c r="C10" s="5">
        <v>4</v>
      </c>
      <c r="D10" s="1"/>
      <c r="E10" s="26" t="s">
        <v>9</v>
      </c>
      <c r="F10" s="22"/>
      <c r="G10" s="22"/>
      <c r="H10" s="1"/>
    </row>
    <row r="11" spans="1:8" ht="21.95" customHeight="1" x14ac:dyDescent="0.25">
      <c r="A11" s="1"/>
      <c r="B11" s="2" t="s">
        <v>10</v>
      </c>
      <c r="C11" s="6">
        <v>12</v>
      </c>
      <c r="D11" s="1"/>
      <c r="E11" s="26" t="s">
        <v>11</v>
      </c>
      <c r="F11" s="22"/>
      <c r="G11" s="22"/>
      <c r="H11" s="1"/>
    </row>
    <row r="12" spans="1:8" ht="33.950000000000003" customHeight="1" x14ac:dyDescent="0.25">
      <c r="A12" s="1"/>
      <c r="B12" s="2" t="s">
        <v>12</v>
      </c>
      <c r="C12" s="7">
        <v>46296</v>
      </c>
      <c r="D12" s="1"/>
      <c r="E12" s="26" t="s">
        <v>13</v>
      </c>
      <c r="F12" s="22"/>
      <c r="G12" s="22"/>
      <c r="H12" s="1"/>
    </row>
    <row r="13" spans="1:8" ht="45.95" customHeight="1" x14ac:dyDescent="0.25">
      <c r="A13" s="1"/>
      <c r="B13" s="2" t="s">
        <v>14</v>
      </c>
      <c r="C13" s="3">
        <v>3</v>
      </c>
      <c r="D13" s="1"/>
      <c r="E13" s="26" t="s">
        <v>15</v>
      </c>
      <c r="F13" s="22"/>
      <c r="G13" s="22"/>
      <c r="H13" s="1"/>
    </row>
    <row r="14" spans="1:8" ht="33.950000000000003" customHeight="1" x14ac:dyDescent="0.25">
      <c r="A14" s="1"/>
      <c r="B14" s="2" t="s">
        <v>16</v>
      </c>
      <c r="C14" s="6">
        <v>6</v>
      </c>
      <c r="D14" s="1"/>
      <c r="E14" s="26" t="str">
        <f>"A whole month from 1 to "&amp;MAX(1,$C$11-1)&amp;". The first month you get your full deposit back is shown below."</f>
        <v>A whole month from 1 to 11. The first month you get your full deposit back is shown below.</v>
      </c>
      <c r="F14" s="22"/>
      <c r="G14" s="22"/>
      <c r="H14" s="1"/>
    </row>
    <row r="15" spans="1:8" ht="33.950000000000003" customHeight="1" x14ac:dyDescent="0.25">
      <c r="A15" s="1"/>
      <c r="B15" s="2" t="s">
        <v>17</v>
      </c>
      <c r="C15" s="5">
        <v>22</v>
      </c>
      <c r="D15" s="1"/>
      <c r="E15" s="26" t="s">
        <v>18</v>
      </c>
      <c r="F15" s="22"/>
      <c r="G15" s="22"/>
      <c r="H15" s="1"/>
    </row>
    <row r="16" spans="1:8" ht="33.950000000000003" customHeight="1" x14ac:dyDescent="0.25">
      <c r="A16" s="1"/>
      <c r="B16" s="2" t="s">
        <v>19</v>
      </c>
      <c r="C16" s="5">
        <v>3</v>
      </c>
      <c r="D16" s="1"/>
      <c r="E16" s="26" t="s">
        <v>20</v>
      </c>
      <c r="F16" s="22"/>
      <c r="G16" s="22"/>
      <c r="H16" s="1"/>
    </row>
    <row r="17" spans="1:8" ht="21" customHeight="1" x14ac:dyDescent="0.25">
      <c r="A17" s="1"/>
      <c r="B17" s="37" t="str">
        <f>"Edit the nine blue cells. Everything else calculates automatically. Amounts are shown in "&amp;$C$8&amp;"."</f>
        <v>Edit the nine blue cells. Everything else calculates automatically. Amounts are shown in $.</v>
      </c>
      <c r="C17" s="22"/>
      <c r="D17" s="22"/>
      <c r="E17" s="22"/>
      <c r="F17" s="22"/>
      <c r="G17" s="22"/>
      <c r="H17" s="1"/>
    </row>
    <row r="18" spans="1:8" x14ac:dyDescent="0.25">
      <c r="A18" s="1"/>
      <c r="B18" s="1"/>
      <c r="C18" s="1"/>
      <c r="D18" s="1"/>
      <c r="E18" s="1"/>
      <c r="F18" s="1"/>
      <c r="G18" s="1"/>
      <c r="H18" s="1"/>
    </row>
    <row r="19" spans="1:8" ht="26.1" customHeight="1" x14ac:dyDescent="0.25">
      <c r="A19" s="1"/>
      <c r="B19" s="30" t="s">
        <v>21</v>
      </c>
      <c r="C19" s="22"/>
      <c r="D19" s="22"/>
      <c r="E19" s="22"/>
      <c r="F19" s="22"/>
      <c r="G19" s="22"/>
      <c r="H19" s="1"/>
    </row>
    <row r="20" spans="1:8" ht="33.950000000000003" customHeight="1" x14ac:dyDescent="0.25">
      <c r="A20" s="1"/>
      <c r="B20" s="34" t="str">
        <f>"What you'll have at the end: "&amp;$C$8&amp;TEXT(_Engine!$B$3,"#,##0")</f>
        <v>What you'll have at the end: $10,400</v>
      </c>
      <c r="C20" s="22"/>
      <c r="D20" s="22"/>
      <c r="E20" s="22"/>
      <c r="F20" s="22"/>
      <c r="G20" s="22"/>
      <c r="H20" s="1"/>
    </row>
    <row r="21" spans="1:8" ht="24" customHeight="1" x14ac:dyDescent="0.25">
      <c r="A21" s="1"/>
      <c r="B21" s="23" t="str">
        <f>"Interest earned (before tax): "&amp;$C$8&amp;TEXT(_Engine!$B$4,"#,##0")&amp;"   ·   The date your CD ends: "&amp;TEXT(_Engine!$B$6,"mmm d, yyyy")</f>
        <v>Interest earned (before tax): $400   ·   The date your CD ends: Oct 1, 2027</v>
      </c>
      <c r="C21" s="22"/>
      <c r="D21" s="22"/>
      <c r="E21" s="22"/>
      <c r="F21" s="22"/>
      <c r="G21" s="22"/>
      <c r="H21" s="1"/>
    </row>
    <row r="22" spans="1:8" x14ac:dyDescent="0.25">
      <c r="A22" s="1"/>
      <c r="B22" s="1"/>
      <c r="C22" s="1"/>
      <c r="D22" s="1"/>
      <c r="E22" s="1"/>
      <c r="F22" s="1"/>
      <c r="G22" s="1"/>
      <c r="H22" s="1"/>
    </row>
    <row r="23" spans="1:8" ht="30" customHeight="1" x14ac:dyDescent="0.25">
      <c r="A23" s="1"/>
      <c r="B23" s="1"/>
      <c r="C23" s="8" t="str">
        <f>"What you'll have at the end ("&amp;$C$8&amp;")"</f>
        <v>What you'll have at the end ($)</v>
      </c>
      <c r="D23" s="1"/>
      <c r="E23" s="8" t="str">
        <f>"Interest earned, before tax ("&amp;$C$8&amp;")"</f>
        <v>Interest earned, before tax ($)</v>
      </c>
      <c r="F23" s="1"/>
      <c r="G23" s="8" t="s">
        <v>22</v>
      </c>
      <c r="H23" s="1"/>
    </row>
    <row r="24" spans="1:8" ht="26.1" customHeight="1" x14ac:dyDescent="0.25">
      <c r="A24" s="1"/>
      <c r="B24" s="1"/>
      <c r="C24" s="9">
        <f>_Engine!$B$3</f>
        <v>10400</v>
      </c>
      <c r="D24" s="1"/>
      <c r="E24" s="9">
        <f>_Engine!$B$4</f>
        <v>400</v>
      </c>
      <c r="F24" s="1"/>
      <c r="G24" s="10">
        <f>_Engine!$B$6</f>
        <v>46661</v>
      </c>
      <c r="H24" s="1"/>
    </row>
    <row r="25" spans="1:8" ht="30" customHeight="1" x14ac:dyDescent="0.25">
      <c r="A25" s="1"/>
      <c r="B25" s="1"/>
      <c r="C25" s="11" t="str">
        <f>"after "&amp;$C$11&amp;IF($C$11=1," month"," months")</f>
        <v>after 12 months</v>
      </c>
      <c r="D25" s="1"/>
      <c r="E25" s="11" t="s">
        <v>23</v>
      </c>
      <c r="F25" s="1"/>
      <c r="G25" s="11" t="str">
        <f>"start date + "&amp;$C$11&amp;IF($C$11=1," month"," months")</f>
        <v>start date + 12 months</v>
      </c>
      <c r="H25" s="1"/>
    </row>
    <row r="26" spans="1:8" x14ac:dyDescent="0.25">
      <c r="A26" s="1"/>
      <c r="B26" s="1"/>
      <c r="C26" s="1"/>
      <c r="D26" s="1"/>
      <c r="E26" s="1"/>
      <c r="F26" s="1"/>
      <c r="G26" s="1"/>
      <c r="H26" s="1"/>
    </row>
    <row r="27" spans="1:8" ht="26.1" customHeight="1" x14ac:dyDescent="0.25">
      <c r="A27" s="1"/>
      <c r="B27" s="30" t="s">
        <v>24</v>
      </c>
      <c r="C27" s="22"/>
      <c r="D27" s="22"/>
      <c r="E27" s="22"/>
      <c r="F27" s="22"/>
      <c r="G27" s="22"/>
      <c r="H27" s="1"/>
    </row>
    <row r="28" spans="1:8" ht="21.95" customHeight="1" x14ac:dyDescent="0.25">
      <c r="A28" s="1"/>
      <c r="B28" s="36" t="s">
        <v>25</v>
      </c>
      <c r="C28" s="22"/>
      <c r="D28" s="22"/>
      <c r="E28" s="22"/>
      <c r="F28" s="22"/>
      <c r="G28" s="22"/>
      <c r="H28" s="1"/>
    </row>
    <row r="29" spans="1:8" ht="50.1" customHeight="1" x14ac:dyDescent="0.25">
      <c r="A29" s="1"/>
      <c r="B29" s="33" t="str">
        <f>IF($C$11&lt;=1,"Your CD lasts one month, so there is no month before the end to take the money out. At the end you get "&amp;$C$8&amp;TEXT(_Engine!$B$3,"#,##0")&amp;".","If you take the money out in month "&amp;_Engine!$B$7&amp;", you get back "&amp;$C$8&amp;TEXT(_Engine!$B$10,"#,##0")&amp;": the "&amp;$C$8&amp;TEXT($C$9,"#,##0")&amp;" you put in, plus "&amp;$C$8&amp;TEXT(_Engine!$B$9,"#,##0")&amp;" of interest"&amp;IF(_Engine!$B$5&gt;0,", minus a "&amp;$C$8&amp;TEXT(_Engine!$B$5,"#,##0")&amp;" penalty",", with no penalty")&amp;". "&amp;IF(ROUND(ABS(_Engine!$B$11),0)=0,"That is exactly what you put in.","That is "&amp;$C$8&amp;TEXT(ABS(_Engine!$B$11),"#,##0")&amp;" ("&amp;ROUND(ABS(_Engine!$B$12),2)&amp;"%) "&amp;IF(_Engine!$B$11&gt;0,"more","less")&amp;" than you put in."))</f>
        <v>If you take the money out in month 6, you get back $10,098: the $10,000 you put in, plus $198 of interest, minus a $100 penalty. That is $98 (0.98%) more than you put in.</v>
      </c>
      <c r="C29" s="22"/>
      <c r="D29" s="22"/>
      <c r="E29" s="22"/>
      <c r="F29" s="22"/>
      <c r="G29" s="22"/>
      <c r="H29" s="1"/>
    </row>
    <row r="30" spans="1:8" ht="24" customHeight="1" x14ac:dyDescent="0.25">
      <c r="A30" s="1"/>
      <c r="B30" s="32" t="str">
        <f>IF($C$11&lt;=1,"",IF(_Engine!$B$13="","In every month before the end you get back less than your deposit. Only at the end do you get "&amp;$C$8&amp;TEXT(_Engine!$B$3,"#,##0")&amp;".",IF(_Engine!$B$13=1,"Even in month 1, you get back at least your full deposit.","From month "&amp;_Engine!$B$13&amp;" on, you get back at least your full deposit.")))</f>
        <v>From month 4 on, you get back at least your full deposit.</v>
      </c>
      <c r="C30" s="22"/>
      <c r="D30" s="22"/>
      <c r="E30" s="22"/>
      <c r="F30" s="22"/>
      <c r="G30" s="22"/>
      <c r="H30" s="1"/>
    </row>
    <row r="31" spans="1:8" x14ac:dyDescent="0.25">
      <c r="A31" s="1"/>
      <c r="B31" s="1"/>
      <c r="C31" s="1"/>
      <c r="D31" s="1"/>
      <c r="E31" s="1"/>
      <c r="F31" s="1"/>
      <c r="G31" s="1"/>
      <c r="H31" s="1"/>
    </row>
    <row r="32" spans="1:8" ht="21.95" customHeight="1" x14ac:dyDescent="0.25">
      <c r="A32" s="1"/>
      <c r="B32" s="36" t="s">
        <v>26</v>
      </c>
      <c r="C32" s="22"/>
      <c r="D32" s="22"/>
      <c r="E32" s="22"/>
      <c r="F32" s="22"/>
      <c r="G32" s="22"/>
      <c r="H32" s="1"/>
    </row>
    <row r="33" spans="1:8" ht="81.95" customHeight="1" x14ac:dyDescent="0.25">
      <c r="A33" s="1"/>
      <c r="B33" s="33" t="str">
        <f>"Your bank pays "&amp;ROUND($C$10,2)&amp;"% a year. Over "&amp;$C$11&amp;IF($C$11=1," month"," months")&amp;", that is "&amp;$C$8&amp;TEXT(_Engine!$B$4,"#,##0")&amp;". Tax at "&amp;ROUND($C$15,2)&amp;"% takes "&amp;$C$8&amp;TEXT(_Engine!$B$15,"#,##0")&amp;", so you keep "&amp;$C$8&amp;TEXT(_Engine!$B$14,"#,##0")&amp;". "&amp;IF($C$11=12,"If prices rose about "&amp;ROUND($C$16,2)&amp;"% over those 12 months,",IF($C$11=1,"If prices rose about "&amp;ROUND($C$16,2)&amp;"% a year, which is "&amp;TEXT(_Engine!$B$18,"0.0")&amp;"% over that month,","If prices rose about "&amp;TEXT(_Engine!$B$18,"0.0")&amp;"% over those "&amp;$C$11&amp;" months ("&amp;ROUND($C$16,2)&amp;"% a year),"))&amp;" "&amp;IF(_Engine!$B$17&lt;0,"in today's prices you would end up about "&amp;$C$8&amp;TEXT(ABS(_Engine!$B$17),"#,##0")&amp;" behind: the money you get back would buy less than your deposit does today."&amp;IF(_Engine!$B$19="",""," A rate of about "&amp;TEXT(_Engine!$B$19,"0.00")&amp;"% would keep your buying power."),"your real gain, how much more your money would buy at the end than your original "&amp;$C$8&amp;TEXT($C$9,"#,##0")&amp;" buys today, would be about "&amp;$C$8&amp;TEXT(_Engine!$B$17,"#,##0")&amp;".")</f>
        <v>Your bank pays 4% a year. Over 12 months, that is $400. Tax at 22% takes $88, so you keep $312. If prices rose about 3% over those 12 months, your real gain, how much more your money would buy at the end than your original $10,000 buys today, would be about $12.</v>
      </c>
      <c r="C33" s="22"/>
      <c r="D33" s="22"/>
      <c r="E33" s="22"/>
      <c r="F33" s="22"/>
      <c r="G33" s="22"/>
      <c r="H33" s="1"/>
    </row>
    <row r="34" spans="1:8" x14ac:dyDescent="0.25">
      <c r="A34" s="1"/>
      <c r="B34" s="1"/>
      <c r="C34" s="1"/>
      <c r="D34" s="1"/>
      <c r="E34" s="1"/>
      <c r="F34" s="1"/>
      <c r="G34" s="1"/>
      <c r="H34" s="1"/>
    </row>
    <row r="35" spans="1:8" ht="24" customHeight="1" x14ac:dyDescent="0.25">
      <c r="A35" s="1"/>
      <c r="B35" s="27" t="s">
        <v>27</v>
      </c>
      <c r="C35" s="28"/>
      <c r="D35" s="28"/>
      <c r="E35" s="28"/>
      <c r="F35" s="28"/>
      <c r="G35" s="28"/>
      <c r="H35" s="1"/>
    </row>
    <row r="36" spans="1:8" ht="24" customHeight="1" x14ac:dyDescent="0.25">
      <c r="A36" s="1"/>
      <c r="B36" s="29"/>
      <c r="C36" s="22"/>
      <c r="D36" s="22"/>
      <c r="E36" s="22"/>
      <c r="F36" s="22"/>
      <c r="G36" s="22"/>
      <c r="H36" s="1"/>
    </row>
    <row r="37" spans="1:8" ht="24" customHeight="1" x14ac:dyDescent="0.25">
      <c r="A37" s="1"/>
      <c r="B37" s="29"/>
      <c r="C37" s="22"/>
      <c r="D37" s="22"/>
      <c r="E37" s="22"/>
      <c r="F37" s="22"/>
      <c r="G37" s="22"/>
      <c r="H37" s="1"/>
    </row>
    <row r="38" spans="1:8" x14ac:dyDescent="0.25">
      <c r="A38" s="1"/>
      <c r="B38" s="1"/>
      <c r="C38" s="1"/>
      <c r="D38" s="1"/>
      <c r="E38" s="1"/>
      <c r="F38" s="1"/>
      <c r="G38" s="1"/>
      <c r="H38" s="1"/>
    </row>
    <row r="39" spans="1:8" x14ac:dyDescent="0.25">
      <c r="A39" s="1"/>
      <c r="B39" s="1"/>
      <c r="C39" s="1"/>
      <c r="D39" s="1"/>
      <c r="E39" s="1"/>
      <c r="F39" s="1"/>
      <c r="G39" s="1"/>
      <c r="H39" s="1"/>
    </row>
    <row r="40" spans="1:8" x14ac:dyDescent="0.25">
      <c r="A40" s="1"/>
      <c r="B40" s="1"/>
      <c r="C40" s="1"/>
      <c r="D40" s="1"/>
      <c r="E40" s="1"/>
      <c r="F40" s="1"/>
      <c r="G40" s="1"/>
      <c r="H40" s="1"/>
    </row>
    <row r="41" spans="1:8" x14ac:dyDescent="0.25">
      <c r="A41" s="1"/>
      <c r="B41" s="1"/>
      <c r="C41" s="1"/>
      <c r="D41" s="1"/>
      <c r="E41" s="1"/>
      <c r="F41" s="1"/>
      <c r="G41" s="1"/>
      <c r="H41" s="1"/>
    </row>
    <row r="42" spans="1:8" x14ac:dyDescent="0.25">
      <c r="A42" s="1"/>
      <c r="B42" s="1"/>
      <c r="C42" s="1"/>
      <c r="D42" s="1"/>
      <c r="E42" s="1"/>
      <c r="F42" s="1"/>
      <c r="G42" s="1"/>
      <c r="H42" s="1"/>
    </row>
    <row r="43" spans="1:8" x14ac:dyDescent="0.25">
      <c r="A43" s="1"/>
      <c r="B43" s="1"/>
      <c r="C43" s="1"/>
      <c r="D43" s="1"/>
      <c r="E43" s="1"/>
      <c r="F43" s="1"/>
      <c r="G43" s="1"/>
      <c r="H43" s="1"/>
    </row>
    <row r="44" spans="1:8" x14ac:dyDescent="0.25">
      <c r="A44" s="1"/>
      <c r="B44" s="1"/>
      <c r="C44" s="1"/>
      <c r="D44" s="1"/>
      <c r="E44" s="1"/>
      <c r="F44" s="1"/>
      <c r="G44" s="1"/>
      <c r="H44" s="1"/>
    </row>
    <row r="45" spans="1:8" x14ac:dyDescent="0.25">
      <c r="A45" s="1"/>
      <c r="B45" s="1"/>
      <c r="C45" s="1"/>
      <c r="D45" s="1"/>
      <c r="E45" s="1"/>
      <c r="F45" s="1"/>
      <c r="G45" s="1"/>
      <c r="H45" s="1"/>
    </row>
    <row r="46" spans="1:8" x14ac:dyDescent="0.25">
      <c r="A46" s="1"/>
      <c r="B46" s="1"/>
      <c r="C46" s="1"/>
      <c r="D46" s="1"/>
      <c r="E46" s="1"/>
      <c r="F46" s="1"/>
      <c r="G46" s="1"/>
      <c r="H46" s="1"/>
    </row>
    <row r="47" spans="1:8" x14ac:dyDescent="0.25">
      <c r="A47" s="1"/>
      <c r="B47" s="1"/>
      <c r="C47" s="1"/>
      <c r="D47" s="1"/>
      <c r="E47" s="1"/>
      <c r="F47" s="1"/>
      <c r="G47" s="1"/>
      <c r="H47" s="1"/>
    </row>
    <row r="48" spans="1:8" x14ac:dyDescent="0.25">
      <c r="A48" s="1"/>
      <c r="B48" s="1"/>
      <c r="C48" s="1"/>
      <c r="D48" s="1"/>
      <c r="E48" s="1"/>
      <c r="F48" s="1"/>
      <c r="G48" s="1"/>
      <c r="H48" s="1"/>
    </row>
    <row r="49" spans="1:8" x14ac:dyDescent="0.25">
      <c r="A49" s="1"/>
      <c r="B49" s="1"/>
      <c r="C49" s="1"/>
      <c r="D49" s="1"/>
      <c r="E49" s="1"/>
      <c r="F49" s="1"/>
      <c r="G49" s="1"/>
      <c r="H49" s="1"/>
    </row>
    <row r="50" spans="1:8" x14ac:dyDescent="0.25">
      <c r="A50" s="1"/>
      <c r="B50" s="1"/>
      <c r="C50" s="1"/>
      <c r="D50" s="1"/>
      <c r="E50" s="1"/>
      <c r="F50" s="1"/>
      <c r="G50" s="1"/>
      <c r="H50" s="1"/>
    </row>
    <row r="51" spans="1:8" x14ac:dyDescent="0.25">
      <c r="A51" s="1"/>
      <c r="B51" s="1"/>
      <c r="C51" s="1"/>
      <c r="D51" s="1"/>
      <c r="E51" s="1"/>
      <c r="F51" s="1"/>
      <c r="G51" s="1"/>
      <c r="H51" s="1"/>
    </row>
    <row r="52" spans="1:8" x14ac:dyDescent="0.25">
      <c r="A52" s="1"/>
      <c r="B52" s="1"/>
      <c r="C52" s="1"/>
      <c r="D52" s="1"/>
      <c r="E52" s="1"/>
      <c r="F52" s="1"/>
      <c r="G52" s="1"/>
      <c r="H52" s="1"/>
    </row>
    <row r="53" spans="1:8" x14ac:dyDescent="0.25">
      <c r="A53" s="1"/>
      <c r="B53" s="1"/>
      <c r="C53" s="1"/>
      <c r="D53" s="1"/>
      <c r="E53" s="1"/>
      <c r="F53" s="1"/>
      <c r="G53" s="1"/>
      <c r="H53" s="1"/>
    </row>
    <row r="54" spans="1:8" x14ac:dyDescent="0.25">
      <c r="A54" s="1"/>
      <c r="B54" s="1"/>
      <c r="C54" s="1"/>
      <c r="D54" s="1"/>
      <c r="E54" s="1"/>
      <c r="F54" s="1"/>
      <c r="G54" s="1"/>
      <c r="H54" s="1"/>
    </row>
    <row r="55" spans="1:8" x14ac:dyDescent="0.25">
      <c r="A55" s="1"/>
      <c r="B55" s="1"/>
      <c r="C55" s="1"/>
      <c r="D55" s="1"/>
      <c r="E55" s="1"/>
      <c r="F55" s="1"/>
      <c r="G55" s="1"/>
      <c r="H55" s="1"/>
    </row>
    <row r="56" spans="1:8" x14ac:dyDescent="0.25">
      <c r="A56" s="1"/>
      <c r="B56" s="1"/>
      <c r="C56" s="1"/>
      <c r="D56" s="1"/>
      <c r="E56" s="1"/>
      <c r="F56" s="1"/>
      <c r="G56" s="1"/>
      <c r="H56" s="1"/>
    </row>
    <row r="57" spans="1:8" x14ac:dyDescent="0.25">
      <c r="A57" s="1"/>
      <c r="B57" s="1"/>
      <c r="C57" s="1"/>
      <c r="D57" s="1"/>
      <c r="E57" s="1"/>
      <c r="F57" s="1"/>
      <c r="G57" s="1"/>
      <c r="H57" s="1"/>
    </row>
    <row r="58" spans="1:8" ht="30" customHeight="1" x14ac:dyDescent="0.25">
      <c r="A58" s="1"/>
      <c r="B58" s="21" t="s">
        <v>28</v>
      </c>
      <c r="C58" s="22"/>
      <c r="D58" s="22"/>
      <c r="E58" s="22"/>
      <c r="F58" s="22"/>
      <c r="G58" s="22"/>
      <c r="H58" s="1"/>
    </row>
    <row r="59" spans="1:8" x14ac:dyDescent="0.25">
      <c r="A59" s="1"/>
      <c r="B59" s="1"/>
      <c r="C59" s="1"/>
      <c r="D59" s="1"/>
      <c r="E59" s="1"/>
      <c r="F59" s="1"/>
      <c r="G59" s="1"/>
      <c r="H59" s="1"/>
    </row>
    <row r="60" spans="1:8" x14ac:dyDescent="0.25">
      <c r="A60" s="1"/>
      <c r="B60" s="1"/>
      <c r="C60" s="1"/>
      <c r="D60" s="1"/>
      <c r="E60" s="1"/>
      <c r="F60" s="1"/>
      <c r="G60" s="1"/>
      <c r="H60" s="1"/>
    </row>
    <row r="61" spans="1:8" x14ac:dyDescent="0.25">
      <c r="A61" s="1"/>
      <c r="B61" s="1"/>
      <c r="C61" s="1"/>
      <c r="D61" s="1"/>
      <c r="E61" s="1"/>
      <c r="F61" s="1"/>
      <c r="G61" s="1"/>
      <c r="H61" s="1"/>
    </row>
    <row r="62" spans="1:8" x14ac:dyDescent="0.25">
      <c r="A62" s="1"/>
      <c r="B62" s="1"/>
      <c r="C62" s="1"/>
      <c r="D62" s="1"/>
      <c r="E62" s="1"/>
      <c r="F62" s="1"/>
      <c r="G62" s="1"/>
      <c r="H62" s="1"/>
    </row>
  </sheetData>
  <sheetProtection sheet="1" formatCells="0"/>
  <mergeCells count="24">
    <mergeCell ref="E10:G10"/>
    <mergeCell ref="E13:G13"/>
    <mergeCell ref="B17:G17"/>
    <mergeCell ref="E15:G15"/>
    <mergeCell ref="B29:G29"/>
    <mergeCell ref="B19:G19"/>
    <mergeCell ref="B28:G28"/>
    <mergeCell ref="E11:G11"/>
    <mergeCell ref="B58:G58"/>
    <mergeCell ref="B21:G21"/>
    <mergeCell ref="B2:D2"/>
    <mergeCell ref="B4:G4"/>
    <mergeCell ref="E12:G12"/>
    <mergeCell ref="B35:G37"/>
    <mergeCell ref="B7:G7"/>
    <mergeCell ref="B3:G3"/>
    <mergeCell ref="E14:G14"/>
    <mergeCell ref="B27:G27"/>
    <mergeCell ref="B30:G30"/>
    <mergeCell ref="B33:G33"/>
    <mergeCell ref="E16:G16"/>
    <mergeCell ref="B20:G20"/>
    <mergeCell ref="B5:G5"/>
    <mergeCell ref="B32:G32"/>
  </mergeCells>
  <dataValidations count="8">
    <dataValidation type="decimal" operator="greaterThan" showErrorMessage="1" errorTitle="Deposit amount" error="Enter an amount above 0." sqref="C9" xr:uid="{00000000-0002-0000-0000-000000000000}">
      <formula1>0</formula1>
    </dataValidation>
    <dataValidation type="decimal" showErrorMessage="1" errorTitle="Yearly interest rate" error="Enter a rate between 0% and 100%." sqref="C10" xr:uid="{00000000-0002-0000-0000-000001000000}">
      <formula1>0</formula1>
      <formula2>100</formula2>
    </dataValidation>
    <dataValidation type="whole" showErrorMessage="1" errorTitle="Term" error="Enter a whole number of months, from 1 to 120." sqref="C11" xr:uid="{00000000-0002-0000-0000-000002000000}">
      <formula1>1</formula1>
      <formula2>120</formula2>
    </dataValidation>
    <dataValidation type="date" operator="greaterThanOrEqual" showErrorMessage="1" errorTitle="Start date" error="Enter a date." sqref="C12" xr:uid="{00000000-0002-0000-0000-000003000000}">
      <formula1>36526</formula1>
    </dataValidation>
    <dataValidation type="decimal" showErrorMessage="1" errorTitle="Early withdrawal penalty" error="Enter between 0 and 120 months of interest. 0 means no penalty." sqref="C13" xr:uid="{00000000-0002-0000-0000-000004000000}">
      <formula1>0</formula1>
      <formula2>120</formula2>
    </dataValidation>
    <dataValidation type="whole" showErrorMessage="1" errorTitle="Month you take the money out" error="Enter a whole month before the CD ends: from 1 to the term minus 1." sqref="C14" xr:uid="{00000000-0002-0000-0000-000005000000}">
      <formula1>1</formula1>
      <formula2>MAX(1,$C$11-1)</formula2>
    </dataValidation>
    <dataValidation type="decimal" showErrorMessage="1" errorTitle="Tax rate" error="Enter a tax rate between 0% and 100%." sqref="C15" xr:uid="{00000000-0002-0000-0000-000006000000}">
      <formula1>0</formula1>
      <formula2>100</formula2>
    </dataValidation>
    <dataValidation type="decimal" showErrorMessage="1" errorTitle="Inflation assumption" error="Enter a yearly inflation between 0% and 100%." sqref="C16" xr:uid="{00000000-0002-0000-0000-000007000000}">
      <formula1>0</formula1>
      <formula2>100</formula2>
    </dataValidation>
  </dataValidations>
  <hyperlinks>
    <hyperlink ref="B2" r:id="rId1" xr:uid="{00000000-0004-0000-0000-000000000000}"/>
    <hyperlink ref="B5" r:id="rId2" xr:uid="{00000000-0004-0000-0000-000001000000}"/>
  </hyperlinks>
  <pageMargins left="0.75" right="0.75" top="1" bottom="1" header="0.5" footer="0.5"/>
  <pageSetup fitToHeight="0" orientation="portrait"/>
  <headerFooter>
    <oddFooter>&amp;Lneedtheseapps.com&amp;CCD Calculator&amp;RPage &amp;P of &amp;N</oddFooter>
  </headerFooter>
  <rowBreaks count="1" manualBreakCount="1">
    <brk id="38"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3"/>
  <sheetViews>
    <sheetView showGridLines="0" workbookViewId="0">
      <pane ySplit="3" topLeftCell="A4" activePane="bottomLeft" state="frozen"/>
      <selection pane="bottomLeft"/>
    </sheetView>
  </sheetViews>
  <sheetFormatPr defaultRowHeight="15" x14ac:dyDescent="0.25"/>
  <cols>
    <col min="1" max="1" width="9" customWidth="1"/>
    <col min="2" max="6" width="19" customWidth="1"/>
    <col min="7" max="7" width="2" customWidth="1"/>
  </cols>
  <sheetData>
    <row r="1" spans="1:6" ht="30" customHeight="1" x14ac:dyDescent="0.25">
      <c r="A1" s="39" t="s">
        <v>29</v>
      </c>
      <c r="B1" s="22"/>
      <c r="C1" s="22"/>
      <c r="D1" s="22"/>
      <c r="E1" s="22"/>
      <c r="F1" s="22"/>
    </row>
    <row r="2" spans="1:6" ht="44.1" customHeight="1" x14ac:dyDescent="0.25">
      <c r="A2" s="38" t="str">
        <f>_xlfn._LONGTEXT("Every month: what the CD is worth if the money stays in, and what you get back if you take it out that month. The month you chose is shaded blue and the first month you get your full deposit back is shaded green. Nothing here needs editing. Amounts are sh","own in ")&amp;Calculator!$C$8&amp;"."</f>
        <v>Every month: what the CD is worth if the money stays in, and what you get back if you take it out that month. The month you chose is shaded blue and the first month you get your full deposit back is shaded green. Nothing here needs editing. Amounts are shown in $.</v>
      </c>
      <c r="B2" s="22"/>
      <c r="C2" s="22"/>
      <c r="D2" s="22"/>
      <c r="E2" s="22"/>
      <c r="F2" s="22"/>
    </row>
    <row r="3" spans="1:6" ht="48" customHeight="1" x14ac:dyDescent="0.25">
      <c r="A3" s="12" t="s">
        <v>30</v>
      </c>
      <c r="B3" s="12" t="s">
        <v>31</v>
      </c>
      <c r="C3" s="12" t="s">
        <v>32</v>
      </c>
      <c r="D3" s="12" t="s">
        <v>33</v>
      </c>
      <c r="E3" s="12" t="s">
        <v>34</v>
      </c>
      <c r="F3" s="12" t="s">
        <v>35</v>
      </c>
    </row>
    <row r="4" spans="1:6" x14ac:dyDescent="0.25">
      <c r="A4" s="13">
        <f>IF(1&lt;=Calculator!$C$11,1,"")</f>
        <v>1</v>
      </c>
      <c r="B4" s="14">
        <f>IF($A4="","",_Engine!$E25)</f>
        <v>10032.737397821989</v>
      </c>
      <c r="C4" s="14">
        <f>IF($A4="","",$B4-Calculator!$C$9)</f>
        <v>32.737397821989362</v>
      </c>
      <c r="D4" s="14">
        <f>IF($A4="","",IF($A4&lt;Calculator!$C$11,_Engine!$B$5,0))</f>
        <v>100</v>
      </c>
      <c r="E4" s="14">
        <f>IF($A4="","",_Engine!$G25)</f>
        <v>9932.7373978219894</v>
      </c>
      <c r="F4" s="15">
        <f>IF($A4="","",$E4-Calculator!$C$9)</f>
        <v>-67.262602178010638</v>
      </c>
    </row>
    <row r="5" spans="1:6" x14ac:dyDescent="0.25">
      <c r="A5" s="13">
        <f>IF(2&lt;=Calculator!$C$11,2,"")</f>
        <v>2</v>
      </c>
      <c r="B5" s="14">
        <f>IF($A5="","",_Engine!$E26)</f>
        <v>10065.581969365594</v>
      </c>
      <c r="C5" s="14">
        <f>IF($A5="","",$B5-Calculator!$C$9)</f>
        <v>65.581969365593977</v>
      </c>
      <c r="D5" s="14">
        <f>IF($A5="","",IF($A5&lt;Calculator!$C$11,_Engine!$B$5,0))</f>
        <v>100</v>
      </c>
      <c r="E5" s="14">
        <f>IF($A5="","",_Engine!$G26)</f>
        <v>9965.581969365594</v>
      </c>
      <c r="F5" s="15">
        <f>IF($A5="","",$E5-Calculator!$C$9)</f>
        <v>-34.418030634406023</v>
      </c>
    </row>
    <row r="6" spans="1:6" x14ac:dyDescent="0.25">
      <c r="A6" s="13">
        <f>IF(3&lt;=Calculator!$C$11,3,"")</f>
        <v>3</v>
      </c>
      <c r="B6" s="14">
        <f>IF($A6="","",_Engine!$E27)</f>
        <v>10098.534065489688</v>
      </c>
      <c r="C6" s="14">
        <f>IF($A6="","",$B6-Calculator!$C$9)</f>
        <v>98.534065489688146</v>
      </c>
      <c r="D6" s="14">
        <f>IF($A6="","",IF($A6&lt;Calculator!$C$11,_Engine!$B$5,0))</f>
        <v>100</v>
      </c>
      <c r="E6" s="14">
        <f>IF($A6="","",_Engine!$G27)</f>
        <v>9998.5340654896881</v>
      </c>
      <c r="F6" s="15">
        <f>IF($A6="","",$E6-Calculator!$C$9)</f>
        <v>-1.465934510311854</v>
      </c>
    </row>
    <row r="7" spans="1:6" x14ac:dyDescent="0.25">
      <c r="A7" s="13">
        <f>IF(4&lt;=Calculator!$C$11,4,"")</f>
        <v>4</v>
      </c>
      <c r="B7" s="14">
        <f>IF($A7="","",_Engine!$E28)</f>
        <v>10131.594038201772</v>
      </c>
      <c r="C7" s="14">
        <f>IF($A7="","",$B7-Calculator!$C$9)</f>
        <v>131.59403820177249</v>
      </c>
      <c r="D7" s="14">
        <f>IF($A7="","",IF($A7&lt;Calculator!$C$11,_Engine!$B$5,0))</f>
        <v>100</v>
      </c>
      <c r="E7" s="14">
        <f>IF($A7="","",_Engine!$G28)</f>
        <v>10031.594038201772</v>
      </c>
      <c r="F7" s="15">
        <f>IF($A7="","",$E7-Calculator!$C$9)</f>
        <v>31.594038201772491</v>
      </c>
    </row>
    <row r="8" spans="1:6" x14ac:dyDescent="0.25">
      <c r="A8" s="13">
        <f>IF(5&lt;=Calculator!$C$11,5,"")</f>
        <v>5</v>
      </c>
      <c r="B8" s="14">
        <f>IF($A8="","",_Engine!$E29)</f>
        <v>10164.762240661723</v>
      </c>
      <c r="C8" s="14">
        <f>IF($A8="","",$B8-Calculator!$C$9)</f>
        <v>164.7622406617229</v>
      </c>
      <c r="D8" s="14">
        <f>IF($A8="","",IF($A8&lt;Calculator!$C$11,_Engine!$B$5,0))</f>
        <v>100</v>
      </c>
      <c r="E8" s="14">
        <f>IF($A8="","",_Engine!$G29)</f>
        <v>10064.762240661723</v>
      </c>
      <c r="F8" s="15">
        <f>IF($A8="","",$E8-Calculator!$C$9)</f>
        <v>64.762240661722899</v>
      </c>
    </row>
    <row r="9" spans="1:6" x14ac:dyDescent="0.25">
      <c r="A9" s="13">
        <f>IF(6&lt;=Calculator!$C$11,6,"")</f>
        <v>6</v>
      </c>
      <c r="B9" s="14">
        <f>IF($A9="","",_Engine!$E30)</f>
        <v>10198.03902718557</v>
      </c>
      <c r="C9" s="14">
        <f>IF($A9="","",$B9-Calculator!$C$9)</f>
        <v>198.03902718557038</v>
      </c>
      <c r="D9" s="14">
        <f>IF($A9="","",IF($A9&lt;Calculator!$C$11,_Engine!$B$5,0))</f>
        <v>100</v>
      </c>
      <c r="E9" s="14">
        <f>IF($A9="","",_Engine!$G30)</f>
        <v>10098.03902718557</v>
      </c>
      <c r="F9" s="15">
        <f>IF($A9="","",$E9-Calculator!$C$9)</f>
        <v>98.039027185570376</v>
      </c>
    </row>
    <row r="10" spans="1:6" x14ac:dyDescent="0.25">
      <c r="A10" s="13">
        <f>IF(7&lt;=Calculator!$C$11,7,"")</f>
        <v>7</v>
      </c>
      <c r="B10" s="14">
        <f>IF($A10="","",_Engine!$E31)</f>
        <v>10231.424753249283</v>
      </c>
      <c r="C10" s="14">
        <f>IF($A10="","",$B10-Calculator!$C$9)</f>
        <v>231.42475324928273</v>
      </c>
      <c r="D10" s="14">
        <f>IF($A10="","",IF($A10&lt;Calculator!$C$11,_Engine!$B$5,0))</f>
        <v>100</v>
      </c>
      <c r="E10" s="14">
        <f>IF($A10="","",_Engine!$G31)</f>
        <v>10131.424753249283</v>
      </c>
      <c r="F10" s="15">
        <f>IF($A10="","",$E10-Calculator!$C$9)</f>
        <v>131.42475324928273</v>
      </c>
    </row>
    <row r="11" spans="1:6" x14ac:dyDescent="0.25">
      <c r="A11" s="13">
        <f>IF(8&lt;=Calculator!$C$11,8,"")</f>
        <v>8</v>
      </c>
      <c r="B11" s="14">
        <f>IF($A11="","",_Engine!$E32)</f>
        <v>10264.91977549257</v>
      </c>
      <c r="C11" s="14">
        <f>IF($A11="","",$B11-Calculator!$C$9)</f>
        <v>264.9197754925699</v>
      </c>
      <c r="D11" s="14">
        <f>IF($A11="","",IF($A11&lt;Calculator!$C$11,_Engine!$B$5,0))</f>
        <v>100</v>
      </c>
      <c r="E11" s="14">
        <f>IF($A11="","",_Engine!$G32)</f>
        <v>10164.91977549257</v>
      </c>
      <c r="F11" s="15">
        <f>IF($A11="","",$E11-Calculator!$C$9)</f>
        <v>164.9197754925699</v>
      </c>
    </row>
    <row r="12" spans="1:6" x14ac:dyDescent="0.25">
      <c r="A12" s="13">
        <f>IF(9&lt;=Calculator!$C$11,9,"")</f>
        <v>9</v>
      </c>
      <c r="B12" s="14">
        <f>IF($A12="","",_Engine!$E33)</f>
        <v>10298.52445172268</v>
      </c>
      <c r="C12" s="14">
        <f>IF($A12="","",$B12-Calculator!$C$9)</f>
        <v>298.52445172268017</v>
      </c>
      <c r="D12" s="14">
        <f>IF($A12="","",IF($A12&lt;Calculator!$C$11,_Engine!$B$5,0))</f>
        <v>100</v>
      </c>
      <c r="E12" s="14">
        <f>IF($A12="","",_Engine!$G33)</f>
        <v>10198.52445172268</v>
      </c>
      <c r="F12" s="15">
        <f>IF($A12="","",$E12-Calculator!$C$9)</f>
        <v>198.52445172268017</v>
      </c>
    </row>
    <row r="13" spans="1:6" x14ac:dyDescent="0.25">
      <c r="A13" s="13">
        <f>IF(10&lt;=Calculator!$C$11,10,"")</f>
        <v>10</v>
      </c>
      <c r="B13" s="14">
        <f>IF($A13="","",_Engine!$E34)</f>
        <v>10332.239140918233</v>
      </c>
      <c r="C13" s="14">
        <f>IF($A13="","",$B13-Calculator!$C$9)</f>
        <v>332.23914091823281</v>
      </c>
      <c r="D13" s="14">
        <f>IF($A13="","",IF($A13&lt;Calculator!$C$11,_Engine!$B$5,0))</f>
        <v>100</v>
      </c>
      <c r="E13" s="14">
        <f>IF($A13="","",_Engine!$G34)</f>
        <v>10232.239140918233</v>
      </c>
      <c r="F13" s="15">
        <f>IF($A13="","",$E13-Calculator!$C$9)</f>
        <v>232.23914091823281</v>
      </c>
    </row>
    <row r="14" spans="1:6" x14ac:dyDescent="0.25">
      <c r="A14" s="13">
        <f>IF(11&lt;=Calculator!$C$11,11,"")</f>
        <v>11</v>
      </c>
      <c r="B14" s="14">
        <f>IF($A14="","",_Engine!$E35)</f>
        <v>10366.064203233049</v>
      </c>
      <c r="C14" s="14">
        <f>IF($A14="","",$B14-Calculator!$C$9)</f>
        <v>366.06420323304883</v>
      </c>
      <c r="D14" s="14">
        <f>IF($A14="","",IF($A14&lt;Calculator!$C$11,_Engine!$B$5,0))</f>
        <v>100</v>
      </c>
      <c r="E14" s="14">
        <f>IF($A14="","",_Engine!$G35)</f>
        <v>10266.064203233049</v>
      </c>
      <c r="F14" s="15">
        <f>IF($A14="","",$E14-Calculator!$C$9)</f>
        <v>266.06420323304883</v>
      </c>
    </row>
    <row r="15" spans="1:6" x14ac:dyDescent="0.25">
      <c r="A15" s="13">
        <f>IF(12&lt;=Calculator!$C$11,12,"")</f>
        <v>12</v>
      </c>
      <c r="B15" s="14">
        <f>IF($A15="","",_Engine!$E36)</f>
        <v>10400</v>
      </c>
      <c r="C15" s="14">
        <f>IF($A15="","",$B15-Calculator!$C$9)</f>
        <v>400</v>
      </c>
      <c r="D15" s="14">
        <f>IF($A15="","",IF($A15&lt;Calculator!$C$11,_Engine!$B$5,0))</f>
        <v>0</v>
      </c>
      <c r="E15" s="14">
        <f>IF($A15="","",_Engine!$G36)</f>
        <v>10400</v>
      </c>
      <c r="F15" s="15">
        <f>IF($A15="","",$E15-Calculator!$C$9)</f>
        <v>400</v>
      </c>
    </row>
    <row r="16" spans="1:6" x14ac:dyDescent="0.25">
      <c r="A16" s="13" t="str">
        <f>IF(13&lt;=Calculator!$C$11,13,"")</f>
        <v/>
      </c>
      <c r="B16" s="14" t="str">
        <f>IF($A16="","",_Engine!$E37)</f>
        <v/>
      </c>
      <c r="C16" s="14" t="str">
        <f>IF($A16="","",$B16-Calculator!$C$9)</f>
        <v/>
      </c>
      <c r="D16" s="14" t="str">
        <f>IF($A16="","",IF($A16&lt;Calculator!$C$11,_Engine!$B$5,0))</f>
        <v/>
      </c>
      <c r="E16" s="14" t="str">
        <f>IF($A16="","",_Engine!$G37)</f>
        <v/>
      </c>
      <c r="F16" s="15" t="str">
        <f>IF($A16="","",$E16-Calculator!$C$9)</f>
        <v/>
      </c>
    </row>
    <row r="17" spans="1:6" x14ac:dyDescent="0.25">
      <c r="A17" s="13" t="str">
        <f>IF(14&lt;=Calculator!$C$11,14,"")</f>
        <v/>
      </c>
      <c r="B17" s="14" t="str">
        <f>IF($A17="","",_Engine!$E38)</f>
        <v/>
      </c>
      <c r="C17" s="14" t="str">
        <f>IF($A17="","",$B17-Calculator!$C$9)</f>
        <v/>
      </c>
      <c r="D17" s="14" t="str">
        <f>IF($A17="","",IF($A17&lt;Calculator!$C$11,_Engine!$B$5,0))</f>
        <v/>
      </c>
      <c r="E17" s="14" t="str">
        <f>IF($A17="","",_Engine!$G38)</f>
        <v/>
      </c>
      <c r="F17" s="15" t="str">
        <f>IF($A17="","",$E17-Calculator!$C$9)</f>
        <v/>
      </c>
    </row>
    <row r="18" spans="1:6" x14ac:dyDescent="0.25">
      <c r="A18" s="13" t="str">
        <f>IF(15&lt;=Calculator!$C$11,15,"")</f>
        <v/>
      </c>
      <c r="B18" s="14" t="str">
        <f>IF($A18="","",_Engine!$E39)</f>
        <v/>
      </c>
      <c r="C18" s="14" t="str">
        <f>IF($A18="","",$B18-Calculator!$C$9)</f>
        <v/>
      </c>
      <c r="D18" s="14" t="str">
        <f>IF($A18="","",IF($A18&lt;Calculator!$C$11,_Engine!$B$5,0))</f>
        <v/>
      </c>
      <c r="E18" s="14" t="str">
        <f>IF($A18="","",_Engine!$G39)</f>
        <v/>
      </c>
      <c r="F18" s="15" t="str">
        <f>IF($A18="","",$E18-Calculator!$C$9)</f>
        <v/>
      </c>
    </row>
    <row r="19" spans="1:6" x14ac:dyDescent="0.25">
      <c r="A19" s="13" t="str">
        <f>IF(16&lt;=Calculator!$C$11,16,"")</f>
        <v/>
      </c>
      <c r="B19" s="14" t="str">
        <f>IF($A19="","",_Engine!$E40)</f>
        <v/>
      </c>
      <c r="C19" s="14" t="str">
        <f>IF($A19="","",$B19-Calculator!$C$9)</f>
        <v/>
      </c>
      <c r="D19" s="14" t="str">
        <f>IF($A19="","",IF($A19&lt;Calculator!$C$11,_Engine!$B$5,0))</f>
        <v/>
      </c>
      <c r="E19" s="14" t="str">
        <f>IF($A19="","",_Engine!$G40)</f>
        <v/>
      </c>
      <c r="F19" s="15" t="str">
        <f>IF($A19="","",$E19-Calculator!$C$9)</f>
        <v/>
      </c>
    </row>
    <row r="20" spans="1:6" x14ac:dyDescent="0.25">
      <c r="A20" s="13" t="str">
        <f>IF(17&lt;=Calculator!$C$11,17,"")</f>
        <v/>
      </c>
      <c r="B20" s="14" t="str">
        <f>IF($A20="","",_Engine!$E41)</f>
        <v/>
      </c>
      <c r="C20" s="14" t="str">
        <f>IF($A20="","",$B20-Calculator!$C$9)</f>
        <v/>
      </c>
      <c r="D20" s="14" t="str">
        <f>IF($A20="","",IF($A20&lt;Calculator!$C$11,_Engine!$B$5,0))</f>
        <v/>
      </c>
      <c r="E20" s="14" t="str">
        <f>IF($A20="","",_Engine!$G41)</f>
        <v/>
      </c>
      <c r="F20" s="15" t="str">
        <f>IF($A20="","",$E20-Calculator!$C$9)</f>
        <v/>
      </c>
    </row>
    <row r="21" spans="1:6" x14ac:dyDescent="0.25">
      <c r="A21" s="13" t="str">
        <f>IF(18&lt;=Calculator!$C$11,18,"")</f>
        <v/>
      </c>
      <c r="B21" s="14" t="str">
        <f>IF($A21="","",_Engine!$E42)</f>
        <v/>
      </c>
      <c r="C21" s="14" t="str">
        <f>IF($A21="","",$B21-Calculator!$C$9)</f>
        <v/>
      </c>
      <c r="D21" s="14" t="str">
        <f>IF($A21="","",IF($A21&lt;Calculator!$C$11,_Engine!$B$5,0))</f>
        <v/>
      </c>
      <c r="E21" s="14" t="str">
        <f>IF($A21="","",_Engine!$G42)</f>
        <v/>
      </c>
      <c r="F21" s="15" t="str">
        <f>IF($A21="","",$E21-Calculator!$C$9)</f>
        <v/>
      </c>
    </row>
    <row r="22" spans="1:6" x14ac:dyDescent="0.25">
      <c r="A22" s="13" t="str">
        <f>IF(19&lt;=Calculator!$C$11,19,"")</f>
        <v/>
      </c>
      <c r="B22" s="14" t="str">
        <f>IF($A22="","",_Engine!$E43)</f>
        <v/>
      </c>
      <c r="C22" s="14" t="str">
        <f>IF($A22="","",$B22-Calculator!$C$9)</f>
        <v/>
      </c>
      <c r="D22" s="14" t="str">
        <f>IF($A22="","",IF($A22&lt;Calculator!$C$11,_Engine!$B$5,0))</f>
        <v/>
      </c>
      <c r="E22" s="14" t="str">
        <f>IF($A22="","",_Engine!$G43)</f>
        <v/>
      </c>
      <c r="F22" s="15" t="str">
        <f>IF($A22="","",$E22-Calculator!$C$9)</f>
        <v/>
      </c>
    </row>
    <row r="23" spans="1:6" x14ac:dyDescent="0.25">
      <c r="A23" s="13" t="str">
        <f>IF(20&lt;=Calculator!$C$11,20,"")</f>
        <v/>
      </c>
      <c r="B23" s="14" t="str">
        <f>IF($A23="","",_Engine!$E44)</f>
        <v/>
      </c>
      <c r="C23" s="14" t="str">
        <f>IF($A23="","",$B23-Calculator!$C$9)</f>
        <v/>
      </c>
      <c r="D23" s="14" t="str">
        <f>IF($A23="","",IF($A23&lt;Calculator!$C$11,_Engine!$B$5,0))</f>
        <v/>
      </c>
      <c r="E23" s="14" t="str">
        <f>IF($A23="","",_Engine!$G44)</f>
        <v/>
      </c>
      <c r="F23" s="15" t="str">
        <f>IF($A23="","",$E23-Calculator!$C$9)</f>
        <v/>
      </c>
    </row>
    <row r="24" spans="1:6" x14ac:dyDescent="0.25">
      <c r="A24" s="13" t="str">
        <f>IF(21&lt;=Calculator!$C$11,21,"")</f>
        <v/>
      </c>
      <c r="B24" s="14" t="str">
        <f>IF($A24="","",_Engine!$E45)</f>
        <v/>
      </c>
      <c r="C24" s="14" t="str">
        <f>IF($A24="","",$B24-Calculator!$C$9)</f>
        <v/>
      </c>
      <c r="D24" s="14" t="str">
        <f>IF($A24="","",IF($A24&lt;Calculator!$C$11,_Engine!$B$5,0))</f>
        <v/>
      </c>
      <c r="E24" s="14" t="str">
        <f>IF($A24="","",_Engine!$G45)</f>
        <v/>
      </c>
      <c r="F24" s="15" t="str">
        <f>IF($A24="","",$E24-Calculator!$C$9)</f>
        <v/>
      </c>
    </row>
    <row r="25" spans="1:6" x14ac:dyDescent="0.25">
      <c r="A25" s="13" t="str">
        <f>IF(22&lt;=Calculator!$C$11,22,"")</f>
        <v/>
      </c>
      <c r="B25" s="14" t="str">
        <f>IF($A25="","",_Engine!$E46)</f>
        <v/>
      </c>
      <c r="C25" s="14" t="str">
        <f>IF($A25="","",$B25-Calculator!$C$9)</f>
        <v/>
      </c>
      <c r="D25" s="14" t="str">
        <f>IF($A25="","",IF($A25&lt;Calculator!$C$11,_Engine!$B$5,0))</f>
        <v/>
      </c>
      <c r="E25" s="14" t="str">
        <f>IF($A25="","",_Engine!$G46)</f>
        <v/>
      </c>
      <c r="F25" s="15" t="str">
        <f>IF($A25="","",$E25-Calculator!$C$9)</f>
        <v/>
      </c>
    </row>
    <row r="26" spans="1:6" x14ac:dyDescent="0.25">
      <c r="A26" s="13" t="str">
        <f>IF(23&lt;=Calculator!$C$11,23,"")</f>
        <v/>
      </c>
      <c r="B26" s="14" t="str">
        <f>IF($A26="","",_Engine!$E47)</f>
        <v/>
      </c>
      <c r="C26" s="14" t="str">
        <f>IF($A26="","",$B26-Calculator!$C$9)</f>
        <v/>
      </c>
      <c r="D26" s="14" t="str">
        <f>IF($A26="","",IF($A26&lt;Calculator!$C$11,_Engine!$B$5,0))</f>
        <v/>
      </c>
      <c r="E26" s="14" t="str">
        <f>IF($A26="","",_Engine!$G47)</f>
        <v/>
      </c>
      <c r="F26" s="15" t="str">
        <f>IF($A26="","",$E26-Calculator!$C$9)</f>
        <v/>
      </c>
    </row>
    <row r="27" spans="1:6" x14ac:dyDescent="0.25">
      <c r="A27" s="13" t="str">
        <f>IF(24&lt;=Calculator!$C$11,24,"")</f>
        <v/>
      </c>
      <c r="B27" s="14" t="str">
        <f>IF($A27="","",_Engine!$E48)</f>
        <v/>
      </c>
      <c r="C27" s="14" t="str">
        <f>IF($A27="","",$B27-Calculator!$C$9)</f>
        <v/>
      </c>
      <c r="D27" s="14" t="str">
        <f>IF($A27="","",IF($A27&lt;Calculator!$C$11,_Engine!$B$5,0))</f>
        <v/>
      </c>
      <c r="E27" s="14" t="str">
        <f>IF($A27="","",_Engine!$G48)</f>
        <v/>
      </c>
      <c r="F27" s="15" t="str">
        <f>IF($A27="","",$E27-Calculator!$C$9)</f>
        <v/>
      </c>
    </row>
    <row r="28" spans="1:6" x14ac:dyDescent="0.25">
      <c r="A28" s="13" t="str">
        <f>IF(25&lt;=Calculator!$C$11,25,"")</f>
        <v/>
      </c>
      <c r="B28" s="14" t="str">
        <f>IF($A28="","",_Engine!$E49)</f>
        <v/>
      </c>
      <c r="C28" s="14" t="str">
        <f>IF($A28="","",$B28-Calculator!$C$9)</f>
        <v/>
      </c>
      <c r="D28" s="14" t="str">
        <f>IF($A28="","",IF($A28&lt;Calculator!$C$11,_Engine!$B$5,0))</f>
        <v/>
      </c>
      <c r="E28" s="14" t="str">
        <f>IF($A28="","",_Engine!$G49)</f>
        <v/>
      </c>
      <c r="F28" s="15" t="str">
        <f>IF($A28="","",$E28-Calculator!$C$9)</f>
        <v/>
      </c>
    </row>
    <row r="29" spans="1:6" x14ac:dyDescent="0.25">
      <c r="A29" s="13" t="str">
        <f>IF(26&lt;=Calculator!$C$11,26,"")</f>
        <v/>
      </c>
      <c r="B29" s="14" t="str">
        <f>IF($A29="","",_Engine!$E50)</f>
        <v/>
      </c>
      <c r="C29" s="14" t="str">
        <f>IF($A29="","",$B29-Calculator!$C$9)</f>
        <v/>
      </c>
      <c r="D29" s="14" t="str">
        <f>IF($A29="","",IF($A29&lt;Calculator!$C$11,_Engine!$B$5,0))</f>
        <v/>
      </c>
      <c r="E29" s="14" t="str">
        <f>IF($A29="","",_Engine!$G50)</f>
        <v/>
      </c>
      <c r="F29" s="15" t="str">
        <f>IF($A29="","",$E29-Calculator!$C$9)</f>
        <v/>
      </c>
    </row>
    <row r="30" spans="1:6" x14ac:dyDescent="0.25">
      <c r="A30" s="13" t="str">
        <f>IF(27&lt;=Calculator!$C$11,27,"")</f>
        <v/>
      </c>
      <c r="B30" s="14" t="str">
        <f>IF($A30="","",_Engine!$E51)</f>
        <v/>
      </c>
      <c r="C30" s="14" t="str">
        <f>IF($A30="","",$B30-Calculator!$C$9)</f>
        <v/>
      </c>
      <c r="D30" s="14" t="str">
        <f>IF($A30="","",IF($A30&lt;Calculator!$C$11,_Engine!$B$5,0))</f>
        <v/>
      </c>
      <c r="E30" s="14" t="str">
        <f>IF($A30="","",_Engine!$G51)</f>
        <v/>
      </c>
      <c r="F30" s="15" t="str">
        <f>IF($A30="","",$E30-Calculator!$C$9)</f>
        <v/>
      </c>
    </row>
    <row r="31" spans="1:6" x14ac:dyDescent="0.25">
      <c r="A31" s="13" t="str">
        <f>IF(28&lt;=Calculator!$C$11,28,"")</f>
        <v/>
      </c>
      <c r="B31" s="14" t="str">
        <f>IF($A31="","",_Engine!$E52)</f>
        <v/>
      </c>
      <c r="C31" s="14" t="str">
        <f>IF($A31="","",$B31-Calculator!$C$9)</f>
        <v/>
      </c>
      <c r="D31" s="14" t="str">
        <f>IF($A31="","",IF($A31&lt;Calculator!$C$11,_Engine!$B$5,0))</f>
        <v/>
      </c>
      <c r="E31" s="14" t="str">
        <f>IF($A31="","",_Engine!$G52)</f>
        <v/>
      </c>
      <c r="F31" s="15" t="str">
        <f>IF($A31="","",$E31-Calculator!$C$9)</f>
        <v/>
      </c>
    </row>
    <row r="32" spans="1:6" x14ac:dyDescent="0.25">
      <c r="A32" s="13" t="str">
        <f>IF(29&lt;=Calculator!$C$11,29,"")</f>
        <v/>
      </c>
      <c r="B32" s="14" t="str">
        <f>IF($A32="","",_Engine!$E53)</f>
        <v/>
      </c>
      <c r="C32" s="14" t="str">
        <f>IF($A32="","",$B32-Calculator!$C$9)</f>
        <v/>
      </c>
      <c r="D32" s="14" t="str">
        <f>IF($A32="","",IF($A32&lt;Calculator!$C$11,_Engine!$B$5,0))</f>
        <v/>
      </c>
      <c r="E32" s="14" t="str">
        <f>IF($A32="","",_Engine!$G53)</f>
        <v/>
      </c>
      <c r="F32" s="15" t="str">
        <f>IF($A32="","",$E32-Calculator!$C$9)</f>
        <v/>
      </c>
    </row>
    <row r="33" spans="1:6" x14ac:dyDescent="0.25">
      <c r="A33" s="13" t="str">
        <f>IF(30&lt;=Calculator!$C$11,30,"")</f>
        <v/>
      </c>
      <c r="B33" s="14" t="str">
        <f>IF($A33="","",_Engine!$E54)</f>
        <v/>
      </c>
      <c r="C33" s="14" t="str">
        <f>IF($A33="","",$B33-Calculator!$C$9)</f>
        <v/>
      </c>
      <c r="D33" s="14" t="str">
        <f>IF($A33="","",IF($A33&lt;Calculator!$C$11,_Engine!$B$5,0))</f>
        <v/>
      </c>
      <c r="E33" s="14" t="str">
        <f>IF($A33="","",_Engine!$G54)</f>
        <v/>
      </c>
      <c r="F33" s="15" t="str">
        <f>IF($A33="","",$E33-Calculator!$C$9)</f>
        <v/>
      </c>
    </row>
    <row r="34" spans="1:6" x14ac:dyDescent="0.25">
      <c r="A34" s="13" t="str">
        <f>IF(31&lt;=Calculator!$C$11,31,"")</f>
        <v/>
      </c>
      <c r="B34" s="14" t="str">
        <f>IF($A34="","",_Engine!$E55)</f>
        <v/>
      </c>
      <c r="C34" s="14" t="str">
        <f>IF($A34="","",$B34-Calculator!$C$9)</f>
        <v/>
      </c>
      <c r="D34" s="14" t="str">
        <f>IF($A34="","",IF($A34&lt;Calculator!$C$11,_Engine!$B$5,0))</f>
        <v/>
      </c>
      <c r="E34" s="14" t="str">
        <f>IF($A34="","",_Engine!$G55)</f>
        <v/>
      </c>
      <c r="F34" s="15" t="str">
        <f>IF($A34="","",$E34-Calculator!$C$9)</f>
        <v/>
      </c>
    </row>
    <row r="35" spans="1:6" x14ac:dyDescent="0.25">
      <c r="A35" s="13" t="str">
        <f>IF(32&lt;=Calculator!$C$11,32,"")</f>
        <v/>
      </c>
      <c r="B35" s="14" t="str">
        <f>IF($A35="","",_Engine!$E56)</f>
        <v/>
      </c>
      <c r="C35" s="14" t="str">
        <f>IF($A35="","",$B35-Calculator!$C$9)</f>
        <v/>
      </c>
      <c r="D35" s="14" t="str">
        <f>IF($A35="","",IF($A35&lt;Calculator!$C$11,_Engine!$B$5,0))</f>
        <v/>
      </c>
      <c r="E35" s="14" t="str">
        <f>IF($A35="","",_Engine!$G56)</f>
        <v/>
      </c>
      <c r="F35" s="15" t="str">
        <f>IF($A35="","",$E35-Calculator!$C$9)</f>
        <v/>
      </c>
    </row>
    <row r="36" spans="1:6" x14ac:dyDescent="0.25">
      <c r="A36" s="13" t="str">
        <f>IF(33&lt;=Calculator!$C$11,33,"")</f>
        <v/>
      </c>
      <c r="B36" s="14" t="str">
        <f>IF($A36="","",_Engine!$E57)</f>
        <v/>
      </c>
      <c r="C36" s="14" t="str">
        <f>IF($A36="","",$B36-Calculator!$C$9)</f>
        <v/>
      </c>
      <c r="D36" s="14" t="str">
        <f>IF($A36="","",IF($A36&lt;Calculator!$C$11,_Engine!$B$5,0))</f>
        <v/>
      </c>
      <c r="E36" s="14" t="str">
        <f>IF($A36="","",_Engine!$G57)</f>
        <v/>
      </c>
      <c r="F36" s="15" t="str">
        <f>IF($A36="","",$E36-Calculator!$C$9)</f>
        <v/>
      </c>
    </row>
    <row r="37" spans="1:6" x14ac:dyDescent="0.25">
      <c r="A37" s="13" t="str">
        <f>IF(34&lt;=Calculator!$C$11,34,"")</f>
        <v/>
      </c>
      <c r="B37" s="14" t="str">
        <f>IF($A37="","",_Engine!$E58)</f>
        <v/>
      </c>
      <c r="C37" s="14" t="str">
        <f>IF($A37="","",$B37-Calculator!$C$9)</f>
        <v/>
      </c>
      <c r="D37" s="14" t="str">
        <f>IF($A37="","",IF($A37&lt;Calculator!$C$11,_Engine!$B$5,0))</f>
        <v/>
      </c>
      <c r="E37" s="14" t="str">
        <f>IF($A37="","",_Engine!$G58)</f>
        <v/>
      </c>
      <c r="F37" s="15" t="str">
        <f>IF($A37="","",$E37-Calculator!$C$9)</f>
        <v/>
      </c>
    </row>
    <row r="38" spans="1:6" x14ac:dyDescent="0.25">
      <c r="A38" s="13" t="str">
        <f>IF(35&lt;=Calculator!$C$11,35,"")</f>
        <v/>
      </c>
      <c r="B38" s="14" t="str">
        <f>IF($A38="","",_Engine!$E59)</f>
        <v/>
      </c>
      <c r="C38" s="14" t="str">
        <f>IF($A38="","",$B38-Calculator!$C$9)</f>
        <v/>
      </c>
      <c r="D38" s="14" t="str">
        <f>IF($A38="","",IF($A38&lt;Calculator!$C$11,_Engine!$B$5,0))</f>
        <v/>
      </c>
      <c r="E38" s="14" t="str">
        <f>IF($A38="","",_Engine!$G59)</f>
        <v/>
      </c>
      <c r="F38" s="15" t="str">
        <f>IF($A38="","",$E38-Calculator!$C$9)</f>
        <v/>
      </c>
    </row>
    <row r="39" spans="1:6" x14ac:dyDescent="0.25">
      <c r="A39" s="13" t="str">
        <f>IF(36&lt;=Calculator!$C$11,36,"")</f>
        <v/>
      </c>
      <c r="B39" s="14" t="str">
        <f>IF($A39="","",_Engine!$E60)</f>
        <v/>
      </c>
      <c r="C39" s="14" t="str">
        <f>IF($A39="","",$B39-Calculator!$C$9)</f>
        <v/>
      </c>
      <c r="D39" s="14" t="str">
        <f>IF($A39="","",IF($A39&lt;Calculator!$C$11,_Engine!$B$5,0))</f>
        <v/>
      </c>
      <c r="E39" s="14" t="str">
        <f>IF($A39="","",_Engine!$G60)</f>
        <v/>
      </c>
      <c r="F39" s="15" t="str">
        <f>IF($A39="","",$E39-Calculator!$C$9)</f>
        <v/>
      </c>
    </row>
    <row r="40" spans="1:6" x14ac:dyDescent="0.25">
      <c r="A40" s="13" t="str">
        <f>IF(37&lt;=Calculator!$C$11,37,"")</f>
        <v/>
      </c>
      <c r="B40" s="14" t="str">
        <f>IF($A40="","",_Engine!$E61)</f>
        <v/>
      </c>
      <c r="C40" s="14" t="str">
        <f>IF($A40="","",$B40-Calculator!$C$9)</f>
        <v/>
      </c>
      <c r="D40" s="14" t="str">
        <f>IF($A40="","",IF($A40&lt;Calculator!$C$11,_Engine!$B$5,0))</f>
        <v/>
      </c>
      <c r="E40" s="14" t="str">
        <f>IF($A40="","",_Engine!$G61)</f>
        <v/>
      </c>
      <c r="F40" s="15" t="str">
        <f>IF($A40="","",$E40-Calculator!$C$9)</f>
        <v/>
      </c>
    </row>
    <row r="41" spans="1:6" x14ac:dyDescent="0.25">
      <c r="A41" s="13" t="str">
        <f>IF(38&lt;=Calculator!$C$11,38,"")</f>
        <v/>
      </c>
      <c r="B41" s="14" t="str">
        <f>IF($A41="","",_Engine!$E62)</f>
        <v/>
      </c>
      <c r="C41" s="14" t="str">
        <f>IF($A41="","",$B41-Calculator!$C$9)</f>
        <v/>
      </c>
      <c r="D41" s="14" t="str">
        <f>IF($A41="","",IF($A41&lt;Calculator!$C$11,_Engine!$B$5,0))</f>
        <v/>
      </c>
      <c r="E41" s="14" t="str">
        <f>IF($A41="","",_Engine!$G62)</f>
        <v/>
      </c>
      <c r="F41" s="15" t="str">
        <f>IF($A41="","",$E41-Calculator!$C$9)</f>
        <v/>
      </c>
    </row>
    <row r="42" spans="1:6" x14ac:dyDescent="0.25">
      <c r="A42" s="13" t="str">
        <f>IF(39&lt;=Calculator!$C$11,39,"")</f>
        <v/>
      </c>
      <c r="B42" s="14" t="str">
        <f>IF($A42="","",_Engine!$E63)</f>
        <v/>
      </c>
      <c r="C42" s="14" t="str">
        <f>IF($A42="","",$B42-Calculator!$C$9)</f>
        <v/>
      </c>
      <c r="D42" s="14" t="str">
        <f>IF($A42="","",IF($A42&lt;Calculator!$C$11,_Engine!$B$5,0))</f>
        <v/>
      </c>
      <c r="E42" s="14" t="str">
        <f>IF($A42="","",_Engine!$G63)</f>
        <v/>
      </c>
      <c r="F42" s="15" t="str">
        <f>IF($A42="","",$E42-Calculator!$C$9)</f>
        <v/>
      </c>
    </row>
    <row r="43" spans="1:6" x14ac:dyDescent="0.25">
      <c r="A43" s="13" t="str">
        <f>IF(40&lt;=Calculator!$C$11,40,"")</f>
        <v/>
      </c>
      <c r="B43" s="14" t="str">
        <f>IF($A43="","",_Engine!$E64)</f>
        <v/>
      </c>
      <c r="C43" s="14" t="str">
        <f>IF($A43="","",$B43-Calculator!$C$9)</f>
        <v/>
      </c>
      <c r="D43" s="14" t="str">
        <f>IF($A43="","",IF($A43&lt;Calculator!$C$11,_Engine!$B$5,0))</f>
        <v/>
      </c>
      <c r="E43" s="14" t="str">
        <f>IF($A43="","",_Engine!$G64)</f>
        <v/>
      </c>
      <c r="F43" s="15" t="str">
        <f>IF($A43="","",$E43-Calculator!$C$9)</f>
        <v/>
      </c>
    </row>
    <row r="44" spans="1:6" x14ac:dyDescent="0.25">
      <c r="A44" s="13" t="str">
        <f>IF(41&lt;=Calculator!$C$11,41,"")</f>
        <v/>
      </c>
      <c r="B44" s="14" t="str">
        <f>IF($A44="","",_Engine!$E65)</f>
        <v/>
      </c>
      <c r="C44" s="14" t="str">
        <f>IF($A44="","",$B44-Calculator!$C$9)</f>
        <v/>
      </c>
      <c r="D44" s="14" t="str">
        <f>IF($A44="","",IF($A44&lt;Calculator!$C$11,_Engine!$B$5,0))</f>
        <v/>
      </c>
      <c r="E44" s="14" t="str">
        <f>IF($A44="","",_Engine!$G65)</f>
        <v/>
      </c>
      <c r="F44" s="15" t="str">
        <f>IF($A44="","",$E44-Calculator!$C$9)</f>
        <v/>
      </c>
    </row>
    <row r="45" spans="1:6" x14ac:dyDescent="0.25">
      <c r="A45" s="13" t="str">
        <f>IF(42&lt;=Calculator!$C$11,42,"")</f>
        <v/>
      </c>
      <c r="B45" s="14" t="str">
        <f>IF($A45="","",_Engine!$E66)</f>
        <v/>
      </c>
      <c r="C45" s="14" t="str">
        <f>IF($A45="","",$B45-Calculator!$C$9)</f>
        <v/>
      </c>
      <c r="D45" s="14" t="str">
        <f>IF($A45="","",IF($A45&lt;Calculator!$C$11,_Engine!$B$5,0))</f>
        <v/>
      </c>
      <c r="E45" s="14" t="str">
        <f>IF($A45="","",_Engine!$G66)</f>
        <v/>
      </c>
      <c r="F45" s="15" t="str">
        <f>IF($A45="","",$E45-Calculator!$C$9)</f>
        <v/>
      </c>
    </row>
    <row r="46" spans="1:6" x14ac:dyDescent="0.25">
      <c r="A46" s="13" t="str">
        <f>IF(43&lt;=Calculator!$C$11,43,"")</f>
        <v/>
      </c>
      <c r="B46" s="14" t="str">
        <f>IF($A46="","",_Engine!$E67)</f>
        <v/>
      </c>
      <c r="C46" s="14" t="str">
        <f>IF($A46="","",$B46-Calculator!$C$9)</f>
        <v/>
      </c>
      <c r="D46" s="14" t="str">
        <f>IF($A46="","",IF($A46&lt;Calculator!$C$11,_Engine!$B$5,0))</f>
        <v/>
      </c>
      <c r="E46" s="14" t="str">
        <f>IF($A46="","",_Engine!$G67)</f>
        <v/>
      </c>
      <c r="F46" s="15" t="str">
        <f>IF($A46="","",$E46-Calculator!$C$9)</f>
        <v/>
      </c>
    </row>
    <row r="47" spans="1:6" x14ac:dyDescent="0.25">
      <c r="A47" s="13" t="str">
        <f>IF(44&lt;=Calculator!$C$11,44,"")</f>
        <v/>
      </c>
      <c r="B47" s="14" t="str">
        <f>IF($A47="","",_Engine!$E68)</f>
        <v/>
      </c>
      <c r="C47" s="14" t="str">
        <f>IF($A47="","",$B47-Calculator!$C$9)</f>
        <v/>
      </c>
      <c r="D47" s="14" t="str">
        <f>IF($A47="","",IF($A47&lt;Calculator!$C$11,_Engine!$B$5,0))</f>
        <v/>
      </c>
      <c r="E47" s="14" t="str">
        <f>IF($A47="","",_Engine!$G68)</f>
        <v/>
      </c>
      <c r="F47" s="15" t="str">
        <f>IF($A47="","",$E47-Calculator!$C$9)</f>
        <v/>
      </c>
    </row>
    <row r="48" spans="1:6" x14ac:dyDescent="0.25">
      <c r="A48" s="13" t="str">
        <f>IF(45&lt;=Calculator!$C$11,45,"")</f>
        <v/>
      </c>
      <c r="B48" s="14" t="str">
        <f>IF($A48="","",_Engine!$E69)</f>
        <v/>
      </c>
      <c r="C48" s="14" t="str">
        <f>IF($A48="","",$B48-Calculator!$C$9)</f>
        <v/>
      </c>
      <c r="D48" s="14" t="str">
        <f>IF($A48="","",IF($A48&lt;Calculator!$C$11,_Engine!$B$5,0))</f>
        <v/>
      </c>
      <c r="E48" s="14" t="str">
        <f>IF($A48="","",_Engine!$G69)</f>
        <v/>
      </c>
      <c r="F48" s="15" t="str">
        <f>IF($A48="","",$E48-Calculator!$C$9)</f>
        <v/>
      </c>
    </row>
    <row r="49" spans="1:6" x14ac:dyDescent="0.25">
      <c r="A49" s="13" t="str">
        <f>IF(46&lt;=Calculator!$C$11,46,"")</f>
        <v/>
      </c>
      <c r="B49" s="14" t="str">
        <f>IF($A49="","",_Engine!$E70)</f>
        <v/>
      </c>
      <c r="C49" s="14" t="str">
        <f>IF($A49="","",$B49-Calculator!$C$9)</f>
        <v/>
      </c>
      <c r="D49" s="14" t="str">
        <f>IF($A49="","",IF($A49&lt;Calculator!$C$11,_Engine!$B$5,0))</f>
        <v/>
      </c>
      <c r="E49" s="14" t="str">
        <f>IF($A49="","",_Engine!$G70)</f>
        <v/>
      </c>
      <c r="F49" s="15" t="str">
        <f>IF($A49="","",$E49-Calculator!$C$9)</f>
        <v/>
      </c>
    </row>
    <row r="50" spans="1:6" x14ac:dyDescent="0.25">
      <c r="A50" s="13" t="str">
        <f>IF(47&lt;=Calculator!$C$11,47,"")</f>
        <v/>
      </c>
      <c r="B50" s="14" t="str">
        <f>IF($A50="","",_Engine!$E71)</f>
        <v/>
      </c>
      <c r="C50" s="14" t="str">
        <f>IF($A50="","",$B50-Calculator!$C$9)</f>
        <v/>
      </c>
      <c r="D50" s="14" t="str">
        <f>IF($A50="","",IF($A50&lt;Calculator!$C$11,_Engine!$B$5,0))</f>
        <v/>
      </c>
      <c r="E50" s="14" t="str">
        <f>IF($A50="","",_Engine!$G71)</f>
        <v/>
      </c>
      <c r="F50" s="15" t="str">
        <f>IF($A50="","",$E50-Calculator!$C$9)</f>
        <v/>
      </c>
    </row>
    <row r="51" spans="1:6" x14ac:dyDescent="0.25">
      <c r="A51" s="13" t="str">
        <f>IF(48&lt;=Calculator!$C$11,48,"")</f>
        <v/>
      </c>
      <c r="B51" s="14" t="str">
        <f>IF($A51="","",_Engine!$E72)</f>
        <v/>
      </c>
      <c r="C51" s="14" t="str">
        <f>IF($A51="","",$B51-Calculator!$C$9)</f>
        <v/>
      </c>
      <c r="D51" s="14" t="str">
        <f>IF($A51="","",IF($A51&lt;Calculator!$C$11,_Engine!$B$5,0))</f>
        <v/>
      </c>
      <c r="E51" s="14" t="str">
        <f>IF($A51="","",_Engine!$G72)</f>
        <v/>
      </c>
      <c r="F51" s="15" t="str">
        <f>IF($A51="","",$E51-Calculator!$C$9)</f>
        <v/>
      </c>
    </row>
    <row r="52" spans="1:6" x14ac:dyDescent="0.25">
      <c r="A52" s="13" t="str">
        <f>IF(49&lt;=Calculator!$C$11,49,"")</f>
        <v/>
      </c>
      <c r="B52" s="14" t="str">
        <f>IF($A52="","",_Engine!$E73)</f>
        <v/>
      </c>
      <c r="C52" s="14" t="str">
        <f>IF($A52="","",$B52-Calculator!$C$9)</f>
        <v/>
      </c>
      <c r="D52" s="14" t="str">
        <f>IF($A52="","",IF($A52&lt;Calculator!$C$11,_Engine!$B$5,0))</f>
        <v/>
      </c>
      <c r="E52" s="14" t="str">
        <f>IF($A52="","",_Engine!$G73)</f>
        <v/>
      </c>
      <c r="F52" s="15" t="str">
        <f>IF($A52="","",$E52-Calculator!$C$9)</f>
        <v/>
      </c>
    </row>
    <row r="53" spans="1:6" x14ac:dyDescent="0.25">
      <c r="A53" s="13" t="str">
        <f>IF(50&lt;=Calculator!$C$11,50,"")</f>
        <v/>
      </c>
      <c r="B53" s="14" t="str">
        <f>IF($A53="","",_Engine!$E74)</f>
        <v/>
      </c>
      <c r="C53" s="14" t="str">
        <f>IF($A53="","",$B53-Calculator!$C$9)</f>
        <v/>
      </c>
      <c r="D53" s="14" t="str">
        <f>IF($A53="","",IF($A53&lt;Calculator!$C$11,_Engine!$B$5,0))</f>
        <v/>
      </c>
      <c r="E53" s="14" t="str">
        <f>IF($A53="","",_Engine!$G74)</f>
        <v/>
      </c>
      <c r="F53" s="15" t="str">
        <f>IF($A53="","",$E53-Calculator!$C$9)</f>
        <v/>
      </c>
    </row>
    <row r="54" spans="1:6" x14ac:dyDescent="0.25">
      <c r="A54" s="13" t="str">
        <f>IF(51&lt;=Calculator!$C$11,51,"")</f>
        <v/>
      </c>
      <c r="B54" s="14" t="str">
        <f>IF($A54="","",_Engine!$E75)</f>
        <v/>
      </c>
      <c r="C54" s="14" t="str">
        <f>IF($A54="","",$B54-Calculator!$C$9)</f>
        <v/>
      </c>
      <c r="D54" s="14" t="str">
        <f>IF($A54="","",IF($A54&lt;Calculator!$C$11,_Engine!$B$5,0))</f>
        <v/>
      </c>
      <c r="E54" s="14" t="str">
        <f>IF($A54="","",_Engine!$G75)</f>
        <v/>
      </c>
      <c r="F54" s="15" t="str">
        <f>IF($A54="","",$E54-Calculator!$C$9)</f>
        <v/>
      </c>
    </row>
    <row r="55" spans="1:6" x14ac:dyDescent="0.25">
      <c r="A55" s="13" t="str">
        <f>IF(52&lt;=Calculator!$C$11,52,"")</f>
        <v/>
      </c>
      <c r="B55" s="14" t="str">
        <f>IF($A55="","",_Engine!$E76)</f>
        <v/>
      </c>
      <c r="C55" s="14" t="str">
        <f>IF($A55="","",$B55-Calculator!$C$9)</f>
        <v/>
      </c>
      <c r="D55" s="14" t="str">
        <f>IF($A55="","",IF($A55&lt;Calculator!$C$11,_Engine!$B$5,0))</f>
        <v/>
      </c>
      <c r="E55" s="14" t="str">
        <f>IF($A55="","",_Engine!$G76)</f>
        <v/>
      </c>
      <c r="F55" s="15" t="str">
        <f>IF($A55="","",$E55-Calculator!$C$9)</f>
        <v/>
      </c>
    </row>
    <row r="56" spans="1:6" x14ac:dyDescent="0.25">
      <c r="A56" s="13" t="str">
        <f>IF(53&lt;=Calculator!$C$11,53,"")</f>
        <v/>
      </c>
      <c r="B56" s="14" t="str">
        <f>IF($A56="","",_Engine!$E77)</f>
        <v/>
      </c>
      <c r="C56" s="14" t="str">
        <f>IF($A56="","",$B56-Calculator!$C$9)</f>
        <v/>
      </c>
      <c r="D56" s="14" t="str">
        <f>IF($A56="","",IF($A56&lt;Calculator!$C$11,_Engine!$B$5,0))</f>
        <v/>
      </c>
      <c r="E56" s="14" t="str">
        <f>IF($A56="","",_Engine!$G77)</f>
        <v/>
      </c>
      <c r="F56" s="15" t="str">
        <f>IF($A56="","",$E56-Calculator!$C$9)</f>
        <v/>
      </c>
    </row>
    <row r="57" spans="1:6" x14ac:dyDescent="0.25">
      <c r="A57" s="13" t="str">
        <f>IF(54&lt;=Calculator!$C$11,54,"")</f>
        <v/>
      </c>
      <c r="B57" s="14" t="str">
        <f>IF($A57="","",_Engine!$E78)</f>
        <v/>
      </c>
      <c r="C57" s="14" t="str">
        <f>IF($A57="","",$B57-Calculator!$C$9)</f>
        <v/>
      </c>
      <c r="D57" s="14" t="str">
        <f>IF($A57="","",IF($A57&lt;Calculator!$C$11,_Engine!$B$5,0))</f>
        <v/>
      </c>
      <c r="E57" s="14" t="str">
        <f>IF($A57="","",_Engine!$G78)</f>
        <v/>
      </c>
      <c r="F57" s="15" t="str">
        <f>IF($A57="","",$E57-Calculator!$C$9)</f>
        <v/>
      </c>
    </row>
    <row r="58" spans="1:6" x14ac:dyDescent="0.25">
      <c r="A58" s="13" t="str">
        <f>IF(55&lt;=Calculator!$C$11,55,"")</f>
        <v/>
      </c>
      <c r="B58" s="14" t="str">
        <f>IF($A58="","",_Engine!$E79)</f>
        <v/>
      </c>
      <c r="C58" s="14" t="str">
        <f>IF($A58="","",$B58-Calculator!$C$9)</f>
        <v/>
      </c>
      <c r="D58" s="14" t="str">
        <f>IF($A58="","",IF($A58&lt;Calculator!$C$11,_Engine!$B$5,0))</f>
        <v/>
      </c>
      <c r="E58" s="14" t="str">
        <f>IF($A58="","",_Engine!$G79)</f>
        <v/>
      </c>
      <c r="F58" s="15" t="str">
        <f>IF($A58="","",$E58-Calculator!$C$9)</f>
        <v/>
      </c>
    </row>
    <row r="59" spans="1:6" x14ac:dyDescent="0.25">
      <c r="A59" s="13" t="str">
        <f>IF(56&lt;=Calculator!$C$11,56,"")</f>
        <v/>
      </c>
      <c r="B59" s="14" t="str">
        <f>IF($A59="","",_Engine!$E80)</f>
        <v/>
      </c>
      <c r="C59" s="14" t="str">
        <f>IF($A59="","",$B59-Calculator!$C$9)</f>
        <v/>
      </c>
      <c r="D59" s="14" t="str">
        <f>IF($A59="","",IF($A59&lt;Calculator!$C$11,_Engine!$B$5,0))</f>
        <v/>
      </c>
      <c r="E59" s="14" t="str">
        <f>IF($A59="","",_Engine!$G80)</f>
        <v/>
      </c>
      <c r="F59" s="15" t="str">
        <f>IF($A59="","",$E59-Calculator!$C$9)</f>
        <v/>
      </c>
    </row>
    <row r="60" spans="1:6" x14ac:dyDescent="0.25">
      <c r="A60" s="13" t="str">
        <f>IF(57&lt;=Calculator!$C$11,57,"")</f>
        <v/>
      </c>
      <c r="B60" s="14" t="str">
        <f>IF($A60="","",_Engine!$E81)</f>
        <v/>
      </c>
      <c r="C60" s="14" t="str">
        <f>IF($A60="","",$B60-Calculator!$C$9)</f>
        <v/>
      </c>
      <c r="D60" s="14" t="str">
        <f>IF($A60="","",IF($A60&lt;Calculator!$C$11,_Engine!$B$5,0))</f>
        <v/>
      </c>
      <c r="E60" s="14" t="str">
        <f>IF($A60="","",_Engine!$G81)</f>
        <v/>
      </c>
      <c r="F60" s="15" t="str">
        <f>IF($A60="","",$E60-Calculator!$C$9)</f>
        <v/>
      </c>
    </row>
    <row r="61" spans="1:6" x14ac:dyDescent="0.25">
      <c r="A61" s="13" t="str">
        <f>IF(58&lt;=Calculator!$C$11,58,"")</f>
        <v/>
      </c>
      <c r="B61" s="14" t="str">
        <f>IF($A61="","",_Engine!$E82)</f>
        <v/>
      </c>
      <c r="C61" s="14" t="str">
        <f>IF($A61="","",$B61-Calculator!$C$9)</f>
        <v/>
      </c>
      <c r="D61" s="14" t="str">
        <f>IF($A61="","",IF($A61&lt;Calculator!$C$11,_Engine!$B$5,0))</f>
        <v/>
      </c>
      <c r="E61" s="14" t="str">
        <f>IF($A61="","",_Engine!$G82)</f>
        <v/>
      </c>
      <c r="F61" s="15" t="str">
        <f>IF($A61="","",$E61-Calculator!$C$9)</f>
        <v/>
      </c>
    </row>
    <row r="62" spans="1:6" x14ac:dyDescent="0.25">
      <c r="A62" s="13" t="str">
        <f>IF(59&lt;=Calculator!$C$11,59,"")</f>
        <v/>
      </c>
      <c r="B62" s="14" t="str">
        <f>IF($A62="","",_Engine!$E83)</f>
        <v/>
      </c>
      <c r="C62" s="14" t="str">
        <f>IF($A62="","",$B62-Calculator!$C$9)</f>
        <v/>
      </c>
      <c r="D62" s="14" t="str">
        <f>IF($A62="","",IF($A62&lt;Calculator!$C$11,_Engine!$B$5,0))</f>
        <v/>
      </c>
      <c r="E62" s="14" t="str">
        <f>IF($A62="","",_Engine!$G83)</f>
        <v/>
      </c>
      <c r="F62" s="15" t="str">
        <f>IF($A62="","",$E62-Calculator!$C$9)</f>
        <v/>
      </c>
    </row>
    <row r="63" spans="1:6" x14ac:dyDescent="0.25">
      <c r="A63" s="13" t="str">
        <f>IF(60&lt;=Calculator!$C$11,60,"")</f>
        <v/>
      </c>
      <c r="B63" s="14" t="str">
        <f>IF($A63="","",_Engine!$E84)</f>
        <v/>
      </c>
      <c r="C63" s="14" t="str">
        <f>IF($A63="","",$B63-Calculator!$C$9)</f>
        <v/>
      </c>
      <c r="D63" s="14" t="str">
        <f>IF($A63="","",IF($A63&lt;Calculator!$C$11,_Engine!$B$5,0))</f>
        <v/>
      </c>
      <c r="E63" s="14" t="str">
        <f>IF($A63="","",_Engine!$G84)</f>
        <v/>
      </c>
      <c r="F63" s="15" t="str">
        <f>IF($A63="","",$E63-Calculator!$C$9)</f>
        <v/>
      </c>
    </row>
    <row r="64" spans="1:6" x14ac:dyDescent="0.25">
      <c r="A64" s="13" t="str">
        <f>IF(61&lt;=Calculator!$C$11,61,"")</f>
        <v/>
      </c>
      <c r="B64" s="14" t="str">
        <f>IF($A64="","",_Engine!$E85)</f>
        <v/>
      </c>
      <c r="C64" s="14" t="str">
        <f>IF($A64="","",$B64-Calculator!$C$9)</f>
        <v/>
      </c>
      <c r="D64" s="14" t="str">
        <f>IF($A64="","",IF($A64&lt;Calculator!$C$11,_Engine!$B$5,0))</f>
        <v/>
      </c>
      <c r="E64" s="14" t="str">
        <f>IF($A64="","",_Engine!$G85)</f>
        <v/>
      </c>
      <c r="F64" s="15" t="str">
        <f>IF($A64="","",$E64-Calculator!$C$9)</f>
        <v/>
      </c>
    </row>
    <row r="65" spans="1:6" x14ac:dyDescent="0.25">
      <c r="A65" s="13" t="str">
        <f>IF(62&lt;=Calculator!$C$11,62,"")</f>
        <v/>
      </c>
      <c r="B65" s="14" t="str">
        <f>IF($A65="","",_Engine!$E86)</f>
        <v/>
      </c>
      <c r="C65" s="14" t="str">
        <f>IF($A65="","",$B65-Calculator!$C$9)</f>
        <v/>
      </c>
      <c r="D65" s="14" t="str">
        <f>IF($A65="","",IF($A65&lt;Calculator!$C$11,_Engine!$B$5,0))</f>
        <v/>
      </c>
      <c r="E65" s="14" t="str">
        <f>IF($A65="","",_Engine!$G86)</f>
        <v/>
      </c>
      <c r="F65" s="15" t="str">
        <f>IF($A65="","",$E65-Calculator!$C$9)</f>
        <v/>
      </c>
    </row>
    <row r="66" spans="1:6" x14ac:dyDescent="0.25">
      <c r="A66" s="13" t="str">
        <f>IF(63&lt;=Calculator!$C$11,63,"")</f>
        <v/>
      </c>
      <c r="B66" s="14" t="str">
        <f>IF($A66="","",_Engine!$E87)</f>
        <v/>
      </c>
      <c r="C66" s="14" t="str">
        <f>IF($A66="","",$B66-Calculator!$C$9)</f>
        <v/>
      </c>
      <c r="D66" s="14" t="str">
        <f>IF($A66="","",IF($A66&lt;Calculator!$C$11,_Engine!$B$5,0))</f>
        <v/>
      </c>
      <c r="E66" s="14" t="str">
        <f>IF($A66="","",_Engine!$G87)</f>
        <v/>
      </c>
      <c r="F66" s="15" t="str">
        <f>IF($A66="","",$E66-Calculator!$C$9)</f>
        <v/>
      </c>
    </row>
    <row r="67" spans="1:6" x14ac:dyDescent="0.25">
      <c r="A67" s="13" t="str">
        <f>IF(64&lt;=Calculator!$C$11,64,"")</f>
        <v/>
      </c>
      <c r="B67" s="14" t="str">
        <f>IF($A67="","",_Engine!$E88)</f>
        <v/>
      </c>
      <c r="C67" s="14" t="str">
        <f>IF($A67="","",$B67-Calculator!$C$9)</f>
        <v/>
      </c>
      <c r="D67" s="14" t="str">
        <f>IF($A67="","",IF($A67&lt;Calculator!$C$11,_Engine!$B$5,0))</f>
        <v/>
      </c>
      <c r="E67" s="14" t="str">
        <f>IF($A67="","",_Engine!$G88)</f>
        <v/>
      </c>
      <c r="F67" s="15" t="str">
        <f>IF($A67="","",$E67-Calculator!$C$9)</f>
        <v/>
      </c>
    </row>
    <row r="68" spans="1:6" x14ac:dyDescent="0.25">
      <c r="A68" s="13" t="str">
        <f>IF(65&lt;=Calculator!$C$11,65,"")</f>
        <v/>
      </c>
      <c r="B68" s="14" t="str">
        <f>IF($A68="","",_Engine!$E89)</f>
        <v/>
      </c>
      <c r="C68" s="14" t="str">
        <f>IF($A68="","",$B68-Calculator!$C$9)</f>
        <v/>
      </c>
      <c r="D68" s="14" t="str">
        <f>IF($A68="","",IF($A68&lt;Calculator!$C$11,_Engine!$B$5,0))</f>
        <v/>
      </c>
      <c r="E68" s="14" t="str">
        <f>IF($A68="","",_Engine!$G89)</f>
        <v/>
      </c>
      <c r="F68" s="15" t="str">
        <f>IF($A68="","",$E68-Calculator!$C$9)</f>
        <v/>
      </c>
    </row>
    <row r="69" spans="1:6" x14ac:dyDescent="0.25">
      <c r="A69" s="13" t="str">
        <f>IF(66&lt;=Calculator!$C$11,66,"")</f>
        <v/>
      </c>
      <c r="B69" s="14" t="str">
        <f>IF($A69="","",_Engine!$E90)</f>
        <v/>
      </c>
      <c r="C69" s="14" t="str">
        <f>IF($A69="","",$B69-Calculator!$C$9)</f>
        <v/>
      </c>
      <c r="D69" s="14" t="str">
        <f>IF($A69="","",IF($A69&lt;Calculator!$C$11,_Engine!$B$5,0))</f>
        <v/>
      </c>
      <c r="E69" s="14" t="str">
        <f>IF($A69="","",_Engine!$G90)</f>
        <v/>
      </c>
      <c r="F69" s="15" t="str">
        <f>IF($A69="","",$E69-Calculator!$C$9)</f>
        <v/>
      </c>
    </row>
    <row r="70" spans="1:6" x14ac:dyDescent="0.25">
      <c r="A70" s="13" t="str">
        <f>IF(67&lt;=Calculator!$C$11,67,"")</f>
        <v/>
      </c>
      <c r="B70" s="14" t="str">
        <f>IF($A70="","",_Engine!$E91)</f>
        <v/>
      </c>
      <c r="C70" s="14" t="str">
        <f>IF($A70="","",$B70-Calculator!$C$9)</f>
        <v/>
      </c>
      <c r="D70" s="14" t="str">
        <f>IF($A70="","",IF($A70&lt;Calculator!$C$11,_Engine!$B$5,0))</f>
        <v/>
      </c>
      <c r="E70" s="14" t="str">
        <f>IF($A70="","",_Engine!$G91)</f>
        <v/>
      </c>
      <c r="F70" s="15" t="str">
        <f>IF($A70="","",$E70-Calculator!$C$9)</f>
        <v/>
      </c>
    </row>
    <row r="71" spans="1:6" x14ac:dyDescent="0.25">
      <c r="A71" s="13" t="str">
        <f>IF(68&lt;=Calculator!$C$11,68,"")</f>
        <v/>
      </c>
      <c r="B71" s="14" t="str">
        <f>IF($A71="","",_Engine!$E92)</f>
        <v/>
      </c>
      <c r="C71" s="14" t="str">
        <f>IF($A71="","",$B71-Calculator!$C$9)</f>
        <v/>
      </c>
      <c r="D71" s="14" t="str">
        <f>IF($A71="","",IF($A71&lt;Calculator!$C$11,_Engine!$B$5,0))</f>
        <v/>
      </c>
      <c r="E71" s="14" t="str">
        <f>IF($A71="","",_Engine!$G92)</f>
        <v/>
      </c>
      <c r="F71" s="15" t="str">
        <f>IF($A71="","",$E71-Calculator!$C$9)</f>
        <v/>
      </c>
    </row>
    <row r="72" spans="1:6" x14ac:dyDescent="0.25">
      <c r="A72" s="13" t="str">
        <f>IF(69&lt;=Calculator!$C$11,69,"")</f>
        <v/>
      </c>
      <c r="B72" s="14" t="str">
        <f>IF($A72="","",_Engine!$E93)</f>
        <v/>
      </c>
      <c r="C72" s="14" t="str">
        <f>IF($A72="","",$B72-Calculator!$C$9)</f>
        <v/>
      </c>
      <c r="D72" s="14" t="str">
        <f>IF($A72="","",IF($A72&lt;Calculator!$C$11,_Engine!$B$5,0))</f>
        <v/>
      </c>
      <c r="E72" s="14" t="str">
        <f>IF($A72="","",_Engine!$G93)</f>
        <v/>
      </c>
      <c r="F72" s="15" t="str">
        <f>IF($A72="","",$E72-Calculator!$C$9)</f>
        <v/>
      </c>
    </row>
    <row r="73" spans="1:6" x14ac:dyDescent="0.25">
      <c r="A73" s="13" t="str">
        <f>IF(70&lt;=Calculator!$C$11,70,"")</f>
        <v/>
      </c>
      <c r="B73" s="14" t="str">
        <f>IF($A73="","",_Engine!$E94)</f>
        <v/>
      </c>
      <c r="C73" s="14" t="str">
        <f>IF($A73="","",$B73-Calculator!$C$9)</f>
        <v/>
      </c>
      <c r="D73" s="14" t="str">
        <f>IF($A73="","",IF($A73&lt;Calculator!$C$11,_Engine!$B$5,0))</f>
        <v/>
      </c>
      <c r="E73" s="14" t="str">
        <f>IF($A73="","",_Engine!$G94)</f>
        <v/>
      </c>
      <c r="F73" s="15" t="str">
        <f>IF($A73="","",$E73-Calculator!$C$9)</f>
        <v/>
      </c>
    </row>
    <row r="74" spans="1:6" x14ac:dyDescent="0.25">
      <c r="A74" s="13" t="str">
        <f>IF(71&lt;=Calculator!$C$11,71,"")</f>
        <v/>
      </c>
      <c r="B74" s="14" t="str">
        <f>IF($A74="","",_Engine!$E95)</f>
        <v/>
      </c>
      <c r="C74" s="14" t="str">
        <f>IF($A74="","",$B74-Calculator!$C$9)</f>
        <v/>
      </c>
      <c r="D74" s="14" t="str">
        <f>IF($A74="","",IF($A74&lt;Calculator!$C$11,_Engine!$B$5,0))</f>
        <v/>
      </c>
      <c r="E74" s="14" t="str">
        <f>IF($A74="","",_Engine!$G95)</f>
        <v/>
      </c>
      <c r="F74" s="15" t="str">
        <f>IF($A74="","",$E74-Calculator!$C$9)</f>
        <v/>
      </c>
    </row>
    <row r="75" spans="1:6" x14ac:dyDescent="0.25">
      <c r="A75" s="13" t="str">
        <f>IF(72&lt;=Calculator!$C$11,72,"")</f>
        <v/>
      </c>
      <c r="B75" s="14" t="str">
        <f>IF($A75="","",_Engine!$E96)</f>
        <v/>
      </c>
      <c r="C75" s="14" t="str">
        <f>IF($A75="","",$B75-Calculator!$C$9)</f>
        <v/>
      </c>
      <c r="D75" s="14" t="str">
        <f>IF($A75="","",IF($A75&lt;Calculator!$C$11,_Engine!$B$5,0))</f>
        <v/>
      </c>
      <c r="E75" s="14" t="str">
        <f>IF($A75="","",_Engine!$G96)</f>
        <v/>
      </c>
      <c r="F75" s="15" t="str">
        <f>IF($A75="","",$E75-Calculator!$C$9)</f>
        <v/>
      </c>
    </row>
    <row r="76" spans="1:6" x14ac:dyDescent="0.25">
      <c r="A76" s="13" t="str">
        <f>IF(73&lt;=Calculator!$C$11,73,"")</f>
        <v/>
      </c>
      <c r="B76" s="14" t="str">
        <f>IF($A76="","",_Engine!$E97)</f>
        <v/>
      </c>
      <c r="C76" s="14" t="str">
        <f>IF($A76="","",$B76-Calculator!$C$9)</f>
        <v/>
      </c>
      <c r="D76" s="14" t="str">
        <f>IF($A76="","",IF($A76&lt;Calculator!$C$11,_Engine!$B$5,0))</f>
        <v/>
      </c>
      <c r="E76" s="14" t="str">
        <f>IF($A76="","",_Engine!$G97)</f>
        <v/>
      </c>
      <c r="F76" s="15" t="str">
        <f>IF($A76="","",$E76-Calculator!$C$9)</f>
        <v/>
      </c>
    </row>
    <row r="77" spans="1:6" x14ac:dyDescent="0.25">
      <c r="A77" s="13" t="str">
        <f>IF(74&lt;=Calculator!$C$11,74,"")</f>
        <v/>
      </c>
      <c r="B77" s="14" t="str">
        <f>IF($A77="","",_Engine!$E98)</f>
        <v/>
      </c>
      <c r="C77" s="14" t="str">
        <f>IF($A77="","",$B77-Calculator!$C$9)</f>
        <v/>
      </c>
      <c r="D77" s="14" t="str">
        <f>IF($A77="","",IF($A77&lt;Calculator!$C$11,_Engine!$B$5,0))</f>
        <v/>
      </c>
      <c r="E77" s="14" t="str">
        <f>IF($A77="","",_Engine!$G98)</f>
        <v/>
      </c>
      <c r="F77" s="15" t="str">
        <f>IF($A77="","",$E77-Calculator!$C$9)</f>
        <v/>
      </c>
    </row>
    <row r="78" spans="1:6" x14ac:dyDescent="0.25">
      <c r="A78" s="13" t="str">
        <f>IF(75&lt;=Calculator!$C$11,75,"")</f>
        <v/>
      </c>
      <c r="B78" s="14" t="str">
        <f>IF($A78="","",_Engine!$E99)</f>
        <v/>
      </c>
      <c r="C78" s="14" t="str">
        <f>IF($A78="","",$B78-Calculator!$C$9)</f>
        <v/>
      </c>
      <c r="D78" s="14" t="str">
        <f>IF($A78="","",IF($A78&lt;Calculator!$C$11,_Engine!$B$5,0))</f>
        <v/>
      </c>
      <c r="E78" s="14" t="str">
        <f>IF($A78="","",_Engine!$G99)</f>
        <v/>
      </c>
      <c r="F78" s="15" t="str">
        <f>IF($A78="","",$E78-Calculator!$C$9)</f>
        <v/>
      </c>
    </row>
    <row r="79" spans="1:6" x14ac:dyDescent="0.25">
      <c r="A79" s="13" t="str">
        <f>IF(76&lt;=Calculator!$C$11,76,"")</f>
        <v/>
      </c>
      <c r="B79" s="14" t="str">
        <f>IF($A79="","",_Engine!$E100)</f>
        <v/>
      </c>
      <c r="C79" s="14" t="str">
        <f>IF($A79="","",$B79-Calculator!$C$9)</f>
        <v/>
      </c>
      <c r="D79" s="14" t="str">
        <f>IF($A79="","",IF($A79&lt;Calculator!$C$11,_Engine!$B$5,0))</f>
        <v/>
      </c>
      <c r="E79" s="14" t="str">
        <f>IF($A79="","",_Engine!$G100)</f>
        <v/>
      </c>
      <c r="F79" s="15" t="str">
        <f>IF($A79="","",$E79-Calculator!$C$9)</f>
        <v/>
      </c>
    </row>
    <row r="80" spans="1:6" x14ac:dyDescent="0.25">
      <c r="A80" s="13" t="str">
        <f>IF(77&lt;=Calculator!$C$11,77,"")</f>
        <v/>
      </c>
      <c r="B80" s="14" t="str">
        <f>IF($A80="","",_Engine!$E101)</f>
        <v/>
      </c>
      <c r="C80" s="14" t="str">
        <f>IF($A80="","",$B80-Calculator!$C$9)</f>
        <v/>
      </c>
      <c r="D80" s="14" t="str">
        <f>IF($A80="","",IF($A80&lt;Calculator!$C$11,_Engine!$B$5,0))</f>
        <v/>
      </c>
      <c r="E80" s="14" t="str">
        <f>IF($A80="","",_Engine!$G101)</f>
        <v/>
      </c>
      <c r="F80" s="15" t="str">
        <f>IF($A80="","",$E80-Calculator!$C$9)</f>
        <v/>
      </c>
    </row>
    <row r="81" spans="1:6" x14ac:dyDescent="0.25">
      <c r="A81" s="13" t="str">
        <f>IF(78&lt;=Calculator!$C$11,78,"")</f>
        <v/>
      </c>
      <c r="B81" s="14" t="str">
        <f>IF($A81="","",_Engine!$E102)</f>
        <v/>
      </c>
      <c r="C81" s="14" t="str">
        <f>IF($A81="","",$B81-Calculator!$C$9)</f>
        <v/>
      </c>
      <c r="D81" s="14" t="str">
        <f>IF($A81="","",IF($A81&lt;Calculator!$C$11,_Engine!$B$5,0))</f>
        <v/>
      </c>
      <c r="E81" s="14" t="str">
        <f>IF($A81="","",_Engine!$G102)</f>
        <v/>
      </c>
      <c r="F81" s="15" t="str">
        <f>IF($A81="","",$E81-Calculator!$C$9)</f>
        <v/>
      </c>
    </row>
    <row r="82" spans="1:6" x14ac:dyDescent="0.25">
      <c r="A82" s="13" t="str">
        <f>IF(79&lt;=Calculator!$C$11,79,"")</f>
        <v/>
      </c>
      <c r="B82" s="14" t="str">
        <f>IF($A82="","",_Engine!$E103)</f>
        <v/>
      </c>
      <c r="C82" s="14" t="str">
        <f>IF($A82="","",$B82-Calculator!$C$9)</f>
        <v/>
      </c>
      <c r="D82" s="14" t="str">
        <f>IF($A82="","",IF($A82&lt;Calculator!$C$11,_Engine!$B$5,0))</f>
        <v/>
      </c>
      <c r="E82" s="14" t="str">
        <f>IF($A82="","",_Engine!$G103)</f>
        <v/>
      </c>
      <c r="F82" s="15" t="str">
        <f>IF($A82="","",$E82-Calculator!$C$9)</f>
        <v/>
      </c>
    </row>
    <row r="83" spans="1:6" x14ac:dyDescent="0.25">
      <c r="A83" s="13" t="str">
        <f>IF(80&lt;=Calculator!$C$11,80,"")</f>
        <v/>
      </c>
      <c r="B83" s="14" t="str">
        <f>IF($A83="","",_Engine!$E104)</f>
        <v/>
      </c>
      <c r="C83" s="14" t="str">
        <f>IF($A83="","",$B83-Calculator!$C$9)</f>
        <v/>
      </c>
      <c r="D83" s="14" t="str">
        <f>IF($A83="","",IF($A83&lt;Calculator!$C$11,_Engine!$B$5,0))</f>
        <v/>
      </c>
      <c r="E83" s="14" t="str">
        <f>IF($A83="","",_Engine!$G104)</f>
        <v/>
      </c>
      <c r="F83" s="15" t="str">
        <f>IF($A83="","",$E83-Calculator!$C$9)</f>
        <v/>
      </c>
    </row>
    <row r="84" spans="1:6" x14ac:dyDescent="0.25">
      <c r="A84" s="13" t="str">
        <f>IF(81&lt;=Calculator!$C$11,81,"")</f>
        <v/>
      </c>
      <c r="B84" s="14" t="str">
        <f>IF($A84="","",_Engine!$E105)</f>
        <v/>
      </c>
      <c r="C84" s="14" t="str">
        <f>IF($A84="","",$B84-Calculator!$C$9)</f>
        <v/>
      </c>
      <c r="D84" s="14" t="str">
        <f>IF($A84="","",IF($A84&lt;Calculator!$C$11,_Engine!$B$5,0))</f>
        <v/>
      </c>
      <c r="E84" s="14" t="str">
        <f>IF($A84="","",_Engine!$G105)</f>
        <v/>
      </c>
      <c r="F84" s="15" t="str">
        <f>IF($A84="","",$E84-Calculator!$C$9)</f>
        <v/>
      </c>
    </row>
    <row r="85" spans="1:6" x14ac:dyDescent="0.25">
      <c r="A85" s="13" t="str">
        <f>IF(82&lt;=Calculator!$C$11,82,"")</f>
        <v/>
      </c>
      <c r="B85" s="14" t="str">
        <f>IF($A85="","",_Engine!$E106)</f>
        <v/>
      </c>
      <c r="C85" s="14" t="str">
        <f>IF($A85="","",$B85-Calculator!$C$9)</f>
        <v/>
      </c>
      <c r="D85" s="14" t="str">
        <f>IF($A85="","",IF($A85&lt;Calculator!$C$11,_Engine!$B$5,0))</f>
        <v/>
      </c>
      <c r="E85" s="14" t="str">
        <f>IF($A85="","",_Engine!$G106)</f>
        <v/>
      </c>
      <c r="F85" s="15" t="str">
        <f>IF($A85="","",$E85-Calculator!$C$9)</f>
        <v/>
      </c>
    </row>
    <row r="86" spans="1:6" x14ac:dyDescent="0.25">
      <c r="A86" s="13" t="str">
        <f>IF(83&lt;=Calculator!$C$11,83,"")</f>
        <v/>
      </c>
      <c r="B86" s="14" t="str">
        <f>IF($A86="","",_Engine!$E107)</f>
        <v/>
      </c>
      <c r="C86" s="14" t="str">
        <f>IF($A86="","",$B86-Calculator!$C$9)</f>
        <v/>
      </c>
      <c r="D86" s="14" t="str">
        <f>IF($A86="","",IF($A86&lt;Calculator!$C$11,_Engine!$B$5,0))</f>
        <v/>
      </c>
      <c r="E86" s="14" t="str">
        <f>IF($A86="","",_Engine!$G107)</f>
        <v/>
      </c>
      <c r="F86" s="15" t="str">
        <f>IF($A86="","",$E86-Calculator!$C$9)</f>
        <v/>
      </c>
    </row>
    <row r="87" spans="1:6" x14ac:dyDescent="0.25">
      <c r="A87" s="13" t="str">
        <f>IF(84&lt;=Calculator!$C$11,84,"")</f>
        <v/>
      </c>
      <c r="B87" s="14" t="str">
        <f>IF($A87="","",_Engine!$E108)</f>
        <v/>
      </c>
      <c r="C87" s="14" t="str">
        <f>IF($A87="","",$B87-Calculator!$C$9)</f>
        <v/>
      </c>
      <c r="D87" s="14" t="str">
        <f>IF($A87="","",IF($A87&lt;Calculator!$C$11,_Engine!$B$5,0))</f>
        <v/>
      </c>
      <c r="E87" s="14" t="str">
        <f>IF($A87="","",_Engine!$G108)</f>
        <v/>
      </c>
      <c r="F87" s="15" t="str">
        <f>IF($A87="","",$E87-Calculator!$C$9)</f>
        <v/>
      </c>
    </row>
    <row r="88" spans="1:6" x14ac:dyDescent="0.25">
      <c r="A88" s="13" t="str">
        <f>IF(85&lt;=Calculator!$C$11,85,"")</f>
        <v/>
      </c>
      <c r="B88" s="14" t="str">
        <f>IF($A88="","",_Engine!$E109)</f>
        <v/>
      </c>
      <c r="C88" s="14" t="str">
        <f>IF($A88="","",$B88-Calculator!$C$9)</f>
        <v/>
      </c>
      <c r="D88" s="14" t="str">
        <f>IF($A88="","",IF($A88&lt;Calculator!$C$11,_Engine!$B$5,0))</f>
        <v/>
      </c>
      <c r="E88" s="14" t="str">
        <f>IF($A88="","",_Engine!$G109)</f>
        <v/>
      </c>
      <c r="F88" s="15" t="str">
        <f>IF($A88="","",$E88-Calculator!$C$9)</f>
        <v/>
      </c>
    </row>
    <row r="89" spans="1:6" x14ac:dyDescent="0.25">
      <c r="A89" s="13" t="str">
        <f>IF(86&lt;=Calculator!$C$11,86,"")</f>
        <v/>
      </c>
      <c r="B89" s="14" t="str">
        <f>IF($A89="","",_Engine!$E110)</f>
        <v/>
      </c>
      <c r="C89" s="14" t="str">
        <f>IF($A89="","",$B89-Calculator!$C$9)</f>
        <v/>
      </c>
      <c r="D89" s="14" t="str">
        <f>IF($A89="","",IF($A89&lt;Calculator!$C$11,_Engine!$B$5,0))</f>
        <v/>
      </c>
      <c r="E89" s="14" t="str">
        <f>IF($A89="","",_Engine!$G110)</f>
        <v/>
      </c>
      <c r="F89" s="15" t="str">
        <f>IF($A89="","",$E89-Calculator!$C$9)</f>
        <v/>
      </c>
    </row>
    <row r="90" spans="1:6" x14ac:dyDescent="0.25">
      <c r="A90" s="13" t="str">
        <f>IF(87&lt;=Calculator!$C$11,87,"")</f>
        <v/>
      </c>
      <c r="B90" s="14" t="str">
        <f>IF($A90="","",_Engine!$E111)</f>
        <v/>
      </c>
      <c r="C90" s="14" t="str">
        <f>IF($A90="","",$B90-Calculator!$C$9)</f>
        <v/>
      </c>
      <c r="D90" s="14" t="str">
        <f>IF($A90="","",IF($A90&lt;Calculator!$C$11,_Engine!$B$5,0))</f>
        <v/>
      </c>
      <c r="E90" s="14" t="str">
        <f>IF($A90="","",_Engine!$G111)</f>
        <v/>
      </c>
      <c r="F90" s="15" t="str">
        <f>IF($A90="","",$E90-Calculator!$C$9)</f>
        <v/>
      </c>
    </row>
    <row r="91" spans="1:6" x14ac:dyDescent="0.25">
      <c r="A91" s="13" t="str">
        <f>IF(88&lt;=Calculator!$C$11,88,"")</f>
        <v/>
      </c>
      <c r="B91" s="14" t="str">
        <f>IF($A91="","",_Engine!$E112)</f>
        <v/>
      </c>
      <c r="C91" s="14" t="str">
        <f>IF($A91="","",$B91-Calculator!$C$9)</f>
        <v/>
      </c>
      <c r="D91" s="14" t="str">
        <f>IF($A91="","",IF($A91&lt;Calculator!$C$11,_Engine!$B$5,0))</f>
        <v/>
      </c>
      <c r="E91" s="14" t="str">
        <f>IF($A91="","",_Engine!$G112)</f>
        <v/>
      </c>
      <c r="F91" s="15" t="str">
        <f>IF($A91="","",$E91-Calculator!$C$9)</f>
        <v/>
      </c>
    </row>
    <row r="92" spans="1:6" x14ac:dyDescent="0.25">
      <c r="A92" s="13" t="str">
        <f>IF(89&lt;=Calculator!$C$11,89,"")</f>
        <v/>
      </c>
      <c r="B92" s="14" t="str">
        <f>IF($A92="","",_Engine!$E113)</f>
        <v/>
      </c>
      <c r="C92" s="14" t="str">
        <f>IF($A92="","",$B92-Calculator!$C$9)</f>
        <v/>
      </c>
      <c r="D92" s="14" t="str">
        <f>IF($A92="","",IF($A92&lt;Calculator!$C$11,_Engine!$B$5,0))</f>
        <v/>
      </c>
      <c r="E92" s="14" t="str">
        <f>IF($A92="","",_Engine!$G113)</f>
        <v/>
      </c>
      <c r="F92" s="15" t="str">
        <f>IF($A92="","",$E92-Calculator!$C$9)</f>
        <v/>
      </c>
    </row>
    <row r="93" spans="1:6" x14ac:dyDescent="0.25">
      <c r="A93" s="13" t="str">
        <f>IF(90&lt;=Calculator!$C$11,90,"")</f>
        <v/>
      </c>
      <c r="B93" s="14" t="str">
        <f>IF($A93="","",_Engine!$E114)</f>
        <v/>
      </c>
      <c r="C93" s="14" t="str">
        <f>IF($A93="","",$B93-Calculator!$C$9)</f>
        <v/>
      </c>
      <c r="D93" s="14" t="str">
        <f>IF($A93="","",IF($A93&lt;Calculator!$C$11,_Engine!$B$5,0))</f>
        <v/>
      </c>
      <c r="E93" s="14" t="str">
        <f>IF($A93="","",_Engine!$G114)</f>
        <v/>
      </c>
      <c r="F93" s="15" t="str">
        <f>IF($A93="","",$E93-Calculator!$C$9)</f>
        <v/>
      </c>
    </row>
    <row r="94" spans="1:6" x14ac:dyDescent="0.25">
      <c r="A94" s="13" t="str">
        <f>IF(91&lt;=Calculator!$C$11,91,"")</f>
        <v/>
      </c>
      <c r="B94" s="14" t="str">
        <f>IF($A94="","",_Engine!$E115)</f>
        <v/>
      </c>
      <c r="C94" s="14" t="str">
        <f>IF($A94="","",$B94-Calculator!$C$9)</f>
        <v/>
      </c>
      <c r="D94" s="14" t="str">
        <f>IF($A94="","",IF($A94&lt;Calculator!$C$11,_Engine!$B$5,0))</f>
        <v/>
      </c>
      <c r="E94" s="14" t="str">
        <f>IF($A94="","",_Engine!$G115)</f>
        <v/>
      </c>
      <c r="F94" s="15" t="str">
        <f>IF($A94="","",$E94-Calculator!$C$9)</f>
        <v/>
      </c>
    </row>
    <row r="95" spans="1:6" x14ac:dyDescent="0.25">
      <c r="A95" s="13" t="str">
        <f>IF(92&lt;=Calculator!$C$11,92,"")</f>
        <v/>
      </c>
      <c r="B95" s="14" t="str">
        <f>IF($A95="","",_Engine!$E116)</f>
        <v/>
      </c>
      <c r="C95" s="14" t="str">
        <f>IF($A95="","",$B95-Calculator!$C$9)</f>
        <v/>
      </c>
      <c r="D95" s="14" t="str">
        <f>IF($A95="","",IF($A95&lt;Calculator!$C$11,_Engine!$B$5,0))</f>
        <v/>
      </c>
      <c r="E95" s="14" t="str">
        <f>IF($A95="","",_Engine!$G116)</f>
        <v/>
      </c>
      <c r="F95" s="15" t="str">
        <f>IF($A95="","",$E95-Calculator!$C$9)</f>
        <v/>
      </c>
    </row>
    <row r="96" spans="1:6" x14ac:dyDescent="0.25">
      <c r="A96" s="13" t="str">
        <f>IF(93&lt;=Calculator!$C$11,93,"")</f>
        <v/>
      </c>
      <c r="B96" s="14" t="str">
        <f>IF($A96="","",_Engine!$E117)</f>
        <v/>
      </c>
      <c r="C96" s="14" t="str">
        <f>IF($A96="","",$B96-Calculator!$C$9)</f>
        <v/>
      </c>
      <c r="D96" s="14" t="str">
        <f>IF($A96="","",IF($A96&lt;Calculator!$C$11,_Engine!$B$5,0))</f>
        <v/>
      </c>
      <c r="E96" s="14" t="str">
        <f>IF($A96="","",_Engine!$G117)</f>
        <v/>
      </c>
      <c r="F96" s="15" t="str">
        <f>IF($A96="","",$E96-Calculator!$C$9)</f>
        <v/>
      </c>
    </row>
    <row r="97" spans="1:6" x14ac:dyDescent="0.25">
      <c r="A97" s="13" t="str">
        <f>IF(94&lt;=Calculator!$C$11,94,"")</f>
        <v/>
      </c>
      <c r="B97" s="14" t="str">
        <f>IF($A97="","",_Engine!$E118)</f>
        <v/>
      </c>
      <c r="C97" s="14" t="str">
        <f>IF($A97="","",$B97-Calculator!$C$9)</f>
        <v/>
      </c>
      <c r="D97" s="14" t="str">
        <f>IF($A97="","",IF($A97&lt;Calculator!$C$11,_Engine!$B$5,0))</f>
        <v/>
      </c>
      <c r="E97" s="14" t="str">
        <f>IF($A97="","",_Engine!$G118)</f>
        <v/>
      </c>
      <c r="F97" s="15" t="str">
        <f>IF($A97="","",$E97-Calculator!$C$9)</f>
        <v/>
      </c>
    </row>
    <row r="98" spans="1:6" x14ac:dyDescent="0.25">
      <c r="A98" s="13" t="str">
        <f>IF(95&lt;=Calculator!$C$11,95,"")</f>
        <v/>
      </c>
      <c r="B98" s="14" t="str">
        <f>IF($A98="","",_Engine!$E119)</f>
        <v/>
      </c>
      <c r="C98" s="14" t="str">
        <f>IF($A98="","",$B98-Calculator!$C$9)</f>
        <v/>
      </c>
      <c r="D98" s="14" t="str">
        <f>IF($A98="","",IF($A98&lt;Calculator!$C$11,_Engine!$B$5,0))</f>
        <v/>
      </c>
      <c r="E98" s="14" t="str">
        <f>IF($A98="","",_Engine!$G119)</f>
        <v/>
      </c>
      <c r="F98" s="15" t="str">
        <f>IF($A98="","",$E98-Calculator!$C$9)</f>
        <v/>
      </c>
    </row>
    <row r="99" spans="1:6" x14ac:dyDescent="0.25">
      <c r="A99" s="13" t="str">
        <f>IF(96&lt;=Calculator!$C$11,96,"")</f>
        <v/>
      </c>
      <c r="B99" s="14" t="str">
        <f>IF($A99="","",_Engine!$E120)</f>
        <v/>
      </c>
      <c r="C99" s="14" t="str">
        <f>IF($A99="","",$B99-Calculator!$C$9)</f>
        <v/>
      </c>
      <c r="D99" s="14" t="str">
        <f>IF($A99="","",IF($A99&lt;Calculator!$C$11,_Engine!$B$5,0))</f>
        <v/>
      </c>
      <c r="E99" s="14" t="str">
        <f>IF($A99="","",_Engine!$G120)</f>
        <v/>
      </c>
      <c r="F99" s="15" t="str">
        <f>IF($A99="","",$E99-Calculator!$C$9)</f>
        <v/>
      </c>
    </row>
    <row r="100" spans="1:6" x14ac:dyDescent="0.25">
      <c r="A100" s="13" t="str">
        <f>IF(97&lt;=Calculator!$C$11,97,"")</f>
        <v/>
      </c>
      <c r="B100" s="14" t="str">
        <f>IF($A100="","",_Engine!$E121)</f>
        <v/>
      </c>
      <c r="C100" s="14" t="str">
        <f>IF($A100="","",$B100-Calculator!$C$9)</f>
        <v/>
      </c>
      <c r="D100" s="14" t="str">
        <f>IF($A100="","",IF($A100&lt;Calculator!$C$11,_Engine!$B$5,0))</f>
        <v/>
      </c>
      <c r="E100" s="14" t="str">
        <f>IF($A100="","",_Engine!$G121)</f>
        <v/>
      </c>
      <c r="F100" s="15" t="str">
        <f>IF($A100="","",$E100-Calculator!$C$9)</f>
        <v/>
      </c>
    </row>
    <row r="101" spans="1:6" x14ac:dyDescent="0.25">
      <c r="A101" s="13" t="str">
        <f>IF(98&lt;=Calculator!$C$11,98,"")</f>
        <v/>
      </c>
      <c r="B101" s="14" t="str">
        <f>IF($A101="","",_Engine!$E122)</f>
        <v/>
      </c>
      <c r="C101" s="14" t="str">
        <f>IF($A101="","",$B101-Calculator!$C$9)</f>
        <v/>
      </c>
      <c r="D101" s="14" t="str">
        <f>IF($A101="","",IF($A101&lt;Calculator!$C$11,_Engine!$B$5,0))</f>
        <v/>
      </c>
      <c r="E101" s="14" t="str">
        <f>IF($A101="","",_Engine!$G122)</f>
        <v/>
      </c>
      <c r="F101" s="15" t="str">
        <f>IF($A101="","",$E101-Calculator!$C$9)</f>
        <v/>
      </c>
    </row>
    <row r="102" spans="1:6" x14ac:dyDescent="0.25">
      <c r="A102" s="13" t="str">
        <f>IF(99&lt;=Calculator!$C$11,99,"")</f>
        <v/>
      </c>
      <c r="B102" s="14" t="str">
        <f>IF($A102="","",_Engine!$E123)</f>
        <v/>
      </c>
      <c r="C102" s="14" t="str">
        <f>IF($A102="","",$B102-Calculator!$C$9)</f>
        <v/>
      </c>
      <c r="D102" s="14" t="str">
        <f>IF($A102="","",IF($A102&lt;Calculator!$C$11,_Engine!$B$5,0))</f>
        <v/>
      </c>
      <c r="E102" s="14" t="str">
        <f>IF($A102="","",_Engine!$G123)</f>
        <v/>
      </c>
      <c r="F102" s="15" t="str">
        <f>IF($A102="","",$E102-Calculator!$C$9)</f>
        <v/>
      </c>
    </row>
    <row r="103" spans="1:6" x14ac:dyDescent="0.25">
      <c r="A103" s="13" t="str">
        <f>IF(100&lt;=Calculator!$C$11,100,"")</f>
        <v/>
      </c>
      <c r="B103" s="14" t="str">
        <f>IF($A103="","",_Engine!$E124)</f>
        <v/>
      </c>
      <c r="C103" s="14" t="str">
        <f>IF($A103="","",$B103-Calculator!$C$9)</f>
        <v/>
      </c>
      <c r="D103" s="14" t="str">
        <f>IF($A103="","",IF($A103&lt;Calculator!$C$11,_Engine!$B$5,0))</f>
        <v/>
      </c>
      <c r="E103" s="14" t="str">
        <f>IF($A103="","",_Engine!$G124)</f>
        <v/>
      </c>
      <c r="F103" s="15" t="str">
        <f>IF($A103="","",$E103-Calculator!$C$9)</f>
        <v/>
      </c>
    </row>
    <row r="104" spans="1:6" x14ac:dyDescent="0.25">
      <c r="A104" s="13" t="str">
        <f>IF(101&lt;=Calculator!$C$11,101,"")</f>
        <v/>
      </c>
      <c r="B104" s="14" t="str">
        <f>IF($A104="","",_Engine!$E125)</f>
        <v/>
      </c>
      <c r="C104" s="14" t="str">
        <f>IF($A104="","",$B104-Calculator!$C$9)</f>
        <v/>
      </c>
      <c r="D104" s="14" t="str">
        <f>IF($A104="","",IF($A104&lt;Calculator!$C$11,_Engine!$B$5,0))</f>
        <v/>
      </c>
      <c r="E104" s="14" t="str">
        <f>IF($A104="","",_Engine!$G125)</f>
        <v/>
      </c>
      <c r="F104" s="15" t="str">
        <f>IF($A104="","",$E104-Calculator!$C$9)</f>
        <v/>
      </c>
    </row>
    <row r="105" spans="1:6" x14ac:dyDescent="0.25">
      <c r="A105" s="13" t="str">
        <f>IF(102&lt;=Calculator!$C$11,102,"")</f>
        <v/>
      </c>
      <c r="B105" s="14" t="str">
        <f>IF($A105="","",_Engine!$E126)</f>
        <v/>
      </c>
      <c r="C105" s="14" t="str">
        <f>IF($A105="","",$B105-Calculator!$C$9)</f>
        <v/>
      </c>
      <c r="D105" s="14" t="str">
        <f>IF($A105="","",IF($A105&lt;Calculator!$C$11,_Engine!$B$5,0))</f>
        <v/>
      </c>
      <c r="E105" s="14" t="str">
        <f>IF($A105="","",_Engine!$G126)</f>
        <v/>
      </c>
      <c r="F105" s="15" t="str">
        <f>IF($A105="","",$E105-Calculator!$C$9)</f>
        <v/>
      </c>
    </row>
    <row r="106" spans="1:6" x14ac:dyDescent="0.25">
      <c r="A106" s="13" t="str">
        <f>IF(103&lt;=Calculator!$C$11,103,"")</f>
        <v/>
      </c>
      <c r="B106" s="14" t="str">
        <f>IF($A106="","",_Engine!$E127)</f>
        <v/>
      </c>
      <c r="C106" s="14" t="str">
        <f>IF($A106="","",$B106-Calculator!$C$9)</f>
        <v/>
      </c>
      <c r="D106" s="14" t="str">
        <f>IF($A106="","",IF($A106&lt;Calculator!$C$11,_Engine!$B$5,0))</f>
        <v/>
      </c>
      <c r="E106" s="14" t="str">
        <f>IF($A106="","",_Engine!$G127)</f>
        <v/>
      </c>
      <c r="F106" s="15" t="str">
        <f>IF($A106="","",$E106-Calculator!$C$9)</f>
        <v/>
      </c>
    </row>
    <row r="107" spans="1:6" x14ac:dyDescent="0.25">
      <c r="A107" s="13" t="str">
        <f>IF(104&lt;=Calculator!$C$11,104,"")</f>
        <v/>
      </c>
      <c r="B107" s="14" t="str">
        <f>IF($A107="","",_Engine!$E128)</f>
        <v/>
      </c>
      <c r="C107" s="14" t="str">
        <f>IF($A107="","",$B107-Calculator!$C$9)</f>
        <v/>
      </c>
      <c r="D107" s="14" t="str">
        <f>IF($A107="","",IF($A107&lt;Calculator!$C$11,_Engine!$B$5,0))</f>
        <v/>
      </c>
      <c r="E107" s="14" t="str">
        <f>IF($A107="","",_Engine!$G128)</f>
        <v/>
      </c>
      <c r="F107" s="15" t="str">
        <f>IF($A107="","",$E107-Calculator!$C$9)</f>
        <v/>
      </c>
    </row>
    <row r="108" spans="1:6" x14ac:dyDescent="0.25">
      <c r="A108" s="13" t="str">
        <f>IF(105&lt;=Calculator!$C$11,105,"")</f>
        <v/>
      </c>
      <c r="B108" s="14" t="str">
        <f>IF($A108="","",_Engine!$E129)</f>
        <v/>
      </c>
      <c r="C108" s="14" t="str">
        <f>IF($A108="","",$B108-Calculator!$C$9)</f>
        <v/>
      </c>
      <c r="D108" s="14" t="str">
        <f>IF($A108="","",IF($A108&lt;Calculator!$C$11,_Engine!$B$5,0))</f>
        <v/>
      </c>
      <c r="E108" s="14" t="str">
        <f>IF($A108="","",_Engine!$G129)</f>
        <v/>
      </c>
      <c r="F108" s="15" t="str">
        <f>IF($A108="","",$E108-Calculator!$C$9)</f>
        <v/>
      </c>
    </row>
    <row r="109" spans="1:6" x14ac:dyDescent="0.25">
      <c r="A109" s="13" t="str">
        <f>IF(106&lt;=Calculator!$C$11,106,"")</f>
        <v/>
      </c>
      <c r="B109" s="14" t="str">
        <f>IF($A109="","",_Engine!$E130)</f>
        <v/>
      </c>
      <c r="C109" s="14" t="str">
        <f>IF($A109="","",$B109-Calculator!$C$9)</f>
        <v/>
      </c>
      <c r="D109" s="14" t="str">
        <f>IF($A109="","",IF($A109&lt;Calculator!$C$11,_Engine!$B$5,0))</f>
        <v/>
      </c>
      <c r="E109" s="14" t="str">
        <f>IF($A109="","",_Engine!$G130)</f>
        <v/>
      </c>
      <c r="F109" s="15" t="str">
        <f>IF($A109="","",$E109-Calculator!$C$9)</f>
        <v/>
      </c>
    </row>
    <row r="110" spans="1:6" x14ac:dyDescent="0.25">
      <c r="A110" s="13" t="str">
        <f>IF(107&lt;=Calculator!$C$11,107,"")</f>
        <v/>
      </c>
      <c r="B110" s="14" t="str">
        <f>IF($A110="","",_Engine!$E131)</f>
        <v/>
      </c>
      <c r="C110" s="14" t="str">
        <f>IF($A110="","",$B110-Calculator!$C$9)</f>
        <v/>
      </c>
      <c r="D110" s="14" t="str">
        <f>IF($A110="","",IF($A110&lt;Calculator!$C$11,_Engine!$B$5,0))</f>
        <v/>
      </c>
      <c r="E110" s="14" t="str">
        <f>IF($A110="","",_Engine!$G131)</f>
        <v/>
      </c>
      <c r="F110" s="15" t="str">
        <f>IF($A110="","",$E110-Calculator!$C$9)</f>
        <v/>
      </c>
    </row>
    <row r="111" spans="1:6" x14ac:dyDescent="0.25">
      <c r="A111" s="13" t="str">
        <f>IF(108&lt;=Calculator!$C$11,108,"")</f>
        <v/>
      </c>
      <c r="B111" s="14" t="str">
        <f>IF($A111="","",_Engine!$E132)</f>
        <v/>
      </c>
      <c r="C111" s="14" t="str">
        <f>IF($A111="","",$B111-Calculator!$C$9)</f>
        <v/>
      </c>
      <c r="D111" s="14" t="str">
        <f>IF($A111="","",IF($A111&lt;Calculator!$C$11,_Engine!$B$5,0))</f>
        <v/>
      </c>
      <c r="E111" s="14" t="str">
        <f>IF($A111="","",_Engine!$G132)</f>
        <v/>
      </c>
      <c r="F111" s="15" t="str">
        <f>IF($A111="","",$E111-Calculator!$C$9)</f>
        <v/>
      </c>
    </row>
    <row r="112" spans="1:6" x14ac:dyDescent="0.25">
      <c r="A112" s="13" t="str">
        <f>IF(109&lt;=Calculator!$C$11,109,"")</f>
        <v/>
      </c>
      <c r="B112" s="14" t="str">
        <f>IF($A112="","",_Engine!$E133)</f>
        <v/>
      </c>
      <c r="C112" s="14" t="str">
        <f>IF($A112="","",$B112-Calculator!$C$9)</f>
        <v/>
      </c>
      <c r="D112" s="14" t="str">
        <f>IF($A112="","",IF($A112&lt;Calculator!$C$11,_Engine!$B$5,0))</f>
        <v/>
      </c>
      <c r="E112" s="14" t="str">
        <f>IF($A112="","",_Engine!$G133)</f>
        <v/>
      </c>
      <c r="F112" s="15" t="str">
        <f>IF($A112="","",$E112-Calculator!$C$9)</f>
        <v/>
      </c>
    </row>
    <row r="113" spans="1:6" x14ac:dyDescent="0.25">
      <c r="A113" s="13" t="str">
        <f>IF(110&lt;=Calculator!$C$11,110,"")</f>
        <v/>
      </c>
      <c r="B113" s="14" t="str">
        <f>IF($A113="","",_Engine!$E134)</f>
        <v/>
      </c>
      <c r="C113" s="14" t="str">
        <f>IF($A113="","",$B113-Calculator!$C$9)</f>
        <v/>
      </c>
      <c r="D113" s="14" t="str">
        <f>IF($A113="","",IF($A113&lt;Calculator!$C$11,_Engine!$B$5,0))</f>
        <v/>
      </c>
      <c r="E113" s="14" t="str">
        <f>IF($A113="","",_Engine!$G134)</f>
        <v/>
      </c>
      <c r="F113" s="15" t="str">
        <f>IF($A113="","",$E113-Calculator!$C$9)</f>
        <v/>
      </c>
    </row>
    <row r="114" spans="1:6" x14ac:dyDescent="0.25">
      <c r="A114" s="13" t="str">
        <f>IF(111&lt;=Calculator!$C$11,111,"")</f>
        <v/>
      </c>
      <c r="B114" s="14" t="str">
        <f>IF($A114="","",_Engine!$E135)</f>
        <v/>
      </c>
      <c r="C114" s="14" t="str">
        <f>IF($A114="","",$B114-Calculator!$C$9)</f>
        <v/>
      </c>
      <c r="D114" s="14" t="str">
        <f>IF($A114="","",IF($A114&lt;Calculator!$C$11,_Engine!$B$5,0))</f>
        <v/>
      </c>
      <c r="E114" s="14" t="str">
        <f>IF($A114="","",_Engine!$G135)</f>
        <v/>
      </c>
      <c r="F114" s="15" t="str">
        <f>IF($A114="","",$E114-Calculator!$C$9)</f>
        <v/>
      </c>
    </row>
    <row r="115" spans="1:6" x14ac:dyDescent="0.25">
      <c r="A115" s="13" t="str">
        <f>IF(112&lt;=Calculator!$C$11,112,"")</f>
        <v/>
      </c>
      <c r="B115" s="14" t="str">
        <f>IF($A115="","",_Engine!$E136)</f>
        <v/>
      </c>
      <c r="C115" s="14" t="str">
        <f>IF($A115="","",$B115-Calculator!$C$9)</f>
        <v/>
      </c>
      <c r="D115" s="14" t="str">
        <f>IF($A115="","",IF($A115&lt;Calculator!$C$11,_Engine!$B$5,0))</f>
        <v/>
      </c>
      <c r="E115" s="14" t="str">
        <f>IF($A115="","",_Engine!$G136)</f>
        <v/>
      </c>
      <c r="F115" s="15" t="str">
        <f>IF($A115="","",$E115-Calculator!$C$9)</f>
        <v/>
      </c>
    </row>
    <row r="116" spans="1:6" x14ac:dyDescent="0.25">
      <c r="A116" s="13" t="str">
        <f>IF(113&lt;=Calculator!$C$11,113,"")</f>
        <v/>
      </c>
      <c r="B116" s="14" t="str">
        <f>IF($A116="","",_Engine!$E137)</f>
        <v/>
      </c>
      <c r="C116" s="14" t="str">
        <f>IF($A116="","",$B116-Calculator!$C$9)</f>
        <v/>
      </c>
      <c r="D116" s="14" t="str">
        <f>IF($A116="","",IF($A116&lt;Calculator!$C$11,_Engine!$B$5,0))</f>
        <v/>
      </c>
      <c r="E116" s="14" t="str">
        <f>IF($A116="","",_Engine!$G137)</f>
        <v/>
      </c>
      <c r="F116" s="15" t="str">
        <f>IF($A116="","",$E116-Calculator!$C$9)</f>
        <v/>
      </c>
    </row>
    <row r="117" spans="1:6" x14ac:dyDescent="0.25">
      <c r="A117" s="13" t="str">
        <f>IF(114&lt;=Calculator!$C$11,114,"")</f>
        <v/>
      </c>
      <c r="B117" s="14" t="str">
        <f>IF($A117="","",_Engine!$E138)</f>
        <v/>
      </c>
      <c r="C117" s="14" t="str">
        <f>IF($A117="","",$B117-Calculator!$C$9)</f>
        <v/>
      </c>
      <c r="D117" s="14" t="str">
        <f>IF($A117="","",IF($A117&lt;Calculator!$C$11,_Engine!$B$5,0))</f>
        <v/>
      </c>
      <c r="E117" s="14" t="str">
        <f>IF($A117="","",_Engine!$G138)</f>
        <v/>
      </c>
      <c r="F117" s="15" t="str">
        <f>IF($A117="","",$E117-Calculator!$C$9)</f>
        <v/>
      </c>
    </row>
    <row r="118" spans="1:6" x14ac:dyDescent="0.25">
      <c r="A118" s="13" t="str">
        <f>IF(115&lt;=Calculator!$C$11,115,"")</f>
        <v/>
      </c>
      <c r="B118" s="14" t="str">
        <f>IF($A118="","",_Engine!$E139)</f>
        <v/>
      </c>
      <c r="C118" s="14" t="str">
        <f>IF($A118="","",$B118-Calculator!$C$9)</f>
        <v/>
      </c>
      <c r="D118" s="14" t="str">
        <f>IF($A118="","",IF($A118&lt;Calculator!$C$11,_Engine!$B$5,0))</f>
        <v/>
      </c>
      <c r="E118" s="14" t="str">
        <f>IF($A118="","",_Engine!$G139)</f>
        <v/>
      </c>
      <c r="F118" s="15" t="str">
        <f>IF($A118="","",$E118-Calculator!$C$9)</f>
        <v/>
      </c>
    </row>
    <row r="119" spans="1:6" x14ac:dyDescent="0.25">
      <c r="A119" s="13" t="str">
        <f>IF(116&lt;=Calculator!$C$11,116,"")</f>
        <v/>
      </c>
      <c r="B119" s="14" t="str">
        <f>IF($A119="","",_Engine!$E140)</f>
        <v/>
      </c>
      <c r="C119" s="14" t="str">
        <f>IF($A119="","",$B119-Calculator!$C$9)</f>
        <v/>
      </c>
      <c r="D119" s="14" t="str">
        <f>IF($A119="","",IF($A119&lt;Calculator!$C$11,_Engine!$B$5,0))</f>
        <v/>
      </c>
      <c r="E119" s="14" t="str">
        <f>IF($A119="","",_Engine!$G140)</f>
        <v/>
      </c>
      <c r="F119" s="15" t="str">
        <f>IF($A119="","",$E119-Calculator!$C$9)</f>
        <v/>
      </c>
    </row>
    <row r="120" spans="1:6" x14ac:dyDescent="0.25">
      <c r="A120" s="13" t="str">
        <f>IF(117&lt;=Calculator!$C$11,117,"")</f>
        <v/>
      </c>
      <c r="B120" s="14" t="str">
        <f>IF($A120="","",_Engine!$E141)</f>
        <v/>
      </c>
      <c r="C120" s="14" t="str">
        <f>IF($A120="","",$B120-Calculator!$C$9)</f>
        <v/>
      </c>
      <c r="D120" s="14" t="str">
        <f>IF($A120="","",IF($A120&lt;Calculator!$C$11,_Engine!$B$5,0))</f>
        <v/>
      </c>
      <c r="E120" s="14" t="str">
        <f>IF($A120="","",_Engine!$G141)</f>
        <v/>
      </c>
      <c r="F120" s="15" t="str">
        <f>IF($A120="","",$E120-Calculator!$C$9)</f>
        <v/>
      </c>
    </row>
    <row r="121" spans="1:6" x14ac:dyDescent="0.25">
      <c r="A121" s="13" t="str">
        <f>IF(118&lt;=Calculator!$C$11,118,"")</f>
        <v/>
      </c>
      <c r="B121" s="14" t="str">
        <f>IF($A121="","",_Engine!$E142)</f>
        <v/>
      </c>
      <c r="C121" s="14" t="str">
        <f>IF($A121="","",$B121-Calculator!$C$9)</f>
        <v/>
      </c>
      <c r="D121" s="14" t="str">
        <f>IF($A121="","",IF($A121&lt;Calculator!$C$11,_Engine!$B$5,0))</f>
        <v/>
      </c>
      <c r="E121" s="14" t="str">
        <f>IF($A121="","",_Engine!$G142)</f>
        <v/>
      </c>
      <c r="F121" s="15" t="str">
        <f>IF($A121="","",$E121-Calculator!$C$9)</f>
        <v/>
      </c>
    </row>
    <row r="122" spans="1:6" x14ac:dyDescent="0.25">
      <c r="A122" s="13" t="str">
        <f>IF(119&lt;=Calculator!$C$11,119,"")</f>
        <v/>
      </c>
      <c r="B122" s="14" t="str">
        <f>IF($A122="","",_Engine!$E143)</f>
        <v/>
      </c>
      <c r="C122" s="14" t="str">
        <f>IF($A122="","",$B122-Calculator!$C$9)</f>
        <v/>
      </c>
      <c r="D122" s="14" t="str">
        <f>IF($A122="","",IF($A122&lt;Calculator!$C$11,_Engine!$B$5,0))</f>
        <v/>
      </c>
      <c r="E122" s="14" t="str">
        <f>IF($A122="","",_Engine!$G143)</f>
        <v/>
      </c>
      <c r="F122" s="15" t="str">
        <f>IF($A122="","",$E122-Calculator!$C$9)</f>
        <v/>
      </c>
    </row>
    <row r="123" spans="1:6" x14ac:dyDescent="0.25">
      <c r="A123" s="13" t="str">
        <f>IF(120&lt;=Calculator!$C$11,120,"")</f>
        <v/>
      </c>
      <c r="B123" s="14" t="str">
        <f>IF($A123="","",_Engine!$E144)</f>
        <v/>
      </c>
      <c r="C123" s="14" t="str">
        <f>IF($A123="","",$B123-Calculator!$C$9)</f>
        <v/>
      </c>
      <c r="D123" s="14" t="str">
        <f>IF($A123="","",IF($A123&lt;Calculator!$C$11,_Engine!$B$5,0))</f>
        <v/>
      </c>
      <c r="E123" s="14" t="str">
        <f>IF($A123="","",_Engine!$G144)</f>
        <v/>
      </c>
      <c r="F123" s="15" t="str">
        <f>IF($A123="","",$E123-Calculator!$C$9)</f>
        <v/>
      </c>
    </row>
  </sheetData>
  <sheetProtection sheet="1" formatCells="0"/>
  <mergeCells count="2">
    <mergeCell ref="A2:F2"/>
    <mergeCell ref="A1:F1"/>
  </mergeCells>
  <conditionalFormatting sqref="A4:F123">
    <cfRule type="expression" dxfId="1" priority="3">
      <formula>AND($A4&lt;&gt;"",MOD(ROW(),2)=1)</formula>
    </cfRule>
    <cfRule type="expression" dxfId="0" priority="4">
      <formula>$A4&lt;&gt;""</formula>
    </cfRule>
  </conditionalFormatting>
  <pageMargins left="0.75" right="0.75" top="1" bottom="1" header="0.5" footer="0.5"/>
  <pageSetup fitToHeight="0" orientation="portrait"/>
  <headerFooter>
    <oddFooter>&amp;Lneedtheseapps.com&amp;CCD Calculator&amp;RPage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000000-000E-0000-0100-000001000000}">
            <xm:f>AND($A4&lt;&gt;"",$A4=_Engine!$B$7)</xm:f>
            <x14:dxf>
              <font>
                <b/>
                <color rgb="FF12354E"/>
              </font>
              <fill>
                <patternFill patternType="solid">
                  <fgColor rgb="FFD9E8F5"/>
                </patternFill>
              </fill>
              <border>
                <bottom style="thin">
                  <color rgb="FFD6E1EA"/>
                </bottom>
              </border>
            </x14:dxf>
          </x14:cfRule>
          <x14:cfRule type="expression" priority="2" stopIfTrue="1" id="{00000000-000E-0000-0100-000002000000}">
            <xm:f>AND($A4&lt;&gt;"",$A4=_Engine!$B$13)</xm:f>
            <x14:dxf>
              <font>
                <b/>
                <color rgb="FF146540"/>
              </font>
              <fill>
                <patternFill patternType="solid">
                  <fgColor rgb="FFDDF0E5"/>
                </patternFill>
              </fill>
              <border>
                <bottom style="thin">
                  <color rgb="FFD6E1EA"/>
                </bottom>
              </border>
            </x14:dxf>
          </x14:cfRule>
          <xm:sqref>A4:F123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3"/>
  <sheetViews>
    <sheetView showGridLines="0" workbookViewId="0"/>
  </sheetViews>
  <sheetFormatPr defaultRowHeight="15" x14ac:dyDescent="0.25"/>
  <cols>
    <col min="1" max="1" width="2.140625" customWidth="1"/>
    <col min="2" max="2" width="42" customWidth="1"/>
    <col min="3" max="3" width="58" customWidth="1"/>
    <col min="4" max="4" width="2.140625" customWidth="1"/>
  </cols>
  <sheetData>
    <row r="1" spans="1:4" x14ac:dyDescent="0.25">
      <c r="A1" s="1"/>
      <c r="B1" s="1"/>
      <c r="C1" s="1"/>
      <c r="D1" s="1"/>
    </row>
    <row r="2" spans="1:4" ht="32.1" customHeight="1" x14ac:dyDescent="0.25">
      <c r="A2" s="1"/>
      <c r="B2" s="40" t="s">
        <v>36</v>
      </c>
      <c r="C2" s="22"/>
      <c r="D2" s="1"/>
    </row>
    <row r="3" spans="1:4" x14ac:dyDescent="0.25">
      <c r="A3" s="1"/>
      <c r="B3" s="1"/>
      <c r="C3" s="1"/>
      <c r="D3" s="1"/>
    </row>
    <row r="4" spans="1:4" ht="26.1" customHeight="1" x14ac:dyDescent="0.25">
      <c r="A4" s="1"/>
      <c r="B4" s="30" t="s">
        <v>37</v>
      </c>
      <c r="C4" s="22"/>
      <c r="D4" s="1"/>
    </row>
    <row r="5" spans="1:4" ht="27" customHeight="1" x14ac:dyDescent="0.25">
      <c r="A5" s="1"/>
      <c r="B5" s="33" t="s">
        <v>38</v>
      </c>
      <c r="C5" s="22"/>
      <c r="D5" s="1"/>
    </row>
    <row r="6" spans="1:4" ht="27" customHeight="1" x14ac:dyDescent="0.25">
      <c r="A6" s="1"/>
      <c r="B6" s="22"/>
      <c r="C6" s="22"/>
      <c r="D6" s="1"/>
    </row>
    <row r="7" spans="1:4" x14ac:dyDescent="0.25">
      <c r="A7" s="1"/>
      <c r="B7" s="1"/>
      <c r="C7" s="1"/>
      <c r="D7" s="1"/>
    </row>
    <row r="8" spans="1:4" ht="26.1" customHeight="1" x14ac:dyDescent="0.25">
      <c r="A8" s="1"/>
      <c r="B8" s="30" t="s">
        <v>39</v>
      </c>
      <c r="C8" s="22"/>
      <c r="D8" s="1"/>
    </row>
    <row r="9" spans="1:4" ht="32.1" customHeight="1" x14ac:dyDescent="0.25">
      <c r="A9" s="1"/>
      <c r="B9" s="16" t="s">
        <v>40</v>
      </c>
      <c r="C9" s="17" t="s">
        <v>41</v>
      </c>
      <c r="D9" s="1"/>
    </row>
    <row r="10" spans="1:4" ht="32.1" customHeight="1" x14ac:dyDescent="0.25">
      <c r="A10" s="1"/>
      <c r="B10" s="16" t="s">
        <v>42</v>
      </c>
      <c r="C10" s="17" t="s">
        <v>43</v>
      </c>
      <c r="D10" s="1"/>
    </row>
    <row r="11" spans="1:4" ht="21" customHeight="1" x14ac:dyDescent="0.25">
      <c r="A11" s="1"/>
      <c r="B11" s="16" t="s">
        <v>44</v>
      </c>
      <c r="C11" s="17" t="s">
        <v>45</v>
      </c>
      <c r="D11" s="1"/>
    </row>
    <row r="12" spans="1:4" ht="32.1" customHeight="1" x14ac:dyDescent="0.25">
      <c r="A12" s="1"/>
      <c r="B12" s="16" t="s">
        <v>46</v>
      </c>
      <c r="C12" s="17" t="s">
        <v>47</v>
      </c>
      <c r="D12" s="1"/>
    </row>
    <row r="13" spans="1:4" ht="21" customHeight="1" x14ac:dyDescent="0.25">
      <c r="A13" s="1"/>
      <c r="B13" s="16" t="s">
        <v>48</v>
      </c>
      <c r="C13" s="17" t="s">
        <v>49</v>
      </c>
      <c r="D13" s="1"/>
    </row>
    <row r="14" spans="1:4" ht="21" customHeight="1" x14ac:dyDescent="0.25">
      <c r="A14" s="1"/>
      <c r="B14" s="16" t="s">
        <v>50</v>
      </c>
      <c r="C14" s="17" t="s">
        <v>51</v>
      </c>
      <c r="D14" s="1"/>
    </row>
    <row r="15" spans="1:4" ht="21" customHeight="1" x14ac:dyDescent="0.25">
      <c r="A15" s="1"/>
      <c r="B15" s="16" t="s">
        <v>52</v>
      </c>
      <c r="C15" s="17" t="s">
        <v>53</v>
      </c>
      <c r="D15" s="1"/>
    </row>
    <row r="16" spans="1:4" x14ac:dyDescent="0.25">
      <c r="A16" s="1"/>
      <c r="B16" s="1"/>
      <c r="C16" s="1"/>
      <c r="D16" s="1"/>
    </row>
    <row r="17" spans="1:4" ht="26.1" customHeight="1" x14ac:dyDescent="0.25">
      <c r="A17" s="1"/>
      <c r="B17" s="30" t="s">
        <v>54</v>
      </c>
      <c r="C17" s="22"/>
      <c r="D17" s="1"/>
    </row>
    <row r="18" spans="1:4" ht="21" customHeight="1" x14ac:dyDescent="0.25">
      <c r="A18" s="1"/>
      <c r="B18" s="16" t="s">
        <v>55</v>
      </c>
      <c r="C18" s="17" t="s">
        <v>56</v>
      </c>
      <c r="D18" s="1"/>
    </row>
    <row r="19" spans="1:4" ht="21" customHeight="1" x14ac:dyDescent="0.25">
      <c r="A19" s="1"/>
      <c r="B19" s="16" t="s">
        <v>57</v>
      </c>
      <c r="C19" s="17" t="s">
        <v>58</v>
      </c>
      <c r="D19" s="1"/>
    </row>
    <row r="20" spans="1:4" ht="21" customHeight="1" x14ac:dyDescent="0.25">
      <c r="A20" s="1"/>
      <c r="B20" s="16" t="s">
        <v>59</v>
      </c>
      <c r="C20" s="17" t="s">
        <v>60</v>
      </c>
      <c r="D20" s="1"/>
    </row>
    <row r="21" spans="1:4" ht="21" customHeight="1" x14ac:dyDescent="0.25">
      <c r="A21" s="1"/>
      <c r="B21" s="16" t="s">
        <v>61</v>
      </c>
      <c r="C21" s="17" t="s">
        <v>62</v>
      </c>
      <c r="D21" s="1"/>
    </row>
    <row r="22" spans="1:4" x14ac:dyDescent="0.25">
      <c r="A22" s="1"/>
      <c r="B22" s="1"/>
      <c r="C22" s="1"/>
      <c r="D22" s="1"/>
    </row>
    <row r="23" spans="1:4" ht="24" customHeight="1" x14ac:dyDescent="0.25">
      <c r="A23" s="1"/>
      <c r="B23" s="41" t="s">
        <v>3</v>
      </c>
      <c r="C23" s="22"/>
      <c r="D23" s="1"/>
    </row>
    <row r="24" spans="1:4" x14ac:dyDescent="0.25">
      <c r="A24" s="1"/>
      <c r="B24" s="1"/>
      <c r="C24" s="1"/>
      <c r="D24" s="1"/>
    </row>
    <row r="25" spans="1:4" ht="26.1" customHeight="1" x14ac:dyDescent="0.25">
      <c r="A25" s="1"/>
      <c r="B25" s="30" t="s">
        <v>63</v>
      </c>
      <c r="C25" s="22"/>
      <c r="D25" s="1"/>
    </row>
    <row r="26" spans="1:4" ht="32.1" customHeight="1" x14ac:dyDescent="0.25">
      <c r="A26" s="1"/>
      <c r="B26" s="16" t="s">
        <v>64</v>
      </c>
      <c r="C26" s="17" t="s">
        <v>65</v>
      </c>
      <c r="D26" s="1"/>
    </row>
    <row r="27" spans="1:4" ht="32.1" customHeight="1" x14ac:dyDescent="0.25">
      <c r="A27" s="1"/>
      <c r="B27" s="16" t="s">
        <v>66</v>
      </c>
      <c r="C27" s="17" t="s">
        <v>67</v>
      </c>
      <c r="D27" s="1"/>
    </row>
    <row r="28" spans="1:4" ht="32.1" customHeight="1" x14ac:dyDescent="0.25">
      <c r="A28" s="1"/>
      <c r="B28" s="16" t="s">
        <v>68</v>
      </c>
      <c r="C28" s="17" t="s">
        <v>69</v>
      </c>
      <c r="D28" s="1"/>
    </row>
    <row r="29" spans="1:4" ht="32.1" customHeight="1" x14ac:dyDescent="0.25">
      <c r="A29" s="1"/>
      <c r="B29" s="16" t="s">
        <v>70</v>
      </c>
      <c r="C29" s="17" t="s">
        <v>71</v>
      </c>
      <c r="D29" s="1"/>
    </row>
    <row r="30" spans="1:4" ht="32.1" customHeight="1" x14ac:dyDescent="0.25">
      <c r="A30" s="1"/>
      <c r="B30" s="16" t="s">
        <v>72</v>
      </c>
      <c r="C30" s="17" t="s">
        <v>73</v>
      </c>
      <c r="D30" s="1"/>
    </row>
    <row r="31" spans="1:4" ht="32.1" customHeight="1" x14ac:dyDescent="0.25">
      <c r="A31" s="1"/>
      <c r="B31" s="16" t="s">
        <v>74</v>
      </c>
      <c r="C31" s="17" t="s">
        <v>75</v>
      </c>
      <c r="D31" s="1"/>
    </row>
    <row r="32" spans="1:4" ht="21" customHeight="1" x14ac:dyDescent="0.25">
      <c r="A32" s="1"/>
      <c r="B32" s="16" t="s">
        <v>76</v>
      </c>
      <c r="C32" s="17" t="s">
        <v>77</v>
      </c>
      <c r="D32" s="1"/>
    </row>
    <row r="33" spans="1:4" x14ac:dyDescent="0.25">
      <c r="A33" s="1"/>
      <c r="B33" s="1"/>
      <c r="C33" s="1"/>
      <c r="D33" s="1"/>
    </row>
    <row r="34" spans="1:4" ht="26.1" customHeight="1" x14ac:dyDescent="0.25">
      <c r="A34" s="1"/>
      <c r="B34" s="30" t="s">
        <v>78</v>
      </c>
      <c r="C34" s="22"/>
      <c r="D34" s="1"/>
    </row>
    <row r="35" spans="1:4" ht="21" customHeight="1" x14ac:dyDescent="0.25">
      <c r="A35" s="1"/>
      <c r="B35" s="16" t="s">
        <v>79</v>
      </c>
      <c r="C35" s="17" t="s">
        <v>80</v>
      </c>
      <c r="D35" s="1"/>
    </row>
    <row r="36" spans="1:4" ht="21" customHeight="1" x14ac:dyDescent="0.25">
      <c r="A36" s="1"/>
      <c r="B36" s="16" t="s">
        <v>81</v>
      </c>
      <c r="C36" s="17" t="s">
        <v>82</v>
      </c>
      <c r="D36" s="1"/>
    </row>
    <row r="37" spans="1:4" ht="21" customHeight="1" x14ac:dyDescent="0.25">
      <c r="A37" s="1"/>
      <c r="B37" s="16" t="s">
        <v>83</v>
      </c>
      <c r="C37" s="17" t="s">
        <v>84</v>
      </c>
      <c r="D37" s="1"/>
    </row>
    <row r="38" spans="1:4" ht="21" customHeight="1" x14ac:dyDescent="0.25">
      <c r="A38" s="1"/>
      <c r="B38" s="16" t="s">
        <v>85</v>
      </c>
      <c r="C38" s="17" t="s">
        <v>86</v>
      </c>
      <c r="D38" s="1"/>
    </row>
    <row r="39" spans="1:4" ht="21" customHeight="1" x14ac:dyDescent="0.25">
      <c r="A39" s="1"/>
      <c r="B39" s="16" t="s">
        <v>87</v>
      </c>
      <c r="C39" s="17" t="str">
        <f>"Shown in "&amp;Calculator!$C$8&amp;", which you set on the Calculator sheet."</f>
        <v>Shown in $, which you set on the Calculator sheet.</v>
      </c>
      <c r="D39" s="1"/>
    </row>
    <row r="40" spans="1:4" x14ac:dyDescent="0.25">
      <c r="A40" s="1"/>
      <c r="B40" s="1"/>
      <c r="C40" s="1"/>
      <c r="D40" s="1"/>
    </row>
    <row r="41" spans="1:4" ht="24" customHeight="1" x14ac:dyDescent="0.25">
      <c r="A41" s="1"/>
      <c r="B41" s="36" t="s">
        <v>88</v>
      </c>
      <c r="C41" s="22"/>
      <c r="D41" s="1"/>
    </row>
    <row r="42" spans="1:4" x14ac:dyDescent="0.25">
      <c r="A42" s="1"/>
      <c r="B42" s="1"/>
      <c r="C42" s="1"/>
      <c r="D42" s="1"/>
    </row>
    <row r="43" spans="1:4" x14ac:dyDescent="0.25">
      <c r="A43" s="1"/>
      <c r="B43" s="1"/>
      <c r="C43" s="1"/>
      <c r="D43" s="1"/>
    </row>
  </sheetData>
  <sheetProtection sheet="1" formatCells="0"/>
  <mergeCells count="9">
    <mergeCell ref="B41:C41"/>
    <mergeCell ref="B8:C8"/>
    <mergeCell ref="B4:C4"/>
    <mergeCell ref="B2:C2"/>
    <mergeCell ref="B25:C25"/>
    <mergeCell ref="B34:C34"/>
    <mergeCell ref="B5:C6"/>
    <mergeCell ref="B23:C23"/>
    <mergeCell ref="B17:C17"/>
  </mergeCells>
  <hyperlinks>
    <hyperlink ref="B23" r:id="rId1" xr:uid="{00000000-0004-0000-0200-000000000000}"/>
  </hyperlinks>
  <pageMargins left="0.75" right="0.75" top="1" bottom="1" header="0.5" footer="0.5"/>
  <pageSetup fitToHeight="0" orientation="portrait"/>
  <headerFooter>
    <oddFooter>&amp;Lneedtheseapps.com&amp;CCD Calculator&amp;RPage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44"/>
  <sheetViews>
    <sheetView workbookViewId="0"/>
  </sheetViews>
  <sheetFormatPr defaultRowHeight="15" x14ac:dyDescent="0.25"/>
  <cols>
    <col min="1" max="1" width="38" customWidth="1"/>
    <col min="2" max="2" width="18" customWidth="1"/>
    <col min="4" max="9" width="16" customWidth="1"/>
  </cols>
  <sheetData>
    <row r="1" spans="1:2" ht="16.5" x14ac:dyDescent="0.25">
      <c r="A1" s="18" t="s">
        <v>89</v>
      </c>
    </row>
    <row r="2" spans="1:2" ht="16.5" x14ac:dyDescent="0.25">
      <c r="A2" s="19" t="s">
        <v>90</v>
      </c>
      <c r="B2" s="19">
        <f>Calculator!$C$10/100</f>
        <v>0.04</v>
      </c>
    </row>
    <row r="3" spans="1:2" ht="16.5" x14ac:dyDescent="0.25">
      <c r="A3" s="19" t="s">
        <v>91</v>
      </c>
      <c r="B3" s="19">
        <f>Calculator!$C$9*POWER(1+$B$2,Calculator!$C$11/12)</f>
        <v>10400</v>
      </c>
    </row>
    <row r="4" spans="1:2" ht="16.5" x14ac:dyDescent="0.25">
      <c r="A4" s="19" t="s">
        <v>92</v>
      </c>
      <c r="B4" s="19">
        <f>$B$3-Calculator!$C$9</f>
        <v>400</v>
      </c>
    </row>
    <row r="5" spans="1:2" ht="16.5" x14ac:dyDescent="0.25">
      <c r="A5" s="19" t="s">
        <v>33</v>
      </c>
      <c r="B5" s="19">
        <f>Calculator!$C$9*$B$2/12*Calculator!$C$13</f>
        <v>100</v>
      </c>
    </row>
    <row r="6" spans="1:2" ht="16.5" x14ac:dyDescent="0.25">
      <c r="A6" s="19" t="s">
        <v>22</v>
      </c>
      <c r="B6" s="20">
        <f>EDATE(Calculator!$C$12,Calculator!$C$11)</f>
        <v>46661</v>
      </c>
    </row>
    <row r="7" spans="1:2" ht="16.5" x14ac:dyDescent="0.25">
      <c r="A7" s="19" t="s">
        <v>93</v>
      </c>
      <c r="B7" s="19">
        <f>IF(Calculator!$C$11&lt;=1,"",MIN(MAX(ROUND(Calculator!$C$14,0),1),Calculator!$C$11-1))</f>
        <v>6</v>
      </c>
    </row>
    <row r="8" spans="1:2" ht="16.5" x14ac:dyDescent="0.25">
      <c r="A8" s="19" t="s">
        <v>94</v>
      </c>
      <c r="B8" s="19">
        <f>IF($B$7="","",Calculator!$C$9*POWER(1+$B$2,$B$7/12))</f>
        <v>10198.03902718557</v>
      </c>
    </row>
    <row r="9" spans="1:2" ht="16.5" x14ac:dyDescent="0.25">
      <c r="A9" s="19" t="s">
        <v>95</v>
      </c>
      <c r="B9" s="19">
        <f>IF($B$7="","",$B$8-Calculator!$C$9)</f>
        <v>198.03902718557038</v>
      </c>
    </row>
    <row r="10" spans="1:2" ht="16.5" x14ac:dyDescent="0.25">
      <c r="A10" s="19" t="s">
        <v>96</v>
      </c>
      <c r="B10" s="19">
        <f>IF($B$7="","",$B$8-$B$5)</f>
        <v>10098.03902718557</v>
      </c>
    </row>
    <row r="11" spans="1:2" ht="16.5" x14ac:dyDescent="0.25">
      <c r="A11" s="19" t="s">
        <v>97</v>
      </c>
      <c r="B11" s="19">
        <f>IF($B$7="","",$B$10-Calculator!$C$9)</f>
        <v>98.039027185570376</v>
      </c>
    </row>
    <row r="12" spans="1:2" ht="16.5" x14ac:dyDescent="0.25">
      <c r="A12" s="19" t="s">
        <v>98</v>
      </c>
      <c r="B12" s="19">
        <f>IF($B$7="","",$B$11/Calculator!$C$9*100)</f>
        <v>0.98039027185570382</v>
      </c>
    </row>
    <row r="13" spans="1:2" ht="16.5" x14ac:dyDescent="0.25">
      <c r="A13" s="19" t="s">
        <v>99</v>
      </c>
      <c r="B13" s="19">
        <f>IFERROR(MATCH(1,$H$25:$H$144,0),"")</f>
        <v>4</v>
      </c>
    </row>
    <row r="14" spans="1:2" ht="16.5" x14ac:dyDescent="0.25">
      <c r="A14" s="19" t="s">
        <v>100</v>
      </c>
      <c r="B14" s="19">
        <f>$B$4*(1-Calculator!$C$15/100)</f>
        <v>312</v>
      </c>
    </row>
    <row r="15" spans="1:2" ht="16.5" x14ac:dyDescent="0.25">
      <c r="A15" s="19" t="s">
        <v>101</v>
      </c>
      <c r="B15" s="19">
        <f>$B$4-$B$14</f>
        <v>88</v>
      </c>
    </row>
    <row r="16" spans="1:2" ht="16.5" x14ac:dyDescent="0.25">
      <c r="A16" s="19" t="s">
        <v>102</v>
      </c>
      <c r="B16" s="19">
        <f>(Calculator!$C$9+$B$14)/POWER(1+Calculator!$C$16/100,Calculator!$C$11/12)</f>
        <v>10011.650485436892</v>
      </c>
    </row>
    <row r="17" spans="1:9" ht="16.5" x14ac:dyDescent="0.25">
      <c r="A17" s="19" t="s">
        <v>103</v>
      </c>
      <c r="B17" s="19">
        <f>$B$16-Calculator!$C$9</f>
        <v>11.650485436892268</v>
      </c>
    </row>
    <row r="18" spans="1:9" ht="16.5" x14ac:dyDescent="0.25">
      <c r="A18" s="19" t="s">
        <v>104</v>
      </c>
      <c r="B18" s="19">
        <f>(POWER(1+Calculator!$C$16/100,Calculator!$C$11/12)-1)*100</f>
        <v>3.0000000000000027</v>
      </c>
    </row>
    <row r="19" spans="1:9" ht="16.5" x14ac:dyDescent="0.25">
      <c r="A19" s="19" t="s">
        <v>105</v>
      </c>
      <c r="B19" s="19">
        <f>IF(Calculator!$C$15&gt;=100,"",IF($B$18&lt;=0,0,(POWER(1+($B$18/100)/(1-Calculator!$C$15/100),12/Calculator!$C$11)-1)*100))</f>
        <v>3.8461538461538547</v>
      </c>
    </row>
    <row r="24" spans="1:9" ht="16.5" x14ac:dyDescent="0.25">
      <c r="D24" s="18" t="s">
        <v>30</v>
      </c>
      <c r="E24" s="18" t="s">
        <v>31</v>
      </c>
      <c r="F24" s="18" t="s">
        <v>32</v>
      </c>
      <c r="G24" s="18" t="s">
        <v>106</v>
      </c>
      <c r="H24" s="18" t="s">
        <v>107</v>
      </c>
      <c r="I24" s="18" t="s">
        <v>108</v>
      </c>
    </row>
    <row r="25" spans="1:9" ht="16.5" x14ac:dyDescent="0.25">
      <c r="D25" s="19">
        <v>1</v>
      </c>
      <c r="E25" s="19">
        <f>Calculator!$C$9*POWER(1+$B$2,$D25/12)</f>
        <v>10032.737397821989</v>
      </c>
      <c r="F25" s="19">
        <f>$E25-Calculator!$C$9</f>
        <v>32.737397821989362</v>
      </c>
      <c r="G25" s="19">
        <f>IF($D25&lt;Calculator!$C$11,$E25-$B$5,$E25)</f>
        <v>9932.7373978219894</v>
      </c>
      <c r="H25" s="19">
        <f>IF(AND($D25&lt;Calculator!$C$11,$G25&gt;=Calculator!$C$9-0.000000001),1,0)</f>
        <v>0</v>
      </c>
      <c r="I25" s="19">
        <f>Calculator!$C$9</f>
        <v>10000</v>
      </c>
    </row>
    <row r="26" spans="1:9" ht="16.5" x14ac:dyDescent="0.25">
      <c r="D26" s="19">
        <v>2</v>
      </c>
      <c r="E26" s="19">
        <f>Calculator!$C$9*POWER(1+$B$2,$D26/12)</f>
        <v>10065.581969365594</v>
      </c>
      <c r="F26" s="19">
        <f>$E26-Calculator!$C$9</f>
        <v>65.581969365593977</v>
      </c>
      <c r="G26" s="19">
        <f>IF($D26&lt;Calculator!$C$11,$E26-$B$5,$E26)</f>
        <v>9965.581969365594</v>
      </c>
      <c r="H26" s="19">
        <f>IF(AND($D26&lt;Calculator!$C$11,$G26&gt;=Calculator!$C$9-0.000000001),1,0)</f>
        <v>0</v>
      </c>
      <c r="I26" s="19">
        <f>Calculator!$C$9</f>
        <v>10000</v>
      </c>
    </row>
    <row r="27" spans="1:9" ht="16.5" x14ac:dyDescent="0.25">
      <c r="D27" s="19">
        <v>3</v>
      </c>
      <c r="E27" s="19">
        <f>Calculator!$C$9*POWER(1+$B$2,$D27/12)</f>
        <v>10098.534065489688</v>
      </c>
      <c r="F27" s="19">
        <f>$E27-Calculator!$C$9</f>
        <v>98.534065489688146</v>
      </c>
      <c r="G27" s="19">
        <f>IF($D27&lt;Calculator!$C$11,$E27-$B$5,$E27)</f>
        <v>9998.5340654896881</v>
      </c>
      <c r="H27" s="19">
        <f>IF(AND($D27&lt;Calculator!$C$11,$G27&gt;=Calculator!$C$9-0.000000001),1,0)</f>
        <v>0</v>
      </c>
      <c r="I27" s="19">
        <f>Calculator!$C$9</f>
        <v>10000</v>
      </c>
    </row>
    <row r="28" spans="1:9" ht="16.5" x14ac:dyDescent="0.25">
      <c r="D28" s="19">
        <v>4</v>
      </c>
      <c r="E28" s="19">
        <f>Calculator!$C$9*POWER(1+$B$2,$D28/12)</f>
        <v>10131.594038201772</v>
      </c>
      <c r="F28" s="19">
        <f>$E28-Calculator!$C$9</f>
        <v>131.59403820177249</v>
      </c>
      <c r="G28" s="19">
        <f>IF($D28&lt;Calculator!$C$11,$E28-$B$5,$E28)</f>
        <v>10031.594038201772</v>
      </c>
      <c r="H28" s="19">
        <f>IF(AND($D28&lt;Calculator!$C$11,$G28&gt;=Calculator!$C$9-0.000000001),1,0)</f>
        <v>1</v>
      </c>
      <c r="I28" s="19">
        <f>Calculator!$C$9</f>
        <v>10000</v>
      </c>
    </row>
    <row r="29" spans="1:9" ht="16.5" x14ac:dyDescent="0.25">
      <c r="D29" s="19">
        <v>5</v>
      </c>
      <c r="E29" s="19">
        <f>Calculator!$C$9*POWER(1+$B$2,$D29/12)</f>
        <v>10164.762240661723</v>
      </c>
      <c r="F29" s="19">
        <f>$E29-Calculator!$C$9</f>
        <v>164.7622406617229</v>
      </c>
      <c r="G29" s="19">
        <f>IF($D29&lt;Calculator!$C$11,$E29-$B$5,$E29)</f>
        <v>10064.762240661723</v>
      </c>
      <c r="H29" s="19">
        <f>IF(AND($D29&lt;Calculator!$C$11,$G29&gt;=Calculator!$C$9-0.000000001),1,0)</f>
        <v>1</v>
      </c>
      <c r="I29" s="19">
        <f>Calculator!$C$9</f>
        <v>10000</v>
      </c>
    </row>
    <row r="30" spans="1:9" ht="16.5" x14ac:dyDescent="0.25">
      <c r="D30" s="19">
        <v>6</v>
      </c>
      <c r="E30" s="19">
        <f>Calculator!$C$9*POWER(1+$B$2,$D30/12)</f>
        <v>10198.03902718557</v>
      </c>
      <c r="F30" s="19">
        <f>$E30-Calculator!$C$9</f>
        <v>198.03902718557038</v>
      </c>
      <c r="G30" s="19">
        <f>IF($D30&lt;Calculator!$C$11,$E30-$B$5,$E30)</f>
        <v>10098.03902718557</v>
      </c>
      <c r="H30" s="19">
        <f>IF(AND($D30&lt;Calculator!$C$11,$G30&gt;=Calculator!$C$9-0.000000001),1,0)</f>
        <v>1</v>
      </c>
      <c r="I30" s="19">
        <f>Calculator!$C$9</f>
        <v>10000</v>
      </c>
    </row>
    <row r="31" spans="1:9" ht="16.5" x14ac:dyDescent="0.25">
      <c r="D31" s="19">
        <v>7</v>
      </c>
      <c r="E31" s="19">
        <f>Calculator!$C$9*POWER(1+$B$2,$D31/12)</f>
        <v>10231.424753249283</v>
      </c>
      <c r="F31" s="19">
        <f>$E31-Calculator!$C$9</f>
        <v>231.42475324928273</v>
      </c>
      <c r="G31" s="19">
        <f>IF($D31&lt;Calculator!$C$11,$E31-$B$5,$E31)</f>
        <v>10131.424753249283</v>
      </c>
      <c r="H31" s="19">
        <f>IF(AND($D31&lt;Calculator!$C$11,$G31&gt;=Calculator!$C$9-0.000000001),1,0)</f>
        <v>1</v>
      </c>
      <c r="I31" s="19">
        <f>Calculator!$C$9</f>
        <v>10000</v>
      </c>
    </row>
    <row r="32" spans="1:9" ht="16.5" x14ac:dyDescent="0.25">
      <c r="D32" s="19">
        <v>8</v>
      </c>
      <c r="E32" s="19">
        <f>Calculator!$C$9*POWER(1+$B$2,$D32/12)</f>
        <v>10264.91977549257</v>
      </c>
      <c r="F32" s="19">
        <f>$E32-Calculator!$C$9</f>
        <v>264.9197754925699</v>
      </c>
      <c r="G32" s="19">
        <f>IF($D32&lt;Calculator!$C$11,$E32-$B$5,$E32)</f>
        <v>10164.91977549257</v>
      </c>
      <c r="H32" s="19">
        <f>IF(AND($D32&lt;Calculator!$C$11,$G32&gt;=Calculator!$C$9-0.000000001),1,0)</f>
        <v>1</v>
      </c>
      <c r="I32" s="19">
        <f>Calculator!$C$9</f>
        <v>10000</v>
      </c>
    </row>
    <row r="33" spans="4:9" ht="16.5" x14ac:dyDescent="0.25">
      <c r="D33" s="19">
        <v>9</v>
      </c>
      <c r="E33" s="19">
        <f>Calculator!$C$9*POWER(1+$B$2,$D33/12)</f>
        <v>10298.52445172268</v>
      </c>
      <c r="F33" s="19">
        <f>$E33-Calculator!$C$9</f>
        <v>298.52445172268017</v>
      </c>
      <c r="G33" s="19">
        <f>IF($D33&lt;Calculator!$C$11,$E33-$B$5,$E33)</f>
        <v>10198.52445172268</v>
      </c>
      <c r="H33" s="19">
        <f>IF(AND($D33&lt;Calculator!$C$11,$G33&gt;=Calculator!$C$9-0.000000001),1,0)</f>
        <v>1</v>
      </c>
      <c r="I33" s="19">
        <f>Calculator!$C$9</f>
        <v>10000</v>
      </c>
    </row>
    <row r="34" spans="4:9" ht="16.5" x14ac:dyDescent="0.25">
      <c r="D34" s="19">
        <v>10</v>
      </c>
      <c r="E34" s="19">
        <f>Calculator!$C$9*POWER(1+$B$2,$D34/12)</f>
        <v>10332.239140918233</v>
      </c>
      <c r="F34" s="19">
        <f>$E34-Calculator!$C$9</f>
        <v>332.23914091823281</v>
      </c>
      <c r="G34" s="19">
        <f>IF($D34&lt;Calculator!$C$11,$E34-$B$5,$E34)</f>
        <v>10232.239140918233</v>
      </c>
      <c r="H34" s="19">
        <f>IF(AND($D34&lt;Calculator!$C$11,$G34&gt;=Calculator!$C$9-0.000000001),1,0)</f>
        <v>1</v>
      </c>
      <c r="I34" s="19">
        <f>Calculator!$C$9</f>
        <v>10000</v>
      </c>
    </row>
    <row r="35" spans="4:9" ht="16.5" x14ac:dyDescent="0.25">
      <c r="D35" s="19">
        <v>11</v>
      </c>
      <c r="E35" s="19">
        <f>Calculator!$C$9*POWER(1+$B$2,$D35/12)</f>
        <v>10366.064203233049</v>
      </c>
      <c r="F35" s="19">
        <f>$E35-Calculator!$C$9</f>
        <v>366.06420323304883</v>
      </c>
      <c r="G35" s="19">
        <f>IF($D35&lt;Calculator!$C$11,$E35-$B$5,$E35)</f>
        <v>10266.064203233049</v>
      </c>
      <c r="H35" s="19">
        <f>IF(AND($D35&lt;Calculator!$C$11,$G35&gt;=Calculator!$C$9-0.000000001),1,0)</f>
        <v>1</v>
      </c>
      <c r="I35" s="19">
        <f>Calculator!$C$9</f>
        <v>10000</v>
      </c>
    </row>
    <row r="36" spans="4:9" ht="16.5" x14ac:dyDescent="0.25">
      <c r="D36" s="19">
        <v>12</v>
      </c>
      <c r="E36" s="19">
        <f>Calculator!$C$9*POWER(1+$B$2,$D36/12)</f>
        <v>10400</v>
      </c>
      <c r="F36" s="19">
        <f>$E36-Calculator!$C$9</f>
        <v>400</v>
      </c>
      <c r="G36" s="19">
        <f>IF($D36&lt;Calculator!$C$11,$E36-$B$5,$E36)</f>
        <v>10400</v>
      </c>
      <c r="H36" s="19">
        <f>IF(AND($D36&lt;Calculator!$C$11,$G36&gt;=Calculator!$C$9-0.000000001),1,0)</f>
        <v>0</v>
      </c>
      <c r="I36" s="19">
        <f>Calculator!$C$9</f>
        <v>10000</v>
      </c>
    </row>
    <row r="37" spans="4:9" ht="16.5" x14ac:dyDescent="0.25">
      <c r="D37" s="19">
        <v>13</v>
      </c>
      <c r="E37" s="19">
        <f>Calculator!$C$9*POWER(1+$B$2,$D37/12)</f>
        <v>10434.046893734869</v>
      </c>
      <c r="F37" s="19">
        <f>$E37-Calculator!$C$9</f>
        <v>434.04689373486872</v>
      </c>
      <c r="G37" s="19">
        <f>IF($D37&lt;Calculator!$C$11,$E37-$B$5,$E37)</f>
        <v>10434.046893734869</v>
      </c>
      <c r="H37" s="19">
        <f>IF(AND($D37&lt;Calculator!$C$11,$G37&gt;=Calculator!$C$9-0.000000001),1,0)</f>
        <v>0</v>
      </c>
      <c r="I37" s="19">
        <f>Calculator!$C$9</f>
        <v>10000</v>
      </c>
    </row>
    <row r="38" spans="4:9" ht="16.5" x14ac:dyDescent="0.25">
      <c r="D38" s="19">
        <v>14</v>
      </c>
      <c r="E38" s="19">
        <f>Calculator!$C$9*POWER(1+$B$2,$D38/12)</f>
        <v>10468.205248140217</v>
      </c>
      <c r="F38" s="19">
        <f>$E38-Calculator!$C$9</f>
        <v>468.20524814021701</v>
      </c>
      <c r="G38" s="19">
        <f>IF($D38&lt;Calculator!$C$11,$E38-$B$5,$E38)</f>
        <v>10468.205248140217</v>
      </c>
      <c r="H38" s="19">
        <f>IF(AND($D38&lt;Calculator!$C$11,$G38&gt;=Calculator!$C$9-0.000000001),1,0)</f>
        <v>0</v>
      </c>
      <c r="I38" s="19">
        <f>Calculator!$C$9</f>
        <v>10000</v>
      </c>
    </row>
    <row r="39" spans="4:9" ht="16.5" x14ac:dyDescent="0.25">
      <c r="D39" s="19">
        <v>15</v>
      </c>
      <c r="E39" s="19">
        <f>Calculator!$C$9*POWER(1+$B$2,$D39/12)</f>
        <v>10502.475428109277</v>
      </c>
      <c r="F39" s="19">
        <f>$E39-Calculator!$C$9</f>
        <v>502.47542810927735</v>
      </c>
      <c r="G39" s="19">
        <f>IF($D39&lt;Calculator!$C$11,$E39-$B$5,$E39)</f>
        <v>10502.475428109277</v>
      </c>
      <c r="H39" s="19">
        <f>IF(AND($D39&lt;Calculator!$C$11,$G39&gt;=Calculator!$C$9-0.000000001),1,0)</f>
        <v>0</v>
      </c>
      <c r="I39" s="19">
        <f>Calculator!$C$9</f>
        <v>10000</v>
      </c>
    </row>
    <row r="40" spans="4:9" ht="16.5" x14ac:dyDescent="0.25">
      <c r="D40" s="19">
        <v>16</v>
      </c>
      <c r="E40" s="19">
        <f>Calculator!$C$9*POWER(1+$B$2,$D40/12)</f>
        <v>10536.857799729843</v>
      </c>
      <c r="F40" s="19">
        <f>$E40-Calculator!$C$9</f>
        <v>536.85779972984346</v>
      </c>
      <c r="G40" s="19">
        <f>IF($D40&lt;Calculator!$C$11,$E40-$B$5,$E40)</f>
        <v>10536.857799729843</v>
      </c>
      <c r="H40" s="19">
        <f>IF(AND($D40&lt;Calculator!$C$11,$G40&gt;=Calculator!$C$9-0.000000001),1,0)</f>
        <v>0</v>
      </c>
      <c r="I40" s="19">
        <f>Calculator!$C$9</f>
        <v>10000</v>
      </c>
    </row>
    <row r="41" spans="4:9" ht="16.5" x14ac:dyDescent="0.25">
      <c r="D41" s="19">
        <v>17</v>
      </c>
      <c r="E41" s="19">
        <f>Calculator!$C$9*POWER(1+$B$2,$D41/12)</f>
        <v>10571.352730288192</v>
      </c>
      <c r="F41" s="19">
        <f>$E41-Calculator!$C$9</f>
        <v>571.35273028819211</v>
      </c>
      <c r="G41" s="19">
        <f>IF($D41&lt;Calculator!$C$11,$E41-$B$5,$E41)</f>
        <v>10571.352730288192</v>
      </c>
      <c r="H41" s="19">
        <f>IF(AND($D41&lt;Calculator!$C$11,$G41&gt;=Calculator!$C$9-0.000000001),1,0)</f>
        <v>0</v>
      </c>
      <c r="I41" s="19">
        <f>Calculator!$C$9</f>
        <v>10000</v>
      </c>
    </row>
    <row r="42" spans="4:9" ht="16.5" x14ac:dyDescent="0.25">
      <c r="D42" s="19">
        <v>18</v>
      </c>
      <c r="E42" s="19">
        <f>Calculator!$C$9*POWER(1+$B$2,$D42/12)</f>
        <v>10605.960588272994</v>
      </c>
      <c r="F42" s="19">
        <f>$E42-Calculator!$C$9</f>
        <v>605.96058827299385</v>
      </c>
      <c r="G42" s="19">
        <f>IF($D42&lt;Calculator!$C$11,$E42-$B$5,$E42)</f>
        <v>10605.960588272994</v>
      </c>
      <c r="H42" s="19">
        <f>IF(AND($D42&lt;Calculator!$C$11,$G42&gt;=Calculator!$C$9-0.000000001),1,0)</f>
        <v>0</v>
      </c>
      <c r="I42" s="19">
        <f>Calculator!$C$9</f>
        <v>10000</v>
      </c>
    </row>
    <row r="43" spans="4:9" ht="16.5" x14ac:dyDescent="0.25">
      <c r="D43" s="19">
        <v>19</v>
      </c>
      <c r="E43" s="19">
        <f>Calculator!$C$9*POWER(1+$B$2,$D43/12)</f>
        <v>10640.681743379255</v>
      </c>
      <c r="F43" s="19">
        <f>$E43-Calculator!$C$9</f>
        <v>640.68174337925484</v>
      </c>
      <c r="G43" s="19">
        <f>IF($D43&lt;Calculator!$C$11,$E43-$B$5,$E43)</f>
        <v>10640.681743379255</v>
      </c>
      <c r="H43" s="19">
        <f>IF(AND($D43&lt;Calculator!$C$11,$G43&gt;=Calculator!$C$9-0.000000001),1,0)</f>
        <v>0</v>
      </c>
      <c r="I43" s="19">
        <f>Calculator!$C$9</f>
        <v>10000</v>
      </c>
    </row>
    <row r="44" spans="4:9" ht="16.5" x14ac:dyDescent="0.25">
      <c r="D44" s="19">
        <v>20</v>
      </c>
      <c r="E44" s="19">
        <f>Calculator!$C$9*POWER(1+$B$2,$D44/12)</f>
        <v>10675.516566512273</v>
      </c>
      <c r="F44" s="19">
        <f>$E44-Calculator!$C$9</f>
        <v>675.51656651227313</v>
      </c>
      <c r="G44" s="19">
        <f>IF($D44&lt;Calculator!$C$11,$E44-$B$5,$E44)</f>
        <v>10675.516566512273</v>
      </c>
      <c r="H44" s="19">
        <f>IF(AND($D44&lt;Calculator!$C$11,$G44&gt;=Calculator!$C$9-0.000000001),1,0)</f>
        <v>0</v>
      </c>
      <c r="I44" s="19">
        <f>Calculator!$C$9</f>
        <v>10000</v>
      </c>
    </row>
    <row r="45" spans="4:9" ht="16.5" x14ac:dyDescent="0.25">
      <c r="D45" s="19">
        <v>21</v>
      </c>
      <c r="E45" s="19">
        <f>Calculator!$C$9*POWER(1+$B$2,$D45/12)</f>
        <v>10710.465429791588</v>
      </c>
      <c r="F45" s="19">
        <f>$E45-Calculator!$C$9</f>
        <v>710.46542979158767</v>
      </c>
      <c r="G45" s="19">
        <f>IF($D45&lt;Calculator!$C$11,$E45-$B$5,$E45)</f>
        <v>10710.465429791588</v>
      </c>
      <c r="H45" s="19">
        <f>IF(AND($D45&lt;Calculator!$C$11,$G45&gt;=Calculator!$C$9-0.000000001),1,0)</f>
        <v>0</v>
      </c>
      <c r="I45" s="19">
        <f>Calculator!$C$9</f>
        <v>10000</v>
      </c>
    </row>
    <row r="46" spans="4:9" ht="16.5" x14ac:dyDescent="0.25">
      <c r="D46" s="19">
        <v>22</v>
      </c>
      <c r="E46" s="19">
        <f>Calculator!$C$9*POWER(1+$B$2,$D46/12)</f>
        <v>10745.528706554964</v>
      </c>
      <c r="F46" s="19">
        <f>$E46-Calculator!$C$9</f>
        <v>745.52870655496372</v>
      </c>
      <c r="G46" s="19">
        <f>IF($D46&lt;Calculator!$C$11,$E46-$B$5,$E46)</f>
        <v>10745.528706554964</v>
      </c>
      <c r="H46" s="19">
        <f>IF(AND($D46&lt;Calculator!$C$11,$G46&gt;=Calculator!$C$9-0.000000001),1,0)</f>
        <v>0</v>
      </c>
      <c r="I46" s="19">
        <f>Calculator!$C$9</f>
        <v>10000</v>
      </c>
    </row>
    <row r="47" spans="4:9" ht="16.5" x14ac:dyDescent="0.25">
      <c r="D47" s="19">
        <v>23</v>
      </c>
      <c r="E47" s="19">
        <f>Calculator!$C$9*POWER(1+$B$2,$D47/12)</f>
        <v>10780.706771362371</v>
      </c>
      <c r="F47" s="19">
        <f>$E47-Calculator!$C$9</f>
        <v>780.706771362371</v>
      </c>
      <c r="G47" s="19">
        <f>IF($D47&lt;Calculator!$C$11,$E47-$B$5,$E47)</f>
        <v>10780.706771362371</v>
      </c>
      <c r="H47" s="19">
        <f>IF(AND($D47&lt;Calculator!$C$11,$G47&gt;=Calculator!$C$9-0.000000001),1,0)</f>
        <v>0</v>
      </c>
      <c r="I47" s="19">
        <f>Calculator!$C$9</f>
        <v>10000</v>
      </c>
    </row>
    <row r="48" spans="4:9" ht="16.5" x14ac:dyDescent="0.25">
      <c r="D48" s="19">
        <v>24</v>
      </c>
      <c r="E48" s="19">
        <f>Calculator!$C$9*POWER(1+$B$2,$D48/12)</f>
        <v>10816.000000000002</v>
      </c>
      <c r="F48" s="19">
        <f>$E48-Calculator!$C$9</f>
        <v>816.00000000000182</v>
      </c>
      <c r="G48" s="19">
        <f>IF($D48&lt;Calculator!$C$11,$E48-$B$5,$E48)</f>
        <v>10816.000000000002</v>
      </c>
      <c r="H48" s="19">
        <f>IF(AND($D48&lt;Calculator!$C$11,$G48&gt;=Calculator!$C$9-0.000000001),1,0)</f>
        <v>0</v>
      </c>
      <c r="I48" s="19">
        <f>Calculator!$C$9</f>
        <v>10000</v>
      </c>
    </row>
    <row r="49" spans="4:9" ht="16.5" x14ac:dyDescent="0.25">
      <c r="D49" s="19">
        <v>25</v>
      </c>
      <c r="E49" s="19">
        <f>Calculator!$C$9*POWER(1+$B$2,$D49/12)</f>
        <v>10851.408769484264</v>
      </c>
      <c r="F49" s="19">
        <f>$E49-Calculator!$C$9</f>
        <v>851.40876948426376</v>
      </c>
      <c r="G49" s="19">
        <f>IF($D49&lt;Calculator!$C$11,$E49-$B$5,$E49)</f>
        <v>10851.408769484264</v>
      </c>
      <c r="H49" s="19">
        <f>IF(AND($D49&lt;Calculator!$C$11,$G49&gt;=Calculator!$C$9-0.000000001),1,0)</f>
        <v>0</v>
      </c>
      <c r="I49" s="19">
        <f>Calculator!$C$9</f>
        <v>10000</v>
      </c>
    </row>
    <row r="50" spans="4:9" ht="16.5" x14ac:dyDescent="0.25">
      <c r="D50" s="19">
        <v>26</v>
      </c>
      <c r="E50" s="19">
        <f>Calculator!$C$9*POWER(1+$B$2,$D50/12)</f>
        <v>10886.933458065827</v>
      </c>
      <c r="F50" s="19">
        <f>$E50-Calculator!$C$9</f>
        <v>886.93345806582693</v>
      </c>
      <c r="G50" s="19">
        <f>IF($D50&lt;Calculator!$C$11,$E50-$B$5,$E50)</f>
        <v>10886.933458065827</v>
      </c>
      <c r="H50" s="19">
        <f>IF(AND($D50&lt;Calculator!$C$11,$G50&gt;=Calculator!$C$9-0.000000001),1,0)</f>
        <v>0</v>
      </c>
      <c r="I50" s="19">
        <f>Calculator!$C$9</f>
        <v>10000</v>
      </c>
    </row>
    <row r="51" spans="4:9" ht="16.5" x14ac:dyDescent="0.25">
      <c r="D51" s="19">
        <v>27</v>
      </c>
      <c r="E51" s="19">
        <f>Calculator!$C$9*POWER(1+$B$2,$D51/12)</f>
        <v>10922.574445233648</v>
      </c>
      <c r="F51" s="19">
        <f>$E51-Calculator!$C$9</f>
        <v>922.57444523364757</v>
      </c>
      <c r="G51" s="19">
        <f>IF($D51&lt;Calculator!$C$11,$E51-$B$5,$E51)</f>
        <v>10922.574445233648</v>
      </c>
      <c r="H51" s="19">
        <f>IF(AND($D51&lt;Calculator!$C$11,$G51&gt;=Calculator!$C$9-0.000000001),1,0)</f>
        <v>0</v>
      </c>
      <c r="I51" s="19">
        <f>Calculator!$C$9</f>
        <v>10000</v>
      </c>
    </row>
    <row r="52" spans="4:9" ht="16.5" x14ac:dyDescent="0.25">
      <c r="D52" s="19">
        <v>28</v>
      </c>
      <c r="E52" s="19">
        <f>Calculator!$C$9*POWER(1+$B$2,$D52/12)</f>
        <v>10958.332111719037</v>
      </c>
      <c r="F52" s="19">
        <f>$E52-Calculator!$C$9</f>
        <v>958.33211171903713</v>
      </c>
      <c r="G52" s="19">
        <f>IF($D52&lt;Calculator!$C$11,$E52-$B$5,$E52)</f>
        <v>10958.332111719037</v>
      </c>
      <c r="H52" s="19">
        <f>IF(AND($D52&lt;Calculator!$C$11,$G52&gt;=Calculator!$C$9-0.000000001),1,0)</f>
        <v>0</v>
      </c>
      <c r="I52" s="19">
        <f>Calculator!$C$9</f>
        <v>10000</v>
      </c>
    </row>
    <row r="53" spans="4:9" ht="16.5" x14ac:dyDescent="0.25">
      <c r="D53" s="19">
        <v>29</v>
      </c>
      <c r="E53" s="19">
        <f>Calculator!$C$9*POWER(1+$B$2,$D53/12)</f>
        <v>10994.20683949972</v>
      </c>
      <c r="F53" s="19">
        <f>$E53-Calculator!$C$9</f>
        <v>994.20683949972045</v>
      </c>
      <c r="G53" s="19">
        <f>IF($D53&lt;Calculator!$C$11,$E53-$B$5,$E53)</f>
        <v>10994.20683949972</v>
      </c>
      <c r="H53" s="19">
        <f>IF(AND($D53&lt;Calculator!$C$11,$G53&gt;=Calculator!$C$9-0.000000001),1,0)</f>
        <v>0</v>
      </c>
      <c r="I53" s="19">
        <f>Calculator!$C$9</f>
        <v>10000</v>
      </c>
    </row>
    <row r="54" spans="4:9" ht="16.5" x14ac:dyDescent="0.25">
      <c r="D54" s="19">
        <v>30</v>
      </c>
      <c r="E54" s="19">
        <f>Calculator!$C$9*POWER(1+$B$2,$D54/12)</f>
        <v>11030.199011803914</v>
      </c>
      <c r="F54" s="19">
        <f>$E54-Calculator!$C$9</f>
        <v>1030.1990118039139</v>
      </c>
      <c r="G54" s="19">
        <f>IF($D54&lt;Calculator!$C$11,$E54-$B$5,$E54)</f>
        <v>11030.199011803914</v>
      </c>
      <c r="H54" s="19">
        <f>IF(AND($D54&lt;Calculator!$C$11,$G54&gt;=Calculator!$C$9-0.000000001),1,0)</f>
        <v>0</v>
      </c>
      <c r="I54" s="19">
        <f>Calculator!$C$9</f>
        <v>10000</v>
      </c>
    </row>
    <row r="55" spans="4:9" ht="16.5" x14ac:dyDescent="0.25">
      <c r="D55" s="19">
        <v>31</v>
      </c>
      <c r="E55" s="19">
        <f>Calculator!$C$9*POWER(1+$B$2,$D55/12)</f>
        <v>11066.309013114425</v>
      </c>
      <c r="F55" s="19">
        <f>$E55-Calculator!$C$9</f>
        <v>1066.3090131144254</v>
      </c>
      <c r="G55" s="19">
        <f>IF($D55&lt;Calculator!$C$11,$E55-$B$5,$E55)</f>
        <v>11066.309013114425</v>
      </c>
      <c r="H55" s="19">
        <f>IF(AND($D55&lt;Calculator!$C$11,$G55&gt;=Calculator!$C$9-0.000000001),1,0)</f>
        <v>0</v>
      </c>
      <c r="I55" s="19">
        <f>Calculator!$C$9</f>
        <v>10000</v>
      </c>
    </row>
    <row r="56" spans="4:9" ht="16.5" x14ac:dyDescent="0.25">
      <c r="D56" s="19">
        <v>32</v>
      </c>
      <c r="E56" s="19">
        <f>Calculator!$C$9*POWER(1+$B$2,$D56/12)</f>
        <v>11102.537229172764</v>
      </c>
      <c r="F56" s="19">
        <f>$E56-Calculator!$C$9</f>
        <v>1102.5372291727635</v>
      </c>
      <c r="G56" s="19">
        <f>IF($D56&lt;Calculator!$C$11,$E56-$B$5,$E56)</f>
        <v>11102.537229172764</v>
      </c>
      <c r="H56" s="19">
        <f>IF(AND($D56&lt;Calculator!$C$11,$G56&gt;=Calculator!$C$9-0.000000001),1,0)</f>
        <v>0</v>
      </c>
      <c r="I56" s="19">
        <f>Calculator!$C$9</f>
        <v>10000</v>
      </c>
    </row>
    <row r="57" spans="4:9" ht="16.5" x14ac:dyDescent="0.25">
      <c r="D57" s="19">
        <v>33</v>
      </c>
      <c r="E57" s="19">
        <f>Calculator!$C$9*POWER(1+$B$2,$D57/12)</f>
        <v>11138.88404698325</v>
      </c>
      <c r="F57" s="19">
        <f>$E57-Calculator!$C$9</f>
        <v>1138.8840469832503</v>
      </c>
      <c r="G57" s="19">
        <f>IF($D57&lt;Calculator!$C$11,$E57-$B$5,$E57)</f>
        <v>11138.88404698325</v>
      </c>
      <c r="H57" s="19">
        <f>IF(AND($D57&lt;Calculator!$C$11,$G57&gt;=Calculator!$C$9-0.000000001),1,0)</f>
        <v>0</v>
      </c>
      <c r="I57" s="19">
        <f>Calculator!$C$9</f>
        <v>10000</v>
      </c>
    </row>
    <row r="58" spans="4:9" ht="16.5" x14ac:dyDescent="0.25">
      <c r="D58" s="19">
        <v>34</v>
      </c>
      <c r="E58" s="19">
        <f>Calculator!$C$9*POWER(1+$B$2,$D58/12)</f>
        <v>11175.349854817161</v>
      </c>
      <c r="F58" s="19">
        <f>$E58-Calculator!$C$9</f>
        <v>1175.349854817161</v>
      </c>
      <c r="G58" s="19">
        <f>IF($D58&lt;Calculator!$C$11,$E58-$B$5,$E58)</f>
        <v>11175.349854817161</v>
      </c>
      <c r="H58" s="19">
        <f>IF(AND($D58&lt;Calculator!$C$11,$G58&gt;=Calculator!$C$9-0.000000001),1,0)</f>
        <v>0</v>
      </c>
      <c r="I58" s="19">
        <f>Calculator!$C$9</f>
        <v>10000</v>
      </c>
    </row>
    <row r="59" spans="4:9" ht="16.5" x14ac:dyDescent="0.25">
      <c r="D59" s="19">
        <v>35</v>
      </c>
      <c r="E59" s="19">
        <f>Calculator!$C$9*POWER(1+$B$2,$D59/12)</f>
        <v>11211.935042216868</v>
      </c>
      <c r="F59" s="19">
        <f>$E59-Calculator!$C$9</f>
        <v>1211.9350422168682</v>
      </c>
      <c r="G59" s="19">
        <f>IF($D59&lt;Calculator!$C$11,$E59-$B$5,$E59)</f>
        <v>11211.935042216868</v>
      </c>
      <c r="H59" s="19">
        <f>IF(AND($D59&lt;Calculator!$C$11,$G59&gt;=Calculator!$C$9-0.000000001),1,0)</f>
        <v>0</v>
      </c>
      <c r="I59" s="19">
        <f>Calculator!$C$9</f>
        <v>10000</v>
      </c>
    </row>
    <row r="60" spans="4:9" ht="16.5" x14ac:dyDescent="0.25">
      <c r="D60" s="19">
        <v>36</v>
      </c>
      <c r="E60" s="19">
        <f>Calculator!$C$9*POWER(1+$B$2,$D60/12)</f>
        <v>11248.640000000001</v>
      </c>
      <c r="F60" s="19">
        <f>$E60-Calculator!$C$9</f>
        <v>1248.6400000000012</v>
      </c>
      <c r="G60" s="19">
        <f>IF($D60&lt;Calculator!$C$11,$E60-$B$5,$E60)</f>
        <v>11248.640000000001</v>
      </c>
      <c r="H60" s="19">
        <f>IF(AND($D60&lt;Calculator!$C$11,$G60&gt;=Calculator!$C$9-0.000000001),1,0)</f>
        <v>0</v>
      </c>
      <c r="I60" s="19">
        <f>Calculator!$C$9</f>
        <v>10000</v>
      </c>
    </row>
    <row r="61" spans="4:9" ht="16.5" x14ac:dyDescent="0.25">
      <c r="D61" s="19">
        <v>37</v>
      </c>
      <c r="E61" s="19">
        <f>Calculator!$C$9*POWER(1+$B$2,$D61/12)</f>
        <v>11285.465120263634</v>
      </c>
      <c r="F61" s="19">
        <f>$E61-Calculator!$C$9</f>
        <v>1285.4651202636342</v>
      </c>
      <c r="G61" s="19">
        <f>IF($D61&lt;Calculator!$C$11,$E61-$B$5,$E61)</f>
        <v>11285.465120263634</v>
      </c>
      <c r="H61" s="19">
        <f>IF(AND($D61&lt;Calculator!$C$11,$G61&gt;=Calculator!$C$9-0.000000001),1,0)</f>
        <v>0</v>
      </c>
      <c r="I61" s="19">
        <f>Calculator!$C$9</f>
        <v>10000</v>
      </c>
    </row>
    <row r="62" spans="4:9" ht="16.5" x14ac:dyDescent="0.25">
      <c r="D62" s="19">
        <v>38</v>
      </c>
      <c r="E62" s="19">
        <f>Calculator!$C$9*POWER(1+$B$2,$D62/12)</f>
        <v>11322.41079638846</v>
      </c>
      <c r="F62" s="19">
        <f>$E62-Calculator!$C$9</f>
        <v>1322.4107963884599</v>
      </c>
      <c r="G62" s="19">
        <f>IF($D62&lt;Calculator!$C$11,$E62-$B$5,$E62)</f>
        <v>11322.41079638846</v>
      </c>
      <c r="H62" s="19">
        <f>IF(AND($D62&lt;Calculator!$C$11,$G62&gt;=Calculator!$C$9-0.000000001),1,0)</f>
        <v>0</v>
      </c>
      <c r="I62" s="19">
        <f>Calculator!$C$9</f>
        <v>10000</v>
      </c>
    </row>
    <row r="63" spans="4:9" ht="16.5" x14ac:dyDescent="0.25">
      <c r="D63" s="19">
        <v>39</v>
      </c>
      <c r="E63" s="19">
        <f>Calculator!$C$9*POWER(1+$B$2,$D63/12)</f>
        <v>11359.477423042994</v>
      </c>
      <c r="F63" s="19">
        <f>$E63-Calculator!$C$9</f>
        <v>1359.4774230429939</v>
      </c>
      <c r="G63" s="19">
        <f>IF($D63&lt;Calculator!$C$11,$E63-$B$5,$E63)</f>
        <v>11359.477423042994</v>
      </c>
      <c r="H63" s="19">
        <f>IF(AND($D63&lt;Calculator!$C$11,$G63&gt;=Calculator!$C$9-0.000000001),1,0)</f>
        <v>0</v>
      </c>
      <c r="I63" s="19">
        <f>Calculator!$C$9</f>
        <v>10000</v>
      </c>
    </row>
    <row r="64" spans="4:9" ht="16.5" x14ac:dyDescent="0.25">
      <c r="D64" s="19">
        <v>40</v>
      </c>
      <c r="E64" s="19">
        <f>Calculator!$C$9*POWER(1+$B$2,$D64/12)</f>
        <v>11396.6653961878</v>
      </c>
      <c r="F64" s="19">
        <f>$E64-Calculator!$C$9</f>
        <v>1396.6653961878001</v>
      </c>
      <c r="G64" s="19">
        <f>IF($D64&lt;Calculator!$C$11,$E64-$B$5,$E64)</f>
        <v>11396.6653961878</v>
      </c>
      <c r="H64" s="19">
        <f>IF(AND($D64&lt;Calculator!$C$11,$G64&gt;=Calculator!$C$9-0.000000001),1,0)</f>
        <v>0</v>
      </c>
      <c r="I64" s="19">
        <f>Calculator!$C$9</f>
        <v>10000</v>
      </c>
    </row>
    <row r="65" spans="4:9" ht="16.5" x14ac:dyDescent="0.25">
      <c r="D65" s="19">
        <v>41</v>
      </c>
      <c r="E65" s="19">
        <f>Calculator!$C$9*POWER(1+$B$2,$D65/12)</f>
        <v>11433.975113079709</v>
      </c>
      <c r="F65" s="19">
        <f>$E65-Calculator!$C$9</f>
        <v>1433.9751130797085</v>
      </c>
      <c r="G65" s="19">
        <f>IF($D65&lt;Calculator!$C$11,$E65-$B$5,$E65)</f>
        <v>11433.975113079709</v>
      </c>
      <c r="H65" s="19">
        <f>IF(AND($D65&lt;Calculator!$C$11,$G65&gt;=Calculator!$C$9-0.000000001),1,0)</f>
        <v>0</v>
      </c>
      <c r="I65" s="19">
        <f>Calculator!$C$9</f>
        <v>10000</v>
      </c>
    </row>
    <row r="66" spans="4:9" ht="16.5" x14ac:dyDescent="0.25">
      <c r="D66" s="19">
        <v>42</v>
      </c>
      <c r="E66" s="19">
        <f>Calculator!$C$9*POWER(1+$B$2,$D66/12)</f>
        <v>11471.406972276071</v>
      </c>
      <c r="F66" s="19">
        <f>$E66-Calculator!$C$9</f>
        <v>1471.4069722760705</v>
      </c>
      <c r="G66" s="19">
        <f>IF($D66&lt;Calculator!$C$11,$E66-$B$5,$E66)</f>
        <v>11471.406972276071</v>
      </c>
      <c r="H66" s="19">
        <f>IF(AND($D66&lt;Calculator!$C$11,$G66&gt;=Calculator!$C$9-0.000000001),1,0)</f>
        <v>0</v>
      </c>
      <c r="I66" s="19">
        <f>Calculator!$C$9</f>
        <v>10000</v>
      </c>
    </row>
    <row r="67" spans="4:9" ht="16.5" x14ac:dyDescent="0.25">
      <c r="D67" s="19">
        <v>43</v>
      </c>
      <c r="E67" s="19">
        <f>Calculator!$C$9*POWER(1+$B$2,$D67/12)</f>
        <v>11508.961373639004</v>
      </c>
      <c r="F67" s="19">
        <f>$E67-Calculator!$C$9</f>
        <v>1508.9613736390038</v>
      </c>
      <c r="G67" s="19">
        <f>IF($D67&lt;Calculator!$C$11,$E67-$B$5,$E67)</f>
        <v>11508.961373639004</v>
      </c>
      <c r="H67" s="19">
        <f>IF(AND($D67&lt;Calculator!$C$11,$G67&gt;=Calculator!$C$9-0.000000001),1,0)</f>
        <v>0</v>
      </c>
      <c r="I67" s="19">
        <f>Calculator!$C$9</f>
        <v>10000</v>
      </c>
    </row>
    <row r="68" spans="4:9" ht="16.5" x14ac:dyDescent="0.25">
      <c r="D68" s="19">
        <v>44</v>
      </c>
      <c r="E68" s="19">
        <f>Calculator!$C$9*POWER(1+$B$2,$D68/12)</f>
        <v>11546.638718339676</v>
      </c>
      <c r="F68" s="19">
        <f>$E68-Calculator!$C$9</f>
        <v>1546.6387183396764</v>
      </c>
      <c r="G68" s="19">
        <f>IF($D68&lt;Calculator!$C$11,$E68-$B$5,$E68)</f>
        <v>11546.638718339676</v>
      </c>
      <c r="H68" s="19">
        <f>IF(AND($D68&lt;Calculator!$C$11,$G68&gt;=Calculator!$C$9-0.000000001),1,0)</f>
        <v>0</v>
      </c>
      <c r="I68" s="19">
        <f>Calculator!$C$9</f>
        <v>10000</v>
      </c>
    </row>
    <row r="69" spans="4:9" ht="16.5" x14ac:dyDescent="0.25">
      <c r="D69" s="19">
        <v>45</v>
      </c>
      <c r="E69" s="19">
        <f>Calculator!$C$9*POWER(1+$B$2,$D69/12)</f>
        <v>11584.439408862581</v>
      </c>
      <c r="F69" s="19">
        <f>$E69-Calculator!$C$9</f>
        <v>1584.4394088625813</v>
      </c>
      <c r="G69" s="19">
        <f>IF($D69&lt;Calculator!$C$11,$E69-$B$5,$E69)</f>
        <v>11584.439408862581</v>
      </c>
      <c r="H69" s="19">
        <f>IF(AND($D69&lt;Calculator!$C$11,$G69&gt;=Calculator!$C$9-0.000000001),1,0)</f>
        <v>0</v>
      </c>
      <c r="I69" s="19">
        <f>Calculator!$C$9</f>
        <v>10000</v>
      </c>
    </row>
    <row r="70" spans="4:9" ht="16.5" x14ac:dyDescent="0.25">
      <c r="D70" s="19">
        <v>46</v>
      </c>
      <c r="E70" s="19">
        <f>Calculator!$C$9*POWER(1+$B$2,$D70/12)</f>
        <v>11622.363849009847</v>
      </c>
      <c r="F70" s="19">
        <f>$E70-Calculator!$C$9</f>
        <v>1622.3638490098474</v>
      </c>
      <c r="G70" s="19">
        <f>IF($D70&lt;Calculator!$C$11,$E70-$B$5,$E70)</f>
        <v>11622.363849009847</v>
      </c>
      <c r="H70" s="19">
        <f>IF(AND($D70&lt;Calculator!$C$11,$G70&gt;=Calculator!$C$9-0.000000001),1,0)</f>
        <v>0</v>
      </c>
      <c r="I70" s="19">
        <f>Calculator!$C$9</f>
        <v>10000</v>
      </c>
    </row>
    <row r="71" spans="4:9" ht="16.5" x14ac:dyDescent="0.25">
      <c r="D71" s="19">
        <v>47</v>
      </c>
      <c r="E71" s="19">
        <f>Calculator!$C$9*POWER(1+$B$2,$D71/12)</f>
        <v>11660.412443905541</v>
      </c>
      <c r="F71" s="19">
        <f>$E71-Calculator!$C$9</f>
        <v>1660.4124439055413</v>
      </c>
      <c r="G71" s="19">
        <f>IF($D71&lt;Calculator!$C$11,$E71-$B$5,$E71)</f>
        <v>11660.412443905541</v>
      </c>
      <c r="H71" s="19">
        <f>IF(AND($D71&lt;Calculator!$C$11,$G71&gt;=Calculator!$C$9-0.000000001),1,0)</f>
        <v>0</v>
      </c>
      <c r="I71" s="19">
        <f>Calculator!$C$9</f>
        <v>10000</v>
      </c>
    </row>
    <row r="72" spans="4:9" ht="16.5" x14ac:dyDescent="0.25">
      <c r="D72" s="19">
        <v>48</v>
      </c>
      <c r="E72" s="19">
        <f>Calculator!$C$9*POWER(1+$B$2,$D72/12)</f>
        <v>11698.585600000002</v>
      </c>
      <c r="F72" s="19">
        <f>$E72-Calculator!$C$9</f>
        <v>1698.5856000000022</v>
      </c>
      <c r="G72" s="19">
        <f>IF($D72&lt;Calculator!$C$11,$E72-$B$5,$E72)</f>
        <v>11698.585600000002</v>
      </c>
      <c r="H72" s="19">
        <f>IF(AND($D72&lt;Calculator!$C$11,$G72&gt;=Calculator!$C$9-0.000000001),1,0)</f>
        <v>0</v>
      </c>
      <c r="I72" s="19">
        <f>Calculator!$C$9</f>
        <v>10000</v>
      </c>
    </row>
    <row r="73" spans="4:9" ht="16.5" x14ac:dyDescent="0.25">
      <c r="D73" s="19">
        <v>49</v>
      </c>
      <c r="E73" s="19">
        <f>Calculator!$C$9*POWER(1+$B$2,$D73/12)</f>
        <v>11736.883725074182</v>
      </c>
      <c r="F73" s="19">
        <f>$E73-Calculator!$C$9</f>
        <v>1736.8837250741817</v>
      </c>
      <c r="G73" s="19">
        <f>IF($D73&lt;Calculator!$C$11,$E73-$B$5,$E73)</f>
        <v>11736.883725074182</v>
      </c>
      <c r="H73" s="19">
        <f>IF(AND($D73&lt;Calculator!$C$11,$G73&gt;=Calculator!$C$9-0.000000001),1,0)</f>
        <v>0</v>
      </c>
      <c r="I73" s="19">
        <f>Calculator!$C$9</f>
        <v>10000</v>
      </c>
    </row>
    <row r="74" spans="4:9" ht="16.5" x14ac:dyDescent="0.25">
      <c r="D74" s="19">
        <v>50</v>
      </c>
      <c r="E74" s="19">
        <f>Calculator!$C$9*POWER(1+$B$2,$D74/12)</f>
        <v>11775.307228243999</v>
      </c>
      <c r="F74" s="19">
        <f>$E74-Calculator!$C$9</f>
        <v>1775.3072282439989</v>
      </c>
      <c r="G74" s="19">
        <f>IF($D74&lt;Calculator!$C$11,$E74-$B$5,$E74)</f>
        <v>11775.307228243999</v>
      </c>
      <c r="H74" s="19">
        <f>IF(AND($D74&lt;Calculator!$C$11,$G74&gt;=Calculator!$C$9-0.000000001),1,0)</f>
        <v>0</v>
      </c>
      <c r="I74" s="19">
        <f>Calculator!$C$9</f>
        <v>10000</v>
      </c>
    </row>
    <row r="75" spans="4:9" ht="16.5" x14ac:dyDescent="0.25">
      <c r="D75" s="19">
        <v>51</v>
      </c>
      <c r="E75" s="19">
        <f>Calculator!$C$9*POWER(1+$B$2,$D75/12)</f>
        <v>11813.856519964715</v>
      </c>
      <c r="F75" s="19">
        <f>$E75-Calculator!$C$9</f>
        <v>1813.8565199647146</v>
      </c>
      <c r="G75" s="19">
        <f>IF($D75&lt;Calculator!$C$11,$E75-$B$5,$E75)</f>
        <v>11813.856519964715</v>
      </c>
      <c r="H75" s="19">
        <f>IF(AND($D75&lt;Calculator!$C$11,$G75&gt;=Calculator!$C$9-0.000000001),1,0)</f>
        <v>0</v>
      </c>
      <c r="I75" s="19">
        <f>Calculator!$C$9</f>
        <v>10000</v>
      </c>
    </row>
    <row r="76" spans="4:9" ht="16.5" x14ac:dyDescent="0.25">
      <c r="D76" s="19">
        <v>52</v>
      </c>
      <c r="E76" s="19">
        <f>Calculator!$C$9*POWER(1+$B$2,$D76/12)</f>
        <v>11852.532012035314</v>
      </c>
      <c r="F76" s="19">
        <f>$E76-Calculator!$C$9</f>
        <v>1852.5320120353135</v>
      </c>
      <c r="G76" s="19">
        <f>IF($D76&lt;Calculator!$C$11,$E76-$B$5,$E76)</f>
        <v>11852.532012035314</v>
      </c>
      <c r="H76" s="19">
        <f>IF(AND($D76&lt;Calculator!$C$11,$G76&gt;=Calculator!$C$9-0.000000001),1,0)</f>
        <v>0</v>
      </c>
      <c r="I76" s="19">
        <f>Calculator!$C$9</f>
        <v>10000</v>
      </c>
    </row>
    <row r="77" spans="4:9" ht="16.5" x14ac:dyDescent="0.25">
      <c r="D77" s="19">
        <v>53</v>
      </c>
      <c r="E77" s="19">
        <f>Calculator!$C$9*POWER(1+$B$2,$D77/12)</f>
        <v>11891.334117602899</v>
      </c>
      <c r="F77" s="19">
        <f>$E77-Calculator!$C$9</f>
        <v>1891.3341176028989</v>
      </c>
      <c r="G77" s="19">
        <f>IF($D77&lt;Calculator!$C$11,$E77-$B$5,$E77)</f>
        <v>11891.334117602899</v>
      </c>
      <c r="H77" s="19">
        <f>IF(AND($D77&lt;Calculator!$C$11,$G77&gt;=Calculator!$C$9-0.000000001),1,0)</f>
        <v>0</v>
      </c>
      <c r="I77" s="19">
        <f>Calculator!$C$9</f>
        <v>10000</v>
      </c>
    </row>
    <row r="78" spans="4:9" ht="16.5" x14ac:dyDescent="0.25">
      <c r="D78" s="19">
        <v>54</v>
      </c>
      <c r="E78" s="19">
        <f>Calculator!$C$9*POWER(1+$B$2,$D78/12)</f>
        <v>11930.263251167113</v>
      </c>
      <c r="F78" s="19">
        <f>$E78-Calculator!$C$9</f>
        <v>1930.2632511671127</v>
      </c>
      <c r="G78" s="19">
        <f>IF($D78&lt;Calculator!$C$11,$E78-$B$5,$E78)</f>
        <v>11930.263251167113</v>
      </c>
      <c r="H78" s="19">
        <f>IF(AND($D78&lt;Calculator!$C$11,$G78&gt;=Calculator!$C$9-0.000000001),1,0)</f>
        <v>0</v>
      </c>
      <c r="I78" s="19">
        <f>Calculator!$C$9</f>
        <v>10000</v>
      </c>
    </row>
    <row r="79" spans="4:9" ht="16.5" x14ac:dyDescent="0.25">
      <c r="D79" s="19">
        <v>55</v>
      </c>
      <c r="E79" s="19">
        <f>Calculator!$C$9*POWER(1+$B$2,$D79/12)</f>
        <v>11969.319828584563</v>
      </c>
      <c r="F79" s="19">
        <f>$E79-Calculator!$C$9</f>
        <v>1969.3198285845629</v>
      </c>
      <c r="G79" s="19">
        <f>IF($D79&lt;Calculator!$C$11,$E79-$B$5,$E79)</f>
        <v>11969.319828584563</v>
      </c>
      <c r="H79" s="19">
        <f>IF(AND($D79&lt;Calculator!$C$11,$G79&gt;=Calculator!$C$9-0.000000001),1,0)</f>
        <v>0</v>
      </c>
      <c r="I79" s="19">
        <f>Calculator!$C$9</f>
        <v>10000</v>
      </c>
    </row>
    <row r="80" spans="4:9" ht="16.5" x14ac:dyDescent="0.25">
      <c r="D80" s="19">
        <v>56</v>
      </c>
      <c r="E80" s="19">
        <f>Calculator!$C$9*POWER(1+$B$2,$D80/12)</f>
        <v>12008.504267073264</v>
      </c>
      <c r="F80" s="19">
        <f>$E80-Calculator!$C$9</f>
        <v>2008.5042670732637</v>
      </c>
      <c r="G80" s="19">
        <f>IF($D80&lt;Calculator!$C$11,$E80-$B$5,$E80)</f>
        <v>12008.504267073264</v>
      </c>
      <c r="H80" s="19">
        <f>IF(AND($D80&lt;Calculator!$C$11,$G80&gt;=Calculator!$C$9-0.000000001),1,0)</f>
        <v>0</v>
      </c>
      <c r="I80" s="19">
        <f>Calculator!$C$9</f>
        <v>10000</v>
      </c>
    </row>
    <row r="81" spans="4:9" ht="16.5" x14ac:dyDescent="0.25">
      <c r="D81" s="19">
        <v>57</v>
      </c>
      <c r="E81" s="19">
        <f>Calculator!$C$9*POWER(1+$B$2,$D81/12)</f>
        <v>12047.816985217085</v>
      </c>
      <c r="F81" s="19">
        <f>$E81-Calculator!$C$9</f>
        <v>2047.8169852170849</v>
      </c>
      <c r="G81" s="19">
        <f>IF($D81&lt;Calculator!$C$11,$E81-$B$5,$E81)</f>
        <v>12047.816985217085</v>
      </c>
      <c r="H81" s="19">
        <f>IF(AND($D81&lt;Calculator!$C$11,$G81&gt;=Calculator!$C$9-0.000000001),1,0)</f>
        <v>0</v>
      </c>
      <c r="I81" s="19">
        <f>Calculator!$C$9</f>
        <v>10000</v>
      </c>
    </row>
    <row r="82" spans="4:9" ht="16.5" x14ac:dyDescent="0.25">
      <c r="D82" s="19">
        <v>58</v>
      </c>
      <c r="E82" s="19">
        <f>Calculator!$C$9*POWER(1+$B$2,$D82/12)</f>
        <v>12087.258402970243</v>
      </c>
      <c r="F82" s="19">
        <f>$E82-Calculator!$C$9</f>
        <v>2087.258402970243</v>
      </c>
      <c r="G82" s="19">
        <f>IF($D82&lt;Calculator!$C$11,$E82-$B$5,$E82)</f>
        <v>12087.258402970243</v>
      </c>
      <c r="H82" s="19">
        <f>IF(AND($D82&lt;Calculator!$C$11,$G82&gt;=Calculator!$C$9-0.000000001),1,0)</f>
        <v>0</v>
      </c>
      <c r="I82" s="19">
        <f>Calculator!$C$9</f>
        <v>10000</v>
      </c>
    </row>
    <row r="83" spans="4:9" ht="16.5" x14ac:dyDescent="0.25">
      <c r="D83" s="19">
        <v>59</v>
      </c>
      <c r="E83" s="19">
        <f>Calculator!$C$9*POWER(1+$B$2,$D83/12)</f>
        <v>12126.828941661763</v>
      </c>
      <c r="F83" s="19">
        <f>$E83-Calculator!$C$9</f>
        <v>2126.8289416617627</v>
      </c>
      <c r="G83" s="19">
        <f>IF($D83&lt;Calculator!$C$11,$E83-$B$5,$E83)</f>
        <v>12126.828941661763</v>
      </c>
      <c r="H83" s="19">
        <f>IF(AND($D83&lt;Calculator!$C$11,$G83&gt;=Calculator!$C$9-0.000000001),1,0)</f>
        <v>0</v>
      </c>
      <c r="I83" s="19">
        <f>Calculator!$C$9</f>
        <v>10000</v>
      </c>
    </row>
    <row r="84" spans="4:9" ht="16.5" x14ac:dyDescent="0.25">
      <c r="D84" s="19">
        <v>60</v>
      </c>
      <c r="E84" s="19">
        <f>Calculator!$C$9*POWER(1+$B$2,$D84/12)</f>
        <v>12166.529024000003</v>
      </c>
      <c r="F84" s="19">
        <f>$E84-Calculator!$C$9</f>
        <v>2166.5290240000031</v>
      </c>
      <c r="G84" s="19">
        <f>IF($D84&lt;Calculator!$C$11,$E84-$B$5,$E84)</f>
        <v>12166.529024000003</v>
      </c>
      <c r="H84" s="19">
        <f>IF(AND($D84&lt;Calculator!$C$11,$G84&gt;=Calculator!$C$9-0.000000001),1,0)</f>
        <v>0</v>
      </c>
      <c r="I84" s="19">
        <f>Calculator!$C$9</f>
        <v>10000</v>
      </c>
    </row>
    <row r="85" spans="4:9" ht="16.5" x14ac:dyDescent="0.25">
      <c r="D85" s="19">
        <v>61</v>
      </c>
      <c r="E85" s="19">
        <f>Calculator!$C$9*POWER(1+$B$2,$D85/12)</f>
        <v>12206.359074077149</v>
      </c>
      <c r="F85" s="19">
        <f>$E85-Calculator!$C$9</f>
        <v>2206.3590740771488</v>
      </c>
      <c r="G85" s="19">
        <f>IF($D85&lt;Calculator!$C$11,$E85-$B$5,$E85)</f>
        <v>12206.359074077149</v>
      </c>
      <c r="H85" s="19">
        <f>IF(AND($D85&lt;Calculator!$C$11,$G85&gt;=Calculator!$C$9-0.000000001),1,0)</f>
        <v>0</v>
      </c>
      <c r="I85" s="19">
        <f>Calculator!$C$9</f>
        <v>10000</v>
      </c>
    </row>
    <row r="86" spans="4:9" ht="16.5" x14ac:dyDescent="0.25">
      <c r="D86" s="19">
        <v>62</v>
      </c>
      <c r="E86" s="19">
        <f>Calculator!$C$9*POWER(1+$B$2,$D86/12)</f>
        <v>12246.319517373759</v>
      </c>
      <c r="F86" s="19">
        <f>$E86-Calculator!$C$9</f>
        <v>2246.3195173737586</v>
      </c>
      <c r="G86" s="19">
        <f>IF($D86&lt;Calculator!$C$11,$E86-$B$5,$E86)</f>
        <v>12246.319517373759</v>
      </c>
      <c r="H86" s="19">
        <f>IF(AND($D86&lt;Calculator!$C$11,$G86&gt;=Calculator!$C$9-0.000000001),1,0)</f>
        <v>0</v>
      </c>
      <c r="I86" s="19">
        <f>Calculator!$C$9</f>
        <v>10000</v>
      </c>
    </row>
    <row r="87" spans="4:9" ht="16.5" x14ac:dyDescent="0.25">
      <c r="D87" s="19">
        <v>63</v>
      </c>
      <c r="E87" s="19">
        <f>Calculator!$C$9*POWER(1+$B$2,$D87/12)</f>
        <v>12286.410780763305</v>
      </c>
      <c r="F87" s="19">
        <f>$E87-Calculator!$C$9</f>
        <v>2286.4107807633045</v>
      </c>
      <c r="G87" s="19">
        <f>IF($D87&lt;Calculator!$C$11,$E87-$B$5,$E87)</f>
        <v>12286.410780763305</v>
      </c>
      <c r="H87" s="19">
        <f>IF(AND($D87&lt;Calculator!$C$11,$G87&gt;=Calculator!$C$9-0.000000001),1,0)</f>
        <v>0</v>
      </c>
      <c r="I87" s="19">
        <f>Calculator!$C$9</f>
        <v>10000</v>
      </c>
    </row>
    <row r="88" spans="4:9" ht="16.5" x14ac:dyDescent="0.25">
      <c r="D88" s="19">
        <v>64</v>
      </c>
      <c r="E88" s="19">
        <f>Calculator!$C$9*POWER(1+$B$2,$D88/12)</f>
        <v>12326.633292516724</v>
      </c>
      <c r="F88" s="19">
        <f>$E88-Calculator!$C$9</f>
        <v>2326.6332925167244</v>
      </c>
      <c r="G88" s="19">
        <f>IF($D88&lt;Calculator!$C$11,$E88-$B$5,$E88)</f>
        <v>12326.633292516724</v>
      </c>
      <c r="H88" s="19">
        <f>IF(AND($D88&lt;Calculator!$C$11,$G88&gt;=Calculator!$C$9-0.000000001),1,0)</f>
        <v>0</v>
      </c>
      <c r="I88" s="19">
        <f>Calculator!$C$9</f>
        <v>10000</v>
      </c>
    </row>
    <row r="89" spans="4:9" ht="16.5" x14ac:dyDescent="0.25">
      <c r="D89" s="19">
        <v>65</v>
      </c>
      <c r="E89" s="19">
        <f>Calculator!$C$9*POWER(1+$B$2,$D89/12)</f>
        <v>12366.987482307015</v>
      </c>
      <c r="F89" s="19">
        <f>$E89-Calculator!$C$9</f>
        <v>2366.9874823070149</v>
      </c>
      <c r="G89" s="19">
        <f>IF($D89&lt;Calculator!$C$11,$E89-$B$5,$E89)</f>
        <v>12366.987482307015</v>
      </c>
      <c r="H89" s="19">
        <f>IF(AND($D89&lt;Calculator!$C$11,$G89&gt;=Calculator!$C$9-0.000000001),1,0)</f>
        <v>0</v>
      </c>
      <c r="I89" s="19">
        <f>Calculator!$C$9</f>
        <v>10000</v>
      </c>
    </row>
    <row r="90" spans="4:9" ht="16.5" x14ac:dyDescent="0.25">
      <c r="D90" s="19">
        <v>66</v>
      </c>
      <c r="E90" s="19">
        <f>Calculator!$C$9*POWER(1+$B$2,$D90/12)</f>
        <v>12407.473781213797</v>
      </c>
      <c r="F90" s="19">
        <f>$E90-Calculator!$C$9</f>
        <v>2407.4737812137973</v>
      </c>
      <c r="G90" s="19">
        <f>IF($D90&lt;Calculator!$C$11,$E90-$B$5,$E90)</f>
        <v>12407.473781213797</v>
      </c>
      <c r="H90" s="19">
        <f>IF(AND($D90&lt;Calculator!$C$11,$G90&gt;=Calculator!$C$9-0.000000001),1,0)</f>
        <v>0</v>
      </c>
      <c r="I90" s="19">
        <f>Calculator!$C$9</f>
        <v>10000</v>
      </c>
    </row>
    <row r="91" spans="4:9" ht="16.5" x14ac:dyDescent="0.25">
      <c r="D91" s="19">
        <v>67</v>
      </c>
      <c r="E91" s="19">
        <f>Calculator!$C$9*POWER(1+$B$2,$D91/12)</f>
        <v>12448.092621727947</v>
      </c>
      <c r="F91" s="19">
        <f>$E91-Calculator!$C$9</f>
        <v>2448.0926217279466</v>
      </c>
      <c r="G91" s="19">
        <f>IF($D91&lt;Calculator!$C$11,$E91-$B$5,$E91)</f>
        <v>12448.092621727947</v>
      </c>
      <c r="H91" s="19">
        <f>IF(AND($D91&lt;Calculator!$C$11,$G91&gt;=Calculator!$C$9-0.000000001),1,0)</f>
        <v>0</v>
      </c>
      <c r="I91" s="19">
        <f>Calculator!$C$9</f>
        <v>10000</v>
      </c>
    </row>
    <row r="92" spans="4:9" ht="16.5" x14ac:dyDescent="0.25">
      <c r="D92" s="19">
        <v>68</v>
      </c>
      <c r="E92" s="19">
        <f>Calculator!$C$9*POWER(1+$B$2,$D92/12)</f>
        <v>12488.844437756195</v>
      </c>
      <c r="F92" s="19">
        <f>$E92-Calculator!$C$9</f>
        <v>2488.8444377561955</v>
      </c>
      <c r="G92" s="19">
        <f>IF($D92&lt;Calculator!$C$11,$E92-$B$5,$E92)</f>
        <v>12488.844437756195</v>
      </c>
      <c r="H92" s="19">
        <f>IF(AND($D92&lt;Calculator!$C$11,$G92&gt;=Calculator!$C$9-0.000000001),1,0)</f>
        <v>0</v>
      </c>
      <c r="I92" s="19">
        <f>Calculator!$C$9</f>
        <v>10000</v>
      </c>
    </row>
    <row r="93" spans="4:9" ht="16.5" x14ac:dyDescent="0.25">
      <c r="D93" s="19">
        <v>69</v>
      </c>
      <c r="E93" s="19">
        <f>Calculator!$C$9*POWER(1+$B$2,$D93/12)</f>
        <v>12529.729664625771</v>
      </c>
      <c r="F93" s="19">
        <f>$E93-Calculator!$C$9</f>
        <v>2529.729664625771</v>
      </c>
      <c r="G93" s="19">
        <f>IF($D93&lt;Calculator!$C$11,$E93-$B$5,$E93)</f>
        <v>12529.729664625771</v>
      </c>
      <c r="H93" s="19">
        <f>IF(AND($D93&lt;Calculator!$C$11,$G93&gt;=Calculator!$C$9-0.000000001),1,0)</f>
        <v>0</v>
      </c>
      <c r="I93" s="19">
        <f>Calculator!$C$9</f>
        <v>10000</v>
      </c>
    </row>
    <row r="94" spans="4:9" ht="16.5" x14ac:dyDescent="0.25">
      <c r="D94" s="19">
        <v>70</v>
      </c>
      <c r="E94" s="19">
        <f>Calculator!$C$9*POWER(1+$B$2,$D94/12)</f>
        <v>12570.748739089053</v>
      </c>
      <c r="F94" s="19">
        <f>$E94-Calculator!$C$9</f>
        <v>2570.7487390890528</v>
      </c>
      <c r="G94" s="19">
        <f>IF($D94&lt;Calculator!$C$11,$E94-$B$5,$E94)</f>
        <v>12570.748739089053</v>
      </c>
      <c r="H94" s="19">
        <f>IF(AND($D94&lt;Calculator!$C$11,$G94&gt;=Calculator!$C$9-0.000000001),1,0)</f>
        <v>0</v>
      </c>
      <c r="I94" s="19">
        <f>Calculator!$C$9</f>
        <v>10000</v>
      </c>
    </row>
    <row r="95" spans="4:9" ht="16.5" x14ac:dyDescent="0.25">
      <c r="D95" s="19">
        <v>71</v>
      </c>
      <c r="E95" s="19">
        <f>Calculator!$C$9*POWER(1+$B$2,$D95/12)</f>
        <v>12611.902099328234</v>
      </c>
      <c r="F95" s="19">
        <f>$E95-Calculator!$C$9</f>
        <v>2611.9020993282338</v>
      </c>
      <c r="G95" s="19">
        <f>IF($D95&lt;Calculator!$C$11,$E95-$B$5,$E95)</f>
        <v>12611.902099328234</v>
      </c>
      <c r="H95" s="19">
        <f>IF(AND($D95&lt;Calculator!$C$11,$G95&gt;=Calculator!$C$9-0.000000001),1,0)</f>
        <v>0</v>
      </c>
      <c r="I95" s="19">
        <f>Calculator!$C$9</f>
        <v>10000</v>
      </c>
    </row>
    <row r="96" spans="4:9" ht="16.5" x14ac:dyDescent="0.25">
      <c r="D96" s="19">
        <v>72</v>
      </c>
      <c r="E96" s="19">
        <f>Calculator!$C$9*POWER(1+$B$2,$D96/12)</f>
        <v>12653.190184960004</v>
      </c>
      <c r="F96" s="19">
        <f>$E96-Calculator!$C$9</f>
        <v>2653.1901849600035</v>
      </c>
      <c r="G96" s="19">
        <f>IF($D96&lt;Calculator!$C$11,$E96-$B$5,$E96)</f>
        <v>12653.190184960004</v>
      </c>
      <c r="H96" s="19">
        <f>IF(AND($D96&lt;Calculator!$C$11,$G96&gt;=Calculator!$C$9-0.000000001),1,0)</f>
        <v>0</v>
      </c>
      <c r="I96" s="19">
        <f>Calculator!$C$9</f>
        <v>10000</v>
      </c>
    </row>
    <row r="97" spans="4:9" ht="16.5" x14ac:dyDescent="0.25">
      <c r="D97" s="19">
        <v>73</v>
      </c>
      <c r="E97" s="19">
        <f>Calculator!$C$9*POWER(1+$B$2,$D97/12)</f>
        <v>12694.613437040234</v>
      </c>
      <c r="F97" s="19">
        <f>$E97-Calculator!$C$9</f>
        <v>2694.6134370402342</v>
      </c>
      <c r="G97" s="19">
        <f>IF($D97&lt;Calculator!$C$11,$E97-$B$5,$E97)</f>
        <v>12694.613437040234</v>
      </c>
      <c r="H97" s="19">
        <f>IF(AND($D97&lt;Calculator!$C$11,$G97&gt;=Calculator!$C$9-0.000000001),1,0)</f>
        <v>0</v>
      </c>
      <c r="I97" s="19">
        <f>Calculator!$C$9</f>
        <v>10000</v>
      </c>
    </row>
    <row r="98" spans="4:9" ht="16.5" x14ac:dyDescent="0.25">
      <c r="D98" s="19">
        <v>74</v>
      </c>
      <c r="E98" s="19">
        <f>Calculator!$C$9*POWER(1+$B$2,$D98/12)</f>
        <v>12736.172298068708</v>
      </c>
      <c r="F98" s="19">
        <f>$E98-Calculator!$C$9</f>
        <v>2736.1722980687082</v>
      </c>
      <c r="G98" s="19">
        <f>IF($D98&lt;Calculator!$C$11,$E98-$B$5,$E98)</f>
        <v>12736.172298068708</v>
      </c>
      <c r="H98" s="19">
        <f>IF(AND($D98&lt;Calculator!$C$11,$G98&gt;=Calculator!$C$9-0.000000001),1,0)</f>
        <v>0</v>
      </c>
      <c r="I98" s="19">
        <f>Calculator!$C$9</f>
        <v>10000</v>
      </c>
    </row>
    <row r="99" spans="4:9" ht="16.5" x14ac:dyDescent="0.25">
      <c r="D99" s="19">
        <v>75</v>
      </c>
      <c r="E99" s="19">
        <f>Calculator!$C$9*POWER(1+$B$2,$D99/12)</f>
        <v>12777.867211993836</v>
      </c>
      <c r="F99" s="19">
        <f>$E99-Calculator!$C$9</f>
        <v>2777.8672119938365</v>
      </c>
      <c r="G99" s="19">
        <f>IF($D99&lt;Calculator!$C$11,$E99-$B$5,$E99)</f>
        <v>12777.867211993836</v>
      </c>
      <c r="H99" s="19">
        <f>IF(AND($D99&lt;Calculator!$C$11,$G99&gt;=Calculator!$C$9-0.000000001),1,0)</f>
        <v>0</v>
      </c>
      <c r="I99" s="19">
        <f>Calculator!$C$9</f>
        <v>10000</v>
      </c>
    </row>
    <row r="100" spans="4:9" ht="16.5" x14ac:dyDescent="0.25">
      <c r="D100" s="19">
        <v>76</v>
      </c>
      <c r="E100" s="19">
        <f>Calculator!$C$9*POWER(1+$B$2,$D100/12)</f>
        <v>12819.698624217395</v>
      </c>
      <c r="F100" s="19">
        <f>$E100-Calculator!$C$9</f>
        <v>2819.6986242173953</v>
      </c>
      <c r="G100" s="19">
        <f>IF($D100&lt;Calculator!$C$11,$E100-$B$5,$E100)</f>
        <v>12819.698624217395</v>
      </c>
      <c r="H100" s="19">
        <f>IF(AND($D100&lt;Calculator!$C$11,$G100&gt;=Calculator!$C$9-0.000000001),1,0)</f>
        <v>0</v>
      </c>
      <c r="I100" s="19">
        <f>Calculator!$C$9</f>
        <v>10000</v>
      </c>
    </row>
    <row r="101" spans="4:9" ht="16.5" x14ac:dyDescent="0.25">
      <c r="D101" s="19">
        <v>77</v>
      </c>
      <c r="E101" s="19">
        <f>Calculator!$C$9*POWER(1+$B$2,$D101/12)</f>
        <v>12861.666981599295</v>
      </c>
      <c r="F101" s="19">
        <f>$E101-Calculator!$C$9</f>
        <v>2861.6669815992955</v>
      </c>
      <c r="G101" s="19">
        <f>IF($D101&lt;Calculator!$C$11,$E101-$B$5,$E101)</f>
        <v>12861.666981599295</v>
      </c>
      <c r="H101" s="19">
        <f>IF(AND($D101&lt;Calculator!$C$11,$G101&gt;=Calculator!$C$9-0.000000001),1,0)</f>
        <v>0</v>
      </c>
      <c r="I101" s="19">
        <f>Calculator!$C$9</f>
        <v>10000</v>
      </c>
    </row>
    <row r="102" spans="4:9" ht="16.5" x14ac:dyDescent="0.25">
      <c r="D102" s="19">
        <v>78</v>
      </c>
      <c r="E102" s="19">
        <f>Calculator!$C$9*POWER(1+$B$2,$D102/12)</f>
        <v>12903.77273246235</v>
      </c>
      <c r="F102" s="19">
        <f>$E102-Calculator!$C$9</f>
        <v>2903.7727324623502</v>
      </c>
      <c r="G102" s="19">
        <f>IF($D102&lt;Calculator!$C$11,$E102-$B$5,$E102)</f>
        <v>12903.77273246235</v>
      </c>
      <c r="H102" s="19">
        <f>IF(AND($D102&lt;Calculator!$C$11,$G102&gt;=Calculator!$C$9-0.000000001),1,0)</f>
        <v>0</v>
      </c>
      <c r="I102" s="19">
        <f>Calculator!$C$9</f>
        <v>10000</v>
      </c>
    </row>
    <row r="103" spans="4:9" ht="16.5" x14ac:dyDescent="0.25">
      <c r="D103" s="19">
        <v>79</v>
      </c>
      <c r="E103" s="19">
        <f>Calculator!$C$9*POWER(1+$B$2,$D103/12)</f>
        <v>12946.016326597066</v>
      </c>
      <c r="F103" s="19">
        <f>$E103-Calculator!$C$9</f>
        <v>2946.0163265970659</v>
      </c>
      <c r="G103" s="19">
        <f>IF($D103&lt;Calculator!$C$11,$E103-$B$5,$E103)</f>
        <v>12946.016326597066</v>
      </c>
      <c r="H103" s="19">
        <f>IF(AND($D103&lt;Calculator!$C$11,$G103&gt;=Calculator!$C$9-0.000000001),1,0)</f>
        <v>0</v>
      </c>
      <c r="I103" s="19">
        <f>Calculator!$C$9</f>
        <v>10000</v>
      </c>
    </row>
    <row r="104" spans="4:9" ht="16.5" x14ac:dyDescent="0.25">
      <c r="D104" s="19">
        <v>80</v>
      </c>
      <c r="E104" s="19">
        <f>Calculator!$C$9*POWER(1+$B$2,$D104/12)</f>
        <v>12988.398215266443</v>
      </c>
      <c r="F104" s="19">
        <f>$E104-Calculator!$C$9</f>
        <v>2988.398215266443</v>
      </c>
      <c r="G104" s="19">
        <f>IF($D104&lt;Calculator!$C$11,$E104-$B$5,$E104)</f>
        <v>12988.398215266443</v>
      </c>
      <c r="H104" s="19">
        <f>IF(AND($D104&lt;Calculator!$C$11,$G104&gt;=Calculator!$C$9-0.000000001),1,0)</f>
        <v>0</v>
      </c>
      <c r="I104" s="19">
        <f>Calculator!$C$9</f>
        <v>10000</v>
      </c>
    </row>
    <row r="105" spans="4:9" ht="16.5" x14ac:dyDescent="0.25">
      <c r="D105" s="19">
        <v>81</v>
      </c>
      <c r="E105" s="19">
        <f>Calculator!$C$9*POWER(1+$B$2,$D105/12)</f>
        <v>13030.918851210799</v>
      </c>
      <c r="F105" s="19">
        <f>$E105-Calculator!$C$9</f>
        <v>3030.9188512107994</v>
      </c>
      <c r="G105" s="19">
        <f>IF($D105&lt;Calculator!$C$11,$E105-$B$5,$E105)</f>
        <v>13030.918851210799</v>
      </c>
      <c r="H105" s="19">
        <f>IF(AND($D105&lt;Calculator!$C$11,$G105&gt;=Calculator!$C$9-0.000000001),1,0)</f>
        <v>0</v>
      </c>
      <c r="I105" s="19">
        <f>Calculator!$C$9</f>
        <v>10000</v>
      </c>
    </row>
    <row r="106" spans="4:9" ht="16.5" x14ac:dyDescent="0.25">
      <c r="D106" s="19">
        <v>82</v>
      </c>
      <c r="E106" s="19">
        <f>Calculator!$C$9*POWER(1+$B$2,$D106/12)</f>
        <v>13073.578688652615</v>
      </c>
      <c r="F106" s="19">
        <f>$E106-Calculator!$C$9</f>
        <v>3073.5786886526148</v>
      </c>
      <c r="G106" s="19">
        <f>IF($D106&lt;Calculator!$C$11,$E106-$B$5,$E106)</f>
        <v>13073.578688652615</v>
      </c>
      <c r="H106" s="19">
        <f>IF(AND($D106&lt;Calculator!$C$11,$G106&gt;=Calculator!$C$9-0.000000001),1,0)</f>
        <v>0</v>
      </c>
      <c r="I106" s="19">
        <f>Calculator!$C$9</f>
        <v>10000</v>
      </c>
    </row>
    <row r="107" spans="4:9" ht="16.5" x14ac:dyDescent="0.25">
      <c r="D107" s="19">
        <v>83</v>
      </c>
      <c r="E107" s="19">
        <f>Calculator!$C$9*POWER(1+$B$2,$D107/12)</f>
        <v>13116.378183301365</v>
      </c>
      <c r="F107" s="19">
        <f>$E107-Calculator!$C$9</f>
        <v>3116.3781833013654</v>
      </c>
      <c r="G107" s="19">
        <f>IF($D107&lt;Calculator!$C$11,$E107-$B$5,$E107)</f>
        <v>13116.378183301365</v>
      </c>
      <c r="H107" s="19">
        <f>IF(AND($D107&lt;Calculator!$C$11,$G107&gt;=Calculator!$C$9-0.000000001),1,0)</f>
        <v>0</v>
      </c>
      <c r="I107" s="19">
        <f>Calculator!$C$9</f>
        <v>10000</v>
      </c>
    </row>
    <row r="108" spans="4:9" ht="16.5" x14ac:dyDescent="0.25">
      <c r="D108" s="19">
        <v>84</v>
      </c>
      <c r="E108" s="19">
        <f>Calculator!$C$9*POWER(1+$B$2,$D108/12)</f>
        <v>13159.317792358403</v>
      </c>
      <c r="F108" s="19">
        <f>$E108-Calculator!$C$9</f>
        <v>3159.3177923584026</v>
      </c>
      <c r="G108" s="19">
        <f>IF($D108&lt;Calculator!$C$11,$E108-$B$5,$E108)</f>
        <v>13159.317792358403</v>
      </c>
      <c r="H108" s="19">
        <f>IF(AND($D108&lt;Calculator!$C$11,$G108&gt;=Calculator!$C$9-0.000000001),1,0)</f>
        <v>0</v>
      </c>
      <c r="I108" s="19">
        <f>Calculator!$C$9</f>
        <v>10000</v>
      </c>
    </row>
    <row r="109" spans="4:9" ht="16.5" x14ac:dyDescent="0.25">
      <c r="D109" s="19">
        <v>85</v>
      </c>
      <c r="E109" s="19">
        <f>Calculator!$C$9*POWER(1+$B$2,$D109/12)</f>
        <v>13202.397974521844</v>
      </c>
      <c r="F109" s="19">
        <f>$E109-Calculator!$C$9</f>
        <v>3202.3979745218439</v>
      </c>
      <c r="G109" s="19">
        <f>IF($D109&lt;Calculator!$C$11,$E109-$B$5,$E109)</f>
        <v>13202.397974521844</v>
      </c>
      <c r="H109" s="19">
        <f>IF(AND($D109&lt;Calculator!$C$11,$G109&gt;=Calculator!$C$9-0.000000001),1,0)</f>
        <v>0</v>
      </c>
      <c r="I109" s="19">
        <f>Calculator!$C$9</f>
        <v>10000</v>
      </c>
    </row>
    <row r="110" spans="4:9" ht="16.5" x14ac:dyDescent="0.25">
      <c r="D110" s="19">
        <v>86</v>
      </c>
      <c r="E110" s="19">
        <f>Calculator!$C$9*POWER(1+$B$2,$D110/12)</f>
        <v>13245.619189991457</v>
      </c>
      <c r="F110" s="19">
        <f>$E110-Calculator!$C$9</f>
        <v>3245.6191899914575</v>
      </c>
      <c r="G110" s="19">
        <f>IF($D110&lt;Calculator!$C$11,$E110-$B$5,$E110)</f>
        <v>13245.619189991457</v>
      </c>
      <c r="H110" s="19">
        <f>IF(AND($D110&lt;Calculator!$C$11,$G110&gt;=Calculator!$C$9-0.000000001),1,0)</f>
        <v>0</v>
      </c>
      <c r="I110" s="19">
        <f>Calculator!$C$9</f>
        <v>10000</v>
      </c>
    </row>
    <row r="111" spans="4:9" ht="16.5" x14ac:dyDescent="0.25">
      <c r="D111" s="19">
        <v>87</v>
      </c>
      <c r="E111" s="19">
        <f>Calculator!$C$9*POWER(1+$B$2,$D111/12)</f>
        <v>13288.981900473589</v>
      </c>
      <c r="F111" s="19">
        <f>$E111-Calculator!$C$9</f>
        <v>3288.9819004735891</v>
      </c>
      <c r="G111" s="19">
        <f>IF($D111&lt;Calculator!$C$11,$E111-$B$5,$E111)</f>
        <v>13288.981900473589</v>
      </c>
      <c r="H111" s="19">
        <f>IF(AND($D111&lt;Calculator!$C$11,$G111&gt;=Calculator!$C$9-0.000000001),1,0)</f>
        <v>0</v>
      </c>
      <c r="I111" s="19">
        <f>Calculator!$C$9</f>
        <v>10000</v>
      </c>
    </row>
    <row r="112" spans="4:9" ht="16.5" x14ac:dyDescent="0.25">
      <c r="D112" s="19">
        <v>88</v>
      </c>
      <c r="E112" s="19">
        <f>Calculator!$C$9*POWER(1+$B$2,$D112/12)</f>
        <v>13332.48656918609</v>
      </c>
      <c r="F112" s="19">
        <f>$E112-Calculator!$C$9</f>
        <v>3332.4865691860905</v>
      </c>
      <c r="G112" s="19">
        <f>IF($D112&lt;Calculator!$C$11,$E112-$B$5,$E112)</f>
        <v>13332.48656918609</v>
      </c>
      <c r="H112" s="19">
        <f>IF(AND($D112&lt;Calculator!$C$11,$G112&gt;=Calculator!$C$9-0.000000001),1,0)</f>
        <v>0</v>
      </c>
      <c r="I112" s="19">
        <f>Calculator!$C$9</f>
        <v>10000</v>
      </c>
    </row>
    <row r="113" spans="4:9" ht="16.5" x14ac:dyDescent="0.25">
      <c r="D113" s="19">
        <v>89</v>
      </c>
      <c r="E113" s="19">
        <f>Calculator!$C$9*POWER(1+$B$2,$D113/12)</f>
        <v>13376.133660863268</v>
      </c>
      <c r="F113" s="19">
        <f>$E113-Calculator!$C$9</f>
        <v>3376.1336608632682</v>
      </c>
      <c r="G113" s="19">
        <f>IF($D113&lt;Calculator!$C$11,$E113-$B$5,$E113)</f>
        <v>13376.133660863268</v>
      </c>
      <c r="H113" s="19">
        <f>IF(AND($D113&lt;Calculator!$C$11,$G113&gt;=Calculator!$C$9-0.000000001),1,0)</f>
        <v>0</v>
      </c>
      <c r="I113" s="19">
        <f>Calculator!$C$9</f>
        <v>10000</v>
      </c>
    </row>
    <row r="114" spans="4:9" ht="16.5" x14ac:dyDescent="0.25">
      <c r="D114" s="19">
        <v>90</v>
      </c>
      <c r="E114" s="19">
        <f>Calculator!$C$9*POWER(1+$B$2,$D114/12)</f>
        <v>13419.923641760844</v>
      </c>
      <c r="F114" s="19">
        <f>$E114-Calculator!$C$9</f>
        <v>3419.9236417608445</v>
      </c>
      <c r="G114" s="19">
        <f>IF($D114&lt;Calculator!$C$11,$E114-$B$5,$E114)</f>
        <v>13419.923641760844</v>
      </c>
      <c r="H114" s="19">
        <f>IF(AND($D114&lt;Calculator!$C$11,$G114&gt;=Calculator!$C$9-0.000000001),1,0)</f>
        <v>0</v>
      </c>
      <c r="I114" s="19">
        <f>Calculator!$C$9</f>
        <v>10000</v>
      </c>
    </row>
    <row r="115" spans="4:9" ht="16.5" x14ac:dyDescent="0.25">
      <c r="D115" s="19">
        <v>91</v>
      </c>
      <c r="E115" s="19">
        <f>Calculator!$C$9*POWER(1+$B$2,$D115/12)</f>
        <v>13463.856979660948</v>
      </c>
      <c r="F115" s="19">
        <f>$E115-Calculator!$C$9</f>
        <v>3463.8569796609481</v>
      </c>
      <c r="G115" s="19">
        <f>IF($D115&lt;Calculator!$C$11,$E115-$B$5,$E115)</f>
        <v>13463.856979660948</v>
      </c>
      <c r="H115" s="19">
        <f>IF(AND($D115&lt;Calculator!$C$11,$G115&gt;=Calculator!$C$9-0.000000001),1,0)</f>
        <v>0</v>
      </c>
      <c r="I115" s="19">
        <f>Calculator!$C$9</f>
        <v>10000</v>
      </c>
    </row>
    <row r="116" spans="4:9" ht="16.5" x14ac:dyDescent="0.25">
      <c r="D116" s="19">
        <v>92</v>
      </c>
      <c r="E116" s="19">
        <f>Calculator!$C$9*POWER(1+$B$2,$D116/12)</f>
        <v>13507.934143877101</v>
      </c>
      <c r="F116" s="19">
        <f>$E116-Calculator!$C$9</f>
        <v>3507.9341438771007</v>
      </c>
      <c r="G116" s="19">
        <f>IF($D116&lt;Calculator!$C$11,$E116-$B$5,$E116)</f>
        <v>13507.934143877101</v>
      </c>
      <c r="H116" s="19">
        <f>IF(AND($D116&lt;Calculator!$C$11,$G116&gt;=Calculator!$C$9-0.000000001),1,0)</f>
        <v>0</v>
      </c>
      <c r="I116" s="19">
        <f>Calculator!$C$9</f>
        <v>10000</v>
      </c>
    </row>
    <row r="117" spans="4:9" ht="16.5" x14ac:dyDescent="0.25">
      <c r="D117" s="19">
        <v>93</v>
      </c>
      <c r="E117" s="19">
        <f>Calculator!$C$9*POWER(1+$B$2,$D117/12)</f>
        <v>13552.155605259233</v>
      </c>
      <c r="F117" s="19">
        <f>$E117-Calculator!$C$9</f>
        <v>3552.1556052592332</v>
      </c>
      <c r="G117" s="19">
        <f>IF($D117&lt;Calculator!$C$11,$E117-$B$5,$E117)</f>
        <v>13552.155605259233</v>
      </c>
      <c r="H117" s="19">
        <f>IF(AND($D117&lt;Calculator!$C$11,$G117&gt;=Calculator!$C$9-0.000000001),1,0)</f>
        <v>0</v>
      </c>
      <c r="I117" s="19">
        <f>Calculator!$C$9</f>
        <v>10000</v>
      </c>
    </row>
    <row r="118" spans="4:9" ht="16.5" x14ac:dyDescent="0.25">
      <c r="D118" s="19">
        <v>94</v>
      </c>
      <c r="E118" s="19">
        <f>Calculator!$C$9*POWER(1+$B$2,$D118/12)</f>
        <v>13596.521836198721</v>
      </c>
      <c r="F118" s="19">
        <f>$E118-Calculator!$C$9</f>
        <v>3596.5218361987208</v>
      </c>
      <c r="G118" s="19">
        <f>IF($D118&lt;Calculator!$C$11,$E118-$B$5,$E118)</f>
        <v>13596.521836198721</v>
      </c>
      <c r="H118" s="19">
        <f>IF(AND($D118&lt;Calculator!$C$11,$G118&gt;=Calculator!$C$9-0.000000001),1,0)</f>
        <v>0</v>
      </c>
      <c r="I118" s="19">
        <f>Calculator!$C$9</f>
        <v>10000</v>
      </c>
    </row>
    <row r="119" spans="4:9" ht="16.5" x14ac:dyDescent="0.25">
      <c r="D119" s="19">
        <v>95</v>
      </c>
      <c r="E119" s="19">
        <f>Calculator!$C$9*POWER(1+$B$2,$D119/12)</f>
        <v>13641.033310633418</v>
      </c>
      <c r="F119" s="19">
        <f>$E119-Calculator!$C$9</f>
        <v>3641.0333106334183</v>
      </c>
      <c r="G119" s="19">
        <f>IF($D119&lt;Calculator!$C$11,$E119-$B$5,$E119)</f>
        <v>13641.033310633418</v>
      </c>
      <c r="H119" s="19">
        <f>IF(AND($D119&lt;Calculator!$C$11,$G119&gt;=Calculator!$C$9-0.000000001),1,0)</f>
        <v>0</v>
      </c>
      <c r="I119" s="19">
        <f>Calculator!$C$9</f>
        <v>10000</v>
      </c>
    </row>
    <row r="120" spans="4:9" ht="16.5" x14ac:dyDescent="0.25">
      <c r="D120" s="19">
        <v>96</v>
      </c>
      <c r="E120" s="19">
        <f>Calculator!$C$9*POWER(1+$B$2,$D120/12)</f>
        <v>13685.690504052742</v>
      </c>
      <c r="F120" s="19">
        <f>$E120-Calculator!$C$9</f>
        <v>3685.6905040527417</v>
      </c>
      <c r="G120" s="19">
        <f>IF($D120&lt;Calculator!$C$11,$E120-$B$5,$E120)</f>
        <v>13685.690504052742</v>
      </c>
      <c r="H120" s="19">
        <f>IF(AND($D120&lt;Calculator!$C$11,$G120&gt;=Calculator!$C$9-0.000000001),1,0)</f>
        <v>0</v>
      </c>
      <c r="I120" s="19">
        <f>Calculator!$C$9</f>
        <v>10000</v>
      </c>
    </row>
    <row r="121" spans="4:9" ht="16.5" x14ac:dyDescent="0.25">
      <c r="D121" s="19">
        <v>97</v>
      </c>
      <c r="E121" s="19">
        <f>Calculator!$C$9*POWER(1+$B$2,$D121/12)</f>
        <v>13730.493893502718</v>
      </c>
      <c r="F121" s="19">
        <f>$E121-Calculator!$C$9</f>
        <v>3730.4938935027185</v>
      </c>
      <c r="G121" s="19">
        <f>IF($D121&lt;Calculator!$C$11,$E121-$B$5,$E121)</f>
        <v>13730.493893502718</v>
      </c>
      <c r="H121" s="19">
        <f>IF(AND($D121&lt;Calculator!$C$11,$G121&gt;=Calculator!$C$9-0.000000001),1,0)</f>
        <v>0</v>
      </c>
      <c r="I121" s="19">
        <f>Calculator!$C$9</f>
        <v>10000</v>
      </c>
    </row>
    <row r="122" spans="4:9" ht="16.5" x14ac:dyDescent="0.25">
      <c r="D122" s="19">
        <v>98</v>
      </c>
      <c r="E122" s="19">
        <f>Calculator!$C$9*POWER(1+$B$2,$D122/12)</f>
        <v>13775.443957591116</v>
      </c>
      <c r="F122" s="19">
        <f>$E122-Calculator!$C$9</f>
        <v>3775.4439575911165</v>
      </c>
      <c r="G122" s="19">
        <f>IF($D122&lt;Calculator!$C$11,$E122-$B$5,$E122)</f>
        <v>13775.443957591116</v>
      </c>
      <c r="H122" s="19">
        <f>IF(AND($D122&lt;Calculator!$C$11,$G122&gt;=Calculator!$C$9-0.000000001),1,0)</f>
        <v>0</v>
      </c>
      <c r="I122" s="19">
        <f>Calculator!$C$9</f>
        <v>10000</v>
      </c>
    </row>
    <row r="123" spans="4:9" ht="16.5" x14ac:dyDescent="0.25">
      <c r="D123" s="19">
        <v>99</v>
      </c>
      <c r="E123" s="19">
        <f>Calculator!$C$9*POWER(1+$B$2,$D123/12)</f>
        <v>13820.541176492534</v>
      </c>
      <c r="F123" s="19">
        <f>$E123-Calculator!$C$9</f>
        <v>3820.5411764925339</v>
      </c>
      <c r="G123" s="19">
        <f>IF($D123&lt;Calculator!$C$11,$E123-$B$5,$E123)</f>
        <v>13820.541176492534</v>
      </c>
      <c r="H123" s="19">
        <f>IF(AND($D123&lt;Calculator!$C$11,$G123&gt;=Calculator!$C$9-0.000000001),1,0)</f>
        <v>0</v>
      </c>
      <c r="I123" s="19">
        <f>Calculator!$C$9</f>
        <v>10000</v>
      </c>
    </row>
    <row r="124" spans="4:9" ht="16.5" x14ac:dyDescent="0.25">
      <c r="D124" s="19">
        <v>100</v>
      </c>
      <c r="E124" s="19">
        <f>Calculator!$C$9*POWER(1+$B$2,$D124/12)</f>
        <v>13865.786031953536</v>
      </c>
      <c r="F124" s="19">
        <f>$E124-Calculator!$C$9</f>
        <v>3865.7860319535357</v>
      </c>
      <c r="G124" s="19">
        <f>IF($D124&lt;Calculator!$C$11,$E124-$B$5,$E124)</f>
        <v>13865.786031953536</v>
      </c>
      <c r="H124" s="19">
        <f>IF(AND($D124&lt;Calculator!$C$11,$G124&gt;=Calculator!$C$9-0.000000001),1,0)</f>
        <v>0</v>
      </c>
      <c r="I124" s="19">
        <f>Calculator!$C$9</f>
        <v>10000</v>
      </c>
    </row>
    <row r="125" spans="4:9" ht="16.5" x14ac:dyDescent="0.25">
      <c r="D125" s="19">
        <v>101</v>
      </c>
      <c r="E125" s="19">
        <f>Calculator!$C$9*POWER(1+$B$2,$D125/12)</f>
        <v>13911.179007297798</v>
      </c>
      <c r="F125" s="19">
        <f>$E125-Calculator!$C$9</f>
        <v>3911.1790072977983</v>
      </c>
      <c r="G125" s="19">
        <f>IF($D125&lt;Calculator!$C$11,$E125-$B$5,$E125)</f>
        <v>13911.179007297798</v>
      </c>
      <c r="H125" s="19">
        <f>IF(AND($D125&lt;Calculator!$C$11,$G125&gt;=Calculator!$C$9-0.000000001),1,0)</f>
        <v>0</v>
      </c>
      <c r="I125" s="19">
        <f>Calculator!$C$9</f>
        <v>10000</v>
      </c>
    </row>
    <row r="126" spans="4:9" ht="16.5" x14ac:dyDescent="0.25">
      <c r="D126" s="19">
        <v>102</v>
      </c>
      <c r="E126" s="19">
        <f>Calculator!$C$9*POWER(1+$B$2,$D126/12)</f>
        <v>13956.720587431279</v>
      </c>
      <c r="F126" s="19">
        <f>$E126-Calculator!$C$9</f>
        <v>3956.7205874312785</v>
      </c>
      <c r="G126" s="19">
        <f>IF($D126&lt;Calculator!$C$11,$E126-$B$5,$E126)</f>
        <v>13956.720587431279</v>
      </c>
      <c r="H126" s="19">
        <f>IF(AND($D126&lt;Calculator!$C$11,$G126&gt;=Calculator!$C$9-0.000000001),1,0)</f>
        <v>0</v>
      </c>
      <c r="I126" s="19">
        <f>Calculator!$C$9</f>
        <v>10000</v>
      </c>
    </row>
    <row r="127" spans="4:9" ht="16.5" x14ac:dyDescent="0.25">
      <c r="D127" s="19">
        <v>103</v>
      </c>
      <c r="E127" s="19">
        <f>Calculator!$C$9*POWER(1+$B$2,$D127/12)</f>
        <v>14002.411258847387</v>
      </c>
      <c r="F127" s="19">
        <f>$E127-Calculator!$C$9</f>
        <v>4002.4112588473872</v>
      </c>
      <c r="G127" s="19">
        <f>IF($D127&lt;Calculator!$C$11,$E127-$B$5,$E127)</f>
        <v>14002.411258847387</v>
      </c>
      <c r="H127" s="19">
        <f>IF(AND($D127&lt;Calculator!$C$11,$G127&gt;=Calculator!$C$9-0.000000001),1,0)</f>
        <v>0</v>
      </c>
      <c r="I127" s="19">
        <f>Calculator!$C$9</f>
        <v>10000</v>
      </c>
    </row>
    <row r="128" spans="4:9" ht="16.5" x14ac:dyDescent="0.25">
      <c r="D128" s="19">
        <v>104</v>
      </c>
      <c r="E128" s="19">
        <f>Calculator!$C$9*POWER(1+$B$2,$D128/12)</f>
        <v>14048.251509632186</v>
      </c>
      <c r="F128" s="19">
        <f>$E128-Calculator!$C$9</f>
        <v>4048.2515096321858</v>
      </c>
      <c r="G128" s="19">
        <f>IF($D128&lt;Calculator!$C$11,$E128-$B$5,$E128)</f>
        <v>14048.251509632186</v>
      </c>
      <c r="H128" s="19">
        <f>IF(AND($D128&lt;Calculator!$C$11,$G128&gt;=Calculator!$C$9-0.000000001),1,0)</f>
        <v>0</v>
      </c>
      <c r="I128" s="19">
        <f>Calculator!$C$9</f>
        <v>10000</v>
      </c>
    </row>
    <row r="129" spans="4:9" ht="16.5" x14ac:dyDescent="0.25">
      <c r="D129" s="19">
        <v>105</v>
      </c>
      <c r="E129" s="19">
        <f>Calculator!$C$9*POWER(1+$B$2,$D129/12)</f>
        <v>14094.241829469602</v>
      </c>
      <c r="F129" s="19">
        <f>$E129-Calculator!$C$9</f>
        <v>4094.2418294696017</v>
      </c>
      <c r="G129" s="19">
        <f>IF($D129&lt;Calculator!$C$11,$E129-$B$5,$E129)</f>
        <v>14094.241829469602</v>
      </c>
      <c r="H129" s="19">
        <f>IF(AND($D129&lt;Calculator!$C$11,$G129&gt;=Calculator!$C$9-0.000000001),1,0)</f>
        <v>0</v>
      </c>
      <c r="I129" s="19">
        <f>Calculator!$C$9</f>
        <v>10000</v>
      </c>
    </row>
    <row r="130" spans="4:9" ht="16.5" x14ac:dyDescent="0.25">
      <c r="D130" s="19">
        <v>106</v>
      </c>
      <c r="E130" s="19">
        <f>Calculator!$C$9*POWER(1+$B$2,$D130/12)</f>
        <v>14140.38270964667</v>
      </c>
      <c r="F130" s="19">
        <f>$E130-Calculator!$C$9</f>
        <v>4140.3827096466703</v>
      </c>
      <c r="G130" s="19">
        <f>IF($D130&lt;Calculator!$C$11,$E130-$B$5,$E130)</f>
        <v>14140.38270964667</v>
      </c>
      <c r="H130" s="19">
        <f>IF(AND($D130&lt;Calculator!$C$11,$G130&gt;=Calculator!$C$9-0.000000001),1,0)</f>
        <v>0</v>
      </c>
      <c r="I130" s="19">
        <f>Calculator!$C$9</f>
        <v>10000</v>
      </c>
    </row>
    <row r="131" spans="4:9" ht="16.5" x14ac:dyDescent="0.25">
      <c r="D131" s="19">
        <v>107</v>
      </c>
      <c r="E131" s="19">
        <f>Calculator!$C$9*POWER(1+$B$2,$D131/12)</f>
        <v>14186.674643058757</v>
      </c>
      <c r="F131" s="19">
        <f>$E131-Calculator!$C$9</f>
        <v>4186.6746430587573</v>
      </c>
      <c r="G131" s="19">
        <f>IF($D131&lt;Calculator!$C$11,$E131-$B$5,$E131)</f>
        <v>14186.674643058757</v>
      </c>
      <c r="H131" s="19">
        <f>IF(AND($D131&lt;Calculator!$C$11,$G131&gt;=Calculator!$C$9-0.000000001),1,0)</f>
        <v>0</v>
      </c>
      <c r="I131" s="19">
        <f>Calculator!$C$9</f>
        <v>10000</v>
      </c>
    </row>
    <row r="132" spans="4:9" ht="16.5" x14ac:dyDescent="0.25">
      <c r="D132" s="19">
        <v>108</v>
      </c>
      <c r="E132" s="19">
        <f>Calculator!$C$9*POWER(1+$B$2,$D132/12)</f>
        <v>14233.118124214852</v>
      </c>
      <c r="F132" s="19">
        <f>$E132-Calculator!$C$9</f>
        <v>4233.1181242148523</v>
      </c>
      <c r="G132" s="19">
        <f>IF($D132&lt;Calculator!$C$11,$E132-$B$5,$E132)</f>
        <v>14233.118124214852</v>
      </c>
      <c r="H132" s="19">
        <f>IF(AND($D132&lt;Calculator!$C$11,$G132&gt;=Calculator!$C$9-0.000000001),1,0)</f>
        <v>0</v>
      </c>
      <c r="I132" s="19">
        <f>Calculator!$C$9</f>
        <v>10000</v>
      </c>
    </row>
    <row r="133" spans="4:9" ht="16.5" x14ac:dyDescent="0.25">
      <c r="D133" s="19">
        <v>109</v>
      </c>
      <c r="E133" s="19">
        <f>Calculator!$C$9*POWER(1+$B$2,$D133/12)</f>
        <v>14279.713649242829</v>
      </c>
      <c r="F133" s="19">
        <f>$E133-Calculator!$C$9</f>
        <v>4279.713649242829</v>
      </c>
      <c r="G133" s="19">
        <f>IF($D133&lt;Calculator!$C$11,$E133-$B$5,$E133)</f>
        <v>14279.713649242829</v>
      </c>
      <c r="H133" s="19">
        <f>IF(AND($D133&lt;Calculator!$C$11,$G133&gt;=Calculator!$C$9-0.000000001),1,0)</f>
        <v>0</v>
      </c>
      <c r="I133" s="19">
        <f>Calculator!$C$9</f>
        <v>10000</v>
      </c>
    </row>
    <row r="134" spans="4:9" ht="16.5" x14ac:dyDescent="0.25">
      <c r="D134" s="19">
        <v>110</v>
      </c>
      <c r="E134" s="19">
        <f>Calculator!$C$9*POWER(1+$B$2,$D134/12)</f>
        <v>14326.46171589476</v>
      </c>
      <c r="F134" s="19">
        <f>$E134-Calculator!$C$9</f>
        <v>4326.4617158947603</v>
      </c>
      <c r="G134" s="19">
        <f>IF($D134&lt;Calculator!$C$11,$E134-$B$5,$E134)</f>
        <v>14326.46171589476</v>
      </c>
      <c r="H134" s="19">
        <f>IF(AND($D134&lt;Calculator!$C$11,$G134&gt;=Calculator!$C$9-0.000000001),1,0)</f>
        <v>0</v>
      </c>
      <c r="I134" s="19">
        <f>Calculator!$C$9</f>
        <v>10000</v>
      </c>
    </row>
    <row r="135" spans="4:9" ht="16.5" x14ac:dyDescent="0.25">
      <c r="D135" s="19">
        <v>111</v>
      </c>
      <c r="E135" s="19">
        <f>Calculator!$C$9*POWER(1+$B$2,$D135/12)</f>
        <v>14373.362823552236</v>
      </c>
      <c r="F135" s="19">
        <f>$E135-Calculator!$C$9</f>
        <v>4373.3628235522356</v>
      </c>
      <c r="G135" s="19">
        <f>IF($D135&lt;Calculator!$C$11,$E135-$B$5,$E135)</f>
        <v>14373.362823552236</v>
      </c>
      <c r="H135" s="19">
        <f>IF(AND($D135&lt;Calculator!$C$11,$G135&gt;=Calculator!$C$9-0.000000001),1,0)</f>
        <v>0</v>
      </c>
      <c r="I135" s="19">
        <f>Calculator!$C$9</f>
        <v>10000</v>
      </c>
    </row>
    <row r="136" spans="4:9" ht="16.5" x14ac:dyDescent="0.25">
      <c r="D136" s="19">
        <v>112</v>
      </c>
      <c r="E136" s="19">
        <f>Calculator!$C$9*POWER(1+$B$2,$D136/12)</f>
        <v>14420.417473231677</v>
      </c>
      <c r="F136" s="19">
        <f>$E136-Calculator!$C$9</f>
        <v>4420.4174732316769</v>
      </c>
      <c r="G136" s="19">
        <f>IF($D136&lt;Calculator!$C$11,$E136-$B$5,$E136)</f>
        <v>14420.417473231677</v>
      </c>
      <c r="H136" s="19">
        <f>IF(AND($D136&lt;Calculator!$C$11,$G136&gt;=Calculator!$C$9-0.000000001),1,0)</f>
        <v>0</v>
      </c>
      <c r="I136" s="19">
        <f>Calculator!$C$9</f>
        <v>10000</v>
      </c>
    </row>
    <row r="137" spans="4:9" ht="16.5" x14ac:dyDescent="0.25">
      <c r="D137" s="19">
        <v>113</v>
      </c>
      <c r="E137" s="19">
        <f>Calculator!$C$9*POWER(1+$B$2,$D137/12)</f>
        <v>14467.626167589711</v>
      </c>
      <c r="F137" s="19">
        <f>$E137-Calculator!$C$9</f>
        <v>4467.6261675897113</v>
      </c>
      <c r="G137" s="19">
        <f>IF($D137&lt;Calculator!$C$11,$E137-$B$5,$E137)</f>
        <v>14467.626167589711</v>
      </c>
      <c r="H137" s="19">
        <f>IF(AND($D137&lt;Calculator!$C$11,$G137&gt;=Calculator!$C$9-0.000000001),1,0)</f>
        <v>0</v>
      </c>
      <c r="I137" s="19">
        <f>Calculator!$C$9</f>
        <v>10000</v>
      </c>
    </row>
    <row r="138" spans="4:9" ht="16.5" x14ac:dyDescent="0.25">
      <c r="D138" s="19">
        <v>114</v>
      </c>
      <c r="E138" s="19">
        <f>Calculator!$C$9*POWER(1+$B$2,$D138/12)</f>
        <v>14514.989410928532</v>
      </c>
      <c r="F138" s="19">
        <f>$E138-Calculator!$C$9</f>
        <v>4514.9894109285324</v>
      </c>
      <c r="G138" s="19">
        <f>IF($D138&lt;Calculator!$C$11,$E138-$B$5,$E138)</f>
        <v>14514.989410928532</v>
      </c>
      <c r="H138" s="19">
        <f>IF(AND($D138&lt;Calculator!$C$11,$G138&gt;=Calculator!$C$9-0.000000001),1,0)</f>
        <v>0</v>
      </c>
      <c r="I138" s="19">
        <f>Calculator!$C$9</f>
        <v>10000</v>
      </c>
    </row>
    <row r="139" spans="4:9" ht="16.5" x14ac:dyDescent="0.25">
      <c r="D139" s="19">
        <v>115</v>
      </c>
      <c r="E139" s="19">
        <f>Calculator!$C$9*POWER(1+$B$2,$D139/12)</f>
        <v>14562.507709201282</v>
      </c>
      <c r="F139" s="19">
        <f>$E139-Calculator!$C$9</f>
        <v>4562.5077092012816</v>
      </c>
      <c r="G139" s="19">
        <f>IF($D139&lt;Calculator!$C$11,$E139-$B$5,$E139)</f>
        <v>14562.507709201282</v>
      </c>
      <c r="H139" s="19">
        <f>IF(AND($D139&lt;Calculator!$C$11,$G139&gt;=Calculator!$C$9-0.000000001),1,0)</f>
        <v>0</v>
      </c>
      <c r="I139" s="19">
        <f>Calculator!$C$9</f>
        <v>10000</v>
      </c>
    </row>
    <row r="140" spans="4:9" ht="16.5" x14ac:dyDescent="0.25">
      <c r="D140" s="19">
        <v>116</v>
      </c>
      <c r="E140" s="19">
        <f>Calculator!$C$9*POWER(1+$B$2,$D140/12)</f>
        <v>14610.181570017474</v>
      </c>
      <c r="F140" s="19">
        <f>$E140-Calculator!$C$9</f>
        <v>4610.1815700174739</v>
      </c>
      <c r="G140" s="19">
        <f>IF($D140&lt;Calculator!$C$11,$E140-$B$5,$E140)</f>
        <v>14610.181570017474</v>
      </c>
      <c r="H140" s="19">
        <f>IF(AND($D140&lt;Calculator!$C$11,$G140&gt;=Calculator!$C$9-0.000000001),1,0)</f>
        <v>0</v>
      </c>
      <c r="I140" s="19">
        <f>Calculator!$C$9</f>
        <v>10000</v>
      </c>
    </row>
    <row r="141" spans="4:9" ht="16.5" x14ac:dyDescent="0.25">
      <c r="D141" s="19">
        <v>117</v>
      </c>
      <c r="E141" s="19">
        <f>Calculator!$C$9*POWER(1+$B$2,$D141/12)</f>
        <v>14658.011502648387</v>
      </c>
      <c r="F141" s="19">
        <f>$E141-Calculator!$C$9</f>
        <v>4658.0115026483872</v>
      </c>
      <c r="G141" s="19">
        <f>IF($D141&lt;Calculator!$C$11,$E141-$B$5,$E141)</f>
        <v>14658.011502648387</v>
      </c>
      <c r="H141" s="19">
        <f>IF(AND($D141&lt;Calculator!$C$11,$G141&gt;=Calculator!$C$9-0.000000001),1,0)</f>
        <v>0</v>
      </c>
      <c r="I141" s="19">
        <f>Calculator!$C$9</f>
        <v>10000</v>
      </c>
    </row>
    <row r="142" spans="4:9" ht="16.5" x14ac:dyDescent="0.25">
      <c r="D142" s="19">
        <v>118</v>
      </c>
      <c r="E142" s="19">
        <f>Calculator!$C$9*POWER(1+$B$2,$D142/12)</f>
        <v>14705.998018032536</v>
      </c>
      <c r="F142" s="19">
        <f>$E142-Calculator!$C$9</f>
        <v>4705.9980180325365</v>
      </c>
      <c r="G142" s="19">
        <f>IF($D142&lt;Calculator!$C$11,$E142-$B$5,$E142)</f>
        <v>14705.998018032536</v>
      </c>
      <c r="H142" s="19">
        <f>IF(AND($D142&lt;Calculator!$C$11,$G142&gt;=Calculator!$C$9-0.000000001),1,0)</f>
        <v>0</v>
      </c>
      <c r="I142" s="19">
        <f>Calculator!$C$9</f>
        <v>10000</v>
      </c>
    </row>
    <row r="143" spans="4:9" ht="16.5" x14ac:dyDescent="0.25">
      <c r="D143" s="19">
        <v>119</v>
      </c>
      <c r="E143" s="19">
        <f>Calculator!$C$9*POWER(1+$B$2,$D143/12)</f>
        <v>14754.141628781106</v>
      </c>
      <c r="F143" s="19">
        <f>$E143-Calculator!$C$9</f>
        <v>4754.1416287811062</v>
      </c>
      <c r="G143" s="19">
        <f>IF($D143&lt;Calculator!$C$11,$E143-$B$5,$E143)</f>
        <v>14754.141628781106</v>
      </c>
      <c r="H143" s="19">
        <f>IF(AND($D143&lt;Calculator!$C$11,$G143&gt;=Calculator!$C$9-0.000000001),1,0)</f>
        <v>0</v>
      </c>
      <c r="I143" s="19">
        <f>Calculator!$C$9</f>
        <v>10000</v>
      </c>
    </row>
    <row r="144" spans="4:9" ht="16.5" x14ac:dyDescent="0.25">
      <c r="D144" s="19">
        <v>120</v>
      </c>
      <c r="E144" s="19">
        <f>Calculator!$C$9*POWER(1+$B$2,$D144/12)</f>
        <v>14802.442849183446</v>
      </c>
      <c r="F144" s="19">
        <f>$E144-Calculator!$C$9</f>
        <v>4802.442849183446</v>
      </c>
      <c r="G144" s="19">
        <f>IF($D144&lt;Calculator!$C$11,$E144-$B$5,$E144)</f>
        <v>14802.442849183446</v>
      </c>
      <c r="H144" s="19">
        <f>IF(AND($D144&lt;Calculator!$C$11,$G144&gt;=Calculator!$C$9-0.000000001),1,0)</f>
        <v>0</v>
      </c>
      <c r="I144" s="19">
        <f>Calculator!$C$9</f>
        <v>10000</v>
      </c>
    </row>
  </sheetData>
  <sheetProtection sheet="1" formatCells="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Calculator</vt:lpstr>
      <vt:lpstr>Breakdown</vt:lpstr>
      <vt:lpstr>About &amp; Assumptions</vt:lpstr>
      <vt:lpstr>_Engine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Eyal Doron</cp:lastModifiedBy>
  <dcterms:created xsi:type="dcterms:W3CDTF">2026-10-01T11:18:38Z</dcterms:created>
  <dcterms:modified xsi:type="dcterms:W3CDTF">2026-10-01T11:20:28Z</dcterms:modified>
</cp:coreProperties>
</file>