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yal\AppData\Local\Temp\tmpcjzuww68\"/>
    </mc:Choice>
  </mc:AlternateContent>
  <xr:revisionPtr revIDLastSave="0" documentId="13_ncr:1_{9A8D5586-D7A1-4501-B327-A0E8716B6C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culator" sheetId="1" r:id="rId1"/>
    <sheet name="Schedule" sheetId="2" r:id="rId2"/>
    <sheet name="About &amp; Assumptions" sheetId="3" r:id="rId3"/>
    <sheet name="_Engine" sheetId="4" state="hidden" r:id="rId4"/>
  </sheets>
  <definedNames>
    <definedName name="ch_base" localSheetId="3">OFFSET(_Engine!$N$40,0,0,85,1)</definedName>
    <definedName name="ch_extra" localSheetId="3">OFFSET(_Engine!$O$40,0,0,85,1)</definedName>
    <definedName name="ch_m" localSheetId="3">OFFSET(_Engine!$D$40,0,0,85,1)</definedName>
    <definedName name="_xlnm.Print_Area" localSheetId="1">OFFSET(Schedule!$A$1,0,0,MIN(MAX(_Engine!$B$11,1),84)+3,6)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3" i="4" l="1"/>
  <c r="N115" i="4"/>
  <c r="O113" i="4"/>
  <c r="N113" i="4"/>
  <c r="O111" i="4"/>
  <c r="N103" i="4"/>
  <c r="O101" i="4"/>
  <c r="N101" i="4"/>
  <c r="O99" i="4"/>
  <c r="O81" i="4"/>
  <c r="O79" i="4"/>
  <c r="O77" i="4"/>
  <c r="O75" i="4"/>
  <c r="O57" i="4"/>
  <c r="O55" i="4"/>
  <c r="O53" i="4"/>
  <c r="O51" i="4"/>
  <c r="F40" i="4"/>
  <c r="E40" i="4"/>
  <c r="B11" i="4"/>
  <c r="O124" i="4" s="1"/>
  <c r="B10" i="4"/>
  <c r="B18" i="4" s="1"/>
  <c r="B4" i="4"/>
  <c r="B5" i="4" s="1"/>
  <c r="B3" i="4"/>
  <c r="B2" i="4"/>
  <c r="C34" i="3"/>
  <c r="D80" i="2"/>
  <c r="A80" i="2"/>
  <c r="F80" i="2" s="1"/>
  <c r="A78" i="2"/>
  <c r="F78" i="2" s="1"/>
  <c r="A72" i="2"/>
  <c r="F72" i="2" s="1"/>
  <c r="A70" i="2"/>
  <c r="F70" i="2" s="1"/>
  <c r="A68" i="2"/>
  <c r="F68" i="2" s="1"/>
  <c r="A62" i="2"/>
  <c r="A60" i="2"/>
  <c r="A58" i="2"/>
  <c r="A56" i="2"/>
  <c r="A54" i="2"/>
  <c r="A52" i="2"/>
  <c r="A38" i="2"/>
  <c r="A36" i="2"/>
  <c r="A34" i="2"/>
  <c r="A32" i="2"/>
  <c r="A30" i="2"/>
  <c r="A28" i="2"/>
  <c r="A14" i="2"/>
  <c r="A12" i="2"/>
  <c r="A10" i="2"/>
  <c r="A8" i="2"/>
  <c r="A6" i="2"/>
  <c r="A5" i="2"/>
  <c r="A2" i="2"/>
  <c r="B37" i="1"/>
  <c r="B21" i="1"/>
  <c r="B68" i="2" l="1"/>
  <c r="O59" i="4"/>
  <c r="A40" i="2"/>
  <c r="O85" i="4"/>
  <c r="N105" i="4"/>
  <c r="N117" i="4"/>
  <c r="B8" i="4"/>
  <c r="C80" i="2"/>
  <c r="A18" i="2"/>
  <c r="O117" i="4"/>
  <c r="B7" i="4"/>
  <c r="B80" i="2"/>
  <c r="O103" i="4"/>
  <c r="A16" i="2"/>
  <c r="C72" i="2"/>
  <c r="E80" i="2"/>
  <c r="A42" i="2"/>
  <c r="A82" i="2"/>
  <c r="F82" i="2" s="1"/>
  <c r="O63" i="4"/>
  <c r="O87" i="4"/>
  <c r="O105" i="4"/>
  <c r="A20" i="2"/>
  <c r="A84" i="2"/>
  <c r="O41" i="4"/>
  <c r="O89" i="4"/>
  <c r="N107" i="4"/>
  <c r="N119" i="4"/>
  <c r="A22" i="2"/>
  <c r="A46" i="2"/>
  <c r="A74" i="2"/>
  <c r="F74" i="2" s="1"/>
  <c r="O43" i="4"/>
  <c r="O67" i="4"/>
  <c r="O91" i="4"/>
  <c r="O107" i="4"/>
  <c r="O119" i="4"/>
  <c r="C68" i="2"/>
  <c r="B72" i="2"/>
  <c r="O83" i="4"/>
  <c r="A64" i="2"/>
  <c r="A24" i="2"/>
  <c r="A48" i="2"/>
  <c r="A76" i="2"/>
  <c r="O45" i="4"/>
  <c r="O69" i="4"/>
  <c r="O93" i="4"/>
  <c r="N109" i="4"/>
  <c r="N121" i="4"/>
  <c r="O115" i="4"/>
  <c r="O61" i="4"/>
  <c r="D72" i="2"/>
  <c r="A44" i="2"/>
  <c r="E72" i="2"/>
  <c r="O65" i="4"/>
  <c r="A4" i="2"/>
  <c r="A26" i="2"/>
  <c r="A50" i="2"/>
  <c r="A66" i="2"/>
  <c r="F66" i="2" s="1"/>
  <c r="A86" i="2"/>
  <c r="F86" i="2" s="1"/>
  <c r="O47" i="4"/>
  <c r="O71" i="4"/>
  <c r="O95" i="4"/>
  <c r="O109" i="4"/>
  <c r="O121" i="4"/>
  <c r="O49" i="4"/>
  <c r="O73" i="4"/>
  <c r="O97" i="4"/>
  <c r="N111" i="4"/>
  <c r="N123" i="4"/>
  <c r="J40" i="4"/>
  <c r="J41" i="4" s="1"/>
  <c r="J42" i="4" s="1"/>
  <c r="J43" i="4" s="1"/>
  <c r="J44" i="4" s="1"/>
  <c r="J45" i="4" s="1"/>
  <c r="J46" i="4" s="1"/>
  <c r="J47" i="4" s="1"/>
  <c r="J48" i="4" s="1"/>
  <c r="J49" i="4" s="1"/>
  <c r="J50" i="4" s="1"/>
  <c r="J51" i="4" s="1"/>
  <c r="J52" i="4" s="1"/>
  <c r="J53" i="4" s="1"/>
  <c r="J54" i="4" s="1"/>
  <c r="J55" i="4" s="1"/>
  <c r="J56" i="4" s="1"/>
  <c r="J57" i="4" s="1"/>
  <c r="J58" i="4" s="1"/>
  <c r="J59" i="4" s="1"/>
  <c r="J60" i="4" s="1"/>
  <c r="J61" i="4" s="1"/>
  <c r="J62" i="4" s="1"/>
  <c r="J63" i="4" s="1"/>
  <c r="J64" i="4" s="1"/>
  <c r="J65" i="4" s="1"/>
  <c r="J66" i="4" s="1"/>
  <c r="J67" i="4" s="1"/>
  <c r="J68" i="4" s="1"/>
  <c r="J69" i="4" s="1"/>
  <c r="J70" i="4" s="1"/>
  <c r="J71" i="4" s="1"/>
  <c r="J72" i="4" s="1"/>
  <c r="J73" i="4" s="1"/>
  <c r="J74" i="4" s="1"/>
  <c r="J75" i="4" s="1"/>
  <c r="J76" i="4" s="1"/>
  <c r="J77" i="4" s="1"/>
  <c r="J78" i="4" s="1"/>
  <c r="J79" i="4" s="1"/>
  <c r="J80" i="4" s="1"/>
  <c r="J81" i="4" s="1"/>
  <c r="J82" i="4" s="1"/>
  <c r="J83" i="4" s="1"/>
  <c r="J84" i="4" s="1"/>
  <c r="J85" i="4" s="1"/>
  <c r="J86" i="4" s="1"/>
  <c r="J87" i="4" s="1"/>
  <c r="J88" i="4" s="1"/>
  <c r="J89" i="4" s="1"/>
  <c r="J90" i="4" s="1"/>
  <c r="J91" i="4" s="1"/>
  <c r="J92" i="4" s="1"/>
  <c r="J93" i="4" s="1"/>
  <c r="J94" i="4" s="1"/>
  <c r="J95" i="4" s="1"/>
  <c r="J96" i="4" s="1"/>
  <c r="J97" i="4" s="1"/>
  <c r="J98" i="4" s="1"/>
  <c r="J99" i="4" s="1"/>
  <c r="J100" i="4" s="1"/>
  <c r="J101" i="4" s="1"/>
  <c r="J102" i="4" s="1"/>
  <c r="J103" i="4" s="1"/>
  <c r="J104" i="4" s="1"/>
  <c r="J105" i="4" s="1"/>
  <c r="J106" i="4" s="1"/>
  <c r="J107" i="4" s="1"/>
  <c r="J108" i="4" s="1"/>
  <c r="J109" i="4" s="1"/>
  <c r="J110" i="4" s="1"/>
  <c r="J111" i="4" s="1"/>
  <c r="J112" i="4" s="1"/>
  <c r="J113" i="4" s="1"/>
  <c r="J114" i="4" s="1"/>
  <c r="J115" i="4" s="1"/>
  <c r="J116" i="4" s="1"/>
  <c r="J117" i="4" s="1"/>
  <c r="J118" i="4" s="1"/>
  <c r="J119" i="4" s="1"/>
  <c r="J120" i="4" s="1"/>
  <c r="J121" i="4" s="1"/>
  <c r="J122" i="4" s="1"/>
  <c r="J123" i="4" s="1"/>
  <c r="J124" i="4" s="1"/>
  <c r="G40" i="4"/>
  <c r="N40" i="4" s="1"/>
  <c r="B12" i="4"/>
  <c r="B9" i="4"/>
  <c r="B70" i="2"/>
  <c r="B78" i="2"/>
  <c r="C70" i="2"/>
  <c r="C78" i="2"/>
  <c r="B6" i="4"/>
  <c r="B14" i="4" s="1"/>
  <c r="D70" i="2"/>
  <c r="D78" i="2"/>
  <c r="E78" i="2"/>
  <c r="D68" i="2"/>
  <c r="B19" i="4"/>
  <c r="B20" i="4" s="1"/>
  <c r="E68" i="2"/>
  <c r="B74" i="2"/>
  <c r="E76" i="2"/>
  <c r="B82" i="2"/>
  <c r="B66" i="2"/>
  <c r="E84" i="2"/>
  <c r="C66" i="2"/>
  <c r="C74" i="2"/>
  <c r="C82" i="2"/>
  <c r="D74" i="2"/>
  <c r="D82" i="2"/>
  <c r="E70" i="2"/>
  <c r="E74" i="2"/>
  <c r="E82" i="2"/>
  <c r="B13" i="4"/>
  <c r="A7" i="2"/>
  <c r="A9" i="2"/>
  <c r="A11" i="2"/>
  <c r="A13" i="2"/>
  <c r="A15" i="2"/>
  <c r="A17" i="2"/>
  <c r="A19" i="2"/>
  <c r="A21" i="2"/>
  <c r="A23" i="2"/>
  <c r="A25" i="2"/>
  <c r="A27" i="2"/>
  <c r="A29" i="2"/>
  <c r="A31" i="2"/>
  <c r="A33" i="2"/>
  <c r="A35" i="2"/>
  <c r="A37" i="2"/>
  <c r="A39" i="2"/>
  <c r="A41" i="2"/>
  <c r="A43" i="2"/>
  <c r="A45" i="2"/>
  <c r="A47" i="2"/>
  <c r="A49" i="2"/>
  <c r="A51" i="2"/>
  <c r="A53" i="2"/>
  <c r="A55" i="2"/>
  <c r="A57" i="2"/>
  <c r="A59" i="2"/>
  <c r="A61" i="2"/>
  <c r="A63" i="2"/>
  <c r="A65" i="2"/>
  <c r="A67" i="2"/>
  <c r="A69" i="2"/>
  <c r="A71" i="2"/>
  <c r="A73" i="2"/>
  <c r="A75" i="2"/>
  <c r="A77" i="2"/>
  <c r="A79" i="2"/>
  <c r="A81" i="2"/>
  <c r="A83" i="2"/>
  <c r="A85" i="2"/>
  <c r="A87" i="2"/>
  <c r="N102" i="4"/>
  <c r="N104" i="4"/>
  <c r="N106" i="4"/>
  <c r="N108" i="4"/>
  <c r="N110" i="4"/>
  <c r="N112" i="4"/>
  <c r="N114" i="4"/>
  <c r="N116" i="4"/>
  <c r="N118" i="4"/>
  <c r="N120" i="4"/>
  <c r="N122" i="4"/>
  <c r="N124" i="4"/>
  <c r="O40" i="4"/>
  <c r="O42" i="4"/>
  <c r="O44" i="4"/>
  <c r="O46" i="4"/>
  <c r="O48" i="4"/>
  <c r="O50" i="4"/>
  <c r="O52" i="4"/>
  <c r="O54" i="4"/>
  <c r="O56" i="4"/>
  <c r="O58" i="4"/>
  <c r="O60" i="4"/>
  <c r="O62" i="4"/>
  <c r="O64" i="4"/>
  <c r="O66" i="4"/>
  <c r="O68" i="4"/>
  <c r="O70" i="4"/>
  <c r="O72" i="4"/>
  <c r="O74" i="4"/>
  <c r="O76" i="4"/>
  <c r="O78" i="4"/>
  <c r="O80" i="4"/>
  <c r="O82" i="4"/>
  <c r="O84" i="4"/>
  <c r="O86" i="4"/>
  <c r="O88" i="4"/>
  <c r="O90" i="4"/>
  <c r="O92" i="4"/>
  <c r="O94" i="4"/>
  <c r="O96" i="4"/>
  <c r="O98" i="4"/>
  <c r="O100" i="4"/>
  <c r="O102" i="4"/>
  <c r="O104" i="4"/>
  <c r="O106" i="4"/>
  <c r="O108" i="4"/>
  <c r="O110" i="4"/>
  <c r="O112" i="4"/>
  <c r="O114" i="4"/>
  <c r="O116" i="4"/>
  <c r="O118" i="4"/>
  <c r="O120" i="4"/>
  <c r="O122" i="4"/>
  <c r="D86" i="2" l="1"/>
  <c r="F84" i="2"/>
  <c r="C84" i="2"/>
  <c r="B84" i="2"/>
  <c r="E66" i="2"/>
  <c r="B86" i="2"/>
  <c r="E86" i="2"/>
  <c r="C86" i="2"/>
  <c r="F76" i="2"/>
  <c r="B76" i="2"/>
  <c r="C76" i="2"/>
  <c r="F10" i="2"/>
  <c r="D66" i="2"/>
  <c r="D84" i="2"/>
  <c r="F64" i="2"/>
  <c r="C64" i="2"/>
  <c r="E64" i="2"/>
  <c r="B64" i="2"/>
  <c r="D64" i="2"/>
  <c r="D76" i="2"/>
  <c r="F6" i="2"/>
  <c r="F49" i="2"/>
  <c r="F71" i="2"/>
  <c r="E71" i="2"/>
  <c r="D71" i="2"/>
  <c r="C71" i="2"/>
  <c r="B71" i="2"/>
  <c r="F47" i="2"/>
  <c r="F23" i="2"/>
  <c r="F30" i="2"/>
  <c r="F38" i="2"/>
  <c r="F54" i="2"/>
  <c r="F5" i="2"/>
  <c r="F34" i="2"/>
  <c r="F51" i="2"/>
  <c r="F73" i="2"/>
  <c r="E73" i="2"/>
  <c r="D73" i="2"/>
  <c r="C73" i="2"/>
  <c r="B73" i="2"/>
  <c r="F62" i="2"/>
  <c r="F18" i="2"/>
  <c r="F36" i="2"/>
  <c r="F69" i="2"/>
  <c r="E69" i="2"/>
  <c r="D69" i="2"/>
  <c r="C69" i="2"/>
  <c r="B69" i="2"/>
  <c r="F45" i="2"/>
  <c r="F21" i="2"/>
  <c r="F24" i="2"/>
  <c r="F22" i="2"/>
  <c r="F28" i="2"/>
  <c r="F29" i="2"/>
  <c r="F32" i="2"/>
  <c r="F43" i="2"/>
  <c r="F65" i="2"/>
  <c r="D65" i="2"/>
  <c r="E65" i="2"/>
  <c r="C65" i="2"/>
  <c r="B65" i="2"/>
  <c r="F41" i="2"/>
  <c r="F17" i="2"/>
  <c r="F16" i="2"/>
  <c r="F20" i="2"/>
  <c r="F4" i="2"/>
  <c r="F75" i="2"/>
  <c r="B75" i="2"/>
  <c r="C75" i="2"/>
  <c r="E75" i="2"/>
  <c r="D75" i="2"/>
  <c r="F87" i="2"/>
  <c r="E87" i="2"/>
  <c r="D87" i="2"/>
  <c r="B87" i="2"/>
  <c r="C87" i="2"/>
  <c r="F63" i="2"/>
  <c r="F39" i="2"/>
  <c r="F15" i="2"/>
  <c r="F12" i="2"/>
  <c r="F52" i="2"/>
  <c r="B21" i="4"/>
  <c r="B36" i="1"/>
  <c r="F19" i="2"/>
  <c r="F46" i="2"/>
  <c r="F85" i="2"/>
  <c r="E85" i="2"/>
  <c r="D85" i="2"/>
  <c r="C85" i="2"/>
  <c r="B85" i="2"/>
  <c r="F61" i="2"/>
  <c r="F37" i="2"/>
  <c r="F13" i="2"/>
  <c r="F56" i="2"/>
  <c r="F8" i="2"/>
  <c r="F14" i="2"/>
  <c r="F77" i="2"/>
  <c r="E77" i="2"/>
  <c r="D77" i="2"/>
  <c r="C77" i="2"/>
  <c r="B77" i="2"/>
  <c r="F40" i="2"/>
  <c r="F11" i="2"/>
  <c r="F42" i="2"/>
  <c r="B28" i="1"/>
  <c r="B27" i="1"/>
  <c r="C30" i="1"/>
  <c r="C26" i="1"/>
  <c r="B26" i="1"/>
  <c r="B24" i="1"/>
  <c r="B32" i="1"/>
  <c r="B25" i="1"/>
  <c r="C31" i="1"/>
  <c r="B31" i="1"/>
  <c r="B30" i="1"/>
  <c r="C29" i="1"/>
  <c r="B29" i="1"/>
  <c r="F53" i="2"/>
  <c r="F44" i="2"/>
  <c r="F67" i="2"/>
  <c r="B67" i="2"/>
  <c r="C67" i="2"/>
  <c r="E67" i="2"/>
  <c r="D67" i="2"/>
  <c r="F59" i="2"/>
  <c r="F81" i="2"/>
  <c r="D81" i="2"/>
  <c r="E81" i="2"/>
  <c r="C81" i="2"/>
  <c r="B81" i="2"/>
  <c r="F57" i="2"/>
  <c r="F33" i="2"/>
  <c r="F9" i="2"/>
  <c r="F48" i="2"/>
  <c r="F50" i="2"/>
  <c r="F60" i="2"/>
  <c r="F27" i="2"/>
  <c r="F25" i="2"/>
  <c r="F83" i="2"/>
  <c r="B83" i="2"/>
  <c r="C83" i="2"/>
  <c r="E83" i="2"/>
  <c r="D83" i="2"/>
  <c r="F35" i="2"/>
  <c r="F58" i="2"/>
  <c r="F79" i="2"/>
  <c r="E79" i="2"/>
  <c r="D79" i="2"/>
  <c r="C79" i="2"/>
  <c r="B79" i="2"/>
  <c r="F55" i="2"/>
  <c r="F31" i="2"/>
  <c r="F7" i="2"/>
  <c r="F26" i="2"/>
  <c r="E41" i="4"/>
  <c r="F41" i="4"/>
  <c r="B4" i="2" l="1"/>
  <c r="D4" i="2"/>
  <c r="G41" i="4"/>
  <c r="C4" i="2"/>
  <c r="F42" i="4" l="1"/>
  <c r="E42" i="4"/>
  <c r="N41" i="4"/>
  <c r="E4" i="2"/>
  <c r="D5" i="2" l="1"/>
  <c r="B5" i="2"/>
  <c r="C5" i="2"/>
  <c r="G42" i="4"/>
  <c r="F43" i="4" l="1"/>
  <c r="E43" i="4"/>
  <c r="E5" i="2"/>
  <c r="N42" i="4"/>
  <c r="B6" i="2" l="1"/>
  <c r="D6" i="2"/>
  <c r="C6" i="2"/>
  <c r="G43" i="4"/>
  <c r="F44" i="4" l="1"/>
  <c r="C7" i="2" s="1"/>
  <c r="E44" i="4"/>
  <c r="G44" i="4" s="1"/>
  <c r="N43" i="4"/>
  <c r="E6" i="2"/>
  <c r="F45" i="4" l="1"/>
  <c r="C8" i="2" s="1"/>
  <c r="E45" i="4"/>
  <c r="N44" i="4"/>
  <c r="E7" i="2"/>
  <c r="B7" i="2"/>
  <c r="D7" i="2"/>
  <c r="B8" i="2" l="1"/>
  <c r="D8" i="2"/>
  <c r="G45" i="4"/>
  <c r="F46" i="4" l="1"/>
  <c r="C9" i="2" s="1"/>
  <c r="E46" i="4"/>
  <c r="N45" i="4"/>
  <c r="E8" i="2"/>
  <c r="B9" i="2" l="1"/>
  <c r="D9" i="2"/>
  <c r="G46" i="4"/>
  <c r="E47" i="4" l="1"/>
  <c r="F47" i="4"/>
  <c r="C10" i="2" s="1"/>
  <c r="N46" i="4"/>
  <c r="E9" i="2"/>
  <c r="B10" i="2" l="1"/>
  <c r="D10" i="2"/>
  <c r="G47" i="4"/>
  <c r="F48" i="4" l="1"/>
  <c r="C11" i="2" s="1"/>
  <c r="E48" i="4"/>
  <c r="E10" i="2"/>
  <c r="N47" i="4"/>
  <c r="D11" i="2" l="1"/>
  <c r="B11" i="2"/>
  <c r="G48" i="4"/>
  <c r="E49" i="4" l="1"/>
  <c r="F49" i="4"/>
  <c r="C12" i="2" s="1"/>
  <c r="N48" i="4"/>
  <c r="E11" i="2"/>
  <c r="B12" i="2" l="1"/>
  <c r="D12" i="2"/>
  <c r="G49" i="4"/>
  <c r="F50" i="4" l="1"/>
  <c r="C13" i="2" s="1"/>
  <c r="E50" i="4"/>
  <c r="G50" i="4" s="1"/>
  <c r="N49" i="4"/>
  <c r="E12" i="2"/>
  <c r="F51" i="4" l="1"/>
  <c r="C14" i="2" s="1"/>
  <c r="E51" i="4"/>
  <c r="N50" i="4"/>
  <c r="E13" i="2"/>
  <c r="B13" i="2"/>
  <c r="D13" i="2"/>
  <c r="B14" i="2" l="1"/>
  <c r="D14" i="2"/>
  <c r="G51" i="4"/>
  <c r="F52" i="4" l="1"/>
  <c r="C15" i="2" s="1"/>
  <c r="E52" i="4"/>
  <c r="N51" i="4"/>
  <c r="E14" i="2"/>
  <c r="B15" i="2" l="1"/>
  <c r="D15" i="2"/>
  <c r="G52" i="4"/>
  <c r="E53" i="4" l="1"/>
  <c r="F53" i="4"/>
  <c r="C16" i="2" s="1"/>
  <c r="N52" i="4"/>
  <c r="E15" i="2"/>
  <c r="G53" i="4" l="1"/>
  <c r="F54" i="4" s="1"/>
  <c r="C17" i="2" s="1"/>
  <c r="E16" i="2"/>
  <c r="N53" i="4"/>
  <c r="B16" i="2"/>
  <c r="D16" i="2"/>
  <c r="E54" i="4" l="1"/>
  <c r="G54" i="4" s="1"/>
  <c r="F55" i="4" s="1"/>
  <c r="C18" i="2" s="1"/>
  <c r="D17" i="2" l="1"/>
  <c r="B17" i="2"/>
  <c r="E17" i="2"/>
  <c r="N54" i="4"/>
  <c r="E55" i="4"/>
  <c r="D18" i="2"/>
  <c r="B18" i="2"/>
  <c r="G55" i="4"/>
  <c r="F56" i="4" l="1"/>
  <c r="C19" i="2" s="1"/>
  <c r="E56" i="4"/>
  <c r="E18" i="2"/>
  <c r="N55" i="4"/>
  <c r="B19" i="2" l="1"/>
  <c r="D19" i="2"/>
  <c r="G56" i="4"/>
  <c r="F57" i="4" l="1"/>
  <c r="C20" i="2" s="1"/>
  <c r="E57" i="4"/>
  <c r="N56" i="4"/>
  <c r="E19" i="2"/>
  <c r="B20" i="2" l="1"/>
  <c r="D20" i="2"/>
  <c r="G57" i="4"/>
  <c r="F58" i="4" l="1"/>
  <c r="C21" i="2" s="1"/>
  <c r="E58" i="4"/>
  <c r="N57" i="4"/>
  <c r="E20" i="2"/>
  <c r="D21" i="2" l="1"/>
  <c r="B21" i="2"/>
  <c r="G58" i="4"/>
  <c r="F59" i="4" l="1"/>
  <c r="C22" i="2" s="1"/>
  <c r="E59" i="4"/>
  <c r="N58" i="4"/>
  <c r="E21" i="2"/>
  <c r="D22" i="2" l="1"/>
  <c r="B22" i="2"/>
  <c r="G59" i="4"/>
  <c r="F60" i="4" l="1"/>
  <c r="C23" i="2" s="1"/>
  <c r="E60" i="4"/>
  <c r="G60" i="4" s="1"/>
  <c r="N59" i="4"/>
  <c r="E22" i="2"/>
  <c r="D23" i="2" l="1"/>
  <c r="B23" i="2"/>
  <c r="F61" i="4"/>
  <c r="C24" i="2" s="1"/>
  <c r="E61" i="4"/>
  <c r="G61" i="4" s="1"/>
  <c r="N60" i="4"/>
  <c r="E23" i="2"/>
  <c r="F62" i="4" l="1"/>
  <c r="C25" i="2" s="1"/>
  <c r="E62" i="4"/>
  <c r="N61" i="4"/>
  <c r="E24" i="2"/>
  <c r="B24" i="2"/>
  <c r="D24" i="2"/>
  <c r="B25" i="2" l="1"/>
  <c r="D25" i="2"/>
  <c r="G62" i="4"/>
  <c r="F63" i="4" l="1"/>
  <c r="C26" i="2" s="1"/>
  <c r="E63" i="4"/>
  <c r="N62" i="4"/>
  <c r="E25" i="2"/>
  <c r="B26" i="2" l="1"/>
  <c r="D26" i="2"/>
  <c r="G63" i="4"/>
  <c r="F64" i="4" l="1"/>
  <c r="C27" i="2" s="1"/>
  <c r="E64" i="4"/>
  <c r="N63" i="4"/>
  <c r="E26" i="2"/>
  <c r="B27" i="2" l="1"/>
  <c r="D27" i="2"/>
  <c r="G64" i="4"/>
  <c r="E65" i="4" l="1"/>
  <c r="F65" i="4"/>
  <c r="C28" i="2" s="1"/>
  <c r="N64" i="4"/>
  <c r="E27" i="2"/>
  <c r="B28" i="2" l="1"/>
  <c r="D28" i="2"/>
  <c r="G65" i="4"/>
  <c r="F66" i="4" l="1"/>
  <c r="C29" i="2" s="1"/>
  <c r="E66" i="4"/>
  <c r="N65" i="4"/>
  <c r="E28" i="2"/>
  <c r="B29" i="2" l="1"/>
  <c r="D29" i="2"/>
  <c r="G66" i="4"/>
  <c r="F67" i="4" l="1"/>
  <c r="C30" i="2" s="1"/>
  <c r="E67" i="4"/>
  <c r="N66" i="4"/>
  <c r="E29" i="2"/>
  <c r="B30" i="2" l="1"/>
  <c r="D30" i="2"/>
  <c r="G67" i="4"/>
  <c r="F68" i="4" l="1"/>
  <c r="C31" i="2" s="1"/>
  <c r="E68" i="4"/>
  <c r="N67" i="4"/>
  <c r="E30" i="2"/>
  <c r="D31" i="2" l="1"/>
  <c r="B31" i="2"/>
  <c r="G68" i="4"/>
  <c r="F69" i="4" l="1"/>
  <c r="C32" i="2" s="1"/>
  <c r="E69" i="4"/>
  <c r="N68" i="4"/>
  <c r="E31" i="2"/>
  <c r="B32" i="2" l="1"/>
  <c r="D32" i="2"/>
  <c r="G69" i="4"/>
  <c r="F70" i="4" l="1"/>
  <c r="C33" i="2" s="1"/>
  <c r="E70" i="4"/>
  <c r="N69" i="4"/>
  <c r="E32" i="2"/>
  <c r="D33" i="2" l="1"/>
  <c r="B33" i="2"/>
  <c r="G70" i="4"/>
  <c r="E71" i="4" l="1"/>
  <c r="F71" i="4"/>
  <c r="C34" i="2" s="1"/>
  <c r="N70" i="4"/>
  <c r="E33" i="2"/>
  <c r="B34" i="2" l="1"/>
  <c r="D34" i="2"/>
  <c r="G71" i="4"/>
  <c r="F72" i="4" l="1"/>
  <c r="C35" i="2" s="1"/>
  <c r="E72" i="4"/>
  <c r="N71" i="4"/>
  <c r="E34" i="2"/>
  <c r="D35" i="2" l="1"/>
  <c r="B35" i="2"/>
  <c r="G72" i="4"/>
  <c r="F73" i="4" l="1"/>
  <c r="C36" i="2" s="1"/>
  <c r="E73" i="4"/>
  <c r="N72" i="4"/>
  <c r="E35" i="2"/>
  <c r="B36" i="2" l="1"/>
  <c r="D36" i="2"/>
  <c r="G73" i="4"/>
  <c r="F74" i="4" l="1"/>
  <c r="C37" i="2" s="1"/>
  <c r="E74" i="4"/>
  <c r="N73" i="4"/>
  <c r="E36" i="2"/>
  <c r="D37" i="2" l="1"/>
  <c r="B37" i="2"/>
  <c r="G74" i="4"/>
  <c r="F75" i="4" l="1"/>
  <c r="C38" i="2" s="1"/>
  <c r="E75" i="4"/>
  <c r="N74" i="4"/>
  <c r="E37" i="2"/>
  <c r="B38" i="2" l="1"/>
  <c r="D38" i="2"/>
  <c r="G75" i="4"/>
  <c r="F76" i="4" l="1"/>
  <c r="C39" i="2" s="1"/>
  <c r="E76" i="4"/>
  <c r="N75" i="4"/>
  <c r="E38" i="2"/>
  <c r="B39" i="2" l="1"/>
  <c r="D39" i="2"/>
  <c r="G76" i="4"/>
  <c r="E77" i="4" l="1"/>
  <c r="F77" i="4"/>
  <c r="C40" i="2" s="1"/>
  <c r="N76" i="4"/>
  <c r="E39" i="2"/>
  <c r="B40" i="2" l="1"/>
  <c r="D40" i="2"/>
  <c r="G77" i="4"/>
  <c r="F78" i="4" l="1"/>
  <c r="C41" i="2" s="1"/>
  <c r="E78" i="4"/>
  <c r="N77" i="4"/>
  <c r="E40" i="2"/>
  <c r="B41" i="2" l="1"/>
  <c r="D41" i="2"/>
  <c r="G78" i="4"/>
  <c r="F79" i="4" l="1"/>
  <c r="C42" i="2" s="1"/>
  <c r="E79" i="4"/>
  <c r="N78" i="4"/>
  <c r="E41" i="2"/>
  <c r="D42" i="2" l="1"/>
  <c r="B42" i="2"/>
  <c r="G79" i="4"/>
  <c r="F80" i="4" l="1"/>
  <c r="C43" i="2" s="1"/>
  <c r="E80" i="4"/>
  <c r="N79" i="4"/>
  <c r="E42" i="2"/>
  <c r="B43" i="2" l="1"/>
  <c r="D43" i="2"/>
  <c r="G80" i="4"/>
  <c r="F81" i="4" l="1"/>
  <c r="C44" i="2" s="1"/>
  <c r="E81" i="4"/>
  <c r="N80" i="4"/>
  <c r="E43" i="2"/>
  <c r="B44" i="2" l="1"/>
  <c r="D44" i="2"/>
  <c r="G81" i="4"/>
  <c r="F82" i="4" l="1"/>
  <c r="C45" i="2" s="1"/>
  <c r="E82" i="4"/>
  <c r="N81" i="4"/>
  <c r="E44" i="2"/>
  <c r="B45" i="2" l="1"/>
  <c r="D45" i="2"/>
  <c r="G82" i="4"/>
  <c r="F83" i="4" l="1"/>
  <c r="C46" i="2" s="1"/>
  <c r="E83" i="4"/>
  <c r="N82" i="4"/>
  <c r="E45" i="2"/>
  <c r="B46" i="2" l="1"/>
  <c r="D46" i="2"/>
  <c r="G83" i="4"/>
  <c r="F84" i="4" l="1"/>
  <c r="C47" i="2" s="1"/>
  <c r="E84" i="4"/>
  <c r="N83" i="4"/>
  <c r="E46" i="2"/>
  <c r="D47" i="2" l="1"/>
  <c r="B47" i="2"/>
  <c r="G84" i="4"/>
  <c r="F85" i="4" l="1"/>
  <c r="C48" i="2" s="1"/>
  <c r="E85" i="4"/>
  <c r="N84" i="4"/>
  <c r="E47" i="2"/>
  <c r="B48" i="2" l="1"/>
  <c r="D48" i="2"/>
  <c r="G85" i="4"/>
  <c r="F86" i="4" l="1"/>
  <c r="C49" i="2" s="1"/>
  <c r="E86" i="4"/>
  <c r="N85" i="4"/>
  <c r="E48" i="2"/>
  <c r="D49" i="2" l="1"/>
  <c r="B49" i="2"/>
  <c r="G86" i="4"/>
  <c r="F87" i="4" l="1"/>
  <c r="C50" i="2" s="1"/>
  <c r="E87" i="4"/>
  <c r="N86" i="4"/>
  <c r="E49" i="2"/>
  <c r="D50" i="2" l="1"/>
  <c r="B50" i="2"/>
  <c r="G87" i="4"/>
  <c r="F88" i="4" l="1"/>
  <c r="C51" i="2" s="1"/>
  <c r="E88" i="4"/>
  <c r="N87" i="4"/>
  <c r="E50" i="2"/>
  <c r="B51" i="2" l="1"/>
  <c r="D51" i="2"/>
  <c r="G88" i="4"/>
  <c r="E89" i="4" l="1"/>
  <c r="G89" i="4" s="1"/>
  <c r="F89" i="4"/>
  <c r="C52" i="2" s="1"/>
  <c r="N88" i="4"/>
  <c r="E51" i="2"/>
  <c r="F90" i="4" l="1"/>
  <c r="C53" i="2" s="1"/>
  <c r="E90" i="4"/>
  <c r="G90" i="4" s="1"/>
  <c r="N89" i="4"/>
  <c r="E52" i="2"/>
  <c r="D52" i="2"/>
  <c r="B52" i="2"/>
  <c r="F91" i="4" l="1"/>
  <c r="C54" i="2" s="1"/>
  <c r="E91" i="4"/>
  <c r="N90" i="4"/>
  <c r="E53" i="2"/>
  <c r="B53" i="2"/>
  <c r="D53" i="2"/>
  <c r="D54" i="2" l="1"/>
  <c r="B54" i="2"/>
  <c r="G91" i="4"/>
  <c r="F92" i="4" l="1"/>
  <c r="C55" i="2" s="1"/>
  <c r="E92" i="4"/>
  <c r="N91" i="4"/>
  <c r="E54" i="2"/>
  <c r="B55" i="2" l="1"/>
  <c r="D55" i="2"/>
  <c r="G92" i="4"/>
  <c r="F93" i="4" l="1"/>
  <c r="C56" i="2" s="1"/>
  <c r="E93" i="4"/>
  <c r="N92" i="4"/>
  <c r="E55" i="2"/>
  <c r="B56" i="2" l="1"/>
  <c r="D56" i="2"/>
  <c r="G93" i="4"/>
  <c r="F94" i="4" l="1"/>
  <c r="C57" i="2" s="1"/>
  <c r="E94" i="4"/>
  <c r="N93" i="4"/>
  <c r="E56" i="2"/>
  <c r="D57" i="2" l="1"/>
  <c r="B57" i="2"/>
  <c r="G94" i="4"/>
  <c r="E95" i="4" l="1"/>
  <c r="F95" i="4"/>
  <c r="C58" i="2" s="1"/>
  <c r="N94" i="4"/>
  <c r="E57" i="2"/>
  <c r="D58" i="2" l="1"/>
  <c r="B58" i="2"/>
  <c r="G95" i="4"/>
  <c r="F96" i="4" l="1"/>
  <c r="C59" i="2" s="1"/>
  <c r="E96" i="4"/>
  <c r="N95" i="4"/>
  <c r="E58" i="2"/>
  <c r="D59" i="2" l="1"/>
  <c r="B59" i="2"/>
  <c r="G96" i="4"/>
  <c r="F97" i="4" l="1"/>
  <c r="C60" i="2" s="1"/>
  <c r="E97" i="4"/>
  <c r="N96" i="4"/>
  <c r="E59" i="2"/>
  <c r="B60" i="2" l="1"/>
  <c r="D60" i="2"/>
  <c r="G97" i="4"/>
  <c r="F98" i="4" l="1"/>
  <c r="C61" i="2" s="1"/>
  <c r="E98" i="4"/>
  <c r="N97" i="4"/>
  <c r="E60" i="2"/>
  <c r="D61" i="2" l="1"/>
  <c r="B61" i="2"/>
  <c r="G98" i="4"/>
  <c r="F99" i="4" l="1"/>
  <c r="C62" i="2" s="1"/>
  <c r="E99" i="4"/>
  <c r="N98" i="4"/>
  <c r="E61" i="2"/>
  <c r="B62" i="2" l="1"/>
  <c r="D62" i="2"/>
  <c r="G99" i="4"/>
  <c r="F100" i="4" l="1"/>
  <c r="C63" i="2" s="1"/>
  <c r="E100" i="4"/>
  <c r="N99" i="4"/>
  <c r="E62" i="2"/>
  <c r="D63" i="2" l="1"/>
  <c r="B63" i="2"/>
  <c r="G100" i="4"/>
  <c r="E101" i="4" l="1"/>
  <c r="F101" i="4"/>
  <c r="N100" i="4"/>
  <c r="E63" i="2"/>
  <c r="G101" i="4" l="1"/>
  <c r="F102" i="4" s="1"/>
  <c r="E102" i="4" l="1"/>
  <c r="G102" i="4" s="1"/>
  <c r="E103" i="4"/>
  <c r="F103" i="4"/>
  <c r="G103" i="4" l="1"/>
  <c r="F104" i="4" s="1"/>
  <c r="E104" i="4" l="1"/>
  <c r="G104" i="4" s="1"/>
  <c r="F105" i="4" s="1"/>
  <c r="E105" i="4" l="1"/>
  <c r="G105" i="4" s="1"/>
  <c r="F106" i="4"/>
  <c r="E106" i="4"/>
  <c r="G106" i="4" s="1"/>
  <c r="E107" i="4" l="1"/>
  <c r="F107" i="4"/>
  <c r="G107" i="4" l="1"/>
  <c r="F108" i="4" s="1"/>
  <c r="E108" i="4"/>
  <c r="G108" i="4" l="1"/>
  <c r="E109" i="4" s="1"/>
  <c r="F109" i="4" l="1"/>
  <c r="G109" i="4" s="1"/>
  <c r="F110" i="4" l="1"/>
  <c r="E110" i="4"/>
  <c r="G110" i="4" s="1"/>
  <c r="F111" i="4" s="1"/>
  <c r="E111" i="4"/>
  <c r="G111" i="4" l="1"/>
  <c r="F112" i="4"/>
  <c r="E112" i="4"/>
  <c r="G112" i="4" s="1"/>
  <c r="F113" i="4" l="1"/>
  <c r="E113" i="4"/>
  <c r="G113" i="4" s="1"/>
  <c r="F114" i="4" l="1"/>
  <c r="E114" i="4"/>
  <c r="G114" i="4" s="1"/>
  <c r="F115" i="4" l="1"/>
  <c r="E115" i="4"/>
  <c r="G115" i="4" s="1"/>
  <c r="F116" i="4" l="1"/>
  <c r="E116" i="4"/>
  <c r="G116" i="4" s="1"/>
  <c r="F117" i="4" l="1"/>
  <c r="E117" i="4"/>
  <c r="G117" i="4" s="1"/>
  <c r="F118" i="4" l="1"/>
  <c r="E118" i="4"/>
  <c r="G118" i="4" s="1"/>
  <c r="E119" i="4" l="1"/>
  <c r="G119" i="4" s="1"/>
  <c r="F119" i="4"/>
  <c r="F120" i="4" l="1"/>
  <c r="E120" i="4"/>
  <c r="G120" i="4" s="1"/>
  <c r="E121" i="4" l="1"/>
  <c r="F121" i="4"/>
  <c r="G121" i="4" l="1"/>
  <c r="F122" i="4" s="1"/>
  <c r="E122" i="4"/>
  <c r="G122" i="4" l="1"/>
  <c r="F123" i="4" s="1"/>
  <c r="E123" i="4"/>
  <c r="G123" i="4" l="1"/>
  <c r="F124" i="4"/>
  <c r="B15" i="4" s="1"/>
  <c r="E124" i="4"/>
  <c r="B16" i="4" s="1"/>
  <c r="B17" i="4" l="1"/>
  <c r="C28" i="1" s="1"/>
  <c r="C27" i="1"/>
  <c r="G124" i="4"/>
</calcChain>
</file>

<file path=xl/sharedStrings.xml><?xml version="1.0" encoding="utf-8"?>
<sst xmlns="http://schemas.openxmlformats.org/spreadsheetml/2006/main" count="119" uniqueCount="116">
  <si>
    <t>NEEDTHESEAPPS.COM</t>
  </si>
  <si>
    <t>Car Loan Calculator</t>
  </si>
  <si>
    <t>What will your car loan cost, and what car price fits your payment?</t>
  </si>
  <si>
    <t>Open the full calculator online  ↗</t>
  </si>
  <si>
    <t>YOUR NUMBERS (used by both questions)</t>
  </si>
  <si>
    <t>Currency symbol you use</t>
  </si>
  <si>
    <t>$</t>
  </si>
  <si>
    <t>Car price</t>
  </si>
  <si>
    <t>The price before tax and fees.</t>
  </si>
  <si>
    <t>Down payment</t>
  </si>
  <si>
    <t>Cash you pay at the start. A cash rebate can be added here too.</t>
  </si>
  <si>
    <t>Trading in a car?</t>
  </si>
  <si>
    <t>No</t>
  </si>
  <si>
    <t>Yes or No. Choose from the list.</t>
  </si>
  <si>
    <t>What it is worth</t>
  </si>
  <si>
    <t>What the dealer gives you for your old car. Used only when trading in is Yes.</t>
  </si>
  <si>
    <t>What you still owe on it</t>
  </si>
  <si>
    <t>The payoff amount on your old car's loan. Used only when trading in is Yes.</t>
  </si>
  <si>
    <t>Sales tax</t>
  </si>
  <si>
    <t>The sales tax from your offer, in your currency.</t>
  </si>
  <si>
    <t>Fees and add-ons</t>
  </si>
  <si>
    <t>The dealer's fees plus any add-ons you finance, added together.</t>
  </si>
  <si>
    <t>Add tax and fees to the loan?</t>
  </si>
  <si>
    <t>Yes</t>
  </si>
  <si>
    <t>Yes: you borrow them. No: you pay them on the day.</t>
  </si>
  <si>
    <t>Interest rate (per year)</t>
  </si>
  <si>
    <t>The APR from your offer. 7% is the US average for a new car.</t>
  </si>
  <si>
    <t>Loan length</t>
  </si>
  <si>
    <t>36, 48, 60, 72 or 84 months. Choose from the list.</t>
  </si>
  <si>
    <t>Extra payment each month</t>
  </si>
  <si>
    <t>Paid on top of the payment every month, straight to what you owe.</t>
  </si>
  <si>
    <t>QUESTION 1: What will my payment be?</t>
  </si>
  <si>
    <t>QUESTION 2: What car price fits my payment?</t>
  </si>
  <si>
    <t>Monthly payment I choose</t>
  </si>
  <si>
    <t>The payment you want to keep to each month.</t>
  </si>
  <si>
    <t>A fixed rate for the whole loan, one payment a month, the first one month after you sign. Interest is charged each month only on what you still owe. An extra payment goes straight to what you owe.
Not covered: leases, balloon loans, HP/PCP, insurance, fuel and upkeep.
This file is a snapshot of the calculator. The full calculator online also shows loan-length comparisons, a higher-rate comparison, your old car in the new loan, and ways to make it work.</t>
  </si>
  <si>
    <t>The second line (with your extra payment) shows only when the extra payment above is more than 0.</t>
  </si>
  <si>
    <t>Question 1's loan, month by month</t>
  </si>
  <si>
    <t>Month</t>
  </si>
  <si>
    <t>Payment</t>
  </si>
  <si>
    <t>Interest</t>
  </si>
  <si>
    <t>Toward the loan</t>
  </si>
  <si>
    <t>Still owed</t>
  </si>
  <si>
    <t>Still owed (with extra payment)</t>
  </si>
  <si>
    <t>About this workbook</t>
  </si>
  <si>
    <t>WHAT THIS WORKBOOK DOES</t>
  </si>
  <si>
    <t>It answers both questions of the Car Loan Calculator offline: what your monthly payment and total cost would be for a car price you know, and what car price a monthly payment you choose would cover. It counts a trade-in, sales tax, fees and add-ons, and an extra payment, and shows a month-by-month schedule and a chart of what you still owe.</t>
  </si>
  <si>
    <t>WHAT IT DOES NOT DO</t>
  </si>
  <si>
    <t>Loan-length comparisons</t>
  </si>
  <si>
    <t>What each of the five lengths (36 to 84 months) would cost or cover: on the site.</t>
  </si>
  <si>
    <t>The rate comparison</t>
  </si>
  <si>
    <t>What a higher rate would cost, and the range by credit score: on the site.</t>
  </si>
  <si>
    <t>Your old car in the new loan</t>
  </si>
  <si>
    <t>The share of your payment and interest that is old-car debt: on the site.</t>
  </si>
  <si>
    <t>Ways to make it work</t>
  </si>
  <si>
    <t>More down, a lower rate, a bigger payment, changed one at a time: on the site.</t>
  </si>
  <si>
    <t>The deeper insights</t>
  </si>
  <si>
    <t>"4 things worth knowing before you sign": on the site.</t>
  </si>
  <si>
    <t>The Bigger Picture and the FAQ</t>
  </si>
  <si>
    <t>The guide to what the numbers mean: on the site.</t>
  </si>
  <si>
    <t>It is not financial advice or a loan offer</t>
  </si>
  <si>
    <t>A planning estimate, based on what you entered.</t>
  </si>
  <si>
    <t>ASSUMPTIONS USED</t>
  </si>
  <si>
    <t>Payments</t>
  </si>
  <si>
    <t>A fixed rate for the whole loan, one payment a month, the first one month after you sign.</t>
  </si>
  <si>
    <t>Charged each month only on what you still owe: the yearly rate divided by 12.</t>
  </si>
  <si>
    <t>The last payment</t>
  </si>
  <si>
    <t>Absorbs the rounding, so there are exactly as many payments as the loan length.</t>
  </si>
  <si>
    <t>Trade-in</t>
  </si>
  <si>
    <t>Counted only when 'Trading in a car?' is Yes.</t>
  </si>
  <si>
    <t>Tax and fees</t>
  </si>
  <si>
    <t>Added to the loan only when 'Add tax and fees to the loan?' is Yes and they are above 0.</t>
  </si>
  <si>
    <t>Extra payment</t>
  </si>
  <si>
    <t>Goes straight to what you owe every month, shortening the loan.</t>
  </si>
  <si>
    <t>Question 2's price</t>
  </si>
  <si>
    <t>Rounded down to a whole unit, so the payment is never promised to cover more.</t>
  </si>
  <si>
    <t>Not included</t>
  </si>
  <si>
    <t>Leases, balloon loans, UK car finance (HP and PCP), insurance, fuel and upkeep.</t>
  </si>
  <si>
    <t>THE WORKBOOK</t>
  </si>
  <si>
    <t>Site</t>
  </si>
  <si>
    <t>needtheseapps.com</t>
  </si>
  <si>
    <t>Sheets</t>
  </si>
  <si>
    <t>Calculator · Schedule · About &amp; Assumptions</t>
  </si>
  <si>
    <t>Version</t>
  </si>
  <si>
    <t>1.0</t>
  </si>
  <si>
    <t>Generated</t>
  </si>
  <si>
    <t>Oct 14, 2026</t>
  </si>
  <si>
    <t>Currency</t>
  </si>
  <si>
    <t>This file is a snapshot. It does not update itself when the online calculator changes.</t>
  </si>
  <si>
    <t>Helper calculations. Do not edit.</t>
  </si>
  <si>
    <t>What the trade-in is worth, counted only when trading in</t>
  </si>
  <si>
    <t>What is still owed on the trade-in, counted only when trading in</t>
  </si>
  <si>
    <t>Sales tax + fees and add-ons</t>
  </si>
  <si>
    <t>Costs added to the loan (0 unless 'Add tax and fees to the loan?' is Yes)</t>
  </si>
  <si>
    <t>Costs paid on the day</t>
  </si>
  <si>
    <t>Old-car debt: what is owed above what the trade-in is worth</t>
  </si>
  <si>
    <t>Question 1: the loan</t>
  </si>
  <si>
    <t>Question 1: no loan needed (1/0)</t>
  </si>
  <si>
    <t>Monthly rate</t>
  </si>
  <si>
    <t>Question 1: the loan length</t>
  </si>
  <si>
    <t>Question 1: the monthly payment (M)</t>
  </si>
  <si>
    <t>Question 1: the old-car debt inside this loan</t>
  </si>
  <si>
    <t>Question 1: cash on the day (down payment + costs paid on the day)</t>
  </si>
  <si>
    <t>Question 1: all the interest over the schedule</t>
  </si>
  <si>
    <t>Question 1: all the payments over the schedule</t>
  </si>
  <si>
    <t>Question 1: total cost of the car</t>
  </si>
  <si>
    <t>Question 2: the loan the chosen payment covers</t>
  </si>
  <si>
    <t>Question 2: the car price the payment covers</t>
  </si>
  <si>
    <t>Question 2: nothing left for the car (1/0)</t>
  </si>
  <si>
    <t>Question 2: the car price, rounded down</t>
  </si>
  <si>
    <t>Payment (base)</t>
  </si>
  <si>
    <t>Interest (base)</t>
  </si>
  <si>
    <t>Balance (base)</t>
  </si>
  <si>
    <t>Balance (extra)</t>
  </si>
  <si>
    <t>Chart: balance (base)</t>
  </si>
  <si>
    <t>Chart: balance (extra)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</si>
</sst>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#&quot;%&quot;"/>
  </numFmts>
  <fonts count="21" x14ac:knownFonts="1">
    <font>
      <sz val="11"/>
      <color theme="1"/>
      <name val="Calibri"/>
      <family val="2"/>
      <scheme val="minor"/>
    </font>
    <font>
      <b/>
      <sz val="11"/>
      <color rgb="FF1B2733"/>
      <name val="Segoe UI"/>
    </font>
    <font>
      <sz val="11"/>
      <color rgb="FF1B2733"/>
      <name val="Segoe UI"/>
    </font>
    <font>
      <b/>
      <sz val="18"/>
      <color rgb="FF12354E"/>
      <name val="Segoe UI"/>
    </font>
    <font>
      <sz val="10"/>
      <color rgb="FF6C6D70"/>
      <name val="Segoe UI"/>
    </font>
    <font>
      <b/>
      <sz val="10"/>
      <color rgb="FFFFFFFF"/>
      <name val="Segoe UI"/>
    </font>
    <font>
      <sz val="10"/>
      <color rgb="FF1B2733"/>
      <name val="Segoe UI"/>
    </font>
    <font>
      <b/>
      <u/>
      <sz val="10"/>
      <color rgb="FF1E5A85"/>
      <name val="Segoe UI"/>
    </font>
    <font>
      <b/>
      <sz val="20"/>
      <color rgb="FF12354E"/>
      <name val="Segoe UI"/>
    </font>
    <font>
      <b/>
      <sz val="11"/>
      <color rgb="FF1E5A85"/>
      <name val="Segoe UI"/>
    </font>
    <font>
      <b/>
      <u/>
      <sz val="11"/>
      <color rgb="FF1E5A85"/>
      <name val="Segoe UI"/>
    </font>
    <font>
      <b/>
      <sz val="12"/>
      <color rgb="FF1E5A85"/>
      <name val="Segoe UI"/>
    </font>
    <font>
      <b/>
      <sz val="12"/>
      <color rgb="FF12354E"/>
      <name val="Segoe UI"/>
    </font>
    <font>
      <sz val="9.5"/>
      <color rgb="FF6C6D70"/>
      <name val="Segoe UI"/>
    </font>
    <font>
      <i/>
      <sz val="10"/>
      <color rgb="FF6C6D70"/>
      <name val="Segoe UI"/>
    </font>
    <font>
      <b/>
      <sz val="22"/>
      <color rgb="FF1E5A85"/>
      <name val="Segoe UI"/>
    </font>
    <font>
      <b/>
      <sz val="11"/>
      <color rgb="FF12354E"/>
      <name val="Segoe UI"/>
    </font>
    <font>
      <i/>
      <sz val="9.5"/>
      <color rgb="FF6C6D70"/>
      <name val="Segoe UI"/>
    </font>
    <font>
      <b/>
      <sz val="22"/>
      <color rgb="FFA65F00"/>
      <name val="Segoe UI"/>
    </font>
    <font>
      <sz val="11"/>
      <color rgb="FF6C6D70"/>
      <name val="Segoe UI"/>
    </font>
    <font>
      <b/>
      <u/>
      <sz val="12"/>
      <color rgb="FF1E5A85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F5F8FB"/>
      </patternFill>
    </fill>
    <fill>
      <patternFill patternType="solid">
        <fgColor rgb="FF1E5A85"/>
      </patternFill>
    </fill>
    <fill>
      <patternFill patternType="solid">
        <fgColor rgb="FFE4EDF5"/>
      </patternFill>
    </fill>
    <fill>
      <patternFill patternType="solid">
        <fgColor rgb="FFC9DEE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1E5A85"/>
      </left>
      <right style="thin">
        <color rgb="FF1E5A85"/>
      </right>
      <top style="thin">
        <color rgb="FF1E5A85"/>
      </top>
      <bottom style="thin">
        <color rgb="FF1E5A85"/>
      </bottom>
      <diagonal/>
    </border>
    <border>
      <left/>
      <right/>
      <top/>
      <bottom style="thin">
        <color rgb="FF748BA0"/>
      </bottom>
      <diagonal/>
    </border>
    <border>
      <left style="medium">
        <color rgb="FFB26A00"/>
      </left>
      <right/>
      <top style="thin">
        <color rgb="FFD6E1EA"/>
      </top>
      <bottom/>
      <diagonal/>
    </border>
    <border>
      <left/>
      <right/>
      <top style="thin">
        <color rgb="FFD6E1EA"/>
      </top>
      <bottom/>
      <diagonal/>
    </border>
    <border>
      <left style="medium">
        <color rgb="FFB26A00"/>
      </left>
      <right/>
      <top/>
      <bottom/>
      <diagonal/>
    </border>
    <border>
      <left/>
      <right/>
      <top/>
      <bottom style="thin">
        <color rgb="FFD6E1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center" wrapText="1"/>
    </xf>
    <xf numFmtId="0" fontId="12" fillId="5" borderId="1" xfId="0" applyFont="1" applyFill="1" applyBorder="1" applyAlignment="1">
      <alignment horizontal="right" vertical="center"/>
    </xf>
    <xf numFmtId="3" fontId="12" fillId="5" borderId="1" xfId="0" applyNumberFormat="1" applyFont="1" applyFill="1" applyBorder="1" applyAlignment="1" applyProtection="1">
      <alignment horizontal="right" vertical="center"/>
      <protection locked="0"/>
    </xf>
    <xf numFmtId="0" fontId="12" fillId="5" borderId="1" xfId="0" applyFont="1" applyFill="1" applyBorder="1" applyAlignment="1" applyProtection="1">
      <alignment horizontal="right" vertical="center"/>
      <protection locked="0"/>
    </xf>
    <xf numFmtId="164" fontId="12" fillId="5" borderId="1" xfId="0" applyNumberFormat="1" applyFont="1" applyFill="1" applyBorder="1" applyAlignment="1" applyProtection="1">
      <alignment horizontal="right" vertical="center"/>
      <protection locked="0"/>
    </xf>
    <xf numFmtId="0" fontId="9" fillId="2" borderId="0" xfId="0" applyFont="1" applyFill="1" applyAlignment="1">
      <alignment horizontal="right" vertical="center"/>
    </xf>
    <xf numFmtId="0" fontId="16" fillId="2" borderId="0" xfId="0" applyFont="1" applyFill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2" fillId="6" borderId="6" xfId="0" applyFont="1" applyFill="1" applyBorder="1" applyAlignment="1">
      <alignment horizontal="left" vertical="center" wrapText="1"/>
    </xf>
    <xf numFmtId="0" fontId="19" fillId="6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0" fillId="0" borderId="0" xfId="0"/>
    <xf numFmtId="0" fontId="11" fillId="4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top" wrapText="1"/>
    </xf>
    <xf numFmtId="0" fontId="0" fillId="0" borderId="4" xfId="0" applyBorder="1"/>
    <xf numFmtId="0" fontId="0" fillId="0" borderId="5" xfId="0" applyBorder="1"/>
    <xf numFmtId="0" fontId="17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horizontal="left" vertical="center" shrinkToFit="1"/>
    </xf>
    <xf numFmtId="0" fontId="10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left" vertical="center" shrinkToFit="1"/>
    </xf>
    <xf numFmtId="0" fontId="17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6" borderId="0" xfId="0" applyFont="1" applyFill="1" applyAlignment="1">
      <alignment horizontal="left" vertical="top" wrapText="1"/>
    </xf>
    <xf numFmtId="0" fontId="16" fillId="6" borderId="0" xfId="0" applyFont="1" applyFill="1" applyAlignment="1">
      <alignment horizontal="left" vertical="center" wrapText="1"/>
    </xf>
    <xf numFmtId="0" fontId="20" fillId="6" borderId="0" xfId="0" applyFont="1" applyFill="1" applyAlignment="1">
      <alignment horizontal="left" vertical="center" wrapText="1"/>
    </xf>
  </cellXfs>
  <cellStyles count="1">
    <cellStyle name="Normal" xfId="0" builtinId="0"/>
  </cellStyles>
  <dxfs count="2">
    <dxf>
      <border>
        <bottom style="thin">
          <color rgb="FFD6E1EA"/>
        </bottom>
      </border>
    </dxf>
    <dxf>
      <fill>
        <patternFill patternType="solid">
          <fgColor rgb="FFFBFDFE"/>
        </patternFill>
      </fill>
      <border>
        <bottom style="thin">
          <color rgb="FFD6E1EA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What you still owe, month by month (Question 1)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What you still owe</c:v>
          </c:tx>
          <c:spPr>
            <a:ln w="28575">
              <a:solidFill>
                <a:srgbClr val="1E5A85"/>
              </a:solidFill>
              <a:prstDash val="solid"/>
            </a:ln>
          </c:spPr>
          <c:marker>
            <c:symbol val="none"/>
          </c:marker>
          <c:cat>
            <c:numRef>
              <c:f>_Engine!ch_m</c:f>
              <c:numCache>
                <c:formatCode>General</c:formatCode>
                <c:ptCount val="8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</c:numCache>
            </c:numRef>
          </c:cat>
          <c:val>
            <c:numRef>
              <c:f>_Engine!ch_base</c:f>
              <c:numCache>
                <c:formatCode>General</c:formatCode>
                <c:ptCount val="85"/>
                <c:pt idx="0">
                  <c:v>25000</c:v>
                </c:pt>
                <c:pt idx="1">
                  <c:v>24650.803369824596</c:v>
                </c:pt>
                <c:pt idx="2">
                  <c:v>24299.569759306502</c:v>
                </c:pt>
                <c:pt idx="3">
                  <c:v>23946.287286060386</c:v>
                </c:pt>
                <c:pt idx="4">
                  <c:v>23590.943998387</c:v>
                </c:pt>
                <c:pt idx="5">
                  <c:v>23233.527874868854</c:v>
                </c:pt>
                <c:pt idx="6">
                  <c:v>22874.026823963519</c:v>
                </c:pt>
                <c:pt idx="7">
                  <c:v>22512.428683594568</c:v>
                </c:pt>
                <c:pt idx="8">
                  <c:v>22148.721220740132</c:v>
                </c:pt>
                <c:pt idx="9">
                  <c:v>21782.892131019045</c:v>
                </c:pt>
                <c:pt idx="10">
                  <c:v>21414.929038274586</c:v>
                </c:pt>
                <c:pt idx="11">
                  <c:v>21044.819494155785</c:v>
                </c:pt>
                <c:pt idx="12">
                  <c:v>20672.55097769629</c:v>
                </c:pt>
                <c:pt idx="13">
                  <c:v>20298.110894890782</c:v>
                </c:pt>
                <c:pt idx="14">
                  <c:v>19921.486578268908</c:v>
                </c:pt>
                <c:pt idx="15">
                  <c:v>19542.665286466741</c:v>
                </c:pt>
                <c:pt idx="16">
                  <c:v>19161.634203795726</c:v>
                </c:pt>
                <c:pt idx="17">
                  <c:v>18778.380439809131</c:v>
                </c:pt>
                <c:pt idx="18">
                  <c:v>18392.891028865946</c:v>
                </c:pt>
                <c:pt idx="19">
                  <c:v>18005.15292969226</c:v>
                </c:pt>
                <c:pt idx="20">
                  <c:v>17615.15302494006</c:v>
                </c:pt>
                <c:pt idx="21">
                  <c:v>17222.878120743473</c:v>
                </c:pt>
                <c:pt idx="22">
                  <c:v>16828.314946272407</c:v>
                </c:pt>
                <c:pt idx="23">
                  <c:v>16431.450153283593</c:v>
                </c:pt>
                <c:pt idx="24">
                  <c:v>16032.27031566901</c:v>
                </c:pt>
                <c:pt idx="25">
                  <c:v>15630.761929001676</c:v>
                </c:pt>
                <c:pt idx="26">
                  <c:v>15226.911410078781</c:v>
                </c:pt>
                <c:pt idx="27">
                  <c:v>14820.70509646217</c:v>
                </c:pt>
                <c:pt idx="28">
                  <c:v>14412.129246016129</c:v>
                </c:pt>
                <c:pt idx="29">
                  <c:v>14001.170036442487</c:v>
                </c:pt>
                <c:pt idx="30">
                  <c:v>13587.813564812997</c:v>
                </c:pt>
                <c:pt idx="31">
                  <c:v>13172.045847099003</c:v>
                </c:pt>
                <c:pt idx="32">
                  <c:v>12753.852817698344</c:v>
                </c:pt>
                <c:pt idx="33">
                  <c:v>12333.220328959513</c:v>
                </c:pt>
                <c:pt idx="34">
                  <c:v>11910.134150703039</c:v>
                </c:pt>
                <c:pt idx="35">
                  <c:v>11484.579969740071</c:v>
                </c:pt>
                <c:pt idx="36">
                  <c:v>11056.543389388151</c:v>
                </c:pt>
                <c:pt idx="37">
                  <c:v>10626.009928984178</c:v>
                </c:pt>
                <c:pt idx="38">
                  <c:v>10192.965023394516</c:v>
                </c:pt>
                <c:pt idx="39">
                  <c:v>9757.3940225222468</c:v>
                </c:pt>
                <c:pt idx="40">
                  <c:v>9319.2821908115566</c:v>
                </c:pt>
                <c:pt idx="41">
                  <c:v>8878.6147067492202</c:v>
                </c:pt>
                <c:pt idx="42">
                  <c:v>8435.3766623631873</c:v>
                </c:pt>
                <c:pt idx="43">
                  <c:v>7989.5530627182352</c:v>
                </c:pt>
                <c:pt idx="44">
                  <c:v>7541.1288254086876</c:v>
                </c:pt>
                <c:pt idx="45">
                  <c:v>7090.0887800481678</c:v>
                </c:pt>
                <c:pt idx="46">
                  <c:v>6636.4176677563783</c:v>
                </c:pt>
                <c:pt idx="47">
                  <c:v>6180.1001406428868</c:v>
                </c:pt>
                <c:pt idx="48">
                  <c:v>5721.1207612878998</c:v>
                </c:pt>
                <c:pt idx="49">
                  <c:v>5259.4640022200092</c:v>
                </c:pt>
                <c:pt idx="50">
                  <c:v>4795.1142453908888</c:v>
                </c:pt>
                <c:pt idx="51">
                  <c:v>4328.0557816469318</c:v>
                </c:pt>
                <c:pt idx="52">
                  <c:v>3858.2728101978018</c:v>
                </c:pt>
                <c:pt idx="53">
                  <c:v>3385.7494380818853</c:v>
                </c:pt>
                <c:pt idx="54">
                  <c:v>2910.4696796286262</c:v>
                </c:pt>
                <c:pt idx="55">
                  <c:v>2432.4174559177227</c:v>
                </c:pt>
                <c:pt idx="56">
                  <c:v>1951.5765942351725</c:v>
                </c:pt>
                <c:pt idx="57">
                  <c:v>1467.9308275261405</c:v>
                </c:pt>
                <c:pt idx="58">
                  <c:v>981.46379384463933</c:v>
                </c:pt>
                <c:pt idx="59">
                  <c:v>492.15903579999605</c:v>
                </c:pt>
                <c:pt idx="60">
                  <c:v>0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CC-4899-B71C-08EEFE4A0D3A}"/>
            </c:ext>
          </c:extLst>
        </c:ser>
        <c:ser>
          <c:idx val="1"/>
          <c:order val="1"/>
          <c:tx>
            <c:v>With your extra payment</c:v>
          </c:tx>
          <c:spPr>
            <a:ln w="19050">
              <a:solidFill>
                <a:srgbClr val="A65F00"/>
              </a:solidFill>
              <a:prstDash val="solid"/>
            </a:ln>
          </c:spPr>
          <c:marker>
            <c:symbol val="none"/>
          </c:marker>
          <c:cat>
            <c:numRef>
              <c:f>_Engine!ch_m</c:f>
              <c:numCache>
                <c:formatCode>General</c:formatCode>
                <c:ptCount val="8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</c:numCache>
            </c:numRef>
          </c:cat>
          <c:val>
            <c:numRef>
              <c:f>_Engine!ch_extra</c:f>
              <c:numCache>
                <c:formatCode>General</c:formatCode>
                <c:ptCount val="8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CC-4899-B71C-08EEFE4A0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Months from your first payment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6"/>
        <c:tickMarkSkip val="6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DBE3EF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What you still owe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</xdr:row>
      <xdr:rowOff>0</xdr:rowOff>
    </xdr:from>
    <xdr:ext cx="6840000" cy="34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needtheseapps.com/apps/financial/car-loan-calculator/" TargetMode="External"/><Relationship Id="rId1" Type="http://schemas.openxmlformats.org/officeDocument/2006/relationships/hyperlink" Target="https://needtheseapps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needtheseapps.com/apps/financial/car-loan-calculat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0"/>
  <sheetViews>
    <sheetView showGridLines="0"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2.140625" customWidth="1"/>
    <col min="2" max="2" width="40" customWidth="1"/>
    <col min="3" max="3" width="19" customWidth="1"/>
    <col min="4" max="4" width="1.5703125" customWidth="1"/>
    <col min="5" max="5" width="23" customWidth="1"/>
    <col min="6" max="6" width="1.5703125" customWidth="1"/>
    <col min="7" max="7" width="23" customWidth="1"/>
    <col min="8" max="8" width="2.1406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" customHeight="1" x14ac:dyDescent="0.25">
      <c r="A2" s="1"/>
      <c r="B2" s="31" t="s">
        <v>0</v>
      </c>
      <c r="C2" s="17"/>
      <c r="D2" s="17"/>
      <c r="E2" s="1"/>
      <c r="F2" s="1"/>
      <c r="G2" s="1"/>
      <c r="H2" s="1"/>
    </row>
    <row r="3" spans="1:8" ht="32.1" customHeight="1" x14ac:dyDescent="0.25">
      <c r="A3" s="1"/>
      <c r="B3" s="29" t="s">
        <v>1</v>
      </c>
      <c r="C3" s="17"/>
      <c r="D3" s="17"/>
      <c r="E3" s="17"/>
      <c r="F3" s="17"/>
      <c r="G3" s="17"/>
      <c r="H3" s="1"/>
    </row>
    <row r="4" spans="1:8" ht="24" customHeight="1" x14ac:dyDescent="0.25">
      <c r="A4" s="1"/>
      <c r="B4" s="27" t="s">
        <v>2</v>
      </c>
      <c r="C4" s="17"/>
      <c r="D4" s="17"/>
      <c r="E4" s="17"/>
      <c r="F4" s="17"/>
      <c r="G4" s="17"/>
      <c r="H4" s="1"/>
    </row>
    <row r="5" spans="1:8" ht="20.100000000000001" customHeight="1" x14ac:dyDescent="0.25">
      <c r="A5" s="1"/>
      <c r="B5" s="24" t="s">
        <v>3</v>
      </c>
      <c r="C5" s="17"/>
      <c r="D5" s="17"/>
      <c r="E5" s="17"/>
      <c r="F5" s="17"/>
      <c r="G5" s="17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ht="26.1" customHeight="1" x14ac:dyDescent="0.25">
      <c r="A7" s="1"/>
      <c r="B7" s="18" t="s">
        <v>4</v>
      </c>
      <c r="C7" s="17"/>
      <c r="D7" s="17"/>
      <c r="E7" s="17"/>
      <c r="F7" s="17"/>
      <c r="G7" s="17"/>
      <c r="H7" s="1"/>
    </row>
    <row r="8" spans="1:8" ht="21.95" customHeight="1" x14ac:dyDescent="0.25">
      <c r="A8" s="1"/>
      <c r="B8" s="2" t="s">
        <v>5</v>
      </c>
      <c r="C8" s="3" t="s">
        <v>6</v>
      </c>
      <c r="D8" s="1"/>
      <c r="E8" s="1"/>
      <c r="F8" s="1"/>
      <c r="G8" s="1"/>
      <c r="H8" s="1"/>
    </row>
    <row r="9" spans="1:8" ht="24" customHeight="1" x14ac:dyDescent="0.25">
      <c r="A9" s="1"/>
      <c r="B9" s="2" t="s">
        <v>7</v>
      </c>
      <c r="C9" s="4">
        <v>30000</v>
      </c>
      <c r="D9" s="1"/>
      <c r="E9" s="16" t="s">
        <v>8</v>
      </c>
      <c r="F9" s="17"/>
      <c r="G9" s="17"/>
      <c r="H9" s="1"/>
    </row>
    <row r="10" spans="1:8" ht="33.950000000000003" customHeight="1" x14ac:dyDescent="0.25">
      <c r="A10" s="1"/>
      <c r="B10" s="2" t="s">
        <v>9</v>
      </c>
      <c r="C10" s="4">
        <v>5000</v>
      </c>
      <c r="D10" s="1"/>
      <c r="E10" s="16" t="s">
        <v>10</v>
      </c>
      <c r="F10" s="17"/>
      <c r="G10" s="17"/>
      <c r="H10" s="1"/>
    </row>
    <row r="11" spans="1:8" ht="21.95" customHeight="1" x14ac:dyDescent="0.25">
      <c r="A11" s="1"/>
      <c r="B11" s="2" t="s">
        <v>11</v>
      </c>
      <c r="C11" s="5" t="s">
        <v>12</v>
      </c>
      <c r="D11" s="1"/>
      <c r="E11" s="16" t="s">
        <v>13</v>
      </c>
      <c r="F11" s="17"/>
      <c r="G11" s="17"/>
      <c r="H11" s="1"/>
    </row>
    <row r="12" spans="1:8" ht="33.950000000000003" customHeight="1" x14ac:dyDescent="0.25">
      <c r="A12" s="1"/>
      <c r="B12" s="2" t="s">
        <v>14</v>
      </c>
      <c r="C12" s="4">
        <v>0</v>
      </c>
      <c r="D12" s="1"/>
      <c r="E12" s="16" t="s">
        <v>15</v>
      </c>
      <c r="F12" s="17"/>
      <c r="G12" s="17"/>
      <c r="H12" s="1"/>
    </row>
    <row r="13" spans="1:8" ht="33.950000000000003" customHeight="1" x14ac:dyDescent="0.25">
      <c r="A13" s="1"/>
      <c r="B13" s="2" t="s">
        <v>16</v>
      </c>
      <c r="C13" s="4">
        <v>0</v>
      </c>
      <c r="D13" s="1"/>
      <c r="E13" s="16" t="s">
        <v>17</v>
      </c>
      <c r="F13" s="17"/>
      <c r="G13" s="17"/>
      <c r="H13" s="1"/>
    </row>
    <row r="14" spans="1:8" ht="24" customHeight="1" x14ac:dyDescent="0.25">
      <c r="A14" s="1"/>
      <c r="B14" s="2" t="s">
        <v>18</v>
      </c>
      <c r="C14" s="4">
        <v>0</v>
      </c>
      <c r="D14" s="1"/>
      <c r="E14" s="16" t="s">
        <v>19</v>
      </c>
      <c r="F14" s="17"/>
      <c r="G14" s="17"/>
      <c r="H14" s="1"/>
    </row>
    <row r="15" spans="1:8" ht="24" customHeight="1" x14ac:dyDescent="0.25">
      <c r="A15" s="1"/>
      <c r="B15" s="2" t="s">
        <v>20</v>
      </c>
      <c r="C15" s="4">
        <v>0</v>
      </c>
      <c r="D15" s="1"/>
      <c r="E15" s="16" t="s">
        <v>21</v>
      </c>
      <c r="F15" s="17"/>
      <c r="G15" s="17"/>
      <c r="H15" s="1"/>
    </row>
    <row r="16" spans="1:8" ht="21.95" customHeight="1" x14ac:dyDescent="0.25">
      <c r="A16" s="1"/>
      <c r="B16" s="2" t="s">
        <v>22</v>
      </c>
      <c r="C16" s="5" t="s">
        <v>23</v>
      </c>
      <c r="D16" s="1"/>
      <c r="E16" s="16" t="s">
        <v>24</v>
      </c>
      <c r="F16" s="17"/>
      <c r="G16" s="17"/>
      <c r="H16" s="1"/>
    </row>
    <row r="17" spans="1:8" ht="24" customHeight="1" x14ac:dyDescent="0.25">
      <c r="A17" s="1"/>
      <c r="B17" s="2" t="s">
        <v>25</v>
      </c>
      <c r="C17" s="6">
        <v>7</v>
      </c>
      <c r="D17" s="1"/>
      <c r="E17" s="16" t="s">
        <v>26</v>
      </c>
      <c r="F17" s="17"/>
      <c r="G17" s="17"/>
      <c r="H17" s="1"/>
    </row>
    <row r="18" spans="1:8" ht="21.95" customHeight="1" x14ac:dyDescent="0.25">
      <c r="A18" s="1"/>
      <c r="B18" s="2" t="s">
        <v>27</v>
      </c>
      <c r="C18" s="5">
        <v>60</v>
      </c>
      <c r="D18" s="1"/>
      <c r="E18" s="16" t="s">
        <v>28</v>
      </c>
      <c r="F18" s="17"/>
      <c r="G18" s="17"/>
      <c r="H18" s="1"/>
    </row>
    <row r="19" spans="1:8" ht="24" customHeight="1" x14ac:dyDescent="0.25">
      <c r="A19" s="1"/>
      <c r="B19" s="2" t="s">
        <v>29</v>
      </c>
      <c r="C19" s="4">
        <v>0</v>
      </c>
      <c r="D19" s="1"/>
      <c r="E19" s="16" t="s">
        <v>30</v>
      </c>
      <c r="F19" s="17"/>
      <c r="G19" s="17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ht="21" customHeight="1" x14ac:dyDescent="0.25">
      <c r="A21" s="1"/>
      <c r="B21" s="30" t="str">
        <f>"Edit the twelve blue cells. Everything else calculates automatically. Amounts are shown in "&amp;$C$8&amp;"."</f>
        <v>Edit the twelve blue cells. Everything else calculates automatically. Amounts are shown in $.</v>
      </c>
      <c r="C21" s="17"/>
      <c r="D21" s="17"/>
      <c r="E21" s="17"/>
      <c r="F21" s="17"/>
      <c r="G21" s="17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ht="26.1" customHeight="1" x14ac:dyDescent="0.25">
      <c r="A23" s="1"/>
      <c r="B23" s="18" t="s">
        <v>31</v>
      </c>
      <c r="C23" s="17"/>
      <c r="D23" s="17"/>
      <c r="E23" s="17"/>
      <c r="F23" s="17"/>
      <c r="G23" s="17"/>
      <c r="H23" s="1"/>
    </row>
    <row r="24" spans="1:8" ht="33.950000000000003" customHeight="1" x14ac:dyDescent="0.25">
      <c r="A24" s="1"/>
      <c r="B24" s="23" t="str">
        <f>IF(_Engine!$B$9=1,"No loan needed","Pay "&amp;$C$8&amp;TEXT(_Engine!$B$12,"#,##0")&amp;" a month")</f>
        <v>Pay $495 a month</v>
      </c>
      <c r="C24" s="17"/>
      <c r="D24" s="17"/>
      <c r="E24" s="17"/>
      <c r="F24" s="17"/>
      <c r="G24" s="17"/>
      <c r="H24" s="1"/>
    </row>
    <row r="25" spans="1:8" ht="24" customHeight="1" x14ac:dyDescent="0.25">
      <c r="A25" s="1"/>
      <c r="B25" s="28" t="str">
        <f>IF(_Engine!$B$9=1,IF(_Engine!$B$2&gt;0,"Your down payment and trade-in cover the price.","Your down payment covers the price."),TEXT(_Engine!$B$11,"0")&amp;" payments ("&amp;TEXT(_Engine!$B$11/12,"0")&amp;IF(_Engine!$B$11/12=1," year"," years")&amp;").")</f>
        <v>60 payments (5 years).</v>
      </c>
      <c r="C25" s="17"/>
      <c r="D25" s="17"/>
      <c r="E25" s="17"/>
      <c r="F25" s="17"/>
      <c r="G25" s="17"/>
      <c r="H25" s="1"/>
    </row>
    <row r="26" spans="1:8" ht="21.95" customHeight="1" x14ac:dyDescent="0.25">
      <c r="A26" s="1"/>
      <c r="B26" s="2" t="str">
        <f>IF(_Engine!$B$9=1,"","The loan")</f>
        <v>The loan</v>
      </c>
      <c r="C26" s="7" t="str">
        <f>IF(_Engine!$B$9=1,"",$C$8&amp;TEXT(_Engine!$B$8,"#,##0"))</f>
        <v>$25,000</v>
      </c>
      <c r="D26" s="1"/>
      <c r="E26" s="1"/>
      <c r="F26" s="1"/>
      <c r="G26" s="1"/>
      <c r="H26" s="1"/>
    </row>
    <row r="27" spans="1:8" ht="21.95" customHeight="1" x14ac:dyDescent="0.25">
      <c r="A27" s="1"/>
      <c r="B27" s="2" t="str">
        <f>IF(_Engine!$B$9=1,"","Interest you pay")</f>
        <v>Interest you pay</v>
      </c>
      <c r="C27" s="7" t="str">
        <f>IF(_Engine!$B$9=1,"",$C$8&amp;TEXT(_Engine!$B$15,"#,##0"))</f>
        <v>$4,702</v>
      </c>
      <c r="D27" s="1"/>
      <c r="E27" s="1"/>
      <c r="F27" s="1"/>
      <c r="G27" s="1"/>
      <c r="H27" s="1"/>
    </row>
    <row r="28" spans="1:8" ht="21.95" customHeight="1" x14ac:dyDescent="0.25">
      <c r="A28" s="1"/>
      <c r="B28" s="2" t="str">
        <f>IF(_Engine!$B$9=1,"","Total cost of the car")</f>
        <v>Total cost of the car</v>
      </c>
      <c r="C28" s="7" t="str">
        <f>IF(_Engine!$B$9=1,"",$C$8&amp;TEXT(_Engine!$B$17,"#,##0"))</f>
        <v>$34,702</v>
      </c>
      <c r="D28" s="1"/>
      <c r="E28" s="1"/>
      <c r="F28" s="1"/>
      <c r="G28" s="1"/>
      <c r="H28" s="1"/>
    </row>
    <row r="29" spans="1:8" ht="21.95" customHeight="1" x14ac:dyDescent="0.25">
      <c r="A29" s="1"/>
      <c r="B29" s="2" t="str">
        <f>IF(_Engine!$B$9=1,"","Cash on the day")</f>
        <v>Cash on the day</v>
      </c>
      <c r="C29" s="7" t="str">
        <f>IF(_Engine!$B$9=1,"",$C$8&amp;TEXT(_Engine!$B$14,"#,##0"))</f>
        <v>$5,000</v>
      </c>
      <c r="D29" s="1"/>
      <c r="E29" s="1"/>
      <c r="F29" s="1"/>
      <c r="G29" s="1"/>
      <c r="H29" s="1"/>
    </row>
    <row r="30" spans="1:8" ht="21.95" customHeight="1" x14ac:dyDescent="0.25">
      <c r="A30" s="1"/>
      <c r="B30" s="2" t="str">
        <f>IF(OR(_Engine!$B$9=1,_Engine!$B$7&lt;=0),"","Total loan payments")</f>
        <v/>
      </c>
      <c r="C30" s="8" t="str">
        <f>IF(OR(_Engine!$B$9=1,_Engine!$B$7&lt;=0),"",$C$8&amp;TEXT(_Engine!$B$16,"#,##0"))</f>
        <v/>
      </c>
      <c r="D30" s="1"/>
      <c r="E30" s="1"/>
      <c r="F30" s="1"/>
      <c r="G30" s="1"/>
      <c r="H30" s="1"/>
    </row>
    <row r="31" spans="1:8" ht="21.95" customHeight="1" x14ac:dyDescent="0.25">
      <c r="A31" s="1"/>
      <c r="B31" s="2" t="str">
        <f>IF(OR(_Engine!$B$9=1,_Engine!$B$7&lt;=0),"","Old debt included")</f>
        <v/>
      </c>
      <c r="C31" s="8" t="str">
        <f>IF(OR(_Engine!$B$9=1,_Engine!$B$7&lt;=0),"",$C$8&amp;TEXT(_Engine!$B$13,"#,##0"))</f>
        <v/>
      </c>
      <c r="D31" s="1"/>
      <c r="E31" s="1"/>
      <c r="F31" s="1"/>
      <c r="G31" s="1"/>
      <c r="H31" s="1"/>
    </row>
    <row r="32" spans="1:8" ht="20.100000000000001" customHeight="1" x14ac:dyDescent="0.25">
      <c r="A32" s="1"/>
      <c r="B32" s="26" t="str">
        <f>IF(_Engine!$B$9=1,"","At "&amp;TEXT(Calculator!$C$17,"0.0#")&amp;"% a year for "&amp;TEXT(_Engine!$B$11,"0")&amp;" months.")</f>
        <v>At 7.0% a year for 60 months.</v>
      </c>
      <c r="C32" s="17"/>
      <c r="D32" s="17"/>
      <c r="E32" s="17"/>
      <c r="F32" s="17"/>
      <c r="G32" s="17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ht="26.1" customHeight="1" x14ac:dyDescent="0.25">
      <c r="A34" s="1"/>
      <c r="B34" s="18" t="s">
        <v>32</v>
      </c>
      <c r="C34" s="17"/>
      <c r="D34" s="17"/>
      <c r="E34" s="17"/>
      <c r="F34" s="17"/>
      <c r="G34" s="17"/>
      <c r="H34" s="1"/>
    </row>
    <row r="35" spans="1:8" ht="24" customHeight="1" x14ac:dyDescent="0.25">
      <c r="A35" s="1"/>
      <c r="B35" s="2" t="s">
        <v>33</v>
      </c>
      <c r="C35" s="4">
        <v>500</v>
      </c>
      <c r="D35" s="1"/>
      <c r="E35" s="16" t="s">
        <v>34</v>
      </c>
      <c r="F35" s="17"/>
      <c r="G35" s="17"/>
      <c r="H35" s="1"/>
    </row>
    <row r="36" spans="1:8" ht="33.950000000000003" customHeight="1" x14ac:dyDescent="0.25">
      <c r="A36" s="1"/>
      <c r="B36" s="25" t="str">
        <f>IF(_Engine!$B$20=1,"Nothing left for the car","A car price of about "&amp;$C$8&amp;TEXT(_Engine!$B$21,"#,##0"))</f>
        <v>A car price of about $30,250</v>
      </c>
      <c r="C36" s="17"/>
      <c r="D36" s="17"/>
      <c r="E36" s="17"/>
      <c r="F36" s="17"/>
      <c r="G36" s="17"/>
      <c r="H36" s="1"/>
    </row>
    <row r="37" spans="1:8" ht="20.100000000000001" customHeight="1" x14ac:dyDescent="0.25">
      <c r="A37" s="1"/>
      <c r="B37" s="22" t="str">
        <f>"At "&amp;TEXT(Calculator!$C$17,"0.0#")&amp;"% a year for "&amp;TEXT(_Engine!$B$11,"0")&amp;" months."</f>
        <v>At 7.0% a year for 60 months.</v>
      </c>
      <c r="C37" s="17"/>
      <c r="D37" s="17"/>
      <c r="E37" s="17"/>
      <c r="F37" s="17"/>
      <c r="G37" s="17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ht="24" customHeight="1" x14ac:dyDescent="0.25">
      <c r="A39" s="1"/>
      <c r="B39" s="19" t="s">
        <v>35</v>
      </c>
      <c r="C39" s="20"/>
      <c r="D39" s="20"/>
      <c r="E39" s="20"/>
      <c r="F39" s="20"/>
      <c r="G39" s="20"/>
      <c r="H39" s="1"/>
    </row>
    <row r="40" spans="1:8" ht="24" customHeight="1" x14ac:dyDescent="0.25">
      <c r="A40" s="1"/>
      <c r="B40" s="21"/>
      <c r="C40" s="17"/>
      <c r="D40" s="17"/>
      <c r="E40" s="17"/>
      <c r="F40" s="17"/>
      <c r="G40" s="17"/>
      <c r="H40" s="1"/>
    </row>
    <row r="41" spans="1:8" ht="24" customHeight="1" x14ac:dyDescent="0.25">
      <c r="A41" s="1"/>
      <c r="B41" s="21"/>
      <c r="C41" s="17"/>
      <c r="D41" s="17"/>
      <c r="E41" s="17"/>
      <c r="F41" s="17"/>
      <c r="G41" s="17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  <row r="56" spans="1:8" x14ac:dyDescent="0.25">
      <c r="A56" s="1"/>
      <c r="B56" s="1"/>
      <c r="C56" s="1"/>
      <c r="D56" s="1"/>
      <c r="E56" s="1"/>
      <c r="F56" s="1"/>
      <c r="G56" s="1"/>
      <c r="H56" s="1"/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x14ac:dyDescent="0.25">
      <c r="A58" s="1"/>
      <c r="B58" s="1"/>
      <c r="C58" s="1"/>
      <c r="D58" s="1"/>
      <c r="E58" s="1"/>
      <c r="F58" s="1"/>
      <c r="G58" s="1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1"/>
      <c r="B60" s="1"/>
      <c r="C60" s="1"/>
      <c r="D60" s="1"/>
      <c r="E60" s="1"/>
      <c r="F60" s="1"/>
      <c r="G60" s="1"/>
      <c r="H60" s="1"/>
    </row>
    <row r="61" spans="1:8" x14ac:dyDescent="0.25">
      <c r="A61" s="1"/>
      <c r="B61" s="1"/>
      <c r="C61" s="1"/>
      <c r="D61" s="1"/>
      <c r="E61" s="1"/>
      <c r="F61" s="1"/>
      <c r="G61" s="1"/>
      <c r="H61" s="1"/>
    </row>
    <row r="62" spans="1:8" x14ac:dyDescent="0.25">
      <c r="A62" s="1"/>
      <c r="B62" s="1"/>
      <c r="C62" s="1"/>
      <c r="D62" s="1"/>
      <c r="E62" s="1"/>
      <c r="F62" s="1"/>
      <c r="G62" s="1"/>
      <c r="H62" s="1"/>
    </row>
    <row r="63" spans="1:8" ht="24" customHeight="1" x14ac:dyDescent="0.25">
      <c r="A63" s="1"/>
      <c r="B63" s="26" t="s">
        <v>36</v>
      </c>
      <c r="C63" s="17"/>
      <c r="D63" s="17"/>
      <c r="E63" s="17"/>
      <c r="F63" s="17"/>
      <c r="G63" s="17"/>
      <c r="H63" s="1"/>
    </row>
    <row r="64" spans="1:8" x14ac:dyDescent="0.25">
      <c r="A64" s="1"/>
      <c r="B64" s="1"/>
      <c r="C64" s="1"/>
      <c r="D64" s="1"/>
      <c r="E64" s="1"/>
      <c r="F64" s="1"/>
      <c r="G64" s="1"/>
      <c r="H64" s="1"/>
    </row>
    <row r="65" spans="1:8" x14ac:dyDescent="0.25">
      <c r="A65" s="1"/>
      <c r="B65" s="1"/>
      <c r="C65" s="1"/>
      <c r="D65" s="1"/>
      <c r="E65" s="1"/>
      <c r="F65" s="1"/>
      <c r="G65" s="1"/>
      <c r="H65" s="1"/>
    </row>
    <row r="66" spans="1:8" x14ac:dyDescent="0.25">
      <c r="A66" s="1"/>
      <c r="B66" s="1"/>
      <c r="C66" s="1"/>
      <c r="D66" s="1"/>
      <c r="E66" s="1"/>
      <c r="F66" s="1"/>
      <c r="G66" s="1"/>
      <c r="H66" s="1"/>
    </row>
    <row r="67" spans="1:8" x14ac:dyDescent="0.25">
      <c r="A67" s="1"/>
      <c r="B67" s="1"/>
      <c r="C67" s="1"/>
      <c r="D67" s="1"/>
      <c r="E67" s="1"/>
      <c r="F67" s="1"/>
      <c r="G67" s="1"/>
      <c r="H67" s="1"/>
    </row>
    <row r="68" spans="1:8" x14ac:dyDescent="0.25">
      <c r="A68" s="1"/>
      <c r="B68" s="1"/>
      <c r="C68" s="1"/>
      <c r="D68" s="1"/>
      <c r="E68" s="1"/>
      <c r="F68" s="1"/>
      <c r="G68" s="1"/>
      <c r="H68" s="1"/>
    </row>
    <row r="69" spans="1:8" x14ac:dyDescent="0.25">
      <c r="A69" s="1"/>
      <c r="B69" s="1"/>
      <c r="C69" s="1"/>
      <c r="D69" s="1"/>
      <c r="E69" s="1"/>
      <c r="F69" s="1"/>
      <c r="G69" s="1"/>
      <c r="H69" s="1"/>
    </row>
    <row r="70" spans="1:8" x14ac:dyDescent="0.25">
      <c r="A70" s="1"/>
      <c r="B70" s="1"/>
      <c r="C70" s="1"/>
      <c r="D70" s="1"/>
      <c r="E70" s="1"/>
      <c r="F70" s="1"/>
      <c r="G70" s="1"/>
      <c r="H70" s="1"/>
    </row>
  </sheetData>
  <sheetProtection sheet="1" formatCells="0"/>
  <mergeCells count="27">
    <mergeCell ref="B2:D2"/>
    <mergeCell ref="B3:G3"/>
    <mergeCell ref="E14:G14"/>
    <mergeCell ref="E17:G17"/>
    <mergeCell ref="E35:G35"/>
    <mergeCell ref="B21:G21"/>
    <mergeCell ref="B5:G5"/>
    <mergeCell ref="B36:G36"/>
    <mergeCell ref="B63:G63"/>
    <mergeCell ref="B32:G32"/>
    <mergeCell ref="B4:G4"/>
    <mergeCell ref="E12:G12"/>
    <mergeCell ref="E18:G18"/>
    <mergeCell ref="B7:G7"/>
    <mergeCell ref="B25:G25"/>
    <mergeCell ref="B39:G41"/>
    <mergeCell ref="E15:G15"/>
    <mergeCell ref="B34:G34"/>
    <mergeCell ref="E11:G11"/>
    <mergeCell ref="B37:G37"/>
    <mergeCell ref="E16:G16"/>
    <mergeCell ref="B24:G24"/>
    <mergeCell ref="E10:G10"/>
    <mergeCell ref="E13:G13"/>
    <mergeCell ref="E19:G19"/>
    <mergeCell ref="B23:G23"/>
    <mergeCell ref="E9:G9"/>
  </mergeCells>
  <dataValidations count="12">
    <dataValidation type="decimal" operator="greaterThan" showErrorMessage="1" errorTitle="Car price" error="Enter the price of the car, above 0." sqref="C9" xr:uid="{00000000-0002-0000-0000-000000000000}">
      <formula1>0</formula1>
    </dataValidation>
    <dataValidation type="decimal" operator="greaterThanOrEqual" showErrorMessage="1" errorTitle="Down payment" error="Enter 0 if you're not putting anything down." sqref="C10" xr:uid="{00000000-0002-0000-0000-000001000000}">
      <formula1>0</formula1>
    </dataValidation>
    <dataValidation type="decimal" operator="greaterThanOrEqual" showErrorMessage="1" errorTitle="What it is worth" error="Enter 0 if you're not trading in a car." sqref="C12" xr:uid="{00000000-0002-0000-0000-000002000000}">
      <formula1>0</formula1>
    </dataValidation>
    <dataValidation type="decimal" operator="greaterThanOrEqual" showErrorMessage="1" errorTitle="What you still owe on it" error="Enter 0 if you're not trading in a car." sqref="C13" xr:uid="{00000000-0002-0000-0000-000003000000}">
      <formula1>0</formula1>
    </dataValidation>
    <dataValidation type="decimal" operator="greaterThanOrEqual" showErrorMessage="1" errorTitle="Sales tax" error="Enter 0 if there is none." sqref="C14" xr:uid="{00000000-0002-0000-0000-000004000000}">
      <formula1>0</formula1>
    </dataValidation>
    <dataValidation type="decimal" operator="greaterThanOrEqual" showErrorMessage="1" errorTitle="Fees and add-ons" error="Enter 0 if there are none." sqref="C15" xr:uid="{00000000-0002-0000-0000-000005000000}">
      <formula1>0</formula1>
    </dataValidation>
    <dataValidation type="decimal" showErrorMessage="1" errorTitle="Interest rate" error="Enter a yearly rate between 0% and 100%." sqref="C17" xr:uid="{00000000-0002-0000-0000-000006000000}">
      <formula1>0</formula1>
      <formula2>100</formula2>
    </dataValidation>
    <dataValidation type="decimal" operator="greaterThanOrEqual" showErrorMessage="1" errorTitle="Extra payment each month" error="Enter 0 for none." sqref="C19" xr:uid="{00000000-0002-0000-0000-000007000000}">
      <formula1>0</formula1>
    </dataValidation>
    <dataValidation type="decimal" operator="greaterThan" showErrorMessage="1" errorTitle="Monthly payment I choose" error="Enter the payment you want to keep to, above 0." sqref="C35" xr:uid="{00000000-0002-0000-0000-000008000000}">
      <formula1>0</formula1>
    </dataValidation>
    <dataValidation type="list" showErrorMessage="1" errorTitle="Trading in a car?" error="Choose Yes or No." sqref="C11" xr:uid="{00000000-0002-0000-0000-000009000000}">
      <formula1>"Yes,No"</formula1>
    </dataValidation>
    <dataValidation type="list" showErrorMessage="1" errorTitle="Add tax and fees to the loan?" error="Choose Yes or No." sqref="C16" xr:uid="{00000000-0002-0000-0000-00000A000000}">
      <formula1>"Yes,No"</formula1>
    </dataValidation>
    <dataValidation type="list" showErrorMessage="1" errorTitle="Loan length" error="Choose 36, 48, 60, 72 or 84 months." sqref="C18" xr:uid="{00000000-0002-0000-0000-00000B000000}">
      <formula1>"36,48,60,72,84"</formula1>
    </dataValidation>
  </dataValidations>
  <hyperlinks>
    <hyperlink ref="B2" r:id="rId1" xr:uid="{00000000-0004-0000-0000-000000000000}"/>
    <hyperlink ref="B5" r:id="rId2" xr:uid="{00000000-0004-0000-0000-000001000000}"/>
  </hyperlinks>
  <pageMargins left="0.75" right="0.75" top="1" bottom="1" header="0.5" footer="0.5"/>
  <pageSetup fitToHeight="0" orientation="portrait"/>
  <headerFooter>
    <oddFooter>&amp;Lneedtheseapps.com&amp;CCar Loan Calculator&amp;RPage &amp;P of &amp;N</oddFooter>
  </headerFooter>
  <rowBreaks count="1" manualBreakCount="1">
    <brk id="42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87"/>
  <sheetViews>
    <sheetView showGridLines="0" workbookViewId="0">
      <pane ySplit="3" topLeftCell="A4" activePane="bottomLeft" state="frozen"/>
      <selection pane="bottomLeft"/>
    </sheetView>
  </sheetViews>
  <sheetFormatPr defaultRowHeight="15" x14ac:dyDescent="0.25"/>
  <cols>
    <col min="1" max="1" width="9" customWidth="1"/>
    <col min="2" max="6" width="19" customWidth="1"/>
    <col min="7" max="7" width="2" customWidth="1"/>
  </cols>
  <sheetData>
    <row r="1" spans="1:6" ht="30" customHeight="1" x14ac:dyDescent="0.25">
      <c r="A1" s="33" t="s">
        <v>37</v>
      </c>
      <c r="B1" s="17"/>
      <c r="C1" s="17"/>
      <c r="D1" s="17"/>
      <c r="E1" s="17"/>
      <c r="F1" s="17"/>
    </row>
    <row r="2" spans="1:6" ht="30" customHeight="1" x14ac:dyDescent="0.25">
      <c r="A2" s="32" t="str">
        <f>"What you still owe after each payment, with and without the extra payment you entered. Nothing here needs editing. Amounts are shown in "&amp;Calculator!$C$8&amp;"."</f>
        <v>What you still owe after each payment, with and without the extra payment you entered. Nothing here needs editing. Amounts are shown in $.</v>
      </c>
      <c r="B2" s="17"/>
      <c r="C2" s="17"/>
      <c r="D2" s="17"/>
      <c r="E2" s="17"/>
      <c r="F2" s="17"/>
    </row>
    <row r="3" spans="1:6" ht="36" customHeight="1" x14ac:dyDescent="0.25">
      <c r="A3" s="9" t="s">
        <v>38</v>
      </c>
      <c r="B3" s="9" t="s">
        <v>39</v>
      </c>
      <c r="C3" s="9" t="s">
        <v>40</v>
      </c>
      <c r="D3" s="9" t="s">
        <v>41</v>
      </c>
      <c r="E3" s="9" t="s">
        <v>42</v>
      </c>
      <c r="F3" s="9" t="s">
        <v>43</v>
      </c>
    </row>
    <row r="4" spans="1:6" x14ac:dyDescent="0.25">
      <c r="A4" s="10">
        <f>IF(1&lt;=_Engine!$B$11,1,"")</f>
        <v>1</v>
      </c>
      <c r="B4" s="11">
        <f>IF($A4="","",_Engine!$E41)</f>
        <v>495.02996350873701</v>
      </c>
      <c r="C4" s="11">
        <f>IF($A4="","",_Engine!$F41)</f>
        <v>145.83333333333334</v>
      </c>
      <c r="D4" s="11">
        <f>IF($A4="","",_Engine!$E41-_Engine!$F41)</f>
        <v>349.1966301754037</v>
      </c>
      <c r="E4" s="11">
        <f>IF($A4="","",_Engine!$G41)</f>
        <v>24650.803369824596</v>
      </c>
      <c r="F4" s="11">
        <f>IF($A4="","",_Engine!$J41)</f>
        <v>24650.803369824596</v>
      </c>
    </row>
    <row r="5" spans="1:6" x14ac:dyDescent="0.25">
      <c r="A5" s="10">
        <f>IF(2&lt;=_Engine!$B$11,2,"")</f>
        <v>2</v>
      </c>
      <c r="B5" s="11">
        <f>IF($A5="","",_Engine!$E42)</f>
        <v>495.02996350873701</v>
      </c>
      <c r="C5" s="11">
        <f>IF($A5="","",_Engine!$F42)</f>
        <v>143.7963529906435</v>
      </c>
      <c r="D5" s="11">
        <f>IF($A5="","",_Engine!$E42-_Engine!$F42)</f>
        <v>351.23361051809354</v>
      </c>
      <c r="E5" s="11">
        <f>IF($A5="","",_Engine!$G42)</f>
        <v>24299.569759306502</v>
      </c>
      <c r="F5" s="11">
        <f>IF($A5="","",_Engine!$J42)</f>
        <v>24299.569759306502</v>
      </c>
    </row>
    <row r="6" spans="1:6" x14ac:dyDescent="0.25">
      <c r="A6" s="10">
        <f>IF(3&lt;=_Engine!$B$11,3,"")</f>
        <v>3</v>
      </c>
      <c r="B6" s="11">
        <f>IF($A6="","",_Engine!$E43)</f>
        <v>495.02996350873701</v>
      </c>
      <c r="C6" s="11">
        <f>IF($A6="","",_Engine!$F43)</f>
        <v>141.74749026262126</v>
      </c>
      <c r="D6" s="11">
        <f>IF($A6="","",_Engine!$E43-_Engine!$F43)</f>
        <v>353.28247324611573</v>
      </c>
      <c r="E6" s="11">
        <f>IF($A6="","",_Engine!$G43)</f>
        <v>23946.287286060386</v>
      </c>
      <c r="F6" s="11">
        <f>IF($A6="","",_Engine!$J43)</f>
        <v>23946.287286060386</v>
      </c>
    </row>
    <row r="7" spans="1:6" x14ac:dyDescent="0.25">
      <c r="A7" s="10">
        <f>IF(4&lt;=_Engine!$B$11,4,"")</f>
        <v>4</v>
      </c>
      <c r="B7" s="11">
        <f>IF($A7="","",_Engine!$E44)</f>
        <v>495.02996350873701</v>
      </c>
      <c r="C7" s="11">
        <f>IF($A7="","",_Engine!$F44)</f>
        <v>139.68667583535225</v>
      </c>
      <c r="D7" s="11">
        <f>IF($A7="","",_Engine!$E44-_Engine!$F44)</f>
        <v>355.34328767338479</v>
      </c>
      <c r="E7" s="11">
        <f>IF($A7="","",_Engine!$G44)</f>
        <v>23590.943998387</v>
      </c>
      <c r="F7" s="11">
        <f>IF($A7="","",_Engine!$J44)</f>
        <v>23590.943998387</v>
      </c>
    </row>
    <row r="8" spans="1:6" x14ac:dyDescent="0.25">
      <c r="A8" s="10">
        <f>IF(5&lt;=_Engine!$B$11,5,"")</f>
        <v>5</v>
      </c>
      <c r="B8" s="11">
        <f>IF($A8="","",_Engine!$E45)</f>
        <v>495.02996350873701</v>
      </c>
      <c r="C8" s="11">
        <f>IF($A8="","",_Engine!$F45)</f>
        <v>137.61383999059083</v>
      </c>
      <c r="D8" s="11">
        <f>IF($A8="","",_Engine!$E45-_Engine!$F45)</f>
        <v>357.41612351814615</v>
      </c>
      <c r="E8" s="11">
        <f>IF($A8="","",_Engine!$G45)</f>
        <v>23233.527874868854</v>
      </c>
      <c r="F8" s="11">
        <f>IF($A8="","",_Engine!$J45)</f>
        <v>23233.527874868854</v>
      </c>
    </row>
    <row r="9" spans="1:6" x14ac:dyDescent="0.25">
      <c r="A9" s="10">
        <f>IF(6&lt;=_Engine!$B$11,6,"")</f>
        <v>6</v>
      </c>
      <c r="B9" s="11">
        <f>IF($A9="","",_Engine!$E46)</f>
        <v>495.02996350873701</v>
      </c>
      <c r="C9" s="11">
        <f>IF($A9="","",_Engine!$F46)</f>
        <v>135.52891260340166</v>
      </c>
      <c r="D9" s="11">
        <f>IF($A9="","",_Engine!$E46-_Engine!$F46)</f>
        <v>359.50105090533532</v>
      </c>
      <c r="E9" s="11">
        <f>IF($A9="","",_Engine!$G46)</f>
        <v>22874.026823963519</v>
      </c>
      <c r="F9" s="11">
        <f>IF($A9="","",_Engine!$J46)</f>
        <v>22874.026823963519</v>
      </c>
    </row>
    <row r="10" spans="1:6" x14ac:dyDescent="0.25">
      <c r="A10" s="10">
        <f>IF(7&lt;=_Engine!$B$11,7,"")</f>
        <v>7</v>
      </c>
      <c r="B10" s="11">
        <f>IF($A10="","",_Engine!$E47)</f>
        <v>495.02996350873701</v>
      </c>
      <c r="C10" s="11">
        <f>IF($A10="","",_Engine!$F47)</f>
        <v>133.43182313978721</v>
      </c>
      <c r="D10" s="11">
        <f>IF($A10="","",_Engine!$E47-_Engine!$F47)</f>
        <v>361.59814036894977</v>
      </c>
      <c r="E10" s="11">
        <f>IF($A10="","",_Engine!$G47)</f>
        <v>22512.428683594568</v>
      </c>
      <c r="F10" s="11">
        <f>IF($A10="","",_Engine!$J47)</f>
        <v>22512.428683594568</v>
      </c>
    </row>
    <row r="11" spans="1:6" x14ac:dyDescent="0.25">
      <c r="A11" s="10">
        <f>IF(8&lt;=_Engine!$B$11,8,"")</f>
        <v>8</v>
      </c>
      <c r="B11" s="11">
        <f>IF($A11="","",_Engine!$E48)</f>
        <v>495.02996350873701</v>
      </c>
      <c r="C11" s="11">
        <f>IF($A11="","",_Engine!$F48)</f>
        <v>131.32250065430165</v>
      </c>
      <c r="D11" s="11">
        <f>IF($A11="","",_Engine!$E48-_Engine!$F48)</f>
        <v>363.70746285443533</v>
      </c>
      <c r="E11" s="11">
        <f>IF($A11="","",_Engine!$G48)</f>
        <v>22148.721220740132</v>
      </c>
      <c r="F11" s="11">
        <f>IF($A11="","",_Engine!$J48)</f>
        <v>22148.721220740132</v>
      </c>
    </row>
    <row r="12" spans="1:6" x14ac:dyDescent="0.25">
      <c r="A12" s="10">
        <f>IF(9&lt;=_Engine!$B$11,9,"")</f>
        <v>9</v>
      </c>
      <c r="B12" s="11">
        <f>IF($A12="","",_Engine!$E49)</f>
        <v>495.02996350873701</v>
      </c>
      <c r="C12" s="11">
        <f>IF($A12="","",_Engine!$F49)</f>
        <v>129.20087378765078</v>
      </c>
      <c r="D12" s="11">
        <f>IF($A12="","",_Engine!$E49-_Engine!$F49)</f>
        <v>365.82908972108623</v>
      </c>
      <c r="E12" s="11">
        <f>IF($A12="","",_Engine!$G49)</f>
        <v>21782.892131019045</v>
      </c>
      <c r="F12" s="11">
        <f>IF($A12="","",_Engine!$J49)</f>
        <v>21782.892131019045</v>
      </c>
    </row>
    <row r="13" spans="1:6" x14ac:dyDescent="0.25">
      <c r="A13" s="10">
        <f>IF(10&lt;=_Engine!$B$11,10,"")</f>
        <v>10</v>
      </c>
      <c r="B13" s="11">
        <f>IF($A13="","",_Engine!$E50)</f>
        <v>495.02996350873701</v>
      </c>
      <c r="C13" s="11">
        <f>IF($A13="","",_Engine!$F50)</f>
        <v>127.06687076427777</v>
      </c>
      <c r="D13" s="11">
        <f>IF($A13="","",_Engine!$E50-_Engine!$F50)</f>
        <v>367.96309274445923</v>
      </c>
      <c r="E13" s="11">
        <f>IF($A13="","",_Engine!$G50)</f>
        <v>21414.929038274586</v>
      </c>
      <c r="F13" s="11">
        <f>IF($A13="","",_Engine!$J50)</f>
        <v>21414.929038274586</v>
      </c>
    </row>
    <row r="14" spans="1:6" x14ac:dyDescent="0.25">
      <c r="A14" s="10">
        <f>IF(11&lt;=_Engine!$B$11,11,"")</f>
        <v>11</v>
      </c>
      <c r="B14" s="11">
        <f>IF($A14="","",_Engine!$E51)</f>
        <v>495.02996350873701</v>
      </c>
      <c r="C14" s="11">
        <f>IF($A14="","",_Engine!$F51)</f>
        <v>124.92041938993509</v>
      </c>
      <c r="D14" s="11">
        <f>IF($A14="","",_Engine!$E51-_Engine!$F51)</f>
        <v>370.10954411880192</v>
      </c>
      <c r="E14" s="11">
        <f>IF($A14="","",_Engine!$G51)</f>
        <v>21044.819494155785</v>
      </c>
      <c r="F14" s="11">
        <f>IF($A14="","",_Engine!$J51)</f>
        <v>21044.819494155785</v>
      </c>
    </row>
    <row r="15" spans="1:6" x14ac:dyDescent="0.25">
      <c r="A15" s="10">
        <f>IF(12&lt;=_Engine!$B$11,12,"")</f>
        <v>12</v>
      </c>
      <c r="B15" s="11">
        <f>IF($A15="","",_Engine!$E52)</f>
        <v>495.02996350873701</v>
      </c>
      <c r="C15" s="11">
        <f>IF($A15="","",_Engine!$F52)</f>
        <v>122.76144704924208</v>
      </c>
      <c r="D15" s="11">
        <f>IF($A15="","",_Engine!$E52-_Engine!$F52)</f>
        <v>372.26851645949495</v>
      </c>
      <c r="E15" s="11">
        <f>IF($A15="","",_Engine!$G52)</f>
        <v>20672.55097769629</v>
      </c>
      <c r="F15" s="11">
        <f>IF($A15="","",_Engine!$J52)</f>
        <v>20672.55097769629</v>
      </c>
    </row>
    <row r="16" spans="1:6" x14ac:dyDescent="0.25">
      <c r="A16" s="10">
        <f>IF(13&lt;=_Engine!$B$11,13,"")</f>
        <v>13</v>
      </c>
      <c r="B16" s="11">
        <f>IF($A16="","",_Engine!$E53)</f>
        <v>495.02996350873701</v>
      </c>
      <c r="C16" s="11">
        <f>IF($A16="","",_Engine!$F53)</f>
        <v>120.58988070322836</v>
      </c>
      <c r="D16" s="11">
        <f>IF($A16="","",_Engine!$E53-_Engine!$F53)</f>
        <v>374.44008280550867</v>
      </c>
      <c r="E16" s="11">
        <f>IF($A16="","",_Engine!$G53)</f>
        <v>20298.110894890782</v>
      </c>
      <c r="F16" s="11">
        <f>IF($A16="","",_Engine!$J53)</f>
        <v>20298.110894890782</v>
      </c>
    </row>
    <row r="17" spans="1:6" x14ac:dyDescent="0.25">
      <c r="A17" s="10">
        <f>IF(14&lt;=_Engine!$B$11,14,"")</f>
        <v>14</v>
      </c>
      <c r="B17" s="11">
        <f>IF($A17="","",_Engine!$E54)</f>
        <v>495.02996350873701</v>
      </c>
      <c r="C17" s="11">
        <f>IF($A17="","",_Engine!$F54)</f>
        <v>118.4056468868629</v>
      </c>
      <c r="D17" s="11">
        <f>IF($A17="","",_Engine!$E54-_Engine!$F54)</f>
        <v>376.62431662187413</v>
      </c>
      <c r="E17" s="11">
        <f>IF($A17="","",_Engine!$G54)</f>
        <v>19921.486578268908</v>
      </c>
      <c r="F17" s="11">
        <f>IF($A17="","",_Engine!$J54)</f>
        <v>19921.486578268908</v>
      </c>
    </row>
    <row r="18" spans="1:6" x14ac:dyDescent="0.25">
      <c r="A18" s="10">
        <f>IF(15&lt;=_Engine!$B$11,15,"")</f>
        <v>15</v>
      </c>
      <c r="B18" s="11">
        <f>IF($A18="","",_Engine!$E55)</f>
        <v>495.02996350873701</v>
      </c>
      <c r="C18" s="11">
        <f>IF($A18="","",_Engine!$F55)</f>
        <v>116.20867170656864</v>
      </c>
      <c r="D18" s="11">
        <f>IF($A18="","",_Engine!$E55-_Engine!$F55)</f>
        <v>378.82129180216839</v>
      </c>
      <c r="E18" s="11">
        <f>IF($A18="","",_Engine!$G55)</f>
        <v>19542.665286466741</v>
      </c>
      <c r="F18" s="11">
        <f>IF($A18="","",_Engine!$J55)</f>
        <v>19542.665286466741</v>
      </c>
    </row>
    <row r="19" spans="1:6" x14ac:dyDescent="0.25">
      <c r="A19" s="10">
        <f>IF(16&lt;=_Engine!$B$11,16,"")</f>
        <v>16</v>
      </c>
      <c r="B19" s="11">
        <f>IF($A19="","",_Engine!$E56)</f>
        <v>495.02996350873701</v>
      </c>
      <c r="C19" s="11">
        <f>IF($A19="","",_Engine!$F56)</f>
        <v>113.99888083772267</v>
      </c>
      <c r="D19" s="11">
        <f>IF($A19="","",_Engine!$E56-_Engine!$F56)</f>
        <v>381.03108267101436</v>
      </c>
      <c r="E19" s="11">
        <f>IF($A19="","",_Engine!$G56)</f>
        <v>19161.634203795726</v>
      </c>
      <c r="F19" s="11">
        <f>IF($A19="","",_Engine!$J56)</f>
        <v>19161.634203795726</v>
      </c>
    </row>
    <row r="20" spans="1:6" x14ac:dyDescent="0.25">
      <c r="A20" s="10">
        <f>IF(17&lt;=_Engine!$B$11,17,"")</f>
        <v>17</v>
      </c>
      <c r="B20" s="11">
        <f>IF($A20="","",_Engine!$E57)</f>
        <v>495.02996350873701</v>
      </c>
      <c r="C20" s="11">
        <f>IF($A20="","",_Engine!$F57)</f>
        <v>111.77619952214174</v>
      </c>
      <c r="D20" s="11">
        <f>IF($A20="","",_Engine!$E57-_Engine!$F57)</f>
        <v>383.25376398659529</v>
      </c>
      <c r="E20" s="11">
        <f>IF($A20="","",_Engine!$G57)</f>
        <v>18778.380439809131</v>
      </c>
      <c r="F20" s="11">
        <f>IF($A20="","",_Engine!$J57)</f>
        <v>18778.380439809131</v>
      </c>
    </row>
    <row r="21" spans="1:6" x14ac:dyDescent="0.25">
      <c r="A21" s="10">
        <f>IF(18&lt;=_Engine!$B$11,18,"")</f>
        <v>18</v>
      </c>
      <c r="B21" s="11">
        <f>IF($A21="","",_Engine!$E58)</f>
        <v>495.02996350873701</v>
      </c>
      <c r="C21" s="11">
        <f>IF($A21="","",_Engine!$F58)</f>
        <v>109.54055256555327</v>
      </c>
      <c r="D21" s="11">
        <f>IF($A21="","",_Engine!$E58-_Engine!$F58)</f>
        <v>385.48941094318377</v>
      </c>
      <c r="E21" s="11">
        <f>IF($A21="","",_Engine!$G58)</f>
        <v>18392.891028865946</v>
      </c>
      <c r="F21" s="11">
        <f>IF($A21="","",_Engine!$J58)</f>
        <v>18392.891028865946</v>
      </c>
    </row>
    <row r="22" spans="1:6" x14ac:dyDescent="0.25">
      <c r="A22" s="10">
        <f>IF(19&lt;=_Engine!$B$11,19,"")</f>
        <v>19</v>
      </c>
      <c r="B22" s="11">
        <f>IF($A22="","",_Engine!$E59)</f>
        <v>495.02996350873701</v>
      </c>
      <c r="C22" s="11">
        <f>IF($A22="","",_Engine!$F59)</f>
        <v>107.29186433505136</v>
      </c>
      <c r="D22" s="11">
        <f>IF($A22="","",_Engine!$E59-_Engine!$F59)</f>
        <v>387.73809917368567</v>
      </c>
      <c r="E22" s="11">
        <f>IF($A22="","",_Engine!$G59)</f>
        <v>18005.15292969226</v>
      </c>
      <c r="F22" s="11">
        <f>IF($A22="","",_Engine!$J59)</f>
        <v>18005.15292969226</v>
      </c>
    </row>
    <row r="23" spans="1:6" x14ac:dyDescent="0.25">
      <c r="A23" s="10">
        <f>IF(20&lt;=_Engine!$B$11,20,"")</f>
        <v>20</v>
      </c>
      <c r="B23" s="11">
        <f>IF($A23="","",_Engine!$E60)</f>
        <v>495.02996350873701</v>
      </c>
      <c r="C23" s="11">
        <f>IF($A23="","",_Engine!$F60)</f>
        <v>105.03005875653818</v>
      </c>
      <c r="D23" s="11">
        <f>IF($A23="","",_Engine!$E60-_Engine!$F60)</f>
        <v>389.99990475219886</v>
      </c>
      <c r="E23" s="11">
        <f>IF($A23="","",_Engine!$G60)</f>
        <v>17615.15302494006</v>
      </c>
      <c r="F23" s="11">
        <f>IF($A23="","",_Engine!$J60)</f>
        <v>17615.15302494006</v>
      </c>
    </row>
    <row r="24" spans="1:6" x14ac:dyDescent="0.25">
      <c r="A24" s="10">
        <f>IF(21&lt;=_Engine!$B$11,21,"")</f>
        <v>21</v>
      </c>
      <c r="B24" s="11">
        <f>IF($A24="","",_Engine!$E61)</f>
        <v>495.02996350873701</v>
      </c>
      <c r="C24" s="11">
        <f>IF($A24="","",_Engine!$F61)</f>
        <v>102.75505931215035</v>
      </c>
      <c r="D24" s="11">
        <f>IF($A24="","",_Engine!$E61-_Engine!$F61)</f>
        <v>392.27490419658665</v>
      </c>
      <c r="E24" s="11">
        <f>IF($A24="","",_Engine!$G61)</f>
        <v>17222.878120743473</v>
      </c>
      <c r="F24" s="11">
        <f>IF($A24="","",_Engine!$J61)</f>
        <v>17222.878120743473</v>
      </c>
    </row>
    <row r="25" spans="1:6" x14ac:dyDescent="0.25">
      <c r="A25" s="10">
        <f>IF(22&lt;=_Engine!$B$11,22,"")</f>
        <v>22</v>
      </c>
      <c r="B25" s="11">
        <f>IF($A25="","",_Engine!$E62)</f>
        <v>495.02996350873701</v>
      </c>
      <c r="C25" s="11">
        <f>IF($A25="","",_Engine!$F62)</f>
        <v>100.46678903767027</v>
      </c>
      <c r="D25" s="11">
        <f>IF($A25="","",_Engine!$E62-_Engine!$F62)</f>
        <v>394.56317447106676</v>
      </c>
      <c r="E25" s="11">
        <f>IF($A25="","",_Engine!$G62)</f>
        <v>16828.314946272407</v>
      </c>
      <c r="F25" s="11">
        <f>IF($A25="","",_Engine!$J62)</f>
        <v>16828.314946272407</v>
      </c>
    </row>
    <row r="26" spans="1:6" x14ac:dyDescent="0.25">
      <c r="A26" s="10">
        <f>IF(23&lt;=_Engine!$B$11,23,"")</f>
        <v>23</v>
      </c>
      <c r="B26" s="11">
        <f>IF($A26="","",_Engine!$E63)</f>
        <v>495.02996350873701</v>
      </c>
      <c r="C26" s="11">
        <f>IF($A26="","",_Engine!$F63)</f>
        <v>98.165170519922384</v>
      </c>
      <c r="D26" s="11">
        <f>IF($A26="","",_Engine!$E63-_Engine!$F63)</f>
        <v>396.86479298881466</v>
      </c>
      <c r="E26" s="11">
        <f>IF($A26="","",_Engine!$G63)</f>
        <v>16431.450153283593</v>
      </c>
      <c r="F26" s="11">
        <f>IF($A26="","",_Engine!$J63)</f>
        <v>16431.450153283593</v>
      </c>
    </row>
    <row r="27" spans="1:6" x14ac:dyDescent="0.25">
      <c r="A27" s="10">
        <f>IF(24&lt;=_Engine!$B$11,24,"")</f>
        <v>24</v>
      </c>
      <c r="B27" s="11">
        <f>IF($A27="","",_Engine!$E64)</f>
        <v>495.02996350873701</v>
      </c>
      <c r="C27" s="11">
        <f>IF($A27="","",_Engine!$F64)</f>
        <v>95.850125894154303</v>
      </c>
      <c r="D27" s="11">
        <f>IF($A27="","",_Engine!$E64-_Engine!$F64)</f>
        <v>399.17983761458271</v>
      </c>
      <c r="E27" s="11">
        <f>IF($A27="","",_Engine!$G64)</f>
        <v>16032.27031566901</v>
      </c>
      <c r="F27" s="11">
        <f>IF($A27="","",_Engine!$J64)</f>
        <v>16032.27031566901</v>
      </c>
    </row>
    <row r="28" spans="1:6" x14ac:dyDescent="0.25">
      <c r="A28" s="10">
        <f>IF(25&lt;=_Engine!$B$11,25,"")</f>
        <v>25</v>
      </c>
      <c r="B28" s="11">
        <f>IF($A28="","",_Engine!$E65)</f>
        <v>495.02996350873701</v>
      </c>
      <c r="C28" s="11">
        <f>IF($A28="","",_Engine!$F65)</f>
        <v>93.521576841402563</v>
      </c>
      <c r="D28" s="11">
        <f>IF($A28="","",_Engine!$E65-_Engine!$F65)</f>
        <v>401.50838666733443</v>
      </c>
      <c r="E28" s="11">
        <f>IF($A28="","",_Engine!$G65)</f>
        <v>15630.761929001676</v>
      </c>
      <c r="F28" s="11">
        <f>IF($A28="","",_Engine!$J65)</f>
        <v>15630.761929001676</v>
      </c>
    </row>
    <row r="29" spans="1:6" x14ac:dyDescent="0.25">
      <c r="A29" s="10">
        <f>IF(26&lt;=_Engine!$B$11,26,"")</f>
        <v>26</v>
      </c>
      <c r="B29" s="11">
        <f>IF($A29="","",_Engine!$E66)</f>
        <v>495.02996350873701</v>
      </c>
      <c r="C29" s="11">
        <f>IF($A29="","",_Engine!$F66)</f>
        <v>91.179444585843115</v>
      </c>
      <c r="D29" s="11">
        <f>IF($A29="","",_Engine!$E66-_Engine!$F66)</f>
        <v>403.85051892289391</v>
      </c>
      <c r="E29" s="11">
        <f>IF($A29="","",_Engine!$G66)</f>
        <v>15226.911410078781</v>
      </c>
      <c r="F29" s="11">
        <f>IF($A29="","",_Engine!$J66)</f>
        <v>15226.911410078781</v>
      </c>
    </row>
    <row r="30" spans="1:6" x14ac:dyDescent="0.25">
      <c r="A30" s="10">
        <f>IF(27&lt;=_Engine!$B$11,27,"")</f>
        <v>27</v>
      </c>
      <c r="B30" s="11">
        <f>IF($A30="","",_Engine!$E67)</f>
        <v>495.02996350873701</v>
      </c>
      <c r="C30" s="11">
        <f>IF($A30="","",_Engine!$F67)</f>
        <v>88.823649892126227</v>
      </c>
      <c r="D30" s="11">
        <f>IF($A30="","",_Engine!$E67-_Engine!$F67)</f>
        <v>406.20631361661077</v>
      </c>
      <c r="E30" s="11">
        <f>IF($A30="","",_Engine!$G67)</f>
        <v>14820.70509646217</v>
      </c>
      <c r="F30" s="11">
        <f>IF($A30="","",_Engine!$J67)</f>
        <v>14820.70509646217</v>
      </c>
    </row>
    <row r="31" spans="1:6" x14ac:dyDescent="0.25">
      <c r="A31" s="10">
        <f>IF(28&lt;=_Engine!$B$11,28,"")</f>
        <v>28</v>
      </c>
      <c r="B31" s="11">
        <f>IF($A31="","",_Engine!$E68)</f>
        <v>495.02996350873701</v>
      </c>
      <c r="C31" s="11">
        <f>IF($A31="","",_Engine!$F68)</f>
        <v>86.454113062695995</v>
      </c>
      <c r="D31" s="11">
        <f>IF($A31="","",_Engine!$E68-_Engine!$F68)</f>
        <v>408.57585044604104</v>
      </c>
      <c r="E31" s="11">
        <f>IF($A31="","",_Engine!$G68)</f>
        <v>14412.129246016129</v>
      </c>
      <c r="F31" s="11">
        <f>IF($A31="","",_Engine!$J68)</f>
        <v>14412.129246016129</v>
      </c>
    </row>
    <row r="32" spans="1:6" x14ac:dyDescent="0.25">
      <c r="A32" s="10">
        <f>IF(29&lt;=_Engine!$B$11,29,"")</f>
        <v>29</v>
      </c>
      <c r="B32" s="11">
        <f>IF($A32="","",_Engine!$E69)</f>
        <v>495.02996350873701</v>
      </c>
      <c r="C32" s="11">
        <f>IF($A32="","",_Engine!$F69)</f>
        <v>84.070753935094089</v>
      </c>
      <c r="D32" s="11">
        <f>IF($A32="","",_Engine!$E69-_Engine!$F69)</f>
        <v>410.95920957364291</v>
      </c>
      <c r="E32" s="11">
        <f>IF($A32="","",_Engine!$G69)</f>
        <v>14001.170036442487</v>
      </c>
      <c r="F32" s="11">
        <f>IF($A32="","",_Engine!$J69)</f>
        <v>14001.170036442487</v>
      </c>
    </row>
    <row r="33" spans="1:6" x14ac:dyDescent="0.25">
      <c r="A33" s="10">
        <f>IF(30&lt;=_Engine!$B$11,30,"")</f>
        <v>30</v>
      </c>
      <c r="B33" s="11">
        <f>IF($A33="","",_Engine!$E70)</f>
        <v>495.02996350873701</v>
      </c>
      <c r="C33" s="11">
        <f>IF($A33="","",_Engine!$F70)</f>
        <v>81.673491879247848</v>
      </c>
      <c r="D33" s="11">
        <f>IF($A33="","",_Engine!$E70-_Engine!$F70)</f>
        <v>413.35647162948919</v>
      </c>
      <c r="E33" s="11">
        <f>IF($A33="","",_Engine!$G70)</f>
        <v>13587.813564812997</v>
      </c>
      <c r="F33" s="11">
        <f>IF($A33="","",_Engine!$J70)</f>
        <v>13587.813564812997</v>
      </c>
    </row>
    <row r="34" spans="1:6" x14ac:dyDescent="0.25">
      <c r="A34" s="10">
        <f>IF(31&lt;=_Engine!$B$11,31,"")</f>
        <v>31</v>
      </c>
      <c r="B34" s="11">
        <f>IF($A34="","",_Engine!$E71)</f>
        <v>495.02996350873701</v>
      </c>
      <c r="C34" s="11">
        <f>IF($A34="","",_Engine!$F71)</f>
        <v>79.262245794742483</v>
      </c>
      <c r="D34" s="11">
        <f>IF($A34="","",_Engine!$E71-_Engine!$F71)</f>
        <v>415.76771771399456</v>
      </c>
      <c r="E34" s="11">
        <f>IF($A34="","",_Engine!$G71)</f>
        <v>13172.045847099003</v>
      </c>
      <c r="F34" s="11">
        <f>IF($A34="","",_Engine!$J71)</f>
        <v>13172.045847099003</v>
      </c>
    </row>
    <row r="35" spans="1:6" x14ac:dyDescent="0.25">
      <c r="A35" s="10">
        <f>IF(32&lt;=_Engine!$B$11,32,"")</f>
        <v>32</v>
      </c>
      <c r="B35" s="11">
        <f>IF($A35="","",_Engine!$E72)</f>
        <v>495.02996350873701</v>
      </c>
      <c r="C35" s="11">
        <f>IF($A35="","",_Engine!$F72)</f>
        <v>76.836934108077529</v>
      </c>
      <c r="D35" s="11">
        <f>IF($A35="","",_Engine!$E72-_Engine!$F72)</f>
        <v>418.1930294006595</v>
      </c>
      <c r="E35" s="11">
        <f>IF($A35="","",_Engine!$G72)</f>
        <v>12753.852817698344</v>
      </c>
      <c r="F35" s="11">
        <f>IF($A35="","",_Engine!$J72)</f>
        <v>12753.852817698344</v>
      </c>
    </row>
    <row r="36" spans="1:6" x14ac:dyDescent="0.25">
      <c r="A36" s="10">
        <f>IF(33&lt;=_Engine!$B$11,33,"")</f>
        <v>33</v>
      </c>
      <c r="B36" s="11">
        <f>IF($A36="","",_Engine!$E73)</f>
        <v>495.02996350873701</v>
      </c>
      <c r="C36" s="11">
        <f>IF($A36="","",_Engine!$F73)</f>
        <v>74.397474769907006</v>
      </c>
      <c r="D36" s="11">
        <f>IF($A36="","",_Engine!$E73-_Engine!$F73)</f>
        <v>420.63248873883003</v>
      </c>
      <c r="E36" s="11">
        <f>IF($A36="","",_Engine!$G73)</f>
        <v>12333.220328959513</v>
      </c>
      <c r="F36" s="11">
        <f>IF($A36="","",_Engine!$J73)</f>
        <v>12333.220328959513</v>
      </c>
    </row>
    <row r="37" spans="1:6" x14ac:dyDescent="0.25">
      <c r="A37" s="10">
        <f>IF(34&lt;=_Engine!$B$11,34,"")</f>
        <v>34</v>
      </c>
      <c r="B37" s="11">
        <f>IF($A37="","",_Engine!$E74)</f>
        <v>495.02996350873701</v>
      </c>
      <c r="C37" s="11">
        <f>IF($A37="","",_Engine!$F74)</f>
        <v>71.943785252263822</v>
      </c>
      <c r="D37" s="11">
        <f>IF($A37="","",_Engine!$E74-_Engine!$F74)</f>
        <v>423.0861782564732</v>
      </c>
      <c r="E37" s="11">
        <f>IF($A37="","",_Engine!$G74)</f>
        <v>11910.134150703039</v>
      </c>
      <c r="F37" s="11">
        <f>IF($A37="","",_Engine!$J74)</f>
        <v>11910.134150703039</v>
      </c>
    </row>
    <row r="38" spans="1:6" x14ac:dyDescent="0.25">
      <c r="A38" s="10">
        <f>IF(35&lt;=_Engine!$B$11,35,"")</f>
        <v>35</v>
      </c>
      <c r="B38" s="11">
        <f>IF($A38="","",_Engine!$E75)</f>
        <v>495.02996350873701</v>
      </c>
      <c r="C38" s="11">
        <f>IF($A38="","",_Engine!$F75)</f>
        <v>69.475782545767728</v>
      </c>
      <c r="D38" s="11">
        <f>IF($A38="","",_Engine!$E75-_Engine!$F75)</f>
        <v>425.55418096296927</v>
      </c>
      <c r="E38" s="11">
        <f>IF($A38="","",_Engine!$G75)</f>
        <v>11484.579969740071</v>
      </c>
      <c r="F38" s="11">
        <f>IF($A38="","",_Engine!$J75)</f>
        <v>11484.579969740071</v>
      </c>
    </row>
    <row r="39" spans="1:6" x14ac:dyDescent="0.25">
      <c r="A39" s="10">
        <f>IF(36&lt;=_Engine!$B$11,36,"")</f>
        <v>36</v>
      </c>
      <c r="B39" s="11">
        <f>IF($A39="","",_Engine!$E76)</f>
        <v>495.02996350873701</v>
      </c>
      <c r="C39" s="11">
        <f>IF($A39="","",_Engine!$F76)</f>
        <v>66.993383156817089</v>
      </c>
      <c r="D39" s="11">
        <f>IF($A39="","",_Engine!$E76-_Engine!$F76)</f>
        <v>428.03658035191995</v>
      </c>
      <c r="E39" s="11">
        <f>IF($A39="","",_Engine!$G76)</f>
        <v>11056.543389388151</v>
      </c>
      <c r="F39" s="11">
        <f>IF($A39="","",_Engine!$J76)</f>
        <v>11056.543389388151</v>
      </c>
    </row>
    <row r="40" spans="1:6" x14ac:dyDescent="0.25">
      <c r="A40" s="10">
        <f>IF(37&lt;=_Engine!$B$11,37,"")</f>
        <v>37</v>
      </c>
      <c r="B40" s="11">
        <f>IF($A40="","",_Engine!$E77)</f>
        <v>495.02996350873701</v>
      </c>
      <c r="C40" s="11">
        <f>IF($A40="","",_Engine!$F77)</f>
        <v>64.496503104764216</v>
      </c>
      <c r="D40" s="11">
        <f>IF($A40="","",_Engine!$E77-_Engine!$F77)</f>
        <v>430.53346040397281</v>
      </c>
      <c r="E40" s="11">
        <f>IF($A40="","",_Engine!$G77)</f>
        <v>10626.009928984178</v>
      </c>
      <c r="F40" s="11">
        <f>IF($A40="","",_Engine!$J77)</f>
        <v>10626.009928984178</v>
      </c>
    </row>
    <row r="41" spans="1:6" x14ac:dyDescent="0.25">
      <c r="A41" s="10">
        <f>IF(38&lt;=_Engine!$B$11,38,"")</f>
        <v>38</v>
      </c>
      <c r="B41" s="11">
        <f>IF($A41="","",_Engine!$E78)</f>
        <v>495.02996350873701</v>
      </c>
      <c r="C41" s="11">
        <f>IF($A41="","",_Engine!$F78)</f>
        <v>61.985057919074379</v>
      </c>
      <c r="D41" s="11">
        <f>IF($A41="","",_Engine!$E78-_Engine!$F78)</f>
        <v>433.04490558966262</v>
      </c>
      <c r="E41" s="11">
        <f>IF($A41="","",_Engine!$G78)</f>
        <v>10192.965023394516</v>
      </c>
      <c r="F41" s="11">
        <f>IF($A41="","",_Engine!$J78)</f>
        <v>10192.965023394516</v>
      </c>
    </row>
    <row r="42" spans="1:6" x14ac:dyDescent="0.25">
      <c r="A42" s="10">
        <f>IF(39&lt;=_Engine!$B$11,39,"")</f>
        <v>39</v>
      </c>
      <c r="B42" s="11">
        <f>IF($A42="","",_Engine!$E79)</f>
        <v>495.02996350873701</v>
      </c>
      <c r="C42" s="11">
        <f>IF($A42="","",_Engine!$F79)</f>
        <v>59.458962636468009</v>
      </c>
      <c r="D42" s="11">
        <f>IF($A42="","",_Engine!$E79-_Engine!$F79)</f>
        <v>435.571000872269</v>
      </c>
      <c r="E42" s="11">
        <f>IF($A42="","",_Engine!$G79)</f>
        <v>9757.3940225222468</v>
      </c>
      <c r="F42" s="11">
        <f>IF($A42="","",_Engine!$J79)</f>
        <v>9757.3940225222468</v>
      </c>
    </row>
    <row r="43" spans="1:6" x14ac:dyDescent="0.25">
      <c r="A43" s="10">
        <f>IF(40&lt;=_Engine!$B$11,40,"")</f>
        <v>40</v>
      </c>
      <c r="B43" s="11">
        <f>IF($A43="","",_Engine!$E80)</f>
        <v>495.02996350873701</v>
      </c>
      <c r="C43" s="11">
        <f>IF($A43="","",_Engine!$F80)</f>
        <v>56.918131798046446</v>
      </c>
      <c r="D43" s="11">
        <f>IF($A43="","",_Engine!$E80-_Engine!$F80)</f>
        <v>438.11183171069058</v>
      </c>
      <c r="E43" s="11">
        <f>IF($A43="","",_Engine!$G80)</f>
        <v>9319.2821908115566</v>
      </c>
      <c r="F43" s="11">
        <f>IF($A43="","",_Engine!$J80)</f>
        <v>9319.2821908115566</v>
      </c>
    </row>
    <row r="44" spans="1:6" x14ac:dyDescent="0.25">
      <c r="A44" s="10">
        <f>IF(41&lt;=_Engine!$B$11,41,"")</f>
        <v>41</v>
      </c>
      <c r="B44" s="11">
        <f>IF($A44="","",_Engine!$E81)</f>
        <v>495.02996350873701</v>
      </c>
      <c r="C44" s="11">
        <f>IF($A44="","",_Engine!$F81)</f>
        <v>54.362479446400748</v>
      </c>
      <c r="D44" s="11">
        <f>IF($A44="","",_Engine!$E81-_Engine!$F81)</f>
        <v>440.66748406233626</v>
      </c>
      <c r="E44" s="11">
        <f>IF($A44="","",_Engine!$G81)</f>
        <v>8878.6147067492202</v>
      </c>
      <c r="F44" s="11">
        <f>IF($A44="","",_Engine!$J81)</f>
        <v>8878.6147067492202</v>
      </c>
    </row>
    <row r="45" spans="1:6" x14ac:dyDescent="0.25">
      <c r="A45" s="10">
        <f>IF(42&lt;=_Engine!$B$11,42,"")</f>
        <v>42</v>
      </c>
      <c r="B45" s="11">
        <f>IF($A45="","",_Engine!$E82)</f>
        <v>495.02996350873701</v>
      </c>
      <c r="C45" s="11">
        <f>IF($A45="","",_Engine!$F82)</f>
        <v>51.791919122703789</v>
      </c>
      <c r="D45" s="11">
        <f>IF($A45="","",_Engine!$E82-_Engine!$F82)</f>
        <v>443.23804438603321</v>
      </c>
      <c r="E45" s="11">
        <f>IF($A45="","",_Engine!$G82)</f>
        <v>8435.3766623631873</v>
      </c>
      <c r="F45" s="11">
        <f>IF($A45="","",_Engine!$J82)</f>
        <v>8435.3766623631873</v>
      </c>
    </row>
    <row r="46" spans="1:6" x14ac:dyDescent="0.25">
      <c r="A46" s="10">
        <f>IF(43&lt;=_Engine!$B$11,43,"")</f>
        <v>43</v>
      </c>
      <c r="B46" s="11">
        <f>IF($A46="","",_Engine!$E83)</f>
        <v>495.02996350873701</v>
      </c>
      <c r="C46" s="11">
        <f>IF($A46="","",_Engine!$F83)</f>
        <v>49.206363863785263</v>
      </c>
      <c r="D46" s="11">
        <f>IF($A46="","",_Engine!$E83-_Engine!$F83)</f>
        <v>445.82359964495174</v>
      </c>
      <c r="E46" s="11">
        <f>IF($A46="","",_Engine!$G83)</f>
        <v>7989.5530627182352</v>
      </c>
      <c r="F46" s="11">
        <f>IF($A46="","",_Engine!$J83)</f>
        <v>7989.5530627182352</v>
      </c>
    </row>
    <row r="47" spans="1:6" x14ac:dyDescent="0.25">
      <c r="A47" s="10">
        <f>IF(44&lt;=_Engine!$B$11,44,"")</f>
        <v>44</v>
      </c>
      <c r="B47" s="11">
        <f>IF($A47="","",_Engine!$E84)</f>
        <v>495.02996350873701</v>
      </c>
      <c r="C47" s="11">
        <f>IF($A47="","",_Engine!$F84)</f>
        <v>46.605726199189711</v>
      </c>
      <c r="D47" s="11">
        <f>IF($A47="","",_Engine!$E84-_Engine!$F84)</f>
        <v>448.42423730954732</v>
      </c>
      <c r="E47" s="11">
        <f>IF($A47="","",_Engine!$G84)</f>
        <v>7541.1288254086876</v>
      </c>
      <c r="F47" s="11">
        <f>IF($A47="","",_Engine!$J84)</f>
        <v>7541.1288254086876</v>
      </c>
    </row>
    <row r="48" spans="1:6" x14ac:dyDescent="0.25">
      <c r="A48" s="10">
        <f>IF(45&lt;=_Engine!$B$11,45,"")</f>
        <v>45</v>
      </c>
      <c r="B48" s="11">
        <f>IF($A48="","",_Engine!$E85)</f>
        <v>495.02996350873701</v>
      </c>
      <c r="C48" s="11">
        <f>IF($A48="","",_Engine!$F85)</f>
        <v>43.989918148217349</v>
      </c>
      <c r="D48" s="11">
        <f>IF($A48="","",_Engine!$E85-_Engine!$F85)</f>
        <v>451.04004536051968</v>
      </c>
      <c r="E48" s="11">
        <f>IF($A48="","",_Engine!$G85)</f>
        <v>7090.0887800481678</v>
      </c>
      <c r="F48" s="11">
        <f>IF($A48="","",_Engine!$J85)</f>
        <v>7090.0887800481678</v>
      </c>
    </row>
    <row r="49" spans="1:6" x14ac:dyDescent="0.25">
      <c r="A49" s="10">
        <f>IF(46&lt;=_Engine!$B$11,46,"")</f>
        <v>46</v>
      </c>
      <c r="B49" s="11">
        <f>IF($A49="","",_Engine!$E86)</f>
        <v>495.02996350873701</v>
      </c>
      <c r="C49" s="11">
        <f>IF($A49="","",_Engine!$F86)</f>
        <v>41.358851216947649</v>
      </c>
      <c r="D49" s="11">
        <f>IF($A49="","",_Engine!$E86-_Engine!$F86)</f>
        <v>453.67111229178937</v>
      </c>
      <c r="E49" s="11">
        <f>IF($A49="","",_Engine!$G86)</f>
        <v>6636.4176677563783</v>
      </c>
      <c r="F49" s="11">
        <f>IF($A49="","",_Engine!$J86)</f>
        <v>6636.4176677563783</v>
      </c>
    </row>
    <row r="50" spans="1:6" x14ac:dyDescent="0.25">
      <c r="A50" s="10">
        <f>IF(47&lt;=_Engine!$B$11,47,"")</f>
        <v>47</v>
      </c>
      <c r="B50" s="11">
        <f>IF($A50="","",_Engine!$E87)</f>
        <v>495.02996350873701</v>
      </c>
      <c r="C50" s="11">
        <f>IF($A50="","",_Engine!$F87)</f>
        <v>38.71243639524554</v>
      </c>
      <c r="D50" s="11">
        <f>IF($A50="","",_Engine!$E87-_Engine!$F87)</f>
        <v>456.31752711349145</v>
      </c>
      <c r="E50" s="11">
        <f>IF($A50="","",_Engine!$G87)</f>
        <v>6180.1001406428868</v>
      </c>
      <c r="F50" s="11">
        <f>IF($A50="","",_Engine!$J87)</f>
        <v>6180.1001406428868</v>
      </c>
    </row>
    <row r="51" spans="1:6" x14ac:dyDescent="0.25">
      <c r="A51" s="10">
        <f>IF(48&lt;=_Engine!$B$11,48,"")</f>
        <v>48</v>
      </c>
      <c r="B51" s="11">
        <f>IF($A51="","",_Engine!$E88)</f>
        <v>495.02996350873701</v>
      </c>
      <c r="C51" s="11">
        <f>IF($A51="","",_Engine!$F88)</f>
        <v>36.050584153750172</v>
      </c>
      <c r="D51" s="11">
        <f>IF($A51="","",_Engine!$E88-_Engine!$F88)</f>
        <v>458.97937935498686</v>
      </c>
      <c r="E51" s="11">
        <f>IF($A51="","",_Engine!$G88)</f>
        <v>5721.1207612878998</v>
      </c>
      <c r="F51" s="11">
        <f>IF($A51="","",_Engine!$J88)</f>
        <v>5721.1207612878998</v>
      </c>
    </row>
    <row r="52" spans="1:6" x14ac:dyDescent="0.25">
      <c r="A52" s="10">
        <f>IF(49&lt;=_Engine!$B$11,49,"")</f>
        <v>49</v>
      </c>
      <c r="B52" s="11">
        <f>IF($A52="","",_Engine!$E89)</f>
        <v>495.02996350873701</v>
      </c>
      <c r="C52" s="11">
        <f>IF($A52="","",_Engine!$F89)</f>
        <v>33.373204440846081</v>
      </c>
      <c r="D52" s="11">
        <f>IF($A52="","",_Engine!$E89-_Engine!$F89)</f>
        <v>461.6567590678909</v>
      </c>
      <c r="E52" s="11">
        <f>IF($A52="","",_Engine!$G89)</f>
        <v>5259.4640022200092</v>
      </c>
      <c r="F52" s="11">
        <f>IF($A52="","",_Engine!$J89)</f>
        <v>5259.4640022200092</v>
      </c>
    </row>
    <row r="53" spans="1:6" x14ac:dyDescent="0.25">
      <c r="A53" s="10">
        <f>IF(50&lt;=_Engine!$B$11,50,"")</f>
        <v>50</v>
      </c>
      <c r="B53" s="11">
        <f>IF($A53="","",_Engine!$E90)</f>
        <v>495.02996350873701</v>
      </c>
      <c r="C53" s="11">
        <f>IF($A53="","",_Engine!$F90)</f>
        <v>30.68020667961672</v>
      </c>
      <c r="D53" s="11">
        <f>IF($A53="","",_Engine!$E90-_Engine!$F90)</f>
        <v>464.34975682912028</v>
      </c>
      <c r="E53" s="11">
        <f>IF($A53="","",_Engine!$G90)</f>
        <v>4795.1142453908888</v>
      </c>
      <c r="F53" s="11">
        <f>IF($A53="","",_Engine!$J90)</f>
        <v>4795.1142453908888</v>
      </c>
    </row>
    <row r="54" spans="1:6" x14ac:dyDescent="0.25">
      <c r="A54" s="10">
        <f>IF(51&lt;=_Engine!$B$11,51,"")</f>
        <v>51</v>
      </c>
      <c r="B54" s="11">
        <f>IF($A54="","",_Engine!$E91)</f>
        <v>495.02996350873701</v>
      </c>
      <c r="C54" s="11">
        <f>IF($A54="","",_Engine!$F91)</f>
        <v>27.971499764780187</v>
      </c>
      <c r="D54" s="11">
        <f>IF($A54="","",_Engine!$E91-_Engine!$F91)</f>
        <v>467.05846374395685</v>
      </c>
      <c r="E54" s="11">
        <f>IF($A54="","",_Engine!$G91)</f>
        <v>4328.0557816469318</v>
      </c>
      <c r="F54" s="11">
        <f>IF($A54="","",_Engine!$J91)</f>
        <v>4328.0557816469318</v>
      </c>
    </row>
    <row r="55" spans="1:6" x14ac:dyDescent="0.25">
      <c r="A55" s="10">
        <f>IF(52&lt;=_Engine!$B$11,52,"")</f>
        <v>52</v>
      </c>
      <c r="B55" s="11">
        <f>IF($A55="","",_Engine!$E92)</f>
        <v>495.02996350873701</v>
      </c>
      <c r="C55" s="11">
        <f>IF($A55="","",_Engine!$F92)</f>
        <v>25.246992059607102</v>
      </c>
      <c r="D55" s="11">
        <f>IF($A55="","",_Engine!$E92-_Engine!$F92)</f>
        <v>469.78297144912989</v>
      </c>
      <c r="E55" s="11">
        <f>IF($A55="","",_Engine!$G92)</f>
        <v>3858.2728101978018</v>
      </c>
      <c r="F55" s="11">
        <f>IF($A55="","",_Engine!$J92)</f>
        <v>3858.2728101978018</v>
      </c>
    </row>
    <row r="56" spans="1:6" x14ac:dyDescent="0.25">
      <c r="A56" s="10">
        <f>IF(53&lt;=_Engine!$B$11,53,"")</f>
        <v>53</v>
      </c>
      <c r="B56" s="11">
        <f>IF($A56="","",_Engine!$E93)</f>
        <v>495.02996350873701</v>
      </c>
      <c r="C56" s="11">
        <f>IF($A56="","",_Engine!$F93)</f>
        <v>22.506591392820511</v>
      </c>
      <c r="D56" s="11">
        <f>IF($A56="","",_Engine!$E93-_Engine!$F93)</f>
        <v>472.52337211591652</v>
      </c>
      <c r="E56" s="11">
        <f>IF($A56="","",_Engine!$G93)</f>
        <v>3385.7494380818853</v>
      </c>
      <c r="F56" s="11">
        <f>IF($A56="","",_Engine!$J93)</f>
        <v>3385.7494380818853</v>
      </c>
    </row>
    <row r="57" spans="1:6" x14ac:dyDescent="0.25">
      <c r="A57" s="10">
        <f>IF(54&lt;=_Engine!$B$11,54,"")</f>
        <v>54</v>
      </c>
      <c r="B57" s="11">
        <f>IF($A57="","",_Engine!$E94)</f>
        <v>495.02996350873701</v>
      </c>
      <c r="C57" s="11">
        <f>IF($A57="","",_Engine!$F94)</f>
        <v>19.750205055477664</v>
      </c>
      <c r="D57" s="11">
        <f>IF($A57="","",_Engine!$E94-_Engine!$F94)</f>
        <v>475.27975845325932</v>
      </c>
      <c r="E57" s="11">
        <f>IF($A57="","",_Engine!$G94)</f>
        <v>2910.4696796286262</v>
      </c>
      <c r="F57" s="11">
        <f>IF($A57="","",_Engine!$J94)</f>
        <v>2910.4696796286262</v>
      </c>
    </row>
    <row r="58" spans="1:6" x14ac:dyDescent="0.25">
      <c r="A58" s="10">
        <f>IF(55&lt;=_Engine!$B$11,55,"")</f>
        <v>55</v>
      </c>
      <c r="B58" s="11">
        <f>IF($A58="","",_Engine!$E95)</f>
        <v>495.02996350873701</v>
      </c>
      <c r="C58" s="11">
        <f>IF($A58="","",_Engine!$F95)</f>
        <v>16.977739797833653</v>
      </c>
      <c r="D58" s="11">
        <f>IF($A58="","",_Engine!$E95-_Engine!$F95)</f>
        <v>478.05222371090338</v>
      </c>
      <c r="E58" s="11">
        <f>IF($A58="","",_Engine!$G95)</f>
        <v>2432.4174559177227</v>
      </c>
      <c r="F58" s="11">
        <f>IF($A58="","",_Engine!$J95)</f>
        <v>2432.4174559177227</v>
      </c>
    </row>
    <row r="59" spans="1:6" x14ac:dyDescent="0.25">
      <c r="A59" s="10">
        <f>IF(56&lt;=_Engine!$B$11,56,"")</f>
        <v>56</v>
      </c>
      <c r="B59" s="11">
        <f>IF($A59="","",_Engine!$E96)</f>
        <v>495.02996350873701</v>
      </c>
      <c r="C59" s="11">
        <f>IF($A59="","",_Engine!$F96)</f>
        <v>14.189101826186716</v>
      </c>
      <c r="D59" s="11">
        <f>IF($A59="","",_Engine!$E96-_Engine!$F96)</f>
        <v>480.84086168255027</v>
      </c>
      <c r="E59" s="11">
        <f>IF($A59="","",_Engine!$G96)</f>
        <v>1951.5765942351725</v>
      </c>
      <c r="F59" s="11">
        <f>IF($A59="","",_Engine!$J96)</f>
        <v>1951.5765942351725</v>
      </c>
    </row>
    <row r="60" spans="1:6" x14ac:dyDescent="0.25">
      <c r="A60" s="10">
        <f>IF(57&lt;=_Engine!$B$11,57,"")</f>
        <v>57</v>
      </c>
      <c r="B60" s="11">
        <f>IF($A60="","",_Engine!$E97)</f>
        <v>495.02996350873701</v>
      </c>
      <c r="C60" s="11">
        <f>IF($A60="","",_Engine!$F97)</f>
        <v>11.384196799705173</v>
      </c>
      <c r="D60" s="11">
        <f>IF($A60="","",_Engine!$E97-_Engine!$F97)</f>
        <v>483.64576670903182</v>
      </c>
      <c r="E60" s="11">
        <f>IF($A60="","",_Engine!$G97)</f>
        <v>1467.9308275261405</v>
      </c>
      <c r="F60" s="11">
        <f>IF($A60="","",_Engine!$J97)</f>
        <v>1467.9308275261405</v>
      </c>
    </row>
    <row r="61" spans="1:6" x14ac:dyDescent="0.25">
      <c r="A61" s="10">
        <f>IF(58&lt;=_Engine!$B$11,58,"")</f>
        <v>58</v>
      </c>
      <c r="B61" s="11">
        <f>IF($A61="","",_Engine!$E98)</f>
        <v>495.02996350873701</v>
      </c>
      <c r="C61" s="11">
        <f>IF($A61="","",_Engine!$F98)</f>
        <v>8.5629298272358199</v>
      </c>
      <c r="D61" s="11">
        <f>IF($A61="","",_Engine!$E98-_Engine!$F98)</f>
        <v>486.46703368150122</v>
      </c>
      <c r="E61" s="11">
        <f>IF($A61="","",_Engine!$G98)</f>
        <v>981.46379384463933</v>
      </c>
      <c r="F61" s="11">
        <f>IF($A61="","",_Engine!$J98)</f>
        <v>981.46379384463933</v>
      </c>
    </row>
    <row r="62" spans="1:6" x14ac:dyDescent="0.25">
      <c r="A62" s="10">
        <f>IF(59&lt;=_Engine!$B$11,59,"")</f>
        <v>59</v>
      </c>
      <c r="B62" s="11">
        <f>IF($A62="","",_Engine!$E99)</f>
        <v>495.02996350873701</v>
      </c>
      <c r="C62" s="11">
        <f>IF($A62="","",_Engine!$F99)</f>
        <v>5.7252054640937295</v>
      </c>
      <c r="D62" s="11">
        <f>IF($A62="","",_Engine!$E99-_Engine!$F99)</f>
        <v>489.30475804464328</v>
      </c>
      <c r="E62" s="11">
        <f>IF($A62="","",_Engine!$G99)</f>
        <v>492.15903579999605</v>
      </c>
      <c r="F62" s="11">
        <f>IF($A62="","",_Engine!$J99)</f>
        <v>492.15903579999605</v>
      </c>
    </row>
    <row r="63" spans="1:6" x14ac:dyDescent="0.25">
      <c r="A63" s="10">
        <f>IF(60&lt;=_Engine!$B$11,60,"")</f>
        <v>60</v>
      </c>
      <c r="B63" s="11">
        <f>IF($A63="","",_Engine!$E100)</f>
        <v>495.02996350882938</v>
      </c>
      <c r="C63" s="11">
        <f>IF($A63="","",_Engine!$F100)</f>
        <v>2.8709277088333103</v>
      </c>
      <c r="D63" s="11">
        <f>IF($A63="","",_Engine!$E100-_Engine!$F100)</f>
        <v>492.15903579999605</v>
      </c>
      <c r="E63" s="11">
        <f>IF($A63="","",_Engine!$G100)</f>
        <v>0</v>
      </c>
      <c r="F63" s="11">
        <f>IF($A63="","",_Engine!$J100)</f>
        <v>9.2370555648813024E-11</v>
      </c>
    </row>
    <row r="64" spans="1:6" x14ac:dyDescent="0.25">
      <c r="A64" s="10" t="str">
        <f>IF(61&lt;=_Engine!$B$11,61,"")</f>
        <v/>
      </c>
      <c r="B64" s="11" t="str">
        <f>IF($A64="","",_Engine!$E101)</f>
        <v/>
      </c>
      <c r="C64" s="11" t="str">
        <f>IF($A64="","",_Engine!$F101)</f>
        <v/>
      </c>
      <c r="D64" s="11" t="str">
        <f>IF($A64="","",_Engine!$E101-_Engine!$F101)</f>
        <v/>
      </c>
      <c r="E64" s="11" t="str">
        <f>IF($A64="","",_Engine!$G101)</f>
        <v/>
      </c>
      <c r="F64" s="11" t="str">
        <f>IF($A64="","",_Engine!$J101)</f>
        <v/>
      </c>
    </row>
    <row r="65" spans="1:6" x14ac:dyDescent="0.25">
      <c r="A65" s="10" t="str">
        <f>IF(62&lt;=_Engine!$B$11,62,"")</f>
        <v/>
      </c>
      <c r="B65" s="11" t="str">
        <f>IF($A65="","",_Engine!$E102)</f>
        <v/>
      </c>
      <c r="C65" s="11" t="str">
        <f>IF($A65="","",_Engine!$F102)</f>
        <v/>
      </c>
      <c r="D65" s="11" t="str">
        <f>IF($A65="","",_Engine!$E102-_Engine!$F102)</f>
        <v/>
      </c>
      <c r="E65" s="11" t="str">
        <f>IF($A65="","",_Engine!$G102)</f>
        <v/>
      </c>
      <c r="F65" s="11" t="str">
        <f>IF($A65="","",_Engine!$J102)</f>
        <v/>
      </c>
    </row>
    <row r="66" spans="1:6" x14ac:dyDescent="0.25">
      <c r="A66" s="10" t="str">
        <f>IF(63&lt;=_Engine!$B$11,63,"")</f>
        <v/>
      </c>
      <c r="B66" s="11" t="str">
        <f>IF($A66="","",_Engine!$E103)</f>
        <v/>
      </c>
      <c r="C66" s="11" t="str">
        <f>IF($A66="","",_Engine!$F103)</f>
        <v/>
      </c>
      <c r="D66" s="11" t="str">
        <f>IF($A66="","",_Engine!$E103-_Engine!$F103)</f>
        <v/>
      </c>
      <c r="E66" s="11" t="str">
        <f>IF($A66="","",_Engine!$G103)</f>
        <v/>
      </c>
      <c r="F66" s="11" t="str">
        <f>IF($A66="","",_Engine!$J103)</f>
        <v/>
      </c>
    </row>
    <row r="67" spans="1:6" x14ac:dyDescent="0.25">
      <c r="A67" s="10" t="str">
        <f>IF(64&lt;=_Engine!$B$11,64,"")</f>
        <v/>
      </c>
      <c r="B67" s="11" t="str">
        <f>IF($A67="","",_Engine!$E104)</f>
        <v/>
      </c>
      <c r="C67" s="11" t="str">
        <f>IF($A67="","",_Engine!$F104)</f>
        <v/>
      </c>
      <c r="D67" s="11" t="str">
        <f>IF($A67="","",_Engine!$E104-_Engine!$F104)</f>
        <v/>
      </c>
      <c r="E67" s="11" t="str">
        <f>IF($A67="","",_Engine!$G104)</f>
        <v/>
      </c>
      <c r="F67" s="11" t="str">
        <f>IF($A67="","",_Engine!$J104)</f>
        <v/>
      </c>
    </row>
    <row r="68" spans="1:6" x14ac:dyDescent="0.25">
      <c r="A68" s="10" t="str">
        <f>IF(65&lt;=_Engine!$B$11,65,"")</f>
        <v/>
      </c>
      <c r="B68" s="11" t="str">
        <f>IF($A68="","",_Engine!$E105)</f>
        <v/>
      </c>
      <c r="C68" s="11" t="str">
        <f>IF($A68="","",_Engine!$F105)</f>
        <v/>
      </c>
      <c r="D68" s="11" t="str">
        <f>IF($A68="","",_Engine!$E105-_Engine!$F105)</f>
        <v/>
      </c>
      <c r="E68" s="11" t="str">
        <f>IF($A68="","",_Engine!$G105)</f>
        <v/>
      </c>
      <c r="F68" s="11" t="str">
        <f>IF($A68="","",_Engine!$J105)</f>
        <v/>
      </c>
    </row>
    <row r="69" spans="1:6" x14ac:dyDescent="0.25">
      <c r="A69" s="10" t="str">
        <f>IF(66&lt;=_Engine!$B$11,66,"")</f>
        <v/>
      </c>
      <c r="B69" s="11" t="str">
        <f>IF($A69="","",_Engine!$E106)</f>
        <v/>
      </c>
      <c r="C69" s="11" t="str">
        <f>IF($A69="","",_Engine!$F106)</f>
        <v/>
      </c>
      <c r="D69" s="11" t="str">
        <f>IF($A69="","",_Engine!$E106-_Engine!$F106)</f>
        <v/>
      </c>
      <c r="E69" s="11" t="str">
        <f>IF($A69="","",_Engine!$G106)</f>
        <v/>
      </c>
      <c r="F69" s="11" t="str">
        <f>IF($A69="","",_Engine!$J106)</f>
        <v/>
      </c>
    </row>
    <row r="70" spans="1:6" x14ac:dyDescent="0.25">
      <c r="A70" s="10" t="str">
        <f>IF(67&lt;=_Engine!$B$11,67,"")</f>
        <v/>
      </c>
      <c r="B70" s="11" t="str">
        <f>IF($A70="","",_Engine!$E107)</f>
        <v/>
      </c>
      <c r="C70" s="11" t="str">
        <f>IF($A70="","",_Engine!$F107)</f>
        <v/>
      </c>
      <c r="D70" s="11" t="str">
        <f>IF($A70="","",_Engine!$E107-_Engine!$F107)</f>
        <v/>
      </c>
      <c r="E70" s="11" t="str">
        <f>IF($A70="","",_Engine!$G107)</f>
        <v/>
      </c>
      <c r="F70" s="11" t="str">
        <f>IF($A70="","",_Engine!$J107)</f>
        <v/>
      </c>
    </row>
    <row r="71" spans="1:6" x14ac:dyDescent="0.25">
      <c r="A71" s="10" t="str">
        <f>IF(68&lt;=_Engine!$B$11,68,"")</f>
        <v/>
      </c>
      <c r="B71" s="11" t="str">
        <f>IF($A71="","",_Engine!$E108)</f>
        <v/>
      </c>
      <c r="C71" s="11" t="str">
        <f>IF($A71="","",_Engine!$F108)</f>
        <v/>
      </c>
      <c r="D71" s="11" t="str">
        <f>IF($A71="","",_Engine!$E108-_Engine!$F108)</f>
        <v/>
      </c>
      <c r="E71" s="11" t="str">
        <f>IF($A71="","",_Engine!$G108)</f>
        <v/>
      </c>
      <c r="F71" s="11" t="str">
        <f>IF($A71="","",_Engine!$J108)</f>
        <v/>
      </c>
    </row>
    <row r="72" spans="1:6" x14ac:dyDescent="0.25">
      <c r="A72" s="10" t="str">
        <f>IF(69&lt;=_Engine!$B$11,69,"")</f>
        <v/>
      </c>
      <c r="B72" s="11" t="str">
        <f>IF($A72="","",_Engine!$E109)</f>
        <v/>
      </c>
      <c r="C72" s="11" t="str">
        <f>IF($A72="","",_Engine!$F109)</f>
        <v/>
      </c>
      <c r="D72" s="11" t="str">
        <f>IF($A72="","",_Engine!$E109-_Engine!$F109)</f>
        <v/>
      </c>
      <c r="E72" s="11" t="str">
        <f>IF($A72="","",_Engine!$G109)</f>
        <v/>
      </c>
      <c r="F72" s="11" t="str">
        <f>IF($A72="","",_Engine!$J109)</f>
        <v/>
      </c>
    </row>
    <row r="73" spans="1:6" x14ac:dyDescent="0.25">
      <c r="A73" s="10" t="str">
        <f>IF(70&lt;=_Engine!$B$11,70,"")</f>
        <v/>
      </c>
      <c r="B73" s="11" t="str">
        <f>IF($A73="","",_Engine!$E110)</f>
        <v/>
      </c>
      <c r="C73" s="11" t="str">
        <f>IF($A73="","",_Engine!$F110)</f>
        <v/>
      </c>
      <c r="D73" s="11" t="str">
        <f>IF($A73="","",_Engine!$E110-_Engine!$F110)</f>
        <v/>
      </c>
      <c r="E73" s="11" t="str">
        <f>IF($A73="","",_Engine!$G110)</f>
        <v/>
      </c>
      <c r="F73" s="11" t="str">
        <f>IF($A73="","",_Engine!$J110)</f>
        <v/>
      </c>
    </row>
    <row r="74" spans="1:6" x14ac:dyDescent="0.25">
      <c r="A74" s="10" t="str">
        <f>IF(71&lt;=_Engine!$B$11,71,"")</f>
        <v/>
      </c>
      <c r="B74" s="11" t="str">
        <f>IF($A74="","",_Engine!$E111)</f>
        <v/>
      </c>
      <c r="C74" s="11" t="str">
        <f>IF($A74="","",_Engine!$F111)</f>
        <v/>
      </c>
      <c r="D74" s="11" t="str">
        <f>IF($A74="","",_Engine!$E111-_Engine!$F111)</f>
        <v/>
      </c>
      <c r="E74" s="11" t="str">
        <f>IF($A74="","",_Engine!$G111)</f>
        <v/>
      </c>
      <c r="F74" s="11" t="str">
        <f>IF($A74="","",_Engine!$J111)</f>
        <v/>
      </c>
    </row>
    <row r="75" spans="1:6" x14ac:dyDescent="0.25">
      <c r="A75" s="10" t="str">
        <f>IF(72&lt;=_Engine!$B$11,72,"")</f>
        <v/>
      </c>
      <c r="B75" s="11" t="str">
        <f>IF($A75="","",_Engine!$E112)</f>
        <v/>
      </c>
      <c r="C75" s="11" t="str">
        <f>IF($A75="","",_Engine!$F112)</f>
        <v/>
      </c>
      <c r="D75" s="11" t="str">
        <f>IF($A75="","",_Engine!$E112-_Engine!$F112)</f>
        <v/>
      </c>
      <c r="E75" s="11" t="str">
        <f>IF($A75="","",_Engine!$G112)</f>
        <v/>
      </c>
      <c r="F75" s="11" t="str">
        <f>IF($A75="","",_Engine!$J112)</f>
        <v/>
      </c>
    </row>
    <row r="76" spans="1:6" x14ac:dyDescent="0.25">
      <c r="A76" s="10" t="str">
        <f>IF(73&lt;=_Engine!$B$11,73,"")</f>
        <v/>
      </c>
      <c r="B76" s="11" t="str">
        <f>IF($A76="","",_Engine!$E113)</f>
        <v/>
      </c>
      <c r="C76" s="11" t="str">
        <f>IF($A76="","",_Engine!$F113)</f>
        <v/>
      </c>
      <c r="D76" s="11" t="str">
        <f>IF($A76="","",_Engine!$E113-_Engine!$F113)</f>
        <v/>
      </c>
      <c r="E76" s="11" t="str">
        <f>IF($A76="","",_Engine!$G113)</f>
        <v/>
      </c>
      <c r="F76" s="11" t="str">
        <f>IF($A76="","",_Engine!$J113)</f>
        <v/>
      </c>
    </row>
    <row r="77" spans="1:6" x14ac:dyDescent="0.25">
      <c r="A77" s="10" t="str">
        <f>IF(74&lt;=_Engine!$B$11,74,"")</f>
        <v/>
      </c>
      <c r="B77" s="11" t="str">
        <f>IF($A77="","",_Engine!$E114)</f>
        <v/>
      </c>
      <c r="C77" s="11" t="str">
        <f>IF($A77="","",_Engine!$F114)</f>
        <v/>
      </c>
      <c r="D77" s="11" t="str">
        <f>IF($A77="","",_Engine!$E114-_Engine!$F114)</f>
        <v/>
      </c>
      <c r="E77" s="11" t="str">
        <f>IF($A77="","",_Engine!$G114)</f>
        <v/>
      </c>
      <c r="F77" s="11" t="str">
        <f>IF($A77="","",_Engine!$J114)</f>
        <v/>
      </c>
    </row>
    <row r="78" spans="1:6" x14ac:dyDescent="0.25">
      <c r="A78" s="10" t="str">
        <f>IF(75&lt;=_Engine!$B$11,75,"")</f>
        <v/>
      </c>
      <c r="B78" s="11" t="str">
        <f>IF($A78="","",_Engine!$E115)</f>
        <v/>
      </c>
      <c r="C78" s="11" t="str">
        <f>IF($A78="","",_Engine!$F115)</f>
        <v/>
      </c>
      <c r="D78" s="11" t="str">
        <f>IF($A78="","",_Engine!$E115-_Engine!$F115)</f>
        <v/>
      </c>
      <c r="E78" s="11" t="str">
        <f>IF($A78="","",_Engine!$G115)</f>
        <v/>
      </c>
      <c r="F78" s="11" t="str">
        <f>IF($A78="","",_Engine!$J115)</f>
        <v/>
      </c>
    </row>
    <row r="79" spans="1:6" x14ac:dyDescent="0.25">
      <c r="A79" s="10" t="str">
        <f>IF(76&lt;=_Engine!$B$11,76,"")</f>
        <v/>
      </c>
      <c r="B79" s="11" t="str">
        <f>IF($A79="","",_Engine!$E116)</f>
        <v/>
      </c>
      <c r="C79" s="11" t="str">
        <f>IF($A79="","",_Engine!$F116)</f>
        <v/>
      </c>
      <c r="D79" s="11" t="str">
        <f>IF($A79="","",_Engine!$E116-_Engine!$F116)</f>
        <v/>
      </c>
      <c r="E79" s="11" t="str">
        <f>IF($A79="","",_Engine!$G116)</f>
        <v/>
      </c>
      <c r="F79" s="11" t="str">
        <f>IF($A79="","",_Engine!$J116)</f>
        <v/>
      </c>
    </row>
    <row r="80" spans="1:6" x14ac:dyDescent="0.25">
      <c r="A80" s="10" t="str">
        <f>IF(77&lt;=_Engine!$B$11,77,"")</f>
        <v/>
      </c>
      <c r="B80" s="11" t="str">
        <f>IF($A80="","",_Engine!$E117)</f>
        <v/>
      </c>
      <c r="C80" s="11" t="str">
        <f>IF($A80="","",_Engine!$F117)</f>
        <v/>
      </c>
      <c r="D80" s="11" t="str">
        <f>IF($A80="","",_Engine!$E117-_Engine!$F117)</f>
        <v/>
      </c>
      <c r="E80" s="11" t="str">
        <f>IF($A80="","",_Engine!$G117)</f>
        <v/>
      </c>
      <c r="F80" s="11" t="str">
        <f>IF($A80="","",_Engine!$J117)</f>
        <v/>
      </c>
    </row>
    <row r="81" spans="1:6" x14ac:dyDescent="0.25">
      <c r="A81" s="10" t="str">
        <f>IF(78&lt;=_Engine!$B$11,78,"")</f>
        <v/>
      </c>
      <c r="B81" s="11" t="str">
        <f>IF($A81="","",_Engine!$E118)</f>
        <v/>
      </c>
      <c r="C81" s="11" t="str">
        <f>IF($A81="","",_Engine!$F118)</f>
        <v/>
      </c>
      <c r="D81" s="11" t="str">
        <f>IF($A81="","",_Engine!$E118-_Engine!$F118)</f>
        <v/>
      </c>
      <c r="E81" s="11" t="str">
        <f>IF($A81="","",_Engine!$G118)</f>
        <v/>
      </c>
      <c r="F81" s="11" t="str">
        <f>IF($A81="","",_Engine!$J118)</f>
        <v/>
      </c>
    </row>
    <row r="82" spans="1:6" x14ac:dyDescent="0.25">
      <c r="A82" s="10" t="str">
        <f>IF(79&lt;=_Engine!$B$11,79,"")</f>
        <v/>
      </c>
      <c r="B82" s="11" t="str">
        <f>IF($A82="","",_Engine!$E119)</f>
        <v/>
      </c>
      <c r="C82" s="11" t="str">
        <f>IF($A82="","",_Engine!$F119)</f>
        <v/>
      </c>
      <c r="D82" s="11" t="str">
        <f>IF($A82="","",_Engine!$E119-_Engine!$F119)</f>
        <v/>
      </c>
      <c r="E82" s="11" t="str">
        <f>IF($A82="","",_Engine!$G119)</f>
        <v/>
      </c>
      <c r="F82" s="11" t="str">
        <f>IF($A82="","",_Engine!$J119)</f>
        <v/>
      </c>
    </row>
    <row r="83" spans="1:6" x14ac:dyDescent="0.25">
      <c r="A83" s="10" t="str">
        <f>IF(80&lt;=_Engine!$B$11,80,"")</f>
        <v/>
      </c>
      <c r="B83" s="11" t="str">
        <f>IF($A83="","",_Engine!$E120)</f>
        <v/>
      </c>
      <c r="C83" s="11" t="str">
        <f>IF($A83="","",_Engine!$F120)</f>
        <v/>
      </c>
      <c r="D83" s="11" t="str">
        <f>IF($A83="","",_Engine!$E120-_Engine!$F120)</f>
        <v/>
      </c>
      <c r="E83" s="11" t="str">
        <f>IF($A83="","",_Engine!$G120)</f>
        <v/>
      </c>
      <c r="F83" s="11" t="str">
        <f>IF($A83="","",_Engine!$J120)</f>
        <v/>
      </c>
    </row>
    <row r="84" spans="1:6" x14ac:dyDescent="0.25">
      <c r="A84" s="10" t="str">
        <f>IF(81&lt;=_Engine!$B$11,81,"")</f>
        <v/>
      </c>
      <c r="B84" s="11" t="str">
        <f>IF($A84="","",_Engine!$E121)</f>
        <v/>
      </c>
      <c r="C84" s="11" t="str">
        <f>IF($A84="","",_Engine!$F121)</f>
        <v/>
      </c>
      <c r="D84" s="11" t="str">
        <f>IF($A84="","",_Engine!$E121-_Engine!$F121)</f>
        <v/>
      </c>
      <c r="E84" s="11" t="str">
        <f>IF($A84="","",_Engine!$G121)</f>
        <v/>
      </c>
      <c r="F84" s="11" t="str">
        <f>IF($A84="","",_Engine!$J121)</f>
        <v/>
      </c>
    </row>
    <row r="85" spans="1:6" x14ac:dyDescent="0.25">
      <c r="A85" s="10" t="str">
        <f>IF(82&lt;=_Engine!$B$11,82,"")</f>
        <v/>
      </c>
      <c r="B85" s="11" t="str">
        <f>IF($A85="","",_Engine!$E122)</f>
        <v/>
      </c>
      <c r="C85" s="11" t="str">
        <f>IF($A85="","",_Engine!$F122)</f>
        <v/>
      </c>
      <c r="D85" s="11" t="str">
        <f>IF($A85="","",_Engine!$E122-_Engine!$F122)</f>
        <v/>
      </c>
      <c r="E85" s="11" t="str">
        <f>IF($A85="","",_Engine!$G122)</f>
        <v/>
      </c>
      <c r="F85" s="11" t="str">
        <f>IF($A85="","",_Engine!$J122)</f>
        <v/>
      </c>
    </row>
    <row r="86" spans="1:6" x14ac:dyDescent="0.25">
      <c r="A86" s="10" t="str">
        <f>IF(83&lt;=_Engine!$B$11,83,"")</f>
        <v/>
      </c>
      <c r="B86" s="11" t="str">
        <f>IF($A86="","",_Engine!$E123)</f>
        <v/>
      </c>
      <c r="C86" s="11" t="str">
        <f>IF($A86="","",_Engine!$F123)</f>
        <v/>
      </c>
      <c r="D86" s="11" t="str">
        <f>IF($A86="","",_Engine!$E123-_Engine!$F123)</f>
        <v/>
      </c>
      <c r="E86" s="11" t="str">
        <f>IF($A86="","",_Engine!$G123)</f>
        <v/>
      </c>
      <c r="F86" s="11" t="str">
        <f>IF($A86="","",_Engine!$J123)</f>
        <v/>
      </c>
    </row>
    <row r="87" spans="1:6" x14ac:dyDescent="0.25">
      <c r="A87" s="10" t="str">
        <f>IF(84&lt;=_Engine!$B$11,84,"")</f>
        <v/>
      </c>
      <c r="B87" s="11" t="str">
        <f>IF($A87="","",_Engine!$E124)</f>
        <v/>
      </c>
      <c r="C87" s="11" t="str">
        <f>IF($A87="","",_Engine!$F124)</f>
        <v/>
      </c>
      <c r="D87" s="11" t="str">
        <f>IF($A87="","",_Engine!$E124-_Engine!$F124)</f>
        <v/>
      </c>
      <c r="E87" s="11" t="str">
        <f>IF($A87="","",_Engine!$G124)</f>
        <v/>
      </c>
      <c r="F87" s="11" t="str">
        <f>IF($A87="","",_Engine!$J124)</f>
        <v/>
      </c>
    </row>
  </sheetData>
  <sheetProtection sheet="1" formatCells="0"/>
  <mergeCells count="2">
    <mergeCell ref="A2:F2"/>
    <mergeCell ref="A1:F1"/>
  </mergeCells>
  <conditionalFormatting sqref="A4:F87">
    <cfRule type="expression" dxfId="1" priority="1">
      <formula>AND($A4&lt;&gt;"",MOD(ROW(),2)=1)</formula>
    </cfRule>
    <cfRule type="expression" dxfId="0" priority="2">
      <formula>$A4&lt;&gt;""</formula>
    </cfRule>
  </conditionalFormatting>
  <pageMargins left="0.75" right="0.75" top="1" bottom="1" header="0.5" footer="0.5"/>
  <pageSetup fitToHeight="0" orientation="portrait"/>
  <headerFooter>
    <oddFooter>&amp;Lneedtheseapps.com&amp;CCar Loan Calculator&amp;RPage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2"/>
  <sheetViews>
    <sheetView showGridLines="0" workbookViewId="0"/>
  </sheetViews>
  <sheetFormatPr defaultRowHeight="15" x14ac:dyDescent="0.25"/>
  <cols>
    <col min="1" max="1" width="2.140625" customWidth="1"/>
    <col min="2" max="2" width="42" customWidth="1"/>
    <col min="3" max="3" width="62" customWidth="1"/>
    <col min="4" max="4" width="2.140625" customWidth="1"/>
  </cols>
  <sheetData>
    <row r="1" spans="1:4" x14ac:dyDescent="0.25">
      <c r="A1" s="1"/>
      <c r="B1" s="1"/>
      <c r="C1" s="1"/>
      <c r="D1" s="1"/>
    </row>
    <row r="2" spans="1:4" ht="32.1" customHeight="1" x14ac:dyDescent="0.25">
      <c r="A2" s="1"/>
      <c r="B2" s="29" t="s">
        <v>44</v>
      </c>
      <c r="C2" s="17"/>
      <c r="D2" s="1"/>
    </row>
    <row r="3" spans="1:4" x14ac:dyDescent="0.25">
      <c r="A3" s="1"/>
      <c r="B3" s="1"/>
      <c r="C3" s="1"/>
      <c r="D3" s="1"/>
    </row>
    <row r="4" spans="1:4" ht="26.1" customHeight="1" x14ac:dyDescent="0.25">
      <c r="A4" s="1"/>
      <c r="B4" s="18" t="s">
        <v>45</v>
      </c>
      <c r="C4" s="17"/>
      <c r="D4" s="1"/>
    </row>
    <row r="5" spans="1:4" ht="36" customHeight="1" x14ac:dyDescent="0.25">
      <c r="A5" s="1"/>
      <c r="B5" s="34" t="s">
        <v>46</v>
      </c>
      <c r="C5" s="17"/>
      <c r="D5" s="1"/>
    </row>
    <row r="6" spans="1:4" ht="36" customHeight="1" x14ac:dyDescent="0.25">
      <c r="A6" s="1"/>
      <c r="B6" s="17"/>
      <c r="C6" s="17"/>
      <c r="D6" s="1"/>
    </row>
    <row r="7" spans="1:4" x14ac:dyDescent="0.25">
      <c r="A7" s="1"/>
      <c r="B7" s="1"/>
      <c r="C7" s="1"/>
      <c r="D7" s="1"/>
    </row>
    <row r="8" spans="1:4" ht="26.1" customHeight="1" x14ac:dyDescent="0.25">
      <c r="A8" s="1"/>
      <c r="B8" s="18" t="s">
        <v>47</v>
      </c>
      <c r="C8" s="17"/>
      <c r="D8" s="1"/>
    </row>
    <row r="9" spans="1:4" ht="32.1" customHeight="1" x14ac:dyDescent="0.25">
      <c r="A9" s="1"/>
      <c r="B9" s="12" t="s">
        <v>48</v>
      </c>
      <c r="C9" s="13" t="s">
        <v>49</v>
      </c>
      <c r="D9" s="1"/>
    </row>
    <row r="10" spans="1:4" ht="32.1" customHeight="1" x14ac:dyDescent="0.25">
      <c r="A10" s="1"/>
      <c r="B10" s="12" t="s">
        <v>50</v>
      </c>
      <c r="C10" s="13" t="s">
        <v>51</v>
      </c>
      <c r="D10" s="1"/>
    </row>
    <row r="11" spans="1:4" ht="32.1" customHeight="1" x14ac:dyDescent="0.25">
      <c r="A11" s="1"/>
      <c r="B11" s="12" t="s">
        <v>52</v>
      </c>
      <c r="C11" s="13" t="s">
        <v>53</v>
      </c>
      <c r="D11" s="1"/>
    </row>
    <row r="12" spans="1:4" ht="32.1" customHeight="1" x14ac:dyDescent="0.25">
      <c r="A12" s="1"/>
      <c r="B12" s="12" t="s">
        <v>54</v>
      </c>
      <c r="C12" s="13" t="s">
        <v>55</v>
      </c>
      <c r="D12" s="1"/>
    </row>
    <row r="13" spans="1:4" ht="21" customHeight="1" x14ac:dyDescent="0.25">
      <c r="A13" s="1"/>
      <c r="B13" s="12" t="s">
        <v>56</v>
      </c>
      <c r="C13" s="13" t="s">
        <v>57</v>
      </c>
      <c r="D13" s="1"/>
    </row>
    <row r="14" spans="1:4" ht="21" customHeight="1" x14ac:dyDescent="0.25">
      <c r="A14" s="1"/>
      <c r="B14" s="12" t="s">
        <v>58</v>
      </c>
      <c r="C14" s="13" t="s">
        <v>59</v>
      </c>
      <c r="D14" s="1"/>
    </row>
    <row r="15" spans="1:4" ht="21" customHeight="1" x14ac:dyDescent="0.25">
      <c r="A15" s="1"/>
      <c r="B15" s="12" t="s">
        <v>60</v>
      </c>
      <c r="C15" s="13" t="s">
        <v>61</v>
      </c>
      <c r="D15" s="1"/>
    </row>
    <row r="16" spans="1:4" x14ac:dyDescent="0.25">
      <c r="A16" s="1"/>
      <c r="B16" s="1"/>
      <c r="C16" s="1"/>
      <c r="D16" s="1"/>
    </row>
    <row r="17" spans="1:4" ht="24" customHeight="1" x14ac:dyDescent="0.25">
      <c r="A17" s="1"/>
      <c r="B17" s="36" t="s">
        <v>3</v>
      </c>
      <c r="C17" s="17"/>
      <c r="D17" s="1"/>
    </row>
    <row r="18" spans="1:4" x14ac:dyDescent="0.25">
      <c r="A18" s="1"/>
      <c r="B18" s="1"/>
      <c r="C18" s="1"/>
      <c r="D18" s="1"/>
    </row>
    <row r="19" spans="1:4" ht="26.1" customHeight="1" x14ac:dyDescent="0.25">
      <c r="A19" s="1"/>
      <c r="B19" s="18" t="s">
        <v>62</v>
      </c>
      <c r="C19" s="17"/>
      <c r="D19" s="1"/>
    </row>
    <row r="20" spans="1:4" ht="32.1" customHeight="1" x14ac:dyDescent="0.25">
      <c r="A20" s="1"/>
      <c r="B20" s="12" t="s">
        <v>63</v>
      </c>
      <c r="C20" s="13" t="s">
        <v>64</v>
      </c>
      <c r="D20" s="1"/>
    </row>
    <row r="21" spans="1:4" ht="32.1" customHeight="1" x14ac:dyDescent="0.25">
      <c r="A21" s="1"/>
      <c r="B21" s="12" t="s">
        <v>40</v>
      </c>
      <c r="C21" s="13" t="s">
        <v>65</v>
      </c>
      <c r="D21" s="1"/>
    </row>
    <row r="22" spans="1:4" ht="32.1" customHeight="1" x14ac:dyDescent="0.25">
      <c r="A22" s="1"/>
      <c r="B22" s="12" t="s">
        <v>66</v>
      </c>
      <c r="C22" s="13" t="s">
        <v>67</v>
      </c>
      <c r="D22" s="1"/>
    </row>
    <row r="23" spans="1:4" ht="32.1" customHeight="1" x14ac:dyDescent="0.25">
      <c r="A23" s="1"/>
      <c r="B23" s="12" t="s">
        <v>68</v>
      </c>
      <c r="C23" s="13" t="s">
        <v>69</v>
      </c>
      <c r="D23" s="1"/>
    </row>
    <row r="24" spans="1:4" ht="32.1" customHeight="1" x14ac:dyDescent="0.25">
      <c r="A24" s="1"/>
      <c r="B24" s="12" t="s">
        <v>70</v>
      </c>
      <c r="C24" s="13" t="s">
        <v>71</v>
      </c>
      <c r="D24" s="1"/>
    </row>
    <row r="25" spans="1:4" ht="32.1" customHeight="1" x14ac:dyDescent="0.25">
      <c r="A25" s="1"/>
      <c r="B25" s="12" t="s">
        <v>72</v>
      </c>
      <c r="C25" s="13" t="s">
        <v>73</v>
      </c>
      <c r="D25" s="1"/>
    </row>
    <row r="26" spans="1:4" ht="32.1" customHeight="1" x14ac:dyDescent="0.25">
      <c r="A26" s="1"/>
      <c r="B26" s="12" t="s">
        <v>74</v>
      </c>
      <c r="C26" s="13" t="s">
        <v>75</v>
      </c>
      <c r="D26" s="1"/>
    </row>
    <row r="27" spans="1:4" ht="32.1" customHeight="1" x14ac:dyDescent="0.25">
      <c r="A27" s="1"/>
      <c r="B27" s="12" t="s">
        <v>76</v>
      </c>
      <c r="C27" s="13" t="s">
        <v>77</v>
      </c>
      <c r="D27" s="1"/>
    </row>
    <row r="28" spans="1:4" x14ac:dyDescent="0.25">
      <c r="A28" s="1"/>
      <c r="B28" s="1"/>
      <c r="C28" s="1"/>
      <c r="D28" s="1"/>
    </row>
    <row r="29" spans="1:4" ht="26.1" customHeight="1" x14ac:dyDescent="0.25">
      <c r="A29" s="1"/>
      <c r="B29" s="18" t="s">
        <v>78</v>
      </c>
      <c r="C29" s="17"/>
      <c r="D29" s="1"/>
    </row>
    <row r="30" spans="1:4" ht="21" customHeight="1" x14ac:dyDescent="0.25">
      <c r="A30" s="1"/>
      <c r="B30" s="12" t="s">
        <v>79</v>
      </c>
      <c r="C30" s="13" t="s">
        <v>80</v>
      </c>
      <c r="D30" s="1"/>
    </row>
    <row r="31" spans="1:4" ht="21" customHeight="1" x14ac:dyDescent="0.25">
      <c r="A31" s="1"/>
      <c r="B31" s="12" t="s">
        <v>81</v>
      </c>
      <c r="C31" s="13" t="s">
        <v>82</v>
      </c>
      <c r="D31" s="1"/>
    </row>
    <row r="32" spans="1:4" ht="21" customHeight="1" x14ac:dyDescent="0.25">
      <c r="A32" s="1"/>
      <c r="B32" s="12" t="s">
        <v>83</v>
      </c>
      <c r="C32" s="13" t="s">
        <v>84</v>
      </c>
      <c r="D32" s="1"/>
    </row>
    <row r="33" spans="1:4" ht="21" customHeight="1" x14ac:dyDescent="0.25">
      <c r="A33" s="1"/>
      <c r="B33" s="12" t="s">
        <v>85</v>
      </c>
      <c r="C33" s="13" t="s">
        <v>86</v>
      </c>
      <c r="D33" s="1"/>
    </row>
    <row r="34" spans="1:4" ht="21" customHeight="1" x14ac:dyDescent="0.25">
      <c r="A34" s="1"/>
      <c r="B34" s="12" t="s">
        <v>87</v>
      </c>
      <c r="C34" s="13" t="str">
        <f>"Shown in "&amp;Calculator!$C$8&amp;", which you set on the Calculator sheet."</f>
        <v>Shown in $, which you set on the Calculator sheet.</v>
      </c>
      <c r="D34" s="1"/>
    </row>
    <row r="35" spans="1:4" x14ac:dyDescent="0.25">
      <c r="A35" s="1"/>
      <c r="B35" s="1"/>
      <c r="C35" s="1"/>
      <c r="D35" s="1"/>
    </row>
    <row r="36" spans="1:4" ht="24" customHeight="1" x14ac:dyDescent="0.25">
      <c r="A36" s="1"/>
      <c r="B36" s="35" t="s">
        <v>88</v>
      </c>
      <c r="C36" s="17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</sheetData>
  <sheetProtection sheet="1" formatCells="0"/>
  <mergeCells count="8">
    <mergeCell ref="B2:C2"/>
    <mergeCell ref="B29:C29"/>
    <mergeCell ref="B19:C19"/>
    <mergeCell ref="B5:C6"/>
    <mergeCell ref="B36:C36"/>
    <mergeCell ref="B17:C17"/>
    <mergeCell ref="B8:C8"/>
    <mergeCell ref="B4:C4"/>
  </mergeCells>
  <hyperlinks>
    <hyperlink ref="B17" r:id="rId1" xr:uid="{00000000-0004-0000-0200-000000000000}"/>
  </hyperlinks>
  <pageMargins left="0.75" right="0.75" top="1" bottom="1" header="0.5" footer="0.5"/>
  <pageSetup fitToHeight="0" orientation="portrait"/>
  <headerFooter>
    <oddFooter>&amp;Lneedtheseapps.com&amp;CCar Loan Calculator&amp;RPage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24"/>
  <sheetViews>
    <sheetView workbookViewId="0"/>
  </sheetViews>
  <sheetFormatPr defaultRowHeight="15" x14ac:dyDescent="0.25"/>
  <cols>
    <col min="1" max="1" width="56" customWidth="1"/>
    <col min="2" max="2" width="18" customWidth="1"/>
    <col min="4" max="12" width="16" customWidth="1"/>
  </cols>
  <sheetData>
    <row r="1" spans="1:2" ht="16.5" x14ac:dyDescent="0.25">
      <c r="A1" s="14" t="s">
        <v>89</v>
      </c>
    </row>
    <row r="2" spans="1:2" ht="16.5" x14ac:dyDescent="0.25">
      <c r="A2" s="15" t="s">
        <v>90</v>
      </c>
      <c r="B2" s="15">
        <f>IF(Calculator!$C$11="Yes",Calculator!$C$12,0)</f>
        <v>0</v>
      </c>
    </row>
    <row r="3" spans="1:2" ht="16.5" x14ac:dyDescent="0.25">
      <c r="A3" s="15" t="s">
        <v>91</v>
      </c>
      <c r="B3" s="15">
        <f>IF(Calculator!$C$11="Yes",Calculator!$C$13,0)</f>
        <v>0</v>
      </c>
    </row>
    <row r="4" spans="1:2" ht="16.5" x14ac:dyDescent="0.25">
      <c r="A4" s="15" t="s">
        <v>92</v>
      </c>
      <c r="B4" s="15">
        <f>Calculator!$C$14+Calculator!$C$15</f>
        <v>0</v>
      </c>
    </row>
    <row r="5" spans="1:2" ht="16.5" x14ac:dyDescent="0.25">
      <c r="A5" s="15" t="s">
        <v>93</v>
      </c>
      <c r="B5" s="15">
        <f>IF(Calculator!$C$16="Yes",IF($B$4&gt;0,$B$4,0),0)</f>
        <v>0</v>
      </c>
    </row>
    <row r="6" spans="1:2" ht="16.5" x14ac:dyDescent="0.25">
      <c r="A6" s="15" t="s">
        <v>94</v>
      </c>
      <c r="B6" s="15">
        <f>$B$4-$B$5</f>
        <v>0</v>
      </c>
    </row>
    <row r="7" spans="1:2" ht="16.5" x14ac:dyDescent="0.25">
      <c r="A7" s="15" t="s">
        <v>95</v>
      </c>
      <c r="B7" s="15">
        <f>MAX(0,$B$3-$B$2)</f>
        <v>0</v>
      </c>
    </row>
    <row r="8" spans="1:2" ht="16.5" x14ac:dyDescent="0.25">
      <c r="A8" s="15" t="s">
        <v>96</v>
      </c>
      <c r="B8" s="15">
        <f>MAX(0,Calculator!$C$9-Calculator!$C$10-$B$2+$B$3+$B$5)</f>
        <v>25000</v>
      </c>
    </row>
    <row r="9" spans="1:2" ht="16.5" x14ac:dyDescent="0.25">
      <c r="A9" s="15" t="s">
        <v>97</v>
      </c>
      <c r="B9" s="15">
        <f>IF($B$8&lt;=0.004,1,0)</f>
        <v>0</v>
      </c>
    </row>
    <row r="10" spans="1:2" ht="16.5" x14ac:dyDescent="0.25">
      <c r="A10" s="15" t="s">
        <v>98</v>
      </c>
      <c r="B10" s="15">
        <f>Calculator!$C$17/1200</f>
        <v>5.8333333333333336E-3</v>
      </c>
    </row>
    <row r="11" spans="1:2" ht="16.5" x14ac:dyDescent="0.25">
      <c r="A11" s="15" t="s">
        <v>99</v>
      </c>
      <c r="B11" s="15">
        <f>Calculator!$C$18</f>
        <v>60</v>
      </c>
    </row>
    <row r="12" spans="1:2" ht="16.5" x14ac:dyDescent="0.25">
      <c r="A12" s="15" t="s">
        <v>100</v>
      </c>
      <c r="B12" s="15">
        <f>IF($B$8&lt;=0.004,0,IF($B$10=0,$B$8/$B$11,$B$8*$B$10/(1-POWER(1+$B$10,-$B$11))))</f>
        <v>495.02996350873701</v>
      </c>
    </row>
    <row r="13" spans="1:2" ht="16.5" x14ac:dyDescent="0.25">
      <c r="A13" s="15" t="s">
        <v>101</v>
      </c>
      <c r="B13" s="15">
        <f>MIN($B$7,$B$8)</f>
        <v>0</v>
      </c>
    </row>
    <row r="14" spans="1:2" ht="16.5" x14ac:dyDescent="0.25">
      <c r="A14" s="15" t="s">
        <v>102</v>
      </c>
      <c r="B14" s="15">
        <f>Calculator!$C$10+$B$6</f>
        <v>5000</v>
      </c>
    </row>
    <row r="15" spans="1:2" ht="16.5" x14ac:dyDescent="0.25">
      <c r="A15" s="15" t="s">
        <v>103</v>
      </c>
      <c r="B15" s="15">
        <f>SUM($F$40:$F$124)</f>
        <v>4701.7978105243155</v>
      </c>
    </row>
    <row r="16" spans="1:2" ht="16.5" x14ac:dyDescent="0.25">
      <c r="A16" s="15" t="s">
        <v>104</v>
      </c>
      <c r="B16" s="15">
        <f>SUM($E$40:$E$124)</f>
        <v>29701.797810524291</v>
      </c>
    </row>
    <row r="17" spans="1:2" ht="16.5" x14ac:dyDescent="0.25">
      <c r="A17" s="15" t="s">
        <v>105</v>
      </c>
      <c r="B17" s="15">
        <f>Calculator!$C$9+$B$15+$B$4</f>
        <v>34701.797810524316</v>
      </c>
    </row>
    <row r="18" spans="1:2" ht="16.5" x14ac:dyDescent="0.25">
      <c r="A18" s="15" t="s">
        <v>106</v>
      </c>
      <c r="B18" s="15">
        <f>IF($B$10=0,Calculator!$C$35*$B$11,Calculator!$C$35*(1-POWER(1+$B$10,-$B$11))/$B$10)</f>
        <v>25250.996750582315</v>
      </c>
    </row>
    <row r="19" spans="1:2" ht="16.5" x14ac:dyDescent="0.25">
      <c r="A19" s="15" t="s">
        <v>107</v>
      </c>
      <c r="B19" s="15">
        <f>$B$18+Calculator!$C$10+$B$2-$B$3-$B$5</f>
        <v>30250.996750582315</v>
      </c>
    </row>
    <row r="20" spans="1:2" ht="16.5" x14ac:dyDescent="0.25">
      <c r="A20" s="15" t="s">
        <v>108</v>
      </c>
      <c r="B20" s="15">
        <f>IF($B$19&lt;=0.004,1,0)</f>
        <v>0</v>
      </c>
    </row>
    <row r="21" spans="1:2" ht="16.5" x14ac:dyDescent="0.25">
      <c r="A21" s="15" t="s">
        <v>109</v>
      </c>
      <c r="B21" s="15">
        <f>IF($B$20=1,0,FLOOR($B$19+0.000000001,1))</f>
        <v>30250</v>
      </c>
    </row>
    <row r="39" spans="4:15" ht="16.5" x14ac:dyDescent="0.25">
      <c r="D39" s="14" t="s">
        <v>38</v>
      </c>
      <c r="E39" s="14" t="s">
        <v>110</v>
      </c>
      <c r="F39" s="14" t="s">
        <v>111</v>
      </c>
      <c r="G39" s="14" t="s">
        <v>112</v>
      </c>
      <c r="J39" s="14" t="s">
        <v>113</v>
      </c>
      <c r="N39" s="14" t="s">
        <v>114</v>
      </c>
      <c r="O39" s="14" t="s">
        <v>115</v>
      </c>
    </row>
    <row r="40" spans="4:15" ht="16.5" x14ac:dyDescent="0.25">
      <c r="D40" s="15">
        <v>0</v>
      </c>
      <c r="E40" s="15">
        <f>0</f>
        <v>0</v>
      </c>
      <c r="F40" s="15">
        <f>0</f>
        <v>0</v>
      </c>
      <c r="G40" s="15">
        <f>$B$8</f>
        <v>25000</v>
      </c>
      <c r="J40" s="15">
        <f>$B$8</f>
        <v>25000</v>
      </c>
      <c r="N40" s="15">
        <f t="shared" ref="N40:N71" si="0">IF($D40&lt;=$B$11,G40,NA())</f>
        <v>25000</v>
      </c>
      <c r="O40" s="15" t="e">
        <f>IF(AND(Calculator!$C$19&gt;0,$D40&lt;=$B$11),J40,NA())</f>
        <v>#N/A</v>
      </c>
    </row>
    <row r="41" spans="4:15" ht="16.5" x14ac:dyDescent="0.25">
      <c r="D41" s="15">
        <v>1</v>
      </c>
      <c r="E41" s="15">
        <f t="shared" ref="E41:E72" si="1">IF(G40&lt;=0.004,0,IF(OR($D41=$B$11,$B$12&gt;=G40+(G40*$B$10)),G40+(G40*$B$10),$B$12))</f>
        <v>495.02996350873701</v>
      </c>
      <c r="F41" s="15">
        <f t="shared" ref="F41:F72" si="2">(G40*$B$10)</f>
        <v>145.83333333333334</v>
      </c>
      <c r="G41" s="15">
        <f t="shared" ref="G41:G72" si="3">MAX(0,G40-(E41-F41))</f>
        <v>24650.803369824596</v>
      </c>
      <c r="J41" s="15">
        <f>MAX(0,J40-(IF(J40&lt;=0.004,0,IF(OR(J40+(J40*$B$10)&lt;=($B$12+Calculator!$C$19),J40&lt;=0.004),J40+(J40*$B$10),($B$12+Calculator!$C$19)))-(J40*$B$10)))</f>
        <v>24650.803369824596</v>
      </c>
      <c r="N41" s="15">
        <f t="shared" si="0"/>
        <v>24650.803369824596</v>
      </c>
      <c r="O41" s="15" t="e">
        <f>IF(AND(Calculator!$C$19&gt;0,$D41&lt;=$B$11),J41,NA())</f>
        <v>#N/A</v>
      </c>
    </row>
    <row r="42" spans="4:15" ht="16.5" x14ac:dyDescent="0.25">
      <c r="D42" s="15">
        <v>2</v>
      </c>
      <c r="E42" s="15">
        <f t="shared" si="1"/>
        <v>495.02996350873701</v>
      </c>
      <c r="F42" s="15">
        <f t="shared" si="2"/>
        <v>143.7963529906435</v>
      </c>
      <c r="G42" s="15">
        <f t="shared" si="3"/>
        <v>24299.569759306502</v>
      </c>
      <c r="J42" s="15">
        <f>MAX(0,J41-(IF(J41&lt;=0.004,0,IF(OR(J41+(J41*$B$10)&lt;=($B$12+Calculator!$C$19),J41&lt;=0.004),J41+(J41*$B$10),($B$12+Calculator!$C$19)))-(J41*$B$10)))</f>
        <v>24299.569759306502</v>
      </c>
      <c r="N42" s="15">
        <f t="shared" si="0"/>
        <v>24299.569759306502</v>
      </c>
      <c r="O42" s="15" t="e">
        <f>IF(AND(Calculator!$C$19&gt;0,$D42&lt;=$B$11),J42,NA())</f>
        <v>#N/A</v>
      </c>
    </row>
    <row r="43" spans="4:15" ht="16.5" x14ac:dyDescent="0.25">
      <c r="D43" s="15">
        <v>3</v>
      </c>
      <c r="E43" s="15">
        <f t="shared" si="1"/>
        <v>495.02996350873701</v>
      </c>
      <c r="F43" s="15">
        <f t="shared" si="2"/>
        <v>141.74749026262126</v>
      </c>
      <c r="G43" s="15">
        <f t="shared" si="3"/>
        <v>23946.287286060386</v>
      </c>
      <c r="J43" s="15">
        <f>MAX(0,J42-(IF(J42&lt;=0.004,0,IF(OR(J42+(J42*$B$10)&lt;=($B$12+Calculator!$C$19),J42&lt;=0.004),J42+(J42*$B$10),($B$12+Calculator!$C$19)))-(J42*$B$10)))</f>
        <v>23946.287286060386</v>
      </c>
      <c r="N43" s="15">
        <f t="shared" si="0"/>
        <v>23946.287286060386</v>
      </c>
      <c r="O43" s="15" t="e">
        <f>IF(AND(Calculator!$C$19&gt;0,$D43&lt;=$B$11),J43,NA())</f>
        <v>#N/A</v>
      </c>
    </row>
    <row r="44" spans="4:15" ht="16.5" x14ac:dyDescent="0.25">
      <c r="D44" s="15">
        <v>4</v>
      </c>
      <c r="E44" s="15">
        <f t="shared" si="1"/>
        <v>495.02996350873701</v>
      </c>
      <c r="F44" s="15">
        <f t="shared" si="2"/>
        <v>139.68667583535225</v>
      </c>
      <c r="G44" s="15">
        <f t="shared" si="3"/>
        <v>23590.943998387</v>
      </c>
      <c r="J44" s="15">
        <f>MAX(0,J43-(IF(J43&lt;=0.004,0,IF(OR(J43+(J43*$B$10)&lt;=($B$12+Calculator!$C$19),J43&lt;=0.004),J43+(J43*$B$10),($B$12+Calculator!$C$19)))-(J43*$B$10)))</f>
        <v>23590.943998387</v>
      </c>
      <c r="N44" s="15">
        <f t="shared" si="0"/>
        <v>23590.943998387</v>
      </c>
      <c r="O44" s="15" t="e">
        <f>IF(AND(Calculator!$C$19&gt;0,$D44&lt;=$B$11),J44,NA())</f>
        <v>#N/A</v>
      </c>
    </row>
    <row r="45" spans="4:15" ht="16.5" x14ac:dyDescent="0.25">
      <c r="D45" s="15">
        <v>5</v>
      </c>
      <c r="E45" s="15">
        <f t="shared" si="1"/>
        <v>495.02996350873701</v>
      </c>
      <c r="F45" s="15">
        <f t="shared" si="2"/>
        <v>137.61383999059083</v>
      </c>
      <c r="G45" s="15">
        <f t="shared" si="3"/>
        <v>23233.527874868854</v>
      </c>
      <c r="J45" s="15">
        <f>MAX(0,J44-(IF(J44&lt;=0.004,0,IF(OR(J44+(J44*$B$10)&lt;=($B$12+Calculator!$C$19),J44&lt;=0.004),J44+(J44*$B$10),($B$12+Calculator!$C$19)))-(J44*$B$10)))</f>
        <v>23233.527874868854</v>
      </c>
      <c r="N45" s="15">
        <f t="shared" si="0"/>
        <v>23233.527874868854</v>
      </c>
      <c r="O45" s="15" t="e">
        <f>IF(AND(Calculator!$C$19&gt;0,$D45&lt;=$B$11),J45,NA())</f>
        <v>#N/A</v>
      </c>
    </row>
    <row r="46" spans="4:15" ht="16.5" x14ac:dyDescent="0.25">
      <c r="D46" s="15">
        <v>6</v>
      </c>
      <c r="E46" s="15">
        <f t="shared" si="1"/>
        <v>495.02996350873701</v>
      </c>
      <c r="F46" s="15">
        <f t="shared" si="2"/>
        <v>135.52891260340166</v>
      </c>
      <c r="G46" s="15">
        <f t="shared" si="3"/>
        <v>22874.026823963519</v>
      </c>
      <c r="J46" s="15">
        <f>MAX(0,J45-(IF(J45&lt;=0.004,0,IF(OR(J45+(J45*$B$10)&lt;=($B$12+Calculator!$C$19),J45&lt;=0.004),J45+(J45*$B$10),($B$12+Calculator!$C$19)))-(J45*$B$10)))</f>
        <v>22874.026823963519</v>
      </c>
      <c r="N46" s="15">
        <f t="shared" si="0"/>
        <v>22874.026823963519</v>
      </c>
      <c r="O46" s="15" t="e">
        <f>IF(AND(Calculator!$C$19&gt;0,$D46&lt;=$B$11),J46,NA())</f>
        <v>#N/A</v>
      </c>
    </row>
    <row r="47" spans="4:15" ht="16.5" x14ac:dyDescent="0.25">
      <c r="D47" s="15">
        <v>7</v>
      </c>
      <c r="E47" s="15">
        <f t="shared" si="1"/>
        <v>495.02996350873701</v>
      </c>
      <c r="F47" s="15">
        <f t="shared" si="2"/>
        <v>133.43182313978721</v>
      </c>
      <c r="G47" s="15">
        <f t="shared" si="3"/>
        <v>22512.428683594568</v>
      </c>
      <c r="J47" s="15">
        <f>MAX(0,J46-(IF(J46&lt;=0.004,0,IF(OR(J46+(J46*$B$10)&lt;=($B$12+Calculator!$C$19),J46&lt;=0.004),J46+(J46*$B$10),($B$12+Calculator!$C$19)))-(J46*$B$10)))</f>
        <v>22512.428683594568</v>
      </c>
      <c r="N47" s="15">
        <f t="shared" si="0"/>
        <v>22512.428683594568</v>
      </c>
      <c r="O47" s="15" t="e">
        <f>IF(AND(Calculator!$C$19&gt;0,$D47&lt;=$B$11),J47,NA())</f>
        <v>#N/A</v>
      </c>
    </row>
    <row r="48" spans="4:15" ht="16.5" x14ac:dyDescent="0.25">
      <c r="D48" s="15">
        <v>8</v>
      </c>
      <c r="E48" s="15">
        <f t="shared" si="1"/>
        <v>495.02996350873701</v>
      </c>
      <c r="F48" s="15">
        <f t="shared" si="2"/>
        <v>131.32250065430165</v>
      </c>
      <c r="G48" s="15">
        <f t="shared" si="3"/>
        <v>22148.721220740132</v>
      </c>
      <c r="J48" s="15">
        <f>MAX(0,J47-(IF(J47&lt;=0.004,0,IF(OR(J47+(J47*$B$10)&lt;=($B$12+Calculator!$C$19),J47&lt;=0.004),J47+(J47*$B$10),($B$12+Calculator!$C$19)))-(J47*$B$10)))</f>
        <v>22148.721220740132</v>
      </c>
      <c r="N48" s="15">
        <f t="shared" si="0"/>
        <v>22148.721220740132</v>
      </c>
      <c r="O48" s="15" t="e">
        <f>IF(AND(Calculator!$C$19&gt;0,$D48&lt;=$B$11),J48,NA())</f>
        <v>#N/A</v>
      </c>
    </row>
    <row r="49" spans="4:15" ht="16.5" x14ac:dyDescent="0.25">
      <c r="D49" s="15">
        <v>9</v>
      </c>
      <c r="E49" s="15">
        <f t="shared" si="1"/>
        <v>495.02996350873701</v>
      </c>
      <c r="F49" s="15">
        <f t="shared" si="2"/>
        <v>129.20087378765078</v>
      </c>
      <c r="G49" s="15">
        <f t="shared" si="3"/>
        <v>21782.892131019045</v>
      </c>
      <c r="J49" s="15">
        <f>MAX(0,J48-(IF(J48&lt;=0.004,0,IF(OR(J48+(J48*$B$10)&lt;=($B$12+Calculator!$C$19),J48&lt;=0.004),J48+(J48*$B$10),($B$12+Calculator!$C$19)))-(J48*$B$10)))</f>
        <v>21782.892131019045</v>
      </c>
      <c r="N49" s="15">
        <f t="shared" si="0"/>
        <v>21782.892131019045</v>
      </c>
      <c r="O49" s="15" t="e">
        <f>IF(AND(Calculator!$C$19&gt;0,$D49&lt;=$B$11),J49,NA())</f>
        <v>#N/A</v>
      </c>
    </row>
    <row r="50" spans="4:15" ht="16.5" x14ac:dyDescent="0.25">
      <c r="D50" s="15">
        <v>10</v>
      </c>
      <c r="E50" s="15">
        <f t="shared" si="1"/>
        <v>495.02996350873701</v>
      </c>
      <c r="F50" s="15">
        <f t="shared" si="2"/>
        <v>127.06687076427777</v>
      </c>
      <c r="G50" s="15">
        <f t="shared" si="3"/>
        <v>21414.929038274586</v>
      </c>
      <c r="J50" s="15">
        <f>MAX(0,J49-(IF(J49&lt;=0.004,0,IF(OR(J49+(J49*$B$10)&lt;=($B$12+Calculator!$C$19),J49&lt;=0.004),J49+(J49*$B$10),($B$12+Calculator!$C$19)))-(J49*$B$10)))</f>
        <v>21414.929038274586</v>
      </c>
      <c r="N50" s="15">
        <f t="shared" si="0"/>
        <v>21414.929038274586</v>
      </c>
      <c r="O50" s="15" t="e">
        <f>IF(AND(Calculator!$C$19&gt;0,$D50&lt;=$B$11),J50,NA())</f>
        <v>#N/A</v>
      </c>
    </row>
    <row r="51" spans="4:15" ht="16.5" x14ac:dyDescent="0.25">
      <c r="D51" s="15">
        <v>11</v>
      </c>
      <c r="E51" s="15">
        <f t="shared" si="1"/>
        <v>495.02996350873701</v>
      </c>
      <c r="F51" s="15">
        <f t="shared" si="2"/>
        <v>124.92041938993509</v>
      </c>
      <c r="G51" s="15">
        <f t="shared" si="3"/>
        <v>21044.819494155785</v>
      </c>
      <c r="J51" s="15">
        <f>MAX(0,J50-(IF(J50&lt;=0.004,0,IF(OR(J50+(J50*$B$10)&lt;=($B$12+Calculator!$C$19),J50&lt;=0.004),J50+(J50*$B$10),($B$12+Calculator!$C$19)))-(J50*$B$10)))</f>
        <v>21044.819494155785</v>
      </c>
      <c r="N51" s="15">
        <f t="shared" si="0"/>
        <v>21044.819494155785</v>
      </c>
      <c r="O51" s="15" t="e">
        <f>IF(AND(Calculator!$C$19&gt;0,$D51&lt;=$B$11),J51,NA())</f>
        <v>#N/A</v>
      </c>
    </row>
    <row r="52" spans="4:15" ht="16.5" x14ac:dyDescent="0.25">
      <c r="D52" s="15">
        <v>12</v>
      </c>
      <c r="E52" s="15">
        <f t="shared" si="1"/>
        <v>495.02996350873701</v>
      </c>
      <c r="F52" s="15">
        <f t="shared" si="2"/>
        <v>122.76144704924208</v>
      </c>
      <c r="G52" s="15">
        <f t="shared" si="3"/>
        <v>20672.55097769629</v>
      </c>
      <c r="J52" s="15">
        <f>MAX(0,J51-(IF(J51&lt;=0.004,0,IF(OR(J51+(J51*$B$10)&lt;=($B$12+Calculator!$C$19),J51&lt;=0.004),J51+(J51*$B$10),($B$12+Calculator!$C$19)))-(J51*$B$10)))</f>
        <v>20672.55097769629</v>
      </c>
      <c r="N52" s="15">
        <f t="shared" si="0"/>
        <v>20672.55097769629</v>
      </c>
      <c r="O52" s="15" t="e">
        <f>IF(AND(Calculator!$C$19&gt;0,$D52&lt;=$B$11),J52,NA())</f>
        <v>#N/A</v>
      </c>
    </row>
    <row r="53" spans="4:15" ht="16.5" x14ac:dyDescent="0.25">
      <c r="D53" s="15">
        <v>13</v>
      </c>
      <c r="E53" s="15">
        <f t="shared" si="1"/>
        <v>495.02996350873701</v>
      </c>
      <c r="F53" s="15">
        <f t="shared" si="2"/>
        <v>120.58988070322836</v>
      </c>
      <c r="G53" s="15">
        <f t="shared" si="3"/>
        <v>20298.110894890782</v>
      </c>
      <c r="J53" s="15">
        <f>MAX(0,J52-(IF(J52&lt;=0.004,0,IF(OR(J52+(J52*$B$10)&lt;=($B$12+Calculator!$C$19),J52&lt;=0.004),J52+(J52*$B$10),($B$12+Calculator!$C$19)))-(J52*$B$10)))</f>
        <v>20298.110894890782</v>
      </c>
      <c r="N53" s="15">
        <f t="shared" si="0"/>
        <v>20298.110894890782</v>
      </c>
      <c r="O53" s="15" t="e">
        <f>IF(AND(Calculator!$C$19&gt;0,$D53&lt;=$B$11),J53,NA())</f>
        <v>#N/A</v>
      </c>
    </row>
    <row r="54" spans="4:15" ht="16.5" x14ac:dyDescent="0.25">
      <c r="D54" s="15">
        <v>14</v>
      </c>
      <c r="E54" s="15">
        <f t="shared" si="1"/>
        <v>495.02996350873701</v>
      </c>
      <c r="F54" s="15">
        <f t="shared" si="2"/>
        <v>118.4056468868629</v>
      </c>
      <c r="G54" s="15">
        <f t="shared" si="3"/>
        <v>19921.486578268908</v>
      </c>
      <c r="J54" s="15">
        <f>MAX(0,J53-(IF(J53&lt;=0.004,0,IF(OR(J53+(J53*$B$10)&lt;=($B$12+Calculator!$C$19),J53&lt;=0.004),J53+(J53*$B$10),($B$12+Calculator!$C$19)))-(J53*$B$10)))</f>
        <v>19921.486578268908</v>
      </c>
      <c r="N54" s="15">
        <f t="shared" si="0"/>
        <v>19921.486578268908</v>
      </c>
      <c r="O54" s="15" t="e">
        <f>IF(AND(Calculator!$C$19&gt;0,$D54&lt;=$B$11),J54,NA())</f>
        <v>#N/A</v>
      </c>
    </row>
    <row r="55" spans="4:15" ht="16.5" x14ac:dyDescent="0.25">
      <c r="D55" s="15">
        <v>15</v>
      </c>
      <c r="E55" s="15">
        <f t="shared" si="1"/>
        <v>495.02996350873701</v>
      </c>
      <c r="F55" s="15">
        <f t="shared" si="2"/>
        <v>116.20867170656864</v>
      </c>
      <c r="G55" s="15">
        <f t="shared" si="3"/>
        <v>19542.665286466741</v>
      </c>
      <c r="J55" s="15">
        <f>MAX(0,J54-(IF(J54&lt;=0.004,0,IF(OR(J54+(J54*$B$10)&lt;=($B$12+Calculator!$C$19),J54&lt;=0.004),J54+(J54*$B$10),($B$12+Calculator!$C$19)))-(J54*$B$10)))</f>
        <v>19542.665286466741</v>
      </c>
      <c r="N55" s="15">
        <f t="shared" si="0"/>
        <v>19542.665286466741</v>
      </c>
      <c r="O55" s="15" t="e">
        <f>IF(AND(Calculator!$C$19&gt;0,$D55&lt;=$B$11),J55,NA())</f>
        <v>#N/A</v>
      </c>
    </row>
    <row r="56" spans="4:15" ht="16.5" x14ac:dyDescent="0.25">
      <c r="D56" s="15">
        <v>16</v>
      </c>
      <c r="E56" s="15">
        <f t="shared" si="1"/>
        <v>495.02996350873701</v>
      </c>
      <c r="F56" s="15">
        <f t="shared" si="2"/>
        <v>113.99888083772267</v>
      </c>
      <c r="G56" s="15">
        <f t="shared" si="3"/>
        <v>19161.634203795726</v>
      </c>
      <c r="J56" s="15">
        <f>MAX(0,J55-(IF(J55&lt;=0.004,0,IF(OR(J55+(J55*$B$10)&lt;=($B$12+Calculator!$C$19),J55&lt;=0.004),J55+(J55*$B$10),($B$12+Calculator!$C$19)))-(J55*$B$10)))</f>
        <v>19161.634203795726</v>
      </c>
      <c r="N56" s="15">
        <f t="shared" si="0"/>
        <v>19161.634203795726</v>
      </c>
      <c r="O56" s="15" t="e">
        <f>IF(AND(Calculator!$C$19&gt;0,$D56&lt;=$B$11),J56,NA())</f>
        <v>#N/A</v>
      </c>
    </row>
    <row r="57" spans="4:15" ht="16.5" x14ac:dyDescent="0.25">
      <c r="D57" s="15">
        <v>17</v>
      </c>
      <c r="E57" s="15">
        <f t="shared" si="1"/>
        <v>495.02996350873701</v>
      </c>
      <c r="F57" s="15">
        <f t="shared" si="2"/>
        <v>111.77619952214174</v>
      </c>
      <c r="G57" s="15">
        <f t="shared" si="3"/>
        <v>18778.380439809131</v>
      </c>
      <c r="J57" s="15">
        <f>MAX(0,J56-(IF(J56&lt;=0.004,0,IF(OR(J56+(J56*$B$10)&lt;=($B$12+Calculator!$C$19),J56&lt;=0.004),J56+(J56*$B$10),($B$12+Calculator!$C$19)))-(J56*$B$10)))</f>
        <v>18778.380439809131</v>
      </c>
      <c r="N57" s="15">
        <f t="shared" si="0"/>
        <v>18778.380439809131</v>
      </c>
      <c r="O57" s="15" t="e">
        <f>IF(AND(Calculator!$C$19&gt;0,$D57&lt;=$B$11),J57,NA())</f>
        <v>#N/A</v>
      </c>
    </row>
    <row r="58" spans="4:15" ht="16.5" x14ac:dyDescent="0.25">
      <c r="D58" s="15">
        <v>18</v>
      </c>
      <c r="E58" s="15">
        <f t="shared" si="1"/>
        <v>495.02996350873701</v>
      </c>
      <c r="F58" s="15">
        <f t="shared" si="2"/>
        <v>109.54055256555327</v>
      </c>
      <c r="G58" s="15">
        <f t="shared" si="3"/>
        <v>18392.891028865946</v>
      </c>
      <c r="J58" s="15">
        <f>MAX(0,J57-(IF(J57&lt;=0.004,0,IF(OR(J57+(J57*$B$10)&lt;=($B$12+Calculator!$C$19),J57&lt;=0.004),J57+(J57*$B$10),($B$12+Calculator!$C$19)))-(J57*$B$10)))</f>
        <v>18392.891028865946</v>
      </c>
      <c r="N58" s="15">
        <f t="shared" si="0"/>
        <v>18392.891028865946</v>
      </c>
      <c r="O58" s="15" t="e">
        <f>IF(AND(Calculator!$C$19&gt;0,$D58&lt;=$B$11),J58,NA())</f>
        <v>#N/A</v>
      </c>
    </row>
    <row r="59" spans="4:15" ht="16.5" x14ac:dyDescent="0.25">
      <c r="D59" s="15">
        <v>19</v>
      </c>
      <c r="E59" s="15">
        <f t="shared" si="1"/>
        <v>495.02996350873701</v>
      </c>
      <c r="F59" s="15">
        <f t="shared" si="2"/>
        <v>107.29186433505136</v>
      </c>
      <c r="G59" s="15">
        <f t="shared" si="3"/>
        <v>18005.15292969226</v>
      </c>
      <c r="J59" s="15">
        <f>MAX(0,J58-(IF(J58&lt;=0.004,0,IF(OR(J58+(J58*$B$10)&lt;=($B$12+Calculator!$C$19),J58&lt;=0.004),J58+(J58*$B$10),($B$12+Calculator!$C$19)))-(J58*$B$10)))</f>
        <v>18005.15292969226</v>
      </c>
      <c r="N59" s="15">
        <f t="shared" si="0"/>
        <v>18005.15292969226</v>
      </c>
      <c r="O59" s="15" t="e">
        <f>IF(AND(Calculator!$C$19&gt;0,$D59&lt;=$B$11),J59,NA())</f>
        <v>#N/A</v>
      </c>
    </row>
    <row r="60" spans="4:15" ht="16.5" x14ac:dyDescent="0.25">
      <c r="D60" s="15">
        <v>20</v>
      </c>
      <c r="E60" s="15">
        <f t="shared" si="1"/>
        <v>495.02996350873701</v>
      </c>
      <c r="F60" s="15">
        <f t="shared" si="2"/>
        <v>105.03005875653818</v>
      </c>
      <c r="G60" s="15">
        <f t="shared" si="3"/>
        <v>17615.15302494006</v>
      </c>
      <c r="J60" s="15">
        <f>MAX(0,J59-(IF(J59&lt;=0.004,0,IF(OR(J59+(J59*$B$10)&lt;=($B$12+Calculator!$C$19),J59&lt;=0.004),J59+(J59*$B$10),($B$12+Calculator!$C$19)))-(J59*$B$10)))</f>
        <v>17615.15302494006</v>
      </c>
      <c r="N60" s="15">
        <f t="shared" si="0"/>
        <v>17615.15302494006</v>
      </c>
      <c r="O60" s="15" t="e">
        <f>IF(AND(Calculator!$C$19&gt;0,$D60&lt;=$B$11),J60,NA())</f>
        <v>#N/A</v>
      </c>
    </row>
    <row r="61" spans="4:15" ht="16.5" x14ac:dyDescent="0.25">
      <c r="D61" s="15">
        <v>21</v>
      </c>
      <c r="E61" s="15">
        <f t="shared" si="1"/>
        <v>495.02996350873701</v>
      </c>
      <c r="F61" s="15">
        <f t="shared" si="2"/>
        <v>102.75505931215035</v>
      </c>
      <c r="G61" s="15">
        <f t="shared" si="3"/>
        <v>17222.878120743473</v>
      </c>
      <c r="J61" s="15">
        <f>MAX(0,J60-(IF(J60&lt;=0.004,0,IF(OR(J60+(J60*$B$10)&lt;=($B$12+Calculator!$C$19),J60&lt;=0.004),J60+(J60*$B$10),($B$12+Calculator!$C$19)))-(J60*$B$10)))</f>
        <v>17222.878120743473</v>
      </c>
      <c r="N61" s="15">
        <f t="shared" si="0"/>
        <v>17222.878120743473</v>
      </c>
      <c r="O61" s="15" t="e">
        <f>IF(AND(Calculator!$C$19&gt;0,$D61&lt;=$B$11),J61,NA())</f>
        <v>#N/A</v>
      </c>
    </row>
    <row r="62" spans="4:15" ht="16.5" x14ac:dyDescent="0.25">
      <c r="D62" s="15">
        <v>22</v>
      </c>
      <c r="E62" s="15">
        <f t="shared" si="1"/>
        <v>495.02996350873701</v>
      </c>
      <c r="F62" s="15">
        <f t="shared" si="2"/>
        <v>100.46678903767027</v>
      </c>
      <c r="G62" s="15">
        <f t="shared" si="3"/>
        <v>16828.314946272407</v>
      </c>
      <c r="J62" s="15">
        <f>MAX(0,J61-(IF(J61&lt;=0.004,0,IF(OR(J61+(J61*$B$10)&lt;=($B$12+Calculator!$C$19),J61&lt;=0.004),J61+(J61*$B$10),($B$12+Calculator!$C$19)))-(J61*$B$10)))</f>
        <v>16828.314946272407</v>
      </c>
      <c r="N62" s="15">
        <f t="shared" si="0"/>
        <v>16828.314946272407</v>
      </c>
      <c r="O62" s="15" t="e">
        <f>IF(AND(Calculator!$C$19&gt;0,$D62&lt;=$B$11),J62,NA())</f>
        <v>#N/A</v>
      </c>
    </row>
    <row r="63" spans="4:15" ht="16.5" x14ac:dyDescent="0.25">
      <c r="D63" s="15">
        <v>23</v>
      </c>
      <c r="E63" s="15">
        <f t="shared" si="1"/>
        <v>495.02996350873701</v>
      </c>
      <c r="F63" s="15">
        <f t="shared" si="2"/>
        <v>98.165170519922384</v>
      </c>
      <c r="G63" s="15">
        <f t="shared" si="3"/>
        <v>16431.450153283593</v>
      </c>
      <c r="J63" s="15">
        <f>MAX(0,J62-(IF(J62&lt;=0.004,0,IF(OR(J62+(J62*$B$10)&lt;=($B$12+Calculator!$C$19),J62&lt;=0.004),J62+(J62*$B$10),($B$12+Calculator!$C$19)))-(J62*$B$10)))</f>
        <v>16431.450153283593</v>
      </c>
      <c r="N63" s="15">
        <f t="shared" si="0"/>
        <v>16431.450153283593</v>
      </c>
      <c r="O63" s="15" t="e">
        <f>IF(AND(Calculator!$C$19&gt;0,$D63&lt;=$B$11),J63,NA())</f>
        <v>#N/A</v>
      </c>
    </row>
    <row r="64" spans="4:15" ht="16.5" x14ac:dyDescent="0.25">
      <c r="D64" s="15">
        <v>24</v>
      </c>
      <c r="E64" s="15">
        <f t="shared" si="1"/>
        <v>495.02996350873701</v>
      </c>
      <c r="F64" s="15">
        <f t="shared" si="2"/>
        <v>95.850125894154303</v>
      </c>
      <c r="G64" s="15">
        <f t="shared" si="3"/>
        <v>16032.27031566901</v>
      </c>
      <c r="J64" s="15">
        <f>MAX(0,J63-(IF(J63&lt;=0.004,0,IF(OR(J63+(J63*$B$10)&lt;=($B$12+Calculator!$C$19),J63&lt;=0.004),J63+(J63*$B$10),($B$12+Calculator!$C$19)))-(J63*$B$10)))</f>
        <v>16032.27031566901</v>
      </c>
      <c r="N64" s="15">
        <f t="shared" si="0"/>
        <v>16032.27031566901</v>
      </c>
      <c r="O64" s="15" t="e">
        <f>IF(AND(Calculator!$C$19&gt;0,$D64&lt;=$B$11),J64,NA())</f>
        <v>#N/A</v>
      </c>
    </row>
    <row r="65" spans="4:15" ht="16.5" x14ac:dyDescent="0.25">
      <c r="D65" s="15">
        <v>25</v>
      </c>
      <c r="E65" s="15">
        <f t="shared" si="1"/>
        <v>495.02996350873701</v>
      </c>
      <c r="F65" s="15">
        <f t="shared" si="2"/>
        <v>93.521576841402563</v>
      </c>
      <c r="G65" s="15">
        <f t="shared" si="3"/>
        <v>15630.761929001676</v>
      </c>
      <c r="J65" s="15">
        <f>MAX(0,J64-(IF(J64&lt;=0.004,0,IF(OR(J64+(J64*$B$10)&lt;=($B$12+Calculator!$C$19),J64&lt;=0.004),J64+(J64*$B$10),($B$12+Calculator!$C$19)))-(J64*$B$10)))</f>
        <v>15630.761929001676</v>
      </c>
      <c r="N65" s="15">
        <f t="shared" si="0"/>
        <v>15630.761929001676</v>
      </c>
      <c r="O65" s="15" t="e">
        <f>IF(AND(Calculator!$C$19&gt;0,$D65&lt;=$B$11),J65,NA())</f>
        <v>#N/A</v>
      </c>
    </row>
    <row r="66" spans="4:15" ht="16.5" x14ac:dyDescent="0.25">
      <c r="D66" s="15">
        <v>26</v>
      </c>
      <c r="E66" s="15">
        <f t="shared" si="1"/>
        <v>495.02996350873701</v>
      </c>
      <c r="F66" s="15">
        <f t="shared" si="2"/>
        <v>91.179444585843115</v>
      </c>
      <c r="G66" s="15">
        <f t="shared" si="3"/>
        <v>15226.911410078781</v>
      </c>
      <c r="J66" s="15">
        <f>MAX(0,J65-(IF(J65&lt;=0.004,0,IF(OR(J65+(J65*$B$10)&lt;=($B$12+Calculator!$C$19),J65&lt;=0.004),J65+(J65*$B$10),($B$12+Calculator!$C$19)))-(J65*$B$10)))</f>
        <v>15226.911410078781</v>
      </c>
      <c r="N66" s="15">
        <f t="shared" si="0"/>
        <v>15226.911410078781</v>
      </c>
      <c r="O66" s="15" t="e">
        <f>IF(AND(Calculator!$C$19&gt;0,$D66&lt;=$B$11),J66,NA())</f>
        <v>#N/A</v>
      </c>
    </row>
    <row r="67" spans="4:15" ht="16.5" x14ac:dyDescent="0.25">
      <c r="D67" s="15">
        <v>27</v>
      </c>
      <c r="E67" s="15">
        <f t="shared" si="1"/>
        <v>495.02996350873701</v>
      </c>
      <c r="F67" s="15">
        <f t="shared" si="2"/>
        <v>88.823649892126227</v>
      </c>
      <c r="G67" s="15">
        <f t="shared" si="3"/>
        <v>14820.70509646217</v>
      </c>
      <c r="J67" s="15">
        <f>MAX(0,J66-(IF(J66&lt;=0.004,0,IF(OR(J66+(J66*$B$10)&lt;=($B$12+Calculator!$C$19),J66&lt;=0.004),J66+(J66*$B$10),($B$12+Calculator!$C$19)))-(J66*$B$10)))</f>
        <v>14820.70509646217</v>
      </c>
      <c r="N67" s="15">
        <f t="shared" si="0"/>
        <v>14820.70509646217</v>
      </c>
      <c r="O67" s="15" t="e">
        <f>IF(AND(Calculator!$C$19&gt;0,$D67&lt;=$B$11),J67,NA())</f>
        <v>#N/A</v>
      </c>
    </row>
    <row r="68" spans="4:15" ht="16.5" x14ac:dyDescent="0.25">
      <c r="D68" s="15">
        <v>28</v>
      </c>
      <c r="E68" s="15">
        <f t="shared" si="1"/>
        <v>495.02996350873701</v>
      </c>
      <c r="F68" s="15">
        <f t="shared" si="2"/>
        <v>86.454113062695995</v>
      </c>
      <c r="G68" s="15">
        <f t="shared" si="3"/>
        <v>14412.129246016129</v>
      </c>
      <c r="J68" s="15">
        <f>MAX(0,J67-(IF(J67&lt;=0.004,0,IF(OR(J67+(J67*$B$10)&lt;=($B$12+Calculator!$C$19),J67&lt;=0.004),J67+(J67*$B$10),($B$12+Calculator!$C$19)))-(J67*$B$10)))</f>
        <v>14412.129246016129</v>
      </c>
      <c r="N68" s="15">
        <f t="shared" si="0"/>
        <v>14412.129246016129</v>
      </c>
      <c r="O68" s="15" t="e">
        <f>IF(AND(Calculator!$C$19&gt;0,$D68&lt;=$B$11),J68,NA())</f>
        <v>#N/A</v>
      </c>
    </row>
    <row r="69" spans="4:15" ht="16.5" x14ac:dyDescent="0.25">
      <c r="D69" s="15">
        <v>29</v>
      </c>
      <c r="E69" s="15">
        <f t="shared" si="1"/>
        <v>495.02996350873701</v>
      </c>
      <c r="F69" s="15">
        <f t="shared" si="2"/>
        <v>84.070753935094089</v>
      </c>
      <c r="G69" s="15">
        <f t="shared" si="3"/>
        <v>14001.170036442487</v>
      </c>
      <c r="J69" s="15">
        <f>MAX(0,J68-(IF(J68&lt;=0.004,0,IF(OR(J68+(J68*$B$10)&lt;=($B$12+Calculator!$C$19),J68&lt;=0.004),J68+(J68*$B$10),($B$12+Calculator!$C$19)))-(J68*$B$10)))</f>
        <v>14001.170036442487</v>
      </c>
      <c r="N69" s="15">
        <f t="shared" si="0"/>
        <v>14001.170036442487</v>
      </c>
      <c r="O69" s="15" t="e">
        <f>IF(AND(Calculator!$C$19&gt;0,$D69&lt;=$B$11),J69,NA())</f>
        <v>#N/A</v>
      </c>
    </row>
    <row r="70" spans="4:15" ht="16.5" x14ac:dyDescent="0.25">
      <c r="D70" s="15">
        <v>30</v>
      </c>
      <c r="E70" s="15">
        <f t="shared" si="1"/>
        <v>495.02996350873701</v>
      </c>
      <c r="F70" s="15">
        <f t="shared" si="2"/>
        <v>81.673491879247848</v>
      </c>
      <c r="G70" s="15">
        <f t="shared" si="3"/>
        <v>13587.813564812997</v>
      </c>
      <c r="J70" s="15">
        <f>MAX(0,J69-(IF(J69&lt;=0.004,0,IF(OR(J69+(J69*$B$10)&lt;=($B$12+Calculator!$C$19),J69&lt;=0.004),J69+(J69*$B$10),($B$12+Calculator!$C$19)))-(J69*$B$10)))</f>
        <v>13587.813564812997</v>
      </c>
      <c r="N70" s="15">
        <f t="shared" si="0"/>
        <v>13587.813564812997</v>
      </c>
      <c r="O70" s="15" t="e">
        <f>IF(AND(Calculator!$C$19&gt;0,$D70&lt;=$B$11),J70,NA())</f>
        <v>#N/A</v>
      </c>
    </row>
    <row r="71" spans="4:15" ht="16.5" x14ac:dyDescent="0.25">
      <c r="D71" s="15">
        <v>31</v>
      </c>
      <c r="E71" s="15">
        <f t="shared" si="1"/>
        <v>495.02996350873701</v>
      </c>
      <c r="F71" s="15">
        <f t="shared" si="2"/>
        <v>79.262245794742483</v>
      </c>
      <c r="G71" s="15">
        <f t="shared" si="3"/>
        <v>13172.045847099003</v>
      </c>
      <c r="J71" s="15">
        <f>MAX(0,J70-(IF(J70&lt;=0.004,0,IF(OR(J70+(J70*$B$10)&lt;=($B$12+Calculator!$C$19),J70&lt;=0.004),J70+(J70*$B$10),($B$12+Calculator!$C$19)))-(J70*$B$10)))</f>
        <v>13172.045847099003</v>
      </c>
      <c r="N71" s="15">
        <f t="shared" si="0"/>
        <v>13172.045847099003</v>
      </c>
      <c r="O71" s="15" t="e">
        <f>IF(AND(Calculator!$C$19&gt;0,$D71&lt;=$B$11),J71,NA())</f>
        <v>#N/A</v>
      </c>
    </row>
    <row r="72" spans="4:15" ht="16.5" x14ac:dyDescent="0.25">
      <c r="D72" s="15">
        <v>32</v>
      </c>
      <c r="E72" s="15">
        <f t="shared" si="1"/>
        <v>495.02996350873701</v>
      </c>
      <c r="F72" s="15">
        <f t="shared" si="2"/>
        <v>76.836934108077529</v>
      </c>
      <c r="G72" s="15">
        <f t="shared" si="3"/>
        <v>12753.852817698344</v>
      </c>
      <c r="J72" s="15">
        <f>MAX(0,J71-(IF(J71&lt;=0.004,0,IF(OR(J71+(J71*$B$10)&lt;=($B$12+Calculator!$C$19),J71&lt;=0.004),J71+(J71*$B$10),($B$12+Calculator!$C$19)))-(J71*$B$10)))</f>
        <v>12753.852817698344</v>
      </c>
      <c r="N72" s="15">
        <f t="shared" ref="N72:N103" si="4">IF($D72&lt;=$B$11,G72,NA())</f>
        <v>12753.852817698344</v>
      </c>
      <c r="O72" s="15" t="e">
        <f>IF(AND(Calculator!$C$19&gt;0,$D72&lt;=$B$11),J72,NA())</f>
        <v>#N/A</v>
      </c>
    </row>
    <row r="73" spans="4:15" ht="16.5" x14ac:dyDescent="0.25">
      <c r="D73" s="15">
        <v>33</v>
      </c>
      <c r="E73" s="15">
        <f t="shared" ref="E73:E104" si="5">IF(G72&lt;=0.004,0,IF(OR($D73=$B$11,$B$12&gt;=G72+(G72*$B$10)),G72+(G72*$B$10),$B$12))</f>
        <v>495.02996350873701</v>
      </c>
      <c r="F73" s="15">
        <f t="shared" ref="F73:F104" si="6">(G72*$B$10)</f>
        <v>74.397474769907006</v>
      </c>
      <c r="G73" s="15">
        <f t="shared" ref="G73:G104" si="7">MAX(0,G72-(E73-F73))</f>
        <v>12333.220328959513</v>
      </c>
      <c r="J73" s="15">
        <f>MAX(0,J72-(IF(J72&lt;=0.004,0,IF(OR(J72+(J72*$B$10)&lt;=($B$12+Calculator!$C$19),J72&lt;=0.004),J72+(J72*$B$10),($B$12+Calculator!$C$19)))-(J72*$B$10)))</f>
        <v>12333.220328959513</v>
      </c>
      <c r="N73" s="15">
        <f t="shared" si="4"/>
        <v>12333.220328959513</v>
      </c>
      <c r="O73" s="15" t="e">
        <f>IF(AND(Calculator!$C$19&gt;0,$D73&lt;=$B$11),J73,NA())</f>
        <v>#N/A</v>
      </c>
    </row>
    <row r="74" spans="4:15" ht="16.5" x14ac:dyDescent="0.25">
      <c r="D74" s="15">
        <v>34</v>
      </c>
      <c r="E74" s="15">
        <f t="shared" si="5"/>
        <v>495.02996350873701</v>
      </c>
      <c r="F74" s="15">
        <f t="shared" si="6"/>
        <v>71.943785252263822</v>
      </c>
      <c r="G74" s="15">
        <f t="shared" si="7"/>
        <v>11910.134150703039</v>
      </c>
      <c r="J74" s="15">
        <f>MAX(0,J73-(IF(J73&lt;=0.004,0,IF(OR(J73+(J73*$B$10)&lt;=($B$12+Calculator!$C$19),J73&lt;=0.004),J73+(J73*$B$10),($B$12+Calculator!$C$19)))-(J73*$B$10)))</f>
        <v>11910.134150703039</v>
      </c>
      <c r="N74" s="15">
        <f t="shared" si="4"/>
        <v>11910.134150703039</v>
      </c>
      <c r="O74" s="15" t="e">
        <f>IF(AND(Calculator!$C$19&gt;0,$D74&lt;=$B$11),J74,NA())</f>
        <v>#N/A</v>
      </c>
    </row>
    <row r="75" spans="4:15" ht="16.5" x14ac:dyDescent="0.25">
      <c r="D75" s="15">
        <v>35</v>
      </c>
      <c r="E75" s="15">
        <f t="shared" si="5"/>
        <v>495.02996350873701</v>
      </c>
      <c r="F75" s="15">
        <f t="shared" si="6"/>
        <v>69.475782545767728</v>
      </c>
      <c r="G75" s="15">
        <f t="shared" si="7"/>
        <v>11484.579969740071</v>
      </c>
      <c r="J75" s="15">
        <f>MAX(0,J74-(IF(J74&lt;=0.004,0,IF(OR(J74+(J74*$B$10)&lt;=($B$12+Calculator!$C$19),J74&lt;=0.004),J74+(J74*$B$10),($B$12+Calculator!$C$19)))-(J74*$B$10)))</f>
        <v>11484.579969740071</v>
      </c>
      <c r="N75" s="15">
        <f t="shared" si="4"/>
        <v>11484.579969740071</v>
      </c>
      <c r="O75" s="15" t="e">
        <f>IF(AND(Calculator!$C$19&gt;0,$D75&lt;=$B$11),J75,NA())</f>
        <v>#N/A</v>
      </c>
    </row>
    <row r="76" spans="4:15" ht="16.5" x14ac:dyDescent="0.25">
      <c r="D76" s="15">
        <v>36</v>
      </c>
      <c r="E76" s="15">
        <f t="shared" si="5"/>
        <v>495.02996350873701</v>
      </c>
      <c r="F76" s="15">
        <f t="shared" si="6"/>
        <v>66.993383156817089</v>
      </c>
      <c r="G76" s="15">
        <f t="shared" si="7"/>
        <v>11056.543389388151</v>
      </c>
      <c r="J76" s="15">
        <f>MAX(0,J75-(IF(J75&lt;=0.004,0,IF(OR(J75+(J75*$B$10)&lt;=($B$12+Calculator!$C$19),J75&lt;=0.004),J75+(J75*$B$10),($B$12+Calculator!$C$19)))-(J75*$B$10)))</f>
        <v>11056.543389388151</v>
      </c>
      <c r="N76" s="15">
        <f t="shared" si="4"/>
        <v>11056.543389388151</v>
      </c>
      <c r="O76" s="15" t="e">
        <f>IF(AND(Calculator!$C$19&gt;0,$D76&lt;=$B$11),J76,NA())</f>
        <v>#N/A</v>
      </c>
    </row>
    <row r="77" spans="4:15" ht="16.5" x14ac:dyDescent="0.25">
      <c r="D77" s="15">
        <v>37</v>
      </c>
      <c r="E77" s="15">
        <f t="shared" si="5"/>
        <v>495.02996350873701</v>
      </c>
      <c r="F77" s="15">
        <f t="shared" si="6"/>
        <v>64.496503104764216</v>
      </c>
      <c r="G77" s="15">
        <f t="shared" si="7"/>
        <v>10626.009928984178</v>
      </c>
      <c r="J77" s="15">
        <f>MAX(0,J76-(IF(J76&lt;=0.004,0,IF(OR(J76+(J76*$B$10)&lt;=($B$12+Calculator!$C$19),J76&lt;=0.004),J76+(J76*$B$10),($B$12+Calculator!$C$19)))-(J76*$B$10)))</f>
        <v>10626.009928984178</v>
      </c>
      <c r="N77" s="15">
        <f t="shared" si="4"/>
        <v>10626.009928984178</v>
      </c>
      <c r="O77" s="15" t="e">
        <f>IF(AND(Calculator!$C$19&gt;0,$D77&lt;=$B$11),J77,NA())</f>
        <v>#N/A</v>
      </c>
    </row>
    <row r="78" spans="4:15" ht="16.5" x14ac:dyDescent="0.25">
      <c r="D78" s="15">
        <v>38</v>
      </c>
      <c r="E78" s="15">
        <f t="shared" si="5"/>
        <v>495.02996350873701</v>
      </c>
      <c r="F78" s="15">
        <f t="shared" si="6"/>
        <v>61.985057919074379</v>
      </c>
      <c r="G78" s="15">
        <f t="shared" si="7"/>
        <v>10192.965023394516</v>
      </c>
      <c r="J78" s="15">
        <f>MAX(0,J77-(IF(J77&lt;=0.004,0,IF(OR(J77+(J77*$B$10)&lt;=($B$12+Calculator!$C$19),J77&lt;=0.004),J77+(J77*$B$10),($B$12+Calculator!$C$19)))-(J77*$B$10)))</f>
        <v>10192.965023394516</v>
      </c>
      <c r="N78" s="15">
        <f t="shared" si="4"/>
        <v>10192.965023394516</v>
      </c>
      <c r="O78" s="15" t="e">
        <f>IF(AND(Calculator!$C$19&gt;0,$D78&lt;=$B$11),J78,NA())</f>
        <v>#N/A</v>
      </c>
    </row>
    <row r="79" spans="4:15" ht="16.5" x14ac:dyDescent="0.25">
      <c r="D79" s="15">
        <v>39</v>
      </c>
      <c r="E79" s="15">
        <f t="shared" si="5"/>
        <v>495.02996350873701</v>
      </c>
      <c r="F79" s="15">
        <f t="shared" si="6"/>
        <v>59.458962636468009</v>
      </c>
      <c r="G79" s="15">
        <f t="shared" si="7"/>
        <v>9757.3940225222468</v>
      </c>
      <c r="J79" s="15">
        <f>MAX(0,J78-(IF(J78&lt;=0.004,0,IF(OR(J78+(J78*$B$10)&lt;=($B$12+Calculator!$C$19),J78&lt;=0.004),J78+(J78*$B$10),($B$12+Calculator!$C$19)))-(J78*$B$10)))</f>
        <v>9757.3940225222468</v>
      </c>
      <c r="N79" s="15">
        <f t="shared" si="4"/>
        <v>9757.3940225222468</v>
      </c>
      <c r="O79" s="15" t="e">
        <f>IF(AND(Calculator!$C$19&gt;0,$D79&lt;=$B$11),J79,NA())</f>
        <v>#N/A</v>
      </c>
    </row>
    <row r="80" spans="4:15" ht="16.5" x14ac:dyDescent="0.25">
      <c r="D80" s="15">
        <v>40</v>
      </c>
      <c r="E80" s="15">
        <f t="shared" si="5"/>
        <v>495.02996350873701</v>
      </c>
      <c r="F80" s="15">
        <f t="shared" si="6"/>
        <v>56.918131798046446</v>
      </c>
      <c r="G80" s="15">
        <f t="shared" si="7"/>
        <v>9319.2821908115566</v>
      </c>
      <c r="J80" s="15">
        <f>MAX(0,J79-(IF(J79&lt;=0.004,0,IF(OR(J79+(J79*$B$10)&lt;=($B$12+Calculator!$C$19),J79&lt;=0.004),J79+(J79*$B$10),($B$12+Calculator!$C$19)))-(J79*$B$10)))</f>
        <v>9319.2821908115566</v>
      </c>
      <c r="N80" s="15">
        <f t="shared" si="4"/>
        <v>9319.2821908115566</v>
      </c>
      <c r="O80" s="15" t="e">
        <f>IF(AND(Calculator!$C$19&gt;0,$D80&lt;=$B$11),J80,NA())</f>
        <v>#N/A</v>
      </c>
    </row>
    <row r="81" spans="4:15" ht="16.5" x14ac:dyDescent="0.25">
      <c r="D81" s="15">
        <v>41</v>
      </c>
      <c r="E81" s="15">
        <f t="shared" si="5"/>
        <v>495.02996350873701</v>
      </c>
      <c r="F81" s="15">
        <f t="shared" si="6"/>
        <v>54.362479446400748</v>
      </c>
      <c r="G81" s="15">
        <f t="shared" si="7"/>
        <v>8878.6147067492202</v>
      </c>
      <c r="J81" s="15">
        <f>MAX(0,J80-(IF(J80&lt;=0.004,0,IF(OR(J80+(J80*$B$10)&lt;=($B$12+Calculator!$C$19),J80&lt;=0.004),J80+(J80*$B$10),($B$12+Calculator!$C$19)))-(J80*$B$10)))</f>
        <v>8878.6147067492202</v>
      </c>
      <c r="N81" s="15">
        <f t="shared" si="4"/>
        <v>8878.6147067492202</v>
      </c>
      <c r="O81" s="15" t="e">
        <f>IF(AND(Calculator!$C$19&gt;0,$D81&lt;=$B$11),J81,NA())</f>
        <v>#N/A</v>
      </c>
    </row>
    <row r="82" spans="4:15" ht="16.5" x14ac:dyDescent="0.25">
      <c r="D82" s="15">
        <v>42</v>
      </c>
      <c r="E82" s="15">
        <f t="shared" si="5"/>
        <v>495.02996350873701</v>
      </c>
      <c r="F82" s="15">
        <f t="shared" si="6"/>
        <v>51.791919122703789</v>
      </c>
      <c r="G82" s="15">
        <f t="shared" si="7"/>
        <v>8435.3766623631873</v>
      </c>
      <c r="J82" s="15">
        <f>MAX(0,J81-(IF(J81&lt;=0.004,0,IF(OR(J81+(J81*$B$10)&lt;=($B$12+Calculator!$C$19),J81&lt;=0.004),J81+(J81*$B$10),($B$12+Calculator!$C$19)))-(J81*$B$10)))</f>
        <v>8435.3766623631873</v>
      </c>
      <c r="N82" s="15">
        <f t="shared" si="4"/>
        <v>8435.3766623631873</v>
      </c>
      <c r="O82" s="15" t="e">
        <f>IF(AND(Calculator!$C$19&gt;0,$D82&lt;=$B$11),J82,NA())</f>
        <v>#N/A</v>
      </c>
    </row>
    <row r="83" spans="4:15" ht="16.5" x14ac:dyDescent="0.25">
      <c r="D83" s="15">
        <v>43</v>
      </c>
      <c r="E83" s="15">
        <f t="shared" si="5"/>
        <v>495.02996350873701</v>
      </c>
      <c r="F83" s="15">
        <f t="shared" si="6"/>
        <v>49.206363863785263</v>
      </c>
      <c r="G83" s="15">
        <f t="shared" si="7"/>
        <v>7989.5530627182352</v>
      </c>
      <c r="J83" s="15">
        <f>MAX(0,J82-(IF(J82&lt;=0.004,0,IF(OR(J82+(J82*$B$10)&lt;=($B$12+Calculator!$C$19),J82&lt;=0.004),J82+(J82*$B$10),($B$12+Calculator!$C$19)))-(J82*$B$10)))</f>
        <v>7989.5530627182352</v>
      </c>
      <c r="N83" s="15">
        <f t="shared" si="4"/>
        <v>7989.5530627182352</v>
      </c>
      <c r="O83" s="15" t="e">
        <f>IF(AND(Calculator!$C$19&gt;0,$D83&lt;=$B$11),J83,NA())</f>
        <v>#N/A</v>
      </c>
    </row>
    <row r="84" spans="4:15" ht="16.5" x14ac:dyDescent="0.25">
      <c r="D84" s="15">
        <v>44</v>
      </c>
      <c r="E84" s="15">
        <f t="shared" si="5"/>
        <v>495.02996350873701</v>
      </c>
      <c r="F84" s="15">
        <f t="shared" si="6"/>
        <v>46.605726199189711</v>
      </c>
      <c r="G84" s="15">
        <f t="shared" si="7"/>
        <v>7541.1288254086876</v>
      </c>
      <c r="J84" s="15">
        <f>MAX(0,J83-(IF(J83&lt;=0.004,0,IF(OR(J83+(J83*$B$10)&lt;=($B$12+Calculator!$C$19),J83&lt;=0.004),J83+(J83*$B$10),($B$12+Calculator!$C$19)))-(J83*$B$10)))</f>
        <v>7541.1288254086876</v>
      </c>
      <c r="N84" s="15">
        <f t="shared" si="4"/>
        <v>7541.1288254086876</v>
      </c>
      <c r="O84" s="15" t="e">
        <f>IF(AND(Calculator!$C$19&gt;0,$D84&lt;=$B$11),J84,NA())</f>
        <v>#N/A</v>
      </c>
    </row>
    <row r="85" spans="4:15" ht="16.5" x14ac:dyDescent="0.25">
      <c r="D85" s="15">
        <v>45</v>
      </c>
      <c r="E85" s="15">
        <f t="shared" si="5"/>
        <v>495.02996350873701</v>
      </c>
      <c r="F85" s="15">
        <f t="shared" si="6"/>
        <v>43.989918148217349</v>
      </c>
      <c r="G85" s="15">
        <f t="shared" si="7"/>
        <v>7090.0887800481678</v>
      </c>
      <c r="J85" s="15">
        <f>MAX(0,J84-(IF(J84&lt;=0.004,0,IF(OR(J84+(J84*$B$10)&lt;=($B$12+Calculator!$C$19),J84&lt;=0.004),J84+(J84*$B$10),($B$12+Calculator!$C$19)))-(J84*$B$10)))</f>
        <v>7090.0887800481678</v>
      </c>
      <c r="N85" s="15">
        <f t="shared" si="4"/>
        <v>7090.0887800481678</v>
      </c>
      <c r="O85" s="15" t="e">
        <f>IF(AND(Calculator!$C$19&gt;0,$D85&lt;=$B$11),J85,NA())</f>
        <v>#N/A</v>
      </c>
    </row>
    <row r="86" spans="4:15" ht="16.5" x14ac:dyDescent="0.25">
      <c r="D86" s="15">
        <v>46</v>
      </c>
      <c r="E86" s="15">
        <f t="shared" si="5"/>
        <v>495.02996350873701</v>
      </c>
      <c r="F86" s="15">
        <f t="shared" si="6"/>
        <v>41.358851216947649</v>
      </c>
      <c r="G86" s="15">
        <f t="shared" si="7"/>
        <v>6636.4176677563783</v>
      </c>
      <c r="J86" s="15">
        <f>MAX(0,J85-(IF(J85&lt;=0.004,0,IF(OR(J85+(J85*$B$10)&lt;=($B$12+Calculator!$C$19),J85&lt;=0.004),J85+(J85*$B$10),($B$12+Calculator!$C$19)))-(J85*$B$10)))</f>
        <v>6636.4176677563783</v>
      </c>
      <c r="N86" s="15">
        <f t="shared" si="4"/>
        <v>6636.4176677563783</v>
      </c>
      <c r="O86" s="15" t="e">
        <f>IF(AND(Calculator!$C$19&gt;0,$D86&lt;=$B$11),J86,NA())</f>
        <v>#N/A</v>
      </c>
    </row>
    <row r="87" spans="4:15" ht="16.5" x14ac:dyDescent="0.25">
      <c r="D87" s="15">
        <v>47</v>
      </c>
      <c r="E87" s="15">
        <f t="shared" si="5"/>
        <v>495.02996350873701</v>
      </c>
      <c r="F87" s="15">
        <f t="shared" si="6"/>
        <v>38.71243639524554</v>
      </c>
      <c r="G87" s="15">
        <f t="shared" si="7"/>
        <v>6180.1001406428868</v>
      </c>
      <c r="J87" s="15">
        <f>MAX(0,J86-(IF(J86&lt;=0.004,0,IF(OR(J86+(J86*$B$10)&lt;=($B$12+Calculator!$C$19),J86&lt;=0.004),J86+(J86*$B$10),($B$12+Calculator!$C$19)))-(J86*$B$10)))</f>
        <v>6180.1001406428868</v>
      </c>
      <c r="N87" s="15">
        <f t="shared" si="4"/>
        <v>6180.1001406428868</v>
      </c>
      <c r="O87" s="15" t="e">
        <f>IF(AND(Calculator!$C$19&gt;0,$D87&lt;=$B$11),J87,NA())</f>
        <v>#N/A</v>
      </c>
    </row>
    <row r="88" spans="4:15" ht="16.5" x14ac:dyDescent="0.25">
      <c r="D88" s="15">
        <v>48</v>
      </c>
      <c r="E88" s="15">
        <f t="shared" si="5"/>
        <v>495.02996350873701</v>
      </c>
      <c r="F88" s="15">
        <f t="shared" si="6"/>
        <v>36.050584153750172</v>
      </c>
      <c r="G88" s="15">
        <f t="shared" si="7"/>
        <v>5721.1207612878998</v>
      </c>
      <c r="J88" s="15">
        <f>MAX(0,J87-(IF(J87&lt;=0.004,0,IF(OR(J87+(J87*$B$10)&lt;=($B$12+Calculator!$C$19),J87&lt;=0.004),J87+(J87*$B$10),($B$12+Calculator!$C$19)))-(J87*$B$10)))</f>
        <v>5721.1207612878998</v>
      </c>
      <c r="N88" s="15">
        <f t="shared" si="4"/>
        <v>5721.1207612878998</v>
      </c>
      <c r="O88" s="15" t="e">
        <f>IF(AND(Calculator!$C$19&gt;0,$D88&lt;=$B$11),J88,NA())</f>
        <v>#N/A</v>
      </c>
    </row>
    <row r="89" spans="4:15" ht="16.5" x14ac:dyDescent="0.25">
      <c r="D89" s="15">
        <v>49</v>
      </c>
      <c r="E89" s="15">
        <f t="shared" si="5"/>
        <v>495.02996350873701</v>
      </c>
      <c r="F89" s="15">
        <f t="shared" si="6"/>
        <v>33.373204440846081</v>
      </c>
      <c r="G89" s="15">
        <f t="shared" si="7"/>
        <v>5259.4640022200092</v>
      </c>
      <c r="J89" s="15">
        <f>MAX(0,J88-(IF(J88&lt;=0.004,0,IF(OR(J88+(J88*$B$10)&lt;=($B$12+Calculator!$C$19),J88&lt;=0.004),J88+(J88*$B$10),($B$12+Calculator!$C$19)))-(J88*$B$10)))</f>
        <v>5259.4640022200092</v>
      </c>
      <c r="N89" s="15">
        <f t="shared" si="4"/>
        <v>5259.4640022200092</v>
      </c>
      <c r="O89" s="15" t="e">
        <f>IF(AND(Calculator!$C$19&gt;0,$D89&lt;=$B$11),J89,NA())</f>
        <v>#N/A</v>
      </c>
    </row>
    <row r="90" spans="4:15" ht="16.5" x14ac:dyDescent="0.25">
      <c r="D90" s="15">
        <v>50</v>
      </c>
      <c r="E90" s="15">
        <f t="shared" si="5"/>
        <v>495.02996350873701</v>
      </c>
      <c r="F90" s="15">
        <f t="shared" si="6"/>
        <v>30.68020667961672</v>
      </c>
      <c r="G90" s="15">
        <f t="shared" si="7"/>
        <v>4795.1142453908888</v>
      </c>
      <c r="J90" s="15">
        <f>MAX(0,J89-(IF(J89&lt;=0.004,0,IF(OR(J89+(J89*$B$10)&lt;=($B$12+Calculator!$C$19),J89&lt;=0.004),J89+(J89*$B$10),($B$12+Calculator!$C$19)))-(J89*$B$10)))</f>
        <v>4795.1142453908888</v>
      </c>
      <c r="N90" s="15">
        <f t="shared" si="4"/>
        <v>4795.1142453908888</v>
      </c>
      <c r="O90" s="15" t="e">
        <f>IF(AND(Calculator!$C$19&gt;0,$D90&lt;=$B$11),J90,NA())</f>
        <v>#N/A</v>
      </c>
    </row>
    <row r="91" spans="4:15" ht="16.5" x14ac:dyDescent="0.25">
      <c r="D91" s="15">
        <v>51</v>
      </c>
      <c r="E91" s="15">
        <f t="shared" si="5"/>
        <v>495.02996350873701</v>
      </c>
      <c r="F91" s="15">
        <f t="shared" si="6"/>
        <v>27.971499764780187</v>
      </c>
      <c r="G91" s="15">
        <f t="shared" si="7"/>
        <v>4328.0557816469318</v>
      </c>
      <c r="J91" s="15">
        <f>MAX(0,J90-(IF(J90&lt;=0.004,0,IF(OR(J90+(J90*$B$10)&lt;=($B$12+Calculator!$C$19),J90&lt;=0.004),J90+(J90*$B$10),($B$12+Calculator!$C$19)))-(J90*$B$10)))</f>
        <v>4328.0557816469318</v>
      </c>
      <c r="N91" s="15">
        <f t="shared" si="4"/>
        <v>4328.0557816469318</v>
      </c>
      <c r="O91" s="15" t="e">
        <f>IF(AND(Calculator!$C$19&gt;0,$D91&lt;=$B$11),J91,NA())</f>
        <v>#N/A</v>
      </c>
    </row>
    <row r="92" spans="4:15" ht="16.5" x14ac:dyDescent="0.25">
      <c r="D92" s="15">
        <v>52</v>
      </c>
      <c r="E92" s="15">
        <f t="shared" si="5"/>
        <v>495.02996350873701</v>
      </c>
      <c r="F92" s="15">
        <f t="shared" si="6"/>
        <v>25.246992059607102</v>
      </c>
      <c r="G92" s="15">
        <f t="shared" si="7"/>
        <v>3858.2728101978018</v>
      </c>
      <c r="J92" s="15">
        <f>MAX(0,J91-(IF(J91&lt;=0.004,0,IF(OR(J91+(J91*$B$10)&lt;=($B$12+Calculator!$C$19),J91&lt;=0.004),J91+(J91*$B$10),($B$12+Calculator!$C$19)))-(J91*$B$10)))</f>
        <v>3858.2728101978018</v>
      </c>
      <c r="N92" s="15">
        <f t="shared" si="4"/>
        <v>3858.2728101978018</v>
      </c>
      <c r="O92" s="15" t="e">
        <f>IF(AND(Calculator!$C$19&gt;0,$D92&lt;=$B$11),J92,NA())</f>
        <v>#N/A</v>
      </c>
    </row>
    <row r="93" spans="4:15" ht="16.5" x14ac:dyDescent="0.25">
      <c r="D93" s="15">
        <v>53</v>
      </c>
      <c r="E93" s="15">
        <f t="shared" si="5"/>
        <v>495.02996350873701</v>
      </c>
      <c r="F93" s="15">
        <f t="shared" si="6"/>
        <v>22.506591392820511</v>
      </c>
      <c r="G93" s="15">
        <f t="shared" si="7"/>
        <v>3385.7494380818853</v>
      </c>
      <c r="J93" s="15">
        <f>MAX(0,J92-(IF(J92&lt;=0.004,0,IF(OR(J92+(J92*$B$10)&lt;=($B$12+Calculator!$C$19),J92&lt;=0.004),J92+(J92*$B$10),($B$12+Calculator!$C$19)))-(J92*$B$10)))</f>
        <v>3385.7494380818853</v>
      </c>
      <c r="N93" s="15">
        <f t="shared" si="4"/>
        <v>3385.7494380818853</v>
      </c>
      <c r="O93" s="15" t="e">
        <f>IF(AND(Calculator!$C$19&gt;0,$D93&lt;=$B$11),J93,NA())</f>
        <v>#N/A</v>
      </c>
    </row>
    <row r="94" spans="4:15" ht="16.5" x14ac:dyDescent="0.25">
      <c r="D94" s="15">
        <v>54</v>
      </c>
      <c r="E94" s="15">
        <f t="shared" si="5"/>
        <v>495.02996350873701</v>
      </c>
      <c r="F94" s="15">
        <f t="shared" si="6"/>
        <v>19.750205055477664</v>
      </c>
      <c r="G94" s="15">
        <f t="shared" si="7"/>
        <v>2910.4696796286262</v>
      </c>
      <c r="J94" s="15">
        <f>MAX(0,J93-(IF(J93&lt;=0.004,0,IF(OR(J93+(J93*$B$10)&lt;=($B$12+Calculator!$C$19),J93&lt;=0.004),J93+(J93*$B$10),($B$12+Calculator!$C$19)))-(J93*$B$10)))</f>
        <v>2910.4696796286262</v>
      </c>
      <c r="N94" s="15">
        <f t="shared" si="4"/>
        <v>2910.4696796286262</v>
      </c>
      <c r="O94" s="15" t="e">
        <f>IF(AND(Calculator!$C$19&gt;0,$D94&lt;=$B$11),J94,NA())</f>
        <v>#N/A</v>
      </c>
    </row>
    <row r="95" spans="4:15" ht="16.5" x14ac:dyDescent="0.25">
      <c r="D95" s="15">
        <v>55</v>
      </c>
      <c r="E95" s="15">
        <f t="shared" si="5"/>
        <v>495.02996350873701</v>
      </c>
      <c r="F95" s="15">
        <f t="shared" si="6"/>
        <v>16.977739797833653</v>
      </c>
      <c r="G95" s="15">
        <f t="shared" si="7"/>
        <v>2432.4174559177227</v>
      </c>
      <c r="J95" s="15">
        <f>MAX(0,J94-(IF(J94&lt;=0.004,0,IF(OR(J94+(J94*$B$10)&lt;=($B$12+Calculator!$C$19),J94&lt;=0.004),J94+(J94*$B$10),($B$12+Calculator!$C$19)))-(J94*$B$10)))</f>
        <v>2432.4174559177227</v>
      </c>
      <c r="N95" s="15">
        <f t="shared" si="4"/>
        <v>2432.4174559177227</v>
      </c>
      <c r="O95" s="15" t="e">
        <f>IF(AND(Calculator!$C$19&gt;0,$D95&lt;=$B$11),J95,NA())</f>
        <v>#N/A</v>
      </c>
    </row>
    <row r="96" spans="4:15" ht="16.5" x14ac:dyDescent="0.25">
      <c r="D96" s="15">
        <v>56</v>
      </c>
      <c r="E96" s="15">
        <f t="shared" si="5"/>
        <v>495.02996350873701</v>
      </c>
      <c r="F96" s="15">
        <f t="shared" si="6"/>
        <v>14.189101826186716</v>
      </c>
      <c r="G96" s="15">
        <f t="shared" si="7"/>
        <v>1951.5765942351725</v>
      </c>
      <c r="J96" s="15">
        <f>MAX(0,J95-(IF(J95&lt;=0.004,0,IF(OR(J95+(J95*$B$10)&lt;=($B$12+Calculator!$C$19),J95&lt;=0.004),J95+(J95*$B$10),($B$12+Calculator!$C$19)))-(J95*$B$10)))</f>
        <v>1951.5765942351725</v>
      </c>
      <c r="N96" s="15">
        <f t="shared" si="4"/>
        <v>1951.5765942351725</v>
      </c>
      <c r="O96" s="15" t="e">
        <f>IF(AND(Calculator!$C$19&gt;0,$D96&lt;=$B$11),J96,NA())</f>
        <v>#N/A</v>
      </c>
    </row>
    <row r="97" spans="4:15" ht="16.5" x14ac:dyDescent="0.25">
      <c r="D97" s="15">
        <v>57</v>
      </c>
      <c r="E97" s="15">
        <f t="shared" si="5"/>
        <v>495.02996350873701</v>
      </c>
      <c r="F97" s="15">
        <f t="shared" si="6"/>
        <v>11.384196799705173</v>
      </c>
      <c r="G97" s="15">
        <f t="shared" si="7"/>
        <v>1467.9308275261405</v>
      </c>
      <c r="J97" s="15">
        <f>MAX(0,J96-(IF(J96&lt;=0.004,0,IF(OR(J96+(J96*$B$10)&lt;=($B$12+Calculator!$C$19),J96&lt;=0.004),J96+(J96*$B$10),($B$12+Calculator!$C$19)))-(J96*$B$10)))</f>
        <v>1467.9308275261405</v>
      </c>
      <c r="N97" s="15">
        <f t="shared" si="4"/>
        <v>1467.9308275261405</v>
      </c>
      <c r="O97" s="15" t="e">
        <f>IF(AND(Calculator!$C$19&gt;0,$D97&lt;=$B$11),J97,NA())</f>
        <v>#N/A</v>
      </c>
    </row>
    <row r="98" spans="4:15" ht="16.5" x14ac:dyDescent="0.25">
      <c r="D98" s="15">
        <v>58</v>
      </c>
      <c r="E98" s="15">
        <f t="shared" si="5"/>
        <v>495.02996350873701</v>
      </c>
      <c r="F98" s="15">
        <f t="shared" si="6"/>
        <v>8.5629298272358199</v>
      </c>
      <c r="G98" s="15">
        <f t="shared" si="7"/>
        <v>981.46379384463933</v>
      </c>
      <c r="J98" s="15">
        <f>MAX(0,J97-(IF(J97&lt;=0.004,0,IF(OR(J97+(J97*$B$10)&lt;=($B$12+Calculator!$C$19),J97&lt;=0.004),J97+(J97*$B$10),($B$12+Calculator!$C$19)))-(J97*$B$10)))</f>
        <v>981.46379384463933</v>
      </c>
      <c r="N98" s="15">
        <f t="shared" si="4"/>
        <v>981.46379384463933</v>
      </c>
      <c r="O98" s="15" t="e">
        <f>IF(AND(Calculator!$C$19&gt;0,$D98&lt;=$B$11),J98,NA())</f>
        <v>#N/A</v>
      </c>
    </row>
    <row r="99" spans="4:15" ht="16.5" x14ac:dyDescent="0.25">
      <c r="D99" s="15">
        <v>59</v>
      </c>
      <c r="E99" s="15">
        <f t="shared" si="5"/>
        <v>495.02996350873701</v>
      </c>
      <c r="F99" s="15">
        <f t="shared" si="6"/>
        <v>5.7252054640937295</v>
      </c>
      <c r="G99" s="15">
        <f t="shared" si="7"/>
        <v>492.15903579999605</v>
      </c>
      <c r="J99" s="15">
        <f>MAX(0,J98-(IF(J98&lt;=0.004,0,IF(OR(J98+(J98*$B$10)&lt;=($B$12+Calculator!$C$19),J98&lt;=0.004),J98+(J98*$B$10),($B$12+Calculator!$C$19)))-(J98*$B$10)))</f>
        <v>492.15903579999605</v>
      </c>
      <c r="N99" s="15">
        <f t="shared" si="4"/>
        <v>492.15903579999605</v>
      </c>
      <c r="O99" s="15" t="e">
        <f>IF(AND(Calculator!$C$19&gt;0,$D99&lt;=$B$11),J99,NA())</f>
        <v>#N/A</v>
      </c>
    </row>
    <row r="100" spans="4:15" ht="16.5" x14ac:dyDescent="0.25">
      <c r="D100" s="15">
        <v>60</v>
      </c>
      <c r="E100" s="15">
        <f t="shared" si="5"/>
        <v>495.02996350882938</v>
      </c>
      <c r="F100" s="15">
        <f t="shared" si="6"/>
        <v>2.8709277088333103</v>
      </c>
      <c r="G100" s="15">
        <f t="shared" si="7"/>
        <v>0</v>
      </c>
      <c r="J100" s="15">
        <f>MAX(0,J99-(IF(J99&lt;=0.004,0,IF(OR(J99+(J99*$B$10)&lt;=($B$12+Calculator!$C$19),J99&lt;=0.004),J99+(J99*$B$10),($B$12+Calculator!$C$19)))-(J99*$B$10)))</f>
        <v>9.2370555648813024E-11</v>
      </c>
      <c r="N100" s="15">
        <f t="shared" si="4"/>
        <v>0</v>
      </c>
      <c r="O100" s="15" t="e">
        <f>IF(AND(Calculator!$C$19&gt;0,$D100&lt;=$B$11),J100,NA())</f>
        <v>#N/A</v>
      </c>
    </row>
    <row r="101" spans="4:15" ht="16.5" x14ac:dyDescent="0.25">
      <c r="D101" s="15">
        <v>61</v>
      </c>
      <c r="E101" s="15">
        <f t="shared" si="5"/>
        <v>0</v>
      </c>
      <c r="F101" s="15">
        <f t="shared" si="6"/>
        <v>0</v>
      </c>
      <c r="G101" s="15">
        <f t="shared" si="7"/>
        <v>0</v>
      </c>
      <c r="J101" s="15">
        <f>MAX(0,J100-(IF(J100&lt;=0.004,0,IF(OR(J100+(J100*$B$10)&lt;=($B$12+Calculator!$C$19),J100&lt;=0.004),J100+(J100*$B$10),($B$12+Calculator!$C$19)))-(J100*$B$10)))</f>
        <v>9.2909383890097771E-11</v>
      </c>
      <c r="N101" s="15" t="e">
        <f t="shared" si="4"/>
        <v>#N/A</v>
      </c>
      <c r="O101" s="15" t="e">
        <f>IF(AND(Calculator!$C$19&gt;0,$D101&lt;=$B$11),J101,NA())</f>
        <v>#N/A</v>
      </c>
    </row>
    <row r="102" spans="4:15" ht="16.5" x14ac:dyDescent="0.25">
      <c r="D102" s="15">
        <v>62</v>
      </c>
      <c r="E102" s="15">
        <f t="shared" si="5"/>
        <v>0</v>
      </c>
      <c r="F102" s="15">
        <f t="shared" si="6"/>
        <v>0</v>
      </c>
      <c r="G102" s="15">
        <f t="shared" si="7"/>
        <v>0</v>
      </c>
      <c r="J102" s="15">
        <f>MAX(0,J101-(IF(J101&lt;=0.004,0,IF(OR(J101+(J101*$B$10)&lt;=($B$12+Calculator!$C$19),J101&lt;=0.004),J101+(J101*$B$10),($B$12+Calculator!$C$19)))-(J101*$B$10)))</f>
        <v>9.3451355296123342E-11</v>
      </c>
      <c r="N102" s="15" t="e">
        <f t="shared" si="4"/>
        <v>#N/A</v>
      </c>
      <c r="O102" s="15" t="e">
        <f>IF(AND(Calculator!$C$19&gt;0,$D102&lt;=$B$11),J102,NA())</f>
        <v>#N/A</v>
      </c>
    </row>
    <row r="103" spans="4:15" ht="16.5" x14ac:dyDescent="0.25">
      <c r="D103" s="15">
        <v>63</v>
      </c>
      <c r="E103" s="15">
        <f t="shared" si="5"/>
        <v>0</v>
      </c>
      <c r="F103" s="15">
        <f t="shared" si="6"/>
        <v>0</v>
      </c>
      <c r="G103" s="15">
        <f t="shared" si="7"/>
        <v>0</v>
      </c>
      <c r="J103" s="15">
        <f>MAX(0,J102-(IF(J102&lt;=0.004,0,IF(OR(J102+(J102*$B$10)&lt;=($B$12+Calculator!$C$19),J102&lt;=0.004),J102+(J102*$B$10),($B$12+Calculator!$C$19)))-(J102*$B$10)))</f>
        <v>9.3996488202017397E-11</v>
      </c>
      <c r="N103" s="15" t="e">
        <f t="shared" si="4"/>
        <v>#N/A</v>
      </c>
      <c r="O103" s="15" t="e">
        <f>IF(AND(Calculator!$C$19&gt;0,$D103&lt;=$B$11),J103,NA())</f>
        <v>#N/A</v>
      </c>
    </row>
    <row r="104" spans="4:15" ht="16.5" x14ac:dyDescent="0.25">
      <c r="D104" s="15">
        <v>64</v>
      </c>
      <c r="E104" s="15">
        <f t="shared" si="5"/>
        <v>0</v>
      </c>
      <c r="F104" s="15">
        <f t="shared" si="6"/>
        <v>0</v>
      </c>
      <c r="G104" s="15">
        <f t="shared" si="7"/>
        <v>0</v>
      </c>
      <c r="J104" s="15">
        <f>MAX(0,J103-(IF(J103&lt;=0.004,0,IF(OR(J103+(J103*$B$10)&lt;=($B$12+Calculator!$C$19),J103&lt;=0.004),J103+(J103*$B$10),($B$12+Calculator!$C$19)))-(J103*$B$10)))</f>
        <v>9.4544801049862502E-11</v>
      </c>
      <c r="N104" s="15" t="e">
        <f t="shared" ref="N104:N124" si="8">IF($D104&lt;=$B$11,G104,NA())</f>
        <v>#N/A</v>
      </c>
      <c r="O104" s="15" t="e">
        <f>IF(AND(Calculator!$C$19&gt;0,$D104&lt;=$B$11),J104,NA())</f>
        <v>#N/A</v>
      </c>
    </row>
    <row r="105" spans="4:15" ht="16.5" x14ac:dyDescent="0.25">
      <c r="D105" s="15">
        <v>65</v>
      </c>
      <c r="E105" s="15">
        <f t="shared" ref="E105:E124" si="9">IF(G104&lt;=0.004,0,IF(OR($D105=$B$11,$B$12&gt;=G104+(G104*$B$10)),G104+(G104*$B$10),$B$12))</f>
        <v>0</v>
      </c>
      <c r="F105" s="15">
        <f t="shared" ref="F105:F124" si="10">(G104*$B$10)</f>
        <v>0</v>
      </c>
      <c r="G105" s="15">
        <f t="shared" ref="G105:G136" si="11">MAX(0,G104-(E105-F105))</f>
        <v>0</v>
      </c>
      <c r="J105" s="15">
        <f>MAX(0,J104-(IF(J104&lt;=0.004,0,IF(OR(J104+(J104*$B$10)&lt;=($B$12+Calculator!$C$19),J104&lt;=0.004),J104+(J104*$B$10),($B$12+Calculator!$C$19)))-(J104*$B$10)))</f>
        <v>9.5096312389320029E-11</v>
      </c>
      <c r="N105" s="15" t="e">
        <f t="shared" si="8"/>
        <v>#N/A</v>
      </c>
      <c r="O105" s="15" t="e">
        <f>IF(AND(Calculator!$C$19&gt;0,$D105&lt;=$B$11),J105,NA())</f>
        <v>#N/A</v>
      </c>
    </row>
    <row r="106" spans="4:15" ht="16.5" x14ac:dyDescent="0.25">
      <c r="D106" s="15">
        <v>66</v>
      </c>
      <c r="E106" s="15">
        <f t="shared" si="9"/>
        <v>0</v>
      </c>
      <c r="F106" s="15">
        <f t="shared" si="10"/>
        <v>0</v>
      </c>
      <c r="G106" s="15">
        <f t="shared" si="11"/>
        <v>0</v>
      </c>
      <c r="J106" s="15">
        <f>MAX(0,J105-(IF(J105&lt;=0.004,0,IF(OR(J105+(J105*$B$10)&lt;=($B$12+Calculator!$C$19),J105&lt;=0.004),J105+(J105*$B$10),($B$12+Calculator!$C$19)))-(J105*$B$10)))</f>
        <v>9.5651040878257729E-11</v>
      </c>
      <c r="N106" s="15" t="e">
        <f t="shared" si="8"/>
        <v>#N/A</v>
      </c>
      <c r="O106" s="15" t="e">
        <f>IF(AND(Calculator!$C$19&gt;0,$D106&lt;=$B$11),J106,NA())</f>
        <v>#N/A</v>
      </c>
    </row>
    <row r="107" spans="4:15" ht="16.5" x14ac:dyDescent="0.25">
      <c r="D107" s="15">
        <v>67</v>
      </c>
      <c r="E107" s="15">
        <f t="shared" si="9"/>
        <v>0</v>
      </c>
      <c r="F107" s="15">
        <f t="shared" si="10"/>
        <v>0</v>
      </c>
      <c r="G107" s="15">
        <f t="shared" si="11"/>
        <v>0</v>
      </c>
      <c r="J107" s="15">
        <f>MAX(0,J106-(IF(J106&lt;=0.004,0,IF(OR(J106+(J106*$B$10)&lt;=($B$12+Calculator!$C$19),J106&lt;=0.004),J106+(J106*$B$10),($B$12+Calculator!$C$19)))-(J106*$B$10)))</f>
        <v>9.6209005283380895E-11</v>
      </c>
      <c r="N107" s="15" t="e">
        <f t="shared" si="8"/>
        <v>#N/A</v>
      </c>
      <c r="O107" s="15" t="e">
        <f>IF(AND(Calculator!$C$19&gt;0,$D107&lt;=$B$11),J107,NA())</f>
        <v>#N/A</v>
      </c>
    </row>
    <row r="108" spans="4:15" ht="16.5" x14ac:dyDescent="0.25">
      <c r="D108" s="15">
        <v>68</v>
      </c>
      <c r="E108" s="15">
        <f t="shared" si="9"/>
        <v>0</v>
      </c>
      <c r="F108" s="15">
        <f t="shared" si="10"/>
        <v>0</v>
      </c>
      <c r="G108" s="15">
        <f t="shared" si="11"/>
        <v>0</v>
      </c>
      <c r="J108" s="15">
        <f>MAX(0,J107-(IF(J107&lt;=0.004,0,IF(OR(J107+(J107*$B$10)&lt;=($B$12+Calculator!$C$19),J107&lt;=0.004),J107+(J107*$B$10),($B$12+Calculator!$C$19)))-(J107*$B$10)))</f>
        <v>9.6770224480867289E-11</v>
      </c>
      <c r="N108" s="15" t="e">
        <f t="shared" si="8"/>
        <v>#N/A</v>
      </c>
      <c r="O108" s="15" t="e">
        <f>IF(AND(Calculator!$C$19&gt;0,$D108&lt;=$B$11),J108,NA())</f>
        <v>#N/A</v>
      </c>
    </row>
    <row r="109" spans="4:15" ht="16.5" x14ac:dyDescent="0.25">
      <c r="D109" s="15">
        <v>69</v>
      </c>
      <c r="E109" s="15">
        <f t="shared" si="9"/>
        <v>0</v>
      </c>
      <c r="F109" s="15">
        <f t="shared" si="10"/>
        <v>0</v>
      </c>
      <c r="G109" s="15">
        <f t="shared" si="11"/>
        <v>0</v>
      </c>
      <c r="J109" s="15">
        <f>MAX(0,J108-(IF(J108&lt;=0.004,0,IF(OR(J108+(J108*$B$10)&lt;=($B$12+Calculator!$C$19),J108&lt;=0.004),J108+(J108*$B$10),($B$12+Calculator!$C$19)))-(J108*$B$10)))</f>
        <v>9.7334717457005686E-11</v>
      </c>
      <c r="N109" s="15" t="e">
        <f t="shared" si="8"/>
        <v>#N/A</v>
      </c>
      <c r="O109" s="15" t="e">
        <f>IF(AND(Calculator!$C$19&gt;0,$D109&lt;=$B$11),J109,NA())</f>
        <v>#N/A</v>
      </c>
    </row>
    <row r="110" spans="4:15" ht="16.5" x14ac:dyDescent="0.25">
      <c r="D110" s="15">
        <v>70</v>
      </c>
      <c r="E110" s="15">
        <f t="shared" si="9"/>
        <v>0</v>
      </c>
      <c r="F110" s="15">
        <f t="shared" si="10"/>
        <v>0</v>
      </c>
      <c r="G110" s="15">
        <f t="shared" si="11"/>
        <v>0</v>
      </c>
      <c r="J110" s="15">
        <f>MAX(0,J109-(IF(J109&lt;=0.004,0,IF(OR(J109+(J109*$B$10)&lt;=($B$12+Calculator!$C$19),J109&lt;=0.004),J109+(J109*$B$10),($B$12+Calculator!$C$19)))-(J109*$B$10)))</f>
        <v>9.7902503308838218E-11</v>
      </c>
      <c r="N110" s="15" t="e">
        <f t="shared" si="8"/>
        <v>#N/A</v>
      </c>
      <c r="O110" s="15" t="e">
        <f>IF(AND(Calculator!$C$19&gt;0,$D110&lt;=$B$11),J110,NA())</f>
        <v>#N/A</v>
      </c>
    </row>
    <row r="111" spans="4:15" ht="16.5" x14ac:dyDescent="0.25">
      <c r="D111" s="15">
        <v>71</v>
      </c>
      <c r="E111" s="15">
        <f t="shared" si="9"/>
        <v>0</v>
      </c>
      <c r="F111" s="15">
        <f t="shared" si="10"/>
        <v>0</v>
      </c>
      <c r="G111" s="15">
        <f t="shared" si="11"/>
        <v>0</v>
      </c>
      <c r="J111" s="15">
        <f>MAX(0,J110-(IF(J110&lt;=0.004,0,IF(OR(J110+(J110*$B$10)&lt;=($B$12+Calculator!$C$19),J110&lt;=0.004),J110+(J110*$B$10),($B$12+Calculator!$C$19)))-(J110*$B$10)))</f>
        <v>9.8473601244806443E-11</v>
      </c>
      <c r="N111" s="15" t="e">
        <f t="shared" si="8"/>
        <v>#N/A</v>
      </c>
      <c r="O111" s="15" t="e">
        <f>IF(AND(Calculator!$C$19&gt;0,$D111&lt;=$B$11),J111,NA())</f>
        <v>#N/A</v>
      </c>
    </row>
    <row r="112" spans="4:15" ht="16.5" x14ac:dyDescent="0.25">
      <c r="D112" s="15">
        <v>72</v>
      </c>
      <c r="E112" s="15">
        <f t="shared" si="9"/>
        <v>0</v>
      </c>
      <c r="F112" s="15">
        <f t="shared" si="10"/>
        <v>0</v>
      </c>
      <c r="G112" s="15">
        <f t="shared" si="11"/>
        <v>0</v>
      </c>
      <c r="J112" s="15">
        <f>MAX(0,J111-(IF(J111&lt;=0.004,0,IF(OR(J111+(J111*$B$10)&lt;=($B$12+Calculator!$C$19),J111&lt;=0.004),J111+(J111*$B$10),($B$12+Calculator!$C$19)))-(J111*$B$10)))</f>
        <v>9.9048030585401145E-11</v>
      </c>
      <c r="N112" s="15" t="e">
        <f t="shared" si="8"/>
        <v>#N/A</v>
      </c>
      <c r="O112" s="15" t="e">
        <f>IF(AND(Calculator!$C$19&gt;0,$D112&lt;=$B$11),J112,NA())</f>
        <v>#N/A</v>
      </c>
    </row>
    <row r="113" spans="4:15" ht="16.5" x14ac:dyDescent="0.25">
      <c r="D113" s="15">
        <v>73</v>
      </c>
      <c r="E113" s="15">
        <f t="shared" si="9"/>
        <v>0</v>
      </c>
      <c r="F113" s="15">
        <f t="shared" si="10"/>
        <v>0</v>
      </c>
      <c r="G113" s="15">
        <f t="shared" si="11"/>
        <v>0</v>
      </c>
      <c r="J113" s="15">
        <f>MAX(0,J112-(IF(J112&lt;=0.004,0,IF(OR(J112+(J112*$B$10)&lt;=($B$12+Calculator!$C$19),J112&lt;=0.004),J112+(J112*$B$10),($B$12+Calculator!$C$19)))-(J112*$B$10)))</f>
        <v>9.9625810763815987E-11</v>
      </c>
      <c r="N113" s="15" t="e">
        <f t="shared" si="8"/>
        <v>#N/A</v>
      </c>
      <c r="O113" s="15" t="e">
        <f>IF(AND(Calculator!$C$19&gt;0,$D113&lt;=$B$11),J113,NA())</f>
        <v>#N/A</v>
      </c>
    </row>
    <row r="114" spans="4:15" ht="16.5" x14ac:dyDescent="0.25">
      <c r="D114" s="15">
        <v>74</v>
      </c>
      <c r="E114" s="15">
        <f t="shared" si="9"/>
        <v>0</v>
      </c>
      <c r="F114" s="15">
        <f t="shared" si="10"/>
        <v>0</v>
      </c>
      <c r="G114" s="15">
        <f t="shared" si="11"/>
        <v>0</v>
      </c>
      <c r="J114" s="15">
        <f>MAX(0,J113-(IF(J113&lt;=0.004,0,IF(OR(J113+(J113*$B$10)&lt;=($B$12+Calculator!$C$19),J113&lt;=0.004),J113+(J113*$B$10),($B$12+Calculator!$C$19)))-(J113*$B$10)))</f>
        <v>1.0020696132660492E-10</v>
      </c>
      <c r="N114" s="15" t="e">
        <f t="shared" si="8"/>
        <v>#N/A</v>
      </c>
      <c r="O114" s="15" t="e">
        <f>IF(AND(Calculator!$C$19&gt;0,$D114&lt;=$B$11),J114,NA())</f>
        <v>#N/A</v>
      </c>
    </row>
    <row r="115" spans="4:15" ht="16.5" x14ac:dyDescent="0.25">
      <c r="D115" s="15">
        <v>75</v>
      </c>
      <c r="E115" s="15">
        <f t="shared" si="9"/>
        <v>0</v>
      </c>
      <c r="F115" s="15">
        <f t="shared" si="10"/>
        <v>0</v>
      </c>
      <c r="G115" s="15">
        <f t="shared" si="11"/>
        <v>0</v>
      </c>
      <c r="J115" s="15">
        <f>MAX(0,J114-(IF(J114&lt;=0.004,0,IF(OR(J114+(J114*$B$10)&lt;=($B$12+Calculator!$C$19),J114&lt;=0.004),J114+(J114*$B$10),($B$12+Calculator!$C$19)))-(J114*$B$10)))</f>
        <v>1.0079150193434344E-10</v>
      </c>
      <c r="N115" s="15" t="e">
        <f t="shared" si="8"/>
        <v>#N/A</v>
      </c>
      <c r="O115" s="15" t="e">
        <f>IF(AND(Calculator!$C$19&gt;0,$D115&lt;=$B$11),J115,NA())</f>
        <v>#N/A</v>
      </c>
    </row>
    <row r="116" spans="4:15" ht="16.5" x14ac:dyDescent="0.25">
      <c r="D116" s="15">
        <v>76</v>
      </c>
      <c r="E116" s="15">
        <f t="shared" si="9"/>
        <v>0</v>
      </c>
      <c r="F116" s="15">
        <f t="shared" si="10"/>
        <v>0</v>
      </c>
      <c r="G116" s="15">
        <f t="shared" si="11"/>
        <v>0</v>
      </c>
      <c r="J116" s="15">
        <f>MAX(0,J115-(IF(J115&lt;=0.004,0,IF(OR(J115+(J115*$B$10)&lt;=($B$12+Calculator!$C$19),J115&lt;=0.004),J115+(J115*$B$10),($B$12+Calculator!$C$19)))-(J115*$B$10)))</f>
        <v>1.0137945236229377E-10</v>
      </c>
      <c r="N116" s="15" t="e">
        <f t="shared" si="8"/>
        <v>#N/A</v>
      </c>
      <c r="O116" s="15" t="e">
        <f>IF(AND(Calculator!$C$19&gt;0,$D116&lt;=$B$11),J116,NA())</f>
        <v>#N/A</v>
      </c>
    </row>
    <row r="117" spans="4:15" ht="16.5" x14ac:dyDescent="0.25">
      <c r="D117" s="15">
        <v>77</v>
      </c>
      <c r="E117" s="15">
        <f t="shared" si="9"/>
        <v>0</v>
      </c>
      <c r="F117" s="15">
        <f t="shared" si="10"/>
        <v>0</v>
      </c>
      <c r="G117" s="15">
        <f t="shared" si="11"/>
        <v>0</v>
      </c>
      <c r="J117" s="15">
        <f>MAX(0,J116-(IF(J116&lt;=0.004,0,IF(OR(J116+(J116*$B$10)&lt;=($B$12+Calculator!$C$19),J116&lt;=0.004),J116+(J116*$B$10),($B$12+Calculator!$C$19)))-(J116*$B$10)))</f>
        <v>1.0197083250107382E-10</v>
      </c>
      <c r="N117" s="15" t="e">
        <f t="shared" si="8"/>
        <v>#N/A</v>
      </c>
      <c r="O117" s="15" t="e">
        <f>IF(AND(Calculator!$C$19&gt;0,$D117&lt;=$B$11),J117,NA())</f>
        <v>#N/A</v>
      </c>
    </row>
    <row r="118" spans="4:15" ht="16.5" x14ac:dyDescent="0.25">
      <c r="D118" s="15">
        <v>78</v>
      </c>
      <c r="E118" s="15">
        <f t="shared" si="9"/>
        <v>0</v>
      </c>
      <c r="F118" s="15">
        <f t="shared" si="10"/>
        <v>0</v>
      </c>
      <c r="G118" s="15">
        <f t="shared" si="11"/>
        <v>0</v>
      </c>
      <c r="J118" s="15">
        <f>MAX(0,J117-(IF(J117&lt;=0.004,0,IF(OR(J117+(J117*$B$10)&lt;=($B$12+Calculator!$C$19),J117&lt;=0.004),J117+(J117*$B$10),($B$12+Calculator!$C$19)))-(J117*$B$10)))</f>
        <v>1.0256566235733009E-10</v>
      </c>
      <c r="N118" s="15" t="e">
        <f t="shared" si="8"/>
        <v>#N/A</v>
      </c>
      <c r="O118" s="15" t="e">
        <f>IF(AND(Calculator!$C$19&gt;0,$D118&lt;=$B$11),J118,NA())</f>
        <v>#N/A</v>
      </c>
    </row>
    <row r="119" spans="4:15" ht="16.5" x14ac:dyDescent="0.25">
      <c r="D119" s="15">
        <v>79</v>
      </c>
      <c r="E119" s="15">
        <f t="shared" si="9"/>
        <v>0</v>
      </c>
      <c r="F119" s="15">
        <f t="shared" si="10"/>
        <v>0</v>
      </c>
      <c r="G119" s="15">
        <f t="shared" si="11"/>
        <v>0</v>
      </c>
      <c r="J119" s="15">
        <f>MAX(0,J118-(IF(J118&lt;=0.004,0,IF(OR(J118+(J118*$B$10)&lt;=($B$12+Calculator!$C$19),J118&lt;=0.004),J118+(J118*$B$10),($B$12+Calculator!$C$19)))-(J118*$B$10)))</f>
        <v>1.0316396205441451E-10</v>
      </c>
      <c r="N119" s="15" t="e">
        <f t="shared" si="8"/>
        <v>#N/A</v>
      </c>
      <c r="O119" s="15" t="e">
        <f>IF(AND(Calculator!$C$19&gt;0,$D119&lt;=$B$11),J119,NA())</f>
        <v>#N/A</v>
      </c>
    </row>
    <row r="120" spans="4:15" ht="16.5" x14ac:dyDescent="0.25">
      <c r="D120" s="15">
        <v>80</v>
      </c>
      <c r="E120" s="15">
        <f t="shared" si="9"/>
        <v>0</v>
      </c>
      <c r="F120" s="15">
        <f t="shared" si="10"/>
        <v>0</v>
      </c>
      <c r="G120" s="15">
        <f t="shared" si="11"/>
        <v>0</v>
      </c>
      <c r="J120" s="15">
        <f>MAX(0,J119-(IF(J119&lt;=0.004,0,IF(OR(J119+(J119*$B$10)&lt;=($B$12+Calculator!$C$19),J119&lt;=0.004),J119+(J119*$B$10),($B$12+Calculator!$C$19)))-(J119*$B$10)))</f>
        <v>1.0376575183306526E-10</v>
      </c>
      <c r="N120" s="15" t="e">
        <f t="shared" si="8"/>
        <v>#N/A</v>
      </c>
      <c r="O120" s="15" t="e">
        <f>IF(AND(Calculator!$C$19&gt;0,$D120&lt;=$B$11),J120,NA())</f>
        <v>#N/A</v>
      </c>
    </row>
    <row r="121" spans="4:15" ht="16.5" x14ac:dyDescent="0.25">
      <c r="D121" s="15">
        <v>81</v>
      </c>
      <c r="E121" s="15">
        <f t="shared" si="9"/>
        <v>0</v>
      </c>
      <c r="F121" s="15">
        <f t="shared" si="10"/>
        <v>0</v>
      </c>
      <c r="G121" s="15">
        <f t="shared" si="11"/>
        <v>0</v>
      </c>
      <c r="J121" s="15">
        <f>MAX(0,J120-(IF(J120&lt;=0.004,0,IF(OR(J120+(J120*$B$10)&lt;=($B$12+Calculator!$C$19),J120&lt;=0.004),J120+(J120*$B$10),($B$12+Calculator!$C$19)))-(J120*$B$10)))</f>
        <v>1.0437105205209148E-10</v>
      </c>
      <c r="N121" s="15" t="e">
        <f t="shared" si="8"/>
        <v>#N/A</v>
      </c>
      <c r="O121" s="15" t="e">
        <f>IF(AND(Calculator!$C$19&gt;0,$D121&lt;=$B$11),J121,NA())</f>
        <v>#N/A</v>
      </c>
    </row>
    <row r="122" spans="4:15" ht="16.5" x14ac:dyDescent="0.25">
      <c r="D122" s="15">
        <v>82</v>
      </c>
      <c r="E122" s="15">
        <f t="shared" si="9"/>
        <v>0</v>
      </c>
      <c r="F122" s="15">
        <f t="shared" si="10"/>
        <v>0</v>
      </c>
      <c r="G122" s="15">
        <f t="shared" si="11"/>
        <v>0</v>
      </c>
      <c r="J122" s="15">
        <f>MAX(0,J121-(IF(J121&lt;=0.004,0,IF(OR(J121+(J121*$B$10)&lt;=($B$12+Calculator!$C$19),J121&lt;=0.004),J121+(J121*$B$10),($B$12+Calculator!$C$19)))-(J121*$B$10)))</f>
        <v>1.0497988318906202E-10</v>
      </c>
      <c r="N122" s="15" t="e">
        <f t="shared" si="8"/>
        <v>#N/A</v>
      </c>
      <c r="O122" s="15" t="e">
        <f>IF(AND(Calculator!$C$19&gt;0,$D122&lt;=$B$11),J122,NA())</f>
        <v>#N/A</v>
      </c>
    </row>
    <row r="123" spans="4:15" ht="16.5" x14ac:dyDescent="0.25">
      <c r="D123" s="15">
        <v>83</v>
      </c>
      <c r="E123" s="15">
        <f t="shared" si="9"/>
        <v>0</v>
      </c>
      <c r="F123" s="15">
        <f t="shared" si="10"/>
        <v>0</v>
      </c>
      <c r="G123" s="15">
        <f t="shared" si="11"/>
        <v>0</v>
      </c>
      <c r="J123" s="15">
        <f>MAX(0,J122-(IF(J122&lt;=0.004,0,IF(OR(J122+(J122*$B$10)&lt;=($B$12+Calculator!$C$19),J122&lt;=0.004),J122+(J122*$B$10),($B$12+Calculator!$C$19)))-(J122*$B$10)))</f>
        <v>1.0559226584099822E-10</v>
      </c>
      <c r="N123" s="15" t="e">
        <f t="shared" si="8"/>
        <v>#N/A</v>
      </c>
      <c r="O123" s="15" t="e">
        <f>IF(AND(Calculator!$C$19&gt;0,$D123&lt;=$B$11),J123,NA())</f>
        <v>#N/A</v>
      </c>
    </row>
    <row r="124" spans="4:15" ht="16.5" x14ac:dyDescent="0.25">
      <c r="D124" s="15">
        <v>84</v>
      </c>
      <c r="E124" s="15">
        <f t="shared" si="9"/>
        <v>0</v>
      </c>
      <c r="F124" s="15">
        <f t="shared" si="10"/>
        <v>0</v>
      </c>
      <c r="G124" s="15">
        <f t="shared" si="11"/>
        <v>0</v>
      </c>
      <c r="J124" s="15">
        <f>MAX(0,J123-(IF(J123&lt;=0.004,0,IF(OR(J123+(J123*$B$10)&lt;=($B$12+Calculator!$C$19),J123&lt;=0.004),J123+(J123*$B$10),($B$12+Calculator!$C$19)))-(J123*$B$10)))</f>
        <v>1.062082207250707E-10</v>
      </c>
      <c r="N124" s="15" t="e">
        <f t="shared" si="8"/>
        <v>#N/A</v>
      </c>
      <c r="O124" s="15" t="e">
        <f>IF(AND(Calculator!$C$19&gt;0,$D124&lt;=$B$11),J124,NA())</f>
        <v>#N/A</v>
      </c>
    </row>
  </sheetData>
  <sheetProtection sheet="1" formatCells="0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Calculator</vt:lpstr>
      <vt:lpstr>Schedule</vt:lpstr>
      <vt:lpstr>About &amp; Assumptions</vt:lpstr>
      <vt:lpstr>_Engine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Eyal Doron</cp:lastModifiedBy>
  <dcterms:created xsi:type="dcterms:W3CDTF">2026-10-14T17:03:42Z</dcterms:created>
  <dcterms:modified xsi:type="dcterms:W3CDTF">2026-10-14T17:03:49Z</dcterms:modified>
</cp:coreProperties>
</file>