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yal\AppData\Local\Temp\tmphh6tbwa0\"/>
    </mc:Choice>
  </mc:AlternateContent>
  <xr:revisionPtr revIDLastSave="0" documentId="13_ncr:1_{E92762C0-A088-46F2-BE0F-4374BE8635B4}" xr6:coauthVersionLast="47" xr6:coauthVersionMax="47" xr10:uidLastSave="{00000000-0000-0000-0000-000000000000}"/>
  <bookViews>
    <workbookView xWindow="28815" yWindow="-1170" windowWidth="28770" windowHeight="15450" xr2:uid="{00000000-000D-0000-FFFF-FFFF00000000}"/>
  </bookViews>
  <sheets>
    <sheet name="Calculator" sheetId="1" r:id="rId1"/>
    <sheet name="Breakdown" sheetId="2" r:id="rId2"/>
    <sheet name="About &amp; Assumptions" sheetId="3" r:id="rId3"/>
    <sheet name="_Engine" sheetId="4" state="hidden" r:id="rId4"/>
  </sheets>
  <definedNames>
    <definedName name="ch_earned" localSheetId="3">OFFSET(_Engine!$F$11,0,0,MIN(MAX(Calculator!$C$12,0),100)+1,1)</definedName>
    <definedName name="ch_putin" localSheetId="3">OFFSET(_Engine!$E$11,0,0,MIN(MAX(Calculator!$C$12,0),100)+1,1)</definedName>
    <definedName name="ch_years" localSheetId="3">OFFSET(_Engine!$D$11,0,0,MIN(MAX(Calculator!$C$12,0),100)+1,1)</definedName>
    <definedName name="_xlnm.Print_Area" localSheetId="1">OFFSET(Breakdown!$A$1,0,0,MIN(MAX(Calculator!$C$12,0),100)+3,5)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4" l="1"/>
  <c r="B5" i="4"/>
  <c r="E20" i="1" s="1"/>
  <c r="B3" i="4"/>
  <c r="B2" i="4"/>
  <c r="G104" i="4" s="1"/>
  <c r="F104" i="4" s="1"/>
  <c r="C36" i="3"/>
  <c r="A103" i="2"/>
  <c r="E103" i="2" s="1"/>
  <c r="A102" i="2"/>
  <c r="A101" i="2"/>
  <c r="C101" i="2" s="1"/>
  <c r="A100" i="2"/>
  <c r="C99" i="2"/>
  <c r="A99" i="2"/>
  <c r="B99" i="2" s="1"/>
  <c r="A98" i="2"/>
  <c r="E98" i="2" s="1"/>
  <c r="A97" i="2"/>
  <c r="B96" i="2"/>
  <c r="A96" i="2"/>
  <c r="D96" i="2" s="1"/>
  <c r="D95" i="2"/>
  <c r="C95" i="2"/>
  <c r="B95" i="2"/>
  <c r="A95" i="2"/>
  <c r="E95" i="2" s="1"/>
  <c r="E94" i="2"/>
  <c r="C94" i="2"/>
  <c r="A94" i="2"/>
  <c r="B94" i="2" s="1"/>
  <c r="A93" i="2"/>
  <c r="E93" i="2" s="1"/>
  <c r="B92" i="2"/>
  <c r="A92" i="2"/>
  <c r="D92" i="2" s="1"/>
  <c r="D91" i="2"/>
  <c r="C91" i="2"/>
  <c r="B91" i="2"/>
  <c r="A91" i="2"/>
  <c r="E91" i="2" s="1"/>
  <c r="D90" i="2"/>
  <c r="A90" i="2"/>
  <c r="A89" i="2"/>
  <c r="C89" i="2" s="1"/>
  <c r="A88" i="2"/>
  <c r="B88" i="2" s="1"/>
  <c r="D87" i="2"/>
  <c r="C87" i="2"/>
  <c r="B87" i="2"/>
  <c r="A87" i="2"/>
  <c r="E87" i="2" s="1"/>
  <c r="A86" i="2"/>
  <c r="E86" i="2" s="1"/>
  <c r="A85" i="2"/>
  <c r="C85" i="2" s="1"/>
  <c r="A84" i="2"/>
  <c r="D84" i="2" s="1"/>
  <c r="A83" i="2"/>
  <c r="E83" i="2" s="1"/>
  <c r="A82" i="2"/>
  <c r="B82" i="2" s="1"/>
  <c r="A81" i="2"/>
  <c r="A80" i="2"/>
  <c r="D80" i="2" s="1"/>
  <c r="E79" i="2"/>
  <c r="A79" i="2"/>
  <c r="D79" i="2" s="1"/>
  <c r="A78" i="2"/>
  <c r="D78" i="2" s="1"/>
  <c r="A77" i="2"/>
  <c r="C77" i="2" s="1"/>
  <c r="A76" i="2"/>
  <c r="E75" i="2"/>
  <c r="D75" i="2"/>
  <c r="C75" i="2"/>
  <c r="A75" i="2"/>
  <c r="B75" i="2" s="1"/>
  <c r="A74" i="2"/>
  <c r="E74" i="2" s="1"/>
  <c r="E73" i="2"/>
  <c r="A73" i="2"/>
  <c r="C73" i="2" s="1"/>
  <c r="B72" i="2"/>
  <c r="A72" i="2"/>
  <c r="D72" i="2" s="1"/>
  <c r="D71" i="2"/>
  <c r="C71" i="2"/>
  <c r="B71" i="2"/>
  <c r="A71" i="2"/>
  <c r="E71" i="2" s="1"/>
  <c r="E70" i="2"/>
  <c r="C70" i="2"/>
  <c r="A70" i="2"/>
  <c r="B70" i="2" s="1"/>
  <c r="A69" i="2"/>
  <c r="A68" i="2"/>
  <c r="D68" i="2" s="1"/>
  <c r="A67" i="2"/>
  <c r="D67" i="2" s="1"/>
  <c r="A66" i="2"/>
  <c r="D66" i="2" s="1"/>
  <c r="D65" i="2"/>
  <c r="A65" i="2"/>
  <c r="C65" i="2" s="1"/>
  <c r="B64" i="2"/>
  <c r="A64" i="2"/>
  <c r="A63" i="2"/>
  <c r="D63" i="2" s="1"/>
  <c r="A62" i="2"/>
  <c r="E62" i="2" s="1"/>
  <c r="A61" i="2"/>
  <c r="C61" i="2" s="1"/>
  <c r="B60" i="2"/>
  <c r="A60" i="2"/>
  <c r="D60" i="2" s="1"/>
  <c r="D59" i="2"/>
  <c r="C59" i="2"/>
  <c r="B59" i="2"/>
  <c r="A59" i="2"/>
  <c r="E59" i="2" s="1"/>
  <c r="E58" i="2"/>
  <c r="D58" i="2"/>
  <c r="C58" i="2"/>
  <c r="A58" i="2"/>
  <c r="B58" i="2" s="1"/>
  <c r="A57" i="2"/>
  <c r="A56" i="2"/>
  <c r="D56" i="2" s="1"/>
  <c r="A55" i="2"/>
  <c r="E55" i="2" s="1"/>
  <c r="A54" i="2"/>
  <c r="D54" i="2" s="1"/>
  <c r="A53" i="2"/>
  <c r="C53" i="2" s="1"/>
  <c r="A52" i="2"/>
  <c r="C51" i="2"/>
  <c r="A51" i="2"/>
  <c r="E51" i="2" s="1"/>
  <c r="A50" i="2"/>
  <c r="E49" i="2"/>
  <c r="A49" i="2"/>
  <c r="C49" i="2" s="1"/>
  <c r="A48" i="2"/>
  <c r="D48" i="2" s="1"/>
  <c r="A47" i="2"/>
  <c r="E47" i="2" s="1"/>
  <c r="A46" i="2"/>
  <c r="B46" i="2" s="1"/>
  <c r="A45" i="2"/>
  <c r="A44" i="2"/>
  <c r="D44" i="2" s="1"/>
  <c r="D43" i="2"/>
  <c r="B43" i="2"/>
  <c r="A43" i="2"/>
  <c r="E43" i="2" s="1"/>
  <c r="A42" i="2"/>
  <c r="B42" i="2" s="1"/>
  <c r="D41" i="2"/>
  <c r="A41" i="2"/>
  <c r="C41" i="2" s="1"/>
  <c r="A40" i="2"/>
  <c r="E39" i="2"/>
  <c r="D39" i="2"/>
  <c r="B39" i="2"/>
  <c r="A39" i="2"/>
  <c r="C39" i="2" s="1"/>
  <c r="A38" i="2"/>
  <c r="A37" i="2"/>
  <c r="C37" i="2" s="1"/>
  <c r="B36" i="2"/>
  <c r="A36" i="2"/>
  <c r="D36" i="2" s="1"/>
  <c r="D35" i="2"/>
  <c r="C35" i="2"/>
  <c r="B35" i="2"/>
  <c r="A35" i="2"/>
  <c r="E35" i="2" s="1"/>
  <c r="A34" i="2"/>
  <c r="E34" i="2" s="1"/>
  <c r="A33" i="2"/>
  <c r="B33" i="2" s="1"/>
  <c r="E32" i="2"/>
  <c r="A32" i="2"/>
  <c r="D32" i="2" s="1"/>
  <c r="D31" i="2"/>
  <c r="C31" i="2"/>
  <c r="A31" i="2"/>
  <c r="E31" i="2" s="1"/>
  <c r="A30" i="2"/>
  <c r="B30" i="2" s="1"/>
  <c r="A29" i="2"/>
  <c r="C29" i="2" s="1"/>
  <c r="A28" i="2"/>
  <c r="A27" i="2"/>
  <c r="D27" i="2" s="1"/>
  <c r="A26" i="2"/>
  <c r="A25" i="2"/>
  <c r="C25" i="2" s="1"/>
  <c r="B24" i="2"/>
  <c r="A24" i="2"/>
  <c r="D24" i="2" s="1"/>
  <c r="C23" i="2"/>
  <c r="A23" i="2"/>
  <c r="C22" i="2"/>
  <c r="A22" i="2"/>
  <c r="A21" i="2"/>
  <c r="A20" i="2"/>
  <c r="C19" i="2"/>
  <c r="A19" i="2"/>
  <c r="A18" i="2"/>
  <c r="A17" i="2"/>
  <c r="C17" i="2" s="1"/>
  <c r="A16" i="2"/>
  <c r="A15" i="2"/>
  <c r="C15" i="2" s="1"/>
  <c r="A14" i="2"/>
  <c r="C13" i="2"/>
  <c r="A13" i="2"/>
  <c r="A12" i="2"/>
  <c r="C12" i="2" s="1"/>
  <c r="A11" i="2"/>
  <c r="C11" i="2" s="1"/>
  <c r="A10" i="2"/>
  <c r="C10" i="2" s="1"/>
  <c r="A9" i="2"/>
  <c r="A8" i="2"/>
  <c r="A7" i="2"/>
  <c r="C7" i="2" s="1"/>
  <c r="A6" i="2"/>
  <c r="C6" i="2" s="1"/>
  <c r="A5" i="2"/>
  <c r="C5" i="2" s="1"/>
  <c r="A4" i="2"/>
  <c r="C4" i="2" s="1"/>
  <c r="A2" i="2"/>
  <c r="B31" i="1"/>
  <c r="E21" i="1"/>
  <c r="C21" i="1"/>
  <c r="B13" i="1"/>
  <c r="E27" i="2" l="1"/>
  <c r="E63" i="2"/>
  <c r="E67" i="2"/>
  <c r="E36" i="2"/>
  <c r="E41" i="2"/>
  <c r="C46" i="2"/>
  <c r="B55" i="2"/>
  <c r="E72" i="2"/>
  <c r="D77" i="2"/>
  <c r="C82" i="2"/>
  <c r="D99" i="2"/>
  <c r="D46" i="2"/>
  <c r="C55" i="2"/>
  <c r="E77" i="2"/>
  <c r="D82" i="2"/>
  <c r="E99" i="2"/>
  <c r="G40" i="4"/>
  <c r="G76" i="4"/>
  <c r="D29" i="2"/>
  <c r="B34" i="2"/>
  <c r="E37" i="2"/>
  <c r="E46" i="2"/>
  <c r="B51" i="2"/>
  <c r="D55" i="2"/>
  <c r="D73" i="2"/>
  <c r="E82" i="2"/>
  <c r="G44" i="4"/>
  <c r="F44" i="4" s="1"/>
  <c r="G80" i="4"/>
  <c r="F80" i="4" s="1"/>
  <c r="E29" i="2"/>
  <c r="E24" i="2"/>
  <c r="D34" i="2"/>
  <c r="C43" i="2"/>
  <c r="B47" i="2"/>
  <c r="D51" i="2"/>
  <c r="E60" i="2"/>
  <c r="E65" i="2"/>
  <c r="D70" i="2"/>
  <c r="B79" i="2"/>
  <c r="B83" i="2"/>
  <c r="D101" i="2"/>
  <c r="C47" i="2"/>
  <c r="C79" i="2"/>
  <c r="E101" i="2"/>
  <c r="G16" i="4"/>
  <c r="G52" i="4"/>
  <c r="G88" i="4"/>
  <c r="C34" i="2"/>
  <c r="C83" i="2"/>
  <c r="B31" i="2"/>
  <c r="D47" i="2"/>
  <c r="D83" i="2"/>
  <c r="C92" i="2"/>
  <c r="E96" i="2"/>
  <c r="G20" i="4"/>
  <c r="F20" i="4" s="1"/>
  <c r="G56" i="4"/>
  <c r="F56" i="4" s="1"/>
  <c r="G92" i="4"/>
  <c r="F92" i="4" s="1"/>
  <c r="B27" i="2"/>
  <c r="B48" i="2"/>
  <c r="B63" i="2"/>
  <c r="B67" i="2"/>
  <c r="B84" i="2"/>
  <c r="D89" i="2"/>
  <c r="B103" i="2"/>
  <c r="B4" i="2"/>
  <c r="C44" i="2"/>
  <c r="C67" i="2"/>
  <c r="E80" i="2"/>
  <c r="E84" i="2"/>
  <c r="E89" i="2"/>
  <c r="C103" i="2"/>
  <c r="G28" i="4"/>
  <c r="G64" i="4"/>
  <c r="G100" i="4"/>
  <c r="D53" i="2"/>
  <c r="C27" i="2"/>
  <c r="E44" i="2"/>
  <c r="E48" i="2"/>
  <c r="E53" i="2"/>
  <c r="C63" i="2"/>
  <c r="D94" i="2"/>
  <c r="G32" i="4"/>
  <c r="F32" i="4" s="1"/>
  <c r="G68" i="4"/>
  <c r="F68" i="4" s="1"/>
  <c r="E57" i="2"/>
  <c r="D57" i="2"/>
  <c r="C57" i="2"/>
  <c r="C30" i="2"/>
  <c r="E40" i="2"/>
  <c r="D40" i="2"/>
  <c r="C54" i="2"/>
  <c r="D30" i="2"/>
  <c r="E76" i="2"/>
  <c r="D76" i="2"/>
  <c r="C76" i="2"/>
  <c r="C40" i="2"/>
  <c r="B76" i="2"/>
  <c r="B37" i="2"/>
  <c r="E61" i="2"/>
  <c r="E66" i="2"/>
  <c r="B66" i="2"/>
  <c r="E69" i="2"/>
  <c r="D69" i="2"/>
  <c r="B69" i="2"/>
  <c r="C69" i="2"/>
  <c r="B80" i="2"/>
  <c r="G111" i="4"/>
  <c r="G107" i="4"/>
  <c r="G103" i="4"/>
  <c r="G99" i="4"/>
  <c r="G95" i="4"/>
  <c r="G91" i="4"/>
  <c r="G87" i="4"/>
  <c r="G83" i="4"/>
  <c r="G79" i="4"/>
  <c r="G75" i="4"/>
  <c r="G71" i="4"/>
  <c r="G67" i="4"/>
  <c r="G63" i="4"/>
  <c r="G59" i="4"/>
  <c r="G55" i="4"/>
  <c r="G51" i="4"/>
  <c r="G47" i="4"/>
  <c r="G43" i="4"/>
  <c r="G39" i="4"/>
  <c r="G35" i="4"/>
  <c r="G31" i="4"/>
  <c r="G27" i="4"/>
  <c r="G23" i="4"/>
  <c r="G19" i="4"/>
  <c r="G15" i="4"/>
  <c r="G11" i="4"/>
  <c r="G110" i="4"/>
  <c r="G106" i="4"/>
  <c r="G102" i="4"/>
  <c r="G98" i="4"/>
  <c r="G94" i="4"/>
  <c r="G90" i="4"/>
  <c r="G86" i="4"/>
  <c r="G82" i="4"/>
  <c r="G78" i="4"/>
  <c r="G74" i="4"/>
  <c r="G70" i="4"/>
  <c r="G66" i="4"/>
  <c r="G62" i="4"/>
  <c r="G58" i="4"/>
  <c r="G54" i="4"/>
  <c r="G50" i="4"/>
  <c r="G46" i="4"/>
  <c r="G42" i="4"/>
  <c r="G38" i="4"/>
  <c r="G34" i="4"/>
  <c r="G30" i="4"/>
  <c r="G26" i="4"/>
  <c r="G22" i="4"/>
  <c r="G18" i="4"/>
  <c r="G14" i="4"/>
  <c r="G109" i="4"/>
  <c r="G105" i="4"/>
  <c r="G101" i="4"/>
  <c r="G97" i="4"/>
  <c r="G93" i="4"/>
  <c r="G89" i="4"/>
  <c r="G85" i="4"/>
  <c r="G81" i="4"/>
  <c r="G77" i="4"/>
  <c r="G73" i="4"/>
  <c r="G69" i="4"/>
  <c r="G65" i="4"/>
  <c r="G61" i="4"/>
  <c r="G57" i="4"/>
  <c r="G53" i="4"/>
  <c r="G49" i="4"/>
  <c r="G45" i="4"/>
  <c r="G41" i="4"/>
  <c r="G37" i="4"/>
  <c r="G33" i="4"/>
  <c r="G29" i="4"/>
  <c r="G25" i="4"/>
  <c r="G21" i="4"/>
  <c r="G17" i="4"/>
  <c r="G13" i="4"/>
  <c r="B4" i="4"/>
  <c r="E20" i="4"/>
  <c r="E44" i="4"/>
  <c r="E56" i="4"/>
  <c r="E80" i="4"/>
  <c r="E92" i="4"/>
  <c r="E104" i="4"/>
  <c r="E26" i="2"/>
  <c r="D26" i="2"/>
  <c r="C26" i="2"/>
  <c r="B26" i="2"/>
  <c r="E54" i="2"/>
  <c r="B54" i="2"/>
  <c r="C8" i="2"/>
  <c r="B40" i="2"/>
  <c r="B61" i="2"/>
  <c r="C68" i="2"/>
  <c r="E30" i="2"/>
  <c r="D61" i="2"/>
  <c r="E68" i="2"/>
  <c r="C9" i="2"/>
  <c r="C16" i="2"/>
  <c r="C20" i="2"/>
  <c r="D37" i="2"/>
  <c r="B44" i="2"/>
  <c r="C66" i="2"/>
  <c r="B73" i="2"/>
  <c r="C80" i="2"/>
  <c r="E88" i="2"/>
  <c r="C88" i="2"/>
  <c r="D88" i="2"/>
  <c r="E33" i="2"/>
  <c r="D33" i="2"/>
  <c r="C33" i="2"/>
  <c r="E50" i="2"/>
  <c r="D50" i="2"/>
  <c r="C50" i="2"/>
  <c r="B50" i="2"/>
  <c r="B57" i="2"/>
  <c r="E28" i="2"/>
  <c r="D28" i="2"/>
  <c r="C100" i="2"/>
  <c r="E100" i="2"/>
  <c r="D100" i="2"/>
  <c r="B100" i="2"/>
  <c r="B28" i="2"/>
  <c r="E52" i="2"/>
  <c r="D52" i="2"/>
  <c r="C52" i="2"/>
  <c r="C42" i="2"/>
  <c r="E45" i="2"/>
  <c r="D45" i="2"/>
  <c r="C45" i="2"/>
  <c r="B52" i="2"/>
  <c r="C78" i="2"/>
  <c r="B85" i="2"/>
  <c r="E92" i="2"/>
  <c r="D42" i="2"/>
  <c r="B45" i="2"/>
  <c r="B56" i="2"/>
  <c r="D85" i="2"/>
  <c r="E97" i="2"/>
  <c r="C97" i="2"/>
  <c r="B68" i="2"/>
  <c r="C14" i="2"/>
  <c r="C18" i="2"/>
  <c r="D25" i="2"/>
  <c r="B32" i="2"/>
  <c r="E42" i="2"/>
  <c r="B49" i="2"/>
  <c r="C56" i="2"/>
  <c r="E85" i="2"/>
  <c r="E90" i="2"/>
  <c r="B90" i="2"/>
  <c r="B97" i="2"/>
  <c r="E102" i="2"/>
  <c r="D102" i="2"/>
  <c r="B102" i="2"/>
  <c r="G12" i="4"/>
  <c r="G24" i="4"/>
  <c r="G36" i="4"/>
  <c r="G48" i="4"/>
  <c r="G60" i="4"/>
  <c r="G72" i="4"/>
  <c r="G84" i="4"/>
  <c r="G96" i="4"/>
  <c r="G108" i="4"/>
  <c r="C21" i="2"/>
  <c r="E38" i="2"/>
  <c r="D38" i="2"/>
  <c r="C38" i="2"/>
  <c r="B38" i="2"/>
  <c r="E78" i="2"/>
  <c r="B78" i="2"/>
  <c r="E81" i="2"/>
  <c r="D81" i="2"/>
  <c r="C81" i="2"/>
  <c r="B81" i="2"/>
  <c r="C28" i="2"/>
  <c r="B25" i="2"/>
  <c r="E4" i="2"/>
  <c r="B5" i="2" s="1"/>
  <c r="E5" i="2" s="1"/>
  <c r="D4" i="2"/>
  <c r="E25" i="2"/>
  <c r="C32" i="2"/>
  <c r="D49" i="2"/>
  <c r="E56" i="2"/>
  <c r="E64" i="2"/>
  <c r="D64" i="2"/>
  <c r="C64" i="2"/>
  <c r="C90" i="2"/>
  <c r="D97" i="2"/>
  <c r="C102" i="2"/>
  <c r="B93" i="2"/>
  <c r="B62" i="2"/>
  <c r="B74" i="2"/>
  <c r="B86" i="2"/>
  <c r="C93" i="2"/>
  <c r="B98" i="2"/>
  <c r="C62" i="2"/>
  <c r="C74" i="2"/>
  <c r="C86" i="2"/>
  <c r="D93" i="2"/>
  <c r="C98" i="2"/>
  <c r="D62" i="2"/>
  <c r="D74" i="2"/>
  <c r="D86" i="2"/>
  <c r="D98" i="2"/>
  <c r="C24" i="2"/>
  <c r="B29" i="2"/>
  <c r="C36" i="2"/>
  <c r="B41" i="2"/>
  <c r="C48" i="2"/>
  <c r="B53" i="2"/>
  <c r="C60" i="2"/>
  <c r="B65" i="2"/>
  <c r="C72" i="2"/>
  <c r="B77" i="2"/>
  <c r="C84" i="2"/>
  <c r="B89" i="2"/>
  <c r="C96" i="2"/>
  <c r="B101" i="2"/>
  <c r="D103" i="2"/>
  <c r="F64" i="4" l="1"/>
  <c r="E64" i="4"/>
  <c r="F28" i="4"/>
  <c r="E28" i="4"/>
  <c r="F88" i="4"/>
  <c r="E88" i="4"/>
  <c r="F52" i="4"/>
  <c r="E52" i="4"/>
  <c r="F16" i="4"/>
  <c r="E16" i="4"/>
  <c r="E68" i="4"/>
  <c r="F76" i="4"/>
  <c r="E76" i="4"/>
  <c r="F40" i="4"/>
  <c r="E40" i="4"/>
  <c r="E32" i="4"/>
  <c r="F100" i="4"/>
  <c r="E100" i="4"/>
  <c r="B6" i="2"/>
  <c r="E6" i="2" s="1"/>
  <c r="D5" i="2"/>
  <c r="F98" i="4"/>
  <c r="E98" i="4"/>
  <c r="F102" i="4"/>
  <c r="E102" i="4"/>
  <c r="F43" i="4"/>
  <c r="E43" i="4"/>
  <c r="E14" i="4"/>
  <c r="F14" i="4"/>
  <c r="F110" i="4"/>
  <c r="E110" i="4"/>
  <c r="F95" i="4"/>
  <c r="E95" i="4"/>
  <c r="E21" i="4"/>
  <c r="F21" i="4"/>
  <c r="E69" i="4"/>
  <c r="F69" i="4"/>
  <c r="F18" i="4"/>
  <c r="E18" i="4"/>
  <c r="E66" i="4"/>
  <c r="F66" i="4"/>
  <c r="F51" i="4"/>
  <c r="E51" i="4"/>
  <c r="F99" i="4"/>
  <c r="E99" i="4"/>
  <c r="F35" i="4"/>
  <c r="E35" i="4"/>
  <c r="F87" i="4"/>
  <c r="E87" i="4"/>
  <c r="F24" i="4"/>
  <c r="E24" i="4"/>
  <c r="F106" i="4"/>
  <c r="E106" i="4"/>
  <c r="F12" i="4"/>
  <c r="E12" i="4"/>
  <c r="E17" i="4"/>
  <c r="F17" i="4"/>
  <c r="E65" i="4"/>
  <c r="F65" i="4"/>
  <c r="F62" i="4"/>
  <c r="E62" i="4"/>
  <c r="F47" i="4"/>
  <c r="E47" i="4"/>
  <c r="E25" i="4"/>
  <c r="F25" i="4"/>
  <c r="E73" i="4"/>
  <c r="F73" i="4"/>
  <c r="F22" i="4"/>
  <c r="E22" i="4"/>
  <c r="F70" i="4"/>
  <c r="E70" i="4"/>
  <c r="F55" i="4"/>
  <c r="E55" i="4"/>
  <c r="F103" i="4"/>
  <c r="E103" i="4"/>
  <c r="E50" i="4"/>
  <c r="F50" i="4"/>
  <c r="F36" i="4"/>
  <c r="E36" i="4"/>
  <c r="E105" i="4"/>
  <c r="F105" i="4"/>
  <c r="F58" i="4"/>
  <c r="E58" i="4"/>
  <c r="E29" i="4"/>
  <c r="F29" i="4"/>
  <c r="F11" i="4"/>
  <c r="E11" i="4"/>
  <c r="E33" i="4"/>
  <c r="F33" i="4"/>
  <c r="E81" i="4"/>
  <c r="F81" i="4"/>
  <c r="F30" i="4"/>
  <c r="E30" i="4"/>
  <c r="F78" i="4"/>
  <c r="E78" i="4"/>
  <c r="F15" i="4"/>
  <c r="E15" i="4"/>
  <c r="F63" i="4"/>
  <c r="E63" i="4"/>
  <c r="F111" i="4"/>
  <c r="E111" i="4"/>
  <c r="E53" i="4"/>
  <c r="F53" i="4"/>
  <c r="F39" i="4"/>
  <c r="E39" i="4"/>
  <c r="E109" i="4"/>
  <c r="F109" i="4"/>
  <c r="F26" i="4"/>
  <c r="E26" i="4"/>
  <c r="F96" i="4"/>
  <c r="E96" i="4"/>
  <c r="E37" i="4"/>
  <c r="F37" i="4"/>
  <c r="E85" i="4"/>
  <c r="F85" i="4"/>
  <c r="F34" i="4"/>
  <c r="E34" i="4"/>
  <c r="F82" i="4"/>
  <c r="E82" i="4"/>
  <c r="F19" i="4"/>
  <c r="E19" i="4"/>
  <c r="F67" i="4"/>
  <c r="E67" i="4"/>
  <c r="F48" i="4"/>
  <c r="E48" i="4"/>
  <c r="C26" i="1"/>
  <c r="B7" i="4"/>
  <c r="C27" i="1" s="1"/>
  <c r="B6" i="4"/>
  <c r="C20" i="1"/>
  <c r="B16" i="1"/>
  <c r="F91" i="4"/>
  <c r="E91" i="4"/>
  <c r="F107" i="4"/>
  <c r="E107" i="4"/>
  <c r="F84" i="4"/>
  <c r="E84" i="4"/>
  <c r="E41" i="4"/>
  <c r="F41" i="4"/>
  <c r="E89" i="4"/>
  <c r="F89" i="4"/>
  <c r="E38" i="4"/>
  <c r="F38" i="4"/>
  <c r="F86" i="4"/>
  <c r="E86" i="4"/>
  <c r="F23" i="4"/>
  <c r="E23" i="4"/>
  <c r="F71" i="4"/>
  <c r="E71" i="4"/>
  <c r="F83" i="4"/>
  <c r="E83" i="4"/>
  <c r="E54" i="4"/>
  <c r="F54" i="4"/>
  <c r="E61" i="4"/>
  <c r="F61" i="4"/>
  <c r="E77" i="4"/>
  <c r="F77" i="4"/>
  <c r="F59" i="4"/>
  <c r="E59" i="4"/>
  <c r="F108" i="4"/>
  <c r="E108" i="4"/>
  <c r="F72" i="4"/>
  <c r="E72" i="4"/>
  <c r="E45" i="4"/>
  <c r="F45" i="4"/>
  <c r="E93" i="4"/>
  <c r="F93" i="4"/>
  <c r="F42" i="4"/>
  <c r="E42" i="4"/>
  <c r="F90" i="4"/>
  <c r="E90" i="4"/>
  <c r="F27" i="4"/>
  <c r="E27" i="4"/>
  <c r="F75" i="4"/>
  <c r="E75" i="4"/>
  <c r="E101" i="4"/>
  <c r="F101" i="4"/>
  <c r="E57" i="4"/>
  <c r="F57" i="4"/>
  <c r="E13" i="4"/>
  <c r="F13" i="4"/>
  <c r="F74" i="4"/>
  <c r="E74" i="4"/>
  <c r="F60" i="4"/>
  <c r="E60" i="4"/>
  <c r="E49" i="4"/>
  <c r="F49" i="4"/>
  <c r="E97" i="4"/>
  <c r="F97" i="4"/>
  <c r="F46" i="4"/>
  <c r="E46" i="4"/>
  <c r="F94" i="4"/>
  <c r="E94" i="4"/>
  <c r="F31" i="4"/>
  <c r="E31" i="4"/>
  <c r="F79" i="4"/>
  <c r="E79" i="4"/>
  <c r="G21" i="1" l="1"/>
  <c r="B9" i="4"/>
  <c r="G20" i="1"/>
  <c r="B28" i="1"/>
  <c r="B7" i="2"/>
  <c r="E7" i="2" s="1"/>
  <c r="D6" i="2"/>
  <c r="G19" i="1" l="1"/>
  <c r="B17" i="1"/>
  <c r="D7" i="2"/>
  <c r="B8" i="2"/>
  <c r="E8" i="2" s="1"/>
  <c r="B9" i="2" l="1"/>
  <c r="E9" i="2" s="1"/>
  <c r="D8" i="2"/>
  <c r="B10" i="2" l="1"/>
  <c r="E10" i="2" s="1"/>
  <c r="D9" i="2"/>
  <c r="D10" i="2" l="1"/>
  <c r="B11" i="2"/>
  <c r="E11" i="2" s="1"/>
  <c r="B12" i="2" l="1"/>
  <c r="E12" i="2" s="1"/>
  <c r="D11" i="2"/>
  <c r="D12" i="2" l="1"/>
  <c r="B13" i="2"/>
  <c r="E13" i="2" s="1"/>
  <c r="B14" i="2" l="1"/>
  <c r="E14" i="2" s="1"/>
  <c r="D13" i="2"/>
  <c r="B15" i="2" l="1"/>
  <c r="E15" i="2" s="1"/>
  <c r="D14" i="2"/>
  <c r="D15" i="2" l="1"/>
  <c r="B16" i="2"/>
  <c r="E16" i="2" s="1"/>
  <c r="B17" i="2" l="1"/>
  <c r="E17" i="2" s="1"/>
  <c r="D16" i="2"/>
  <c r="D17" i="2" l="1"/>
  <c r="B18" i="2"/>
  <c r="E18" i="2" s="1"/>
  <c r="B19" i="2" l="1"/>
  <c r="E19" i="2" s="1"/>
  <c r="D18" i="2"/>
  <c r="D19" i="2" l="1"/>
  <c r="B20" i="2"/>
  <c r="E20" i="2" s="1"/>
  <c r="B21" i="2" l="1"/>
  <c r="E21" i="2" s="1"/>
  <c r="D20" i="2"/>
  <c r="B22" i="2" l="1"/>
  <c r="E22" i="2" s="1"/>
  <c r="D21" i="2"/>
  <c r="D22" i="2" l="1"/>
  <c r="B23" i="2"/>
  <c r="E23" i="2" s="1"/>
  <c r="D23" i="2" s="1"/>
</calcChain>
</file>

<file path=xl/sharedStrings.xml><?xml version="1.0" encoding="utf-8"?>
<sst xmlns="http://schemas.openxmlformats.org/spreadsheetml/2006/main" count="88" uniqueCount="81">
  <si>
    <t>NEEDTHESEAPPS.COM</t>
  </si>
  <si>
    <t>Compound Interest Calculator</t>
  </si>
  <si>
    <t>See what your savings could grow into over time, with or without regular contributions.</t>
  </si>
  <si>
    <t>Open the full calculator online  ↗</t>
  </si>
  <si>
    <t>YOUR NUMBERS</t>
  </si>
  <si>
    <t>Currency symbol you use</t>
  </si>
  <si>
    <t>$</t>
  </si>
  <si>
    <t>Starting amount</t>
  </si>
  <si>
    <t>Monthly contribution</t>
  </si>
  <si>
    <t>Annual return</t>
  </si>
  <si>
    <t>Years (max 100)</t>
  </si>
  <si>
    <t>YOUR RESULT</t>
  </si>
  <si>
    <t>Projected balance</t>
  </si>
  <si>
    <t>What you put in</t>
  </si>
  <si>
    <t>MORE DETAIL</t>
  </si>
  <si>
    <t>What this is worth in today's money</t>
  </si>
  <si>
    <t>Assumed annual inflation</t>
  </si>
  <si>
    <t>Estimated value in today's money</t>
  </si>
  <si>
    <t>How long until your money doubles</t>
  </si>
  <si>
    <t>This does not include fees or taxes.
Compounding is monthly, applied at the same rate every year. Real returns vary year to year.
This is a projection based on what you enter, not a guarantee.</t>
  </si>
  <si>
    <t>Year-by-year breakdown</t>
  </si>
  <si>
    <t>Year</t>
  </si>
  <si>
    <t>Starting balance</t>
  </si>
  <si>
    <t>Contributions this year</t>
  </si>
  <si>
    <t>Growth this year</t>
  </si>
  <si>
    <t>Ending balance</t>
  </si>
  <si>
    <t>About this workbook</t>
  </si>
  <si>
    <t>WHAT THIS WORKBOOK DOES</t>
  </si>
  <si>
    <t>It answers one question offline: if you start with an amount, add to it every month, and it grows at a steady rate, what could it be worth after the years you choose, and how much of that is what you put in, and how much is what you earned.</t>
  </si>
  <si>
    <t>WHAT IT DOES NOT DO</t>
  </si>
  <si>
    <t>It does not include fees</t>
  </si>
  <si>
    <t>Account and fund fees would lower the result.</t>
  </si>
  <si>
    <t>It does not calculate tax</t>
  </si>
  <si>
    <t>Every figure is before tax. The online calculator estimates it.</t>
  </si>
  <si>
    <t>It does not model market ups and downs</t>
  </si>
  <si>
    <t>The return is the same every year.</t>
  </si>
  <si>
    <t>It does not compare investment tracks</t>
  </si>
  <si>
    <t>Historical averages by index are on the site.</t>
  </si>
  <si>
    <t>It is not financial advice</t>
  </si>
  <si>
    <t>A planning estimate, based on what you entered.</t>
  </si>
  <si>
    <t>FOR THESE, USE THE FULL CALCULATOR ONLINE</t>
  </si>
  <si>
    <t>Capital gains tax estimate</t>
  </si>
  <si>
    <t>based on your country</t>
  </si>
  <si>
    <t>Historical returns by investment track</t>
  </si>
  <si>
    <t>10, 20 and 30-year averages, compared side by side</t>
  </si>
  <si>
    <t>Contributions that rise every year</t>
  </si>
  <si>
    <t>in More options</t>
  </si>
  <si>
    <t>Guide and FAQ</t>
  </si>
  <si>
    <t>to understand what the numbers mean</t>
  </si>
  <si>
    <t>ASSUMPTIONS USED</t>
  </si>
  <si>
    <t>Contributions</t>
  </si>
  <si>
    <t>Added monthly, at the end of each month.</t>
  </si>
  <si>
    <t>Growth</t>
  </si>
  <si>
    <t>Compounded monthly: the annual rate you enter, divided by 12.</t>
  </si>
  <si>
    <t>Rate</t>
  </si>
  <si>
    <t>The same every year.</t>
  </si>
  <si>
    <t>Inflation</t>
  </si>
  <si>
    <t>Applied only to the 'today's money' figure.</t>
  </si>
  <si>
    <t>Doubling time</t>
  </si>
  <si>
    <t>Rule of 72: 72 divided by the annual return. An estimate.</t>
  </si>
  <si>
    <t>Maximum period</t>
  </si>
  <si>
    <t>100 years.</t>
  </si>
  <si>
    <t>THE WORKBOOK</t>
  </si>
  <si>
    <t>Site</t>
  </si>
  <si>
    <t>needtheseapps.com</t>
  </si>
  <si>
    <t>Sheets</t>
  </si>
  <si>
    <t>Calculator · Breakdown · About &amp; Assumptions</t>
  </si>
  <si>
    <t>Version</t>
  </si>
  <si>
    <t>1.0</t>
  </si>
  <si>
    <t>Generated</t>
  </si>
  <si>
    <t>01.10.2026</t>
  </si>
  <si>
    <t>Currency</t>
  </si>
  <si>
    <t>This file is a snapshot. It does not update itself when the online calculator changes.</t>
  </si>
  <si>
    <t>Helper calculations, do not edit</t>
  </si>
  <si>
    <t>Monthly rate</t>
  </si>
  <si>
    <t>Months</t>
  </si>
  <si>
    <t>What you earned</t>
  </si>
  <si>
    <t>Value in today's money</t>
  </si>
  <si>
    <t>Years to double (Rule of 72)</t>
  </si>
  <si>
    <t>Growth label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</si>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</sst>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&quot;%&quot;"/>
  </numFmts>
  <fonts count="21" x14ac:knownFonts="1">
    <font>
      <sz val="11"/>
      <color theme="1"/>
      <name val="Calibri"/>
      <family val="2"/>
      <scheme val="minor"/>
    </font>
    <font>
      <b/>
      <sz val="11"/>
      <color rgb="FF1B2733"/>
      <name val="Segoe UI"/>
    </font>
    <font>
      <sz val="11"/>
      <color rgb="FF1B2733"/>
      <name val="Segoe UI"/>
    </font>
    <font>
      <b/>
      <sz val="18"/>
      <color rgb="FF12354E"/>
      <name val="Segoe UI"/>
    </font>
    <font>
      <sz val="10"/>
      <color rgb="FF6C6D70"/>
      <name val="Segoe UI"/>
    </font>
    <font>
      <b/>
      <sz val="10"/>
      <color rgb="FFFFFFFF"/>
      <name val="Segoe UI"/>
    </font>
    <font>
      <sz val="10"/>
      <color rgb="FF1B2733"/>
      <name val="Segoe UI"/>
    </font>
    <font>
      <b/>
      <u/>
      <sz val="10"/>
      <color rgb="FF1E5A85"/>
      <name val="Segoe UI"/>
    </font>
    <font>
      <b/>
      <sz val="24"/>
      <color rgb="FF12354E"/>
      <name val="Segoe UI"/>
    </font>
    <font>
      <b/>
      <u/>
      <sz val="11"/>
      <color rgb="FF1E5A85"/>
      <name val="Segoe UI"/>
    </font>
    <font>
      <b/>
      <sz val="12"/>
      <color rgb="FF1E5A85"/>
      <name val="Segoe UI"/>
    </font>
    <font>
      <b/>
      <sz val="12"/>
      <color rgb="FF12354E"/>
      <name val="Segoe UI"/>
    </font>
    <font>
      <i/>
      <sz val="10"/>
      <color rgb="FF6C6D70"/>
      <name val="Segoe UI"/>
    </font>
    <font>
      <b/>
      <sz val="22"/>
      <color rgb="FF1E5A85"/>
      <name val="Segoe UI"/>
    </font>
    <font>
      <sz val="12"/>
      <color rgb="FF1B2733"/>
      <name val="Segoe UI"/>
    </font>
    <font>
      <b/>
      <sz val="16"/>
      <color rgb="FF1B2733"/>
      <name val="Segoe UI"/>
    </font>
    <font>
      <sz val="9.5"/>
      <color rgb="FF6C6D70"/>
      <name val="Segoe UI"/>
    </font>
    <font>
      <b/>
      <sz val="11"/>
      <color rgb="FF12354E"/>
      <name val="Segoe UI"/>
    </font>
    <font>
      <b/>
      <sz val="20"/>
      <color rgb="FF12354E"/>
      <name val="Segoe UI"/>
    </font>
    <font>
      <sz val="11"/>
      <color rgb="FF6C6D70"/>
      <name val="Segoe UI"/>
    </font>
    <font>
      <b/>
      <u/>
      <sz val="12"/>
      <color rgb="FF1E5A85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5F8FB"/>
      </patternFill>
    </fill>
    <fill>
      <patternFill patternType="solid">
        <fgColor rgb="FF1E5A85"/>
      </patternFill>
    </fill>
    <fill>
      <patternFill patternType="solid">
        <fgColor rgb="FFE4EDF5"/>
      </patternFill>
    </fill>
    <fill>
      <patternFill patternType="solid">
        <fgColor rgb="FFC9DEE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1E5A85"/>
      </left>
      <right style="thin">
        <color rgb="FF1E5A85"/>
      </right>
      <top style="thin">
        <color rgb="FF1E5A85"/>
      </top>
      <bottom style="thin">
        <color rgb="FF1E5A85"/>
      </bottom>
      <diagonal/>
    </border>
    <border>
      <left/>
      <right/>
      <top/>
      <bottom style="thin">
        <color rgb="FF748BA0"/>
      </bottom>
      <diagonal/>
    </border>
    <border>
      <left style="thin">
        <color rgb="FFD6E1EA"/>
      </left>
      <right style="thin">
        <color rgb="FFD6E1EA"/>
      </right>
      <top style="thin">
        <color rgb="FFD6E1EA"/>
      </top>
      <bottom/>
      <diagonal/>
    </border>
    <border>
      <left style="thin">
        <color rgb="FFD6E1EA"/>
      </left>
      <right style="thin">
        <color rgb="FFD6E1EA"/>
      </right>
      <top/>
      <bottom/>
      <diagonal/>
    </border>
    <border>
      <left style="thin">
        <color rgb="FFD6E1EA"/>
      </left>
      <right style="thin">
        <color rgb="FFD6E1EA"/>
      </right>
      <top/>
      <bottom style="thin">
        <color rgb="FFD6E1EA"/>
      </bottom>
      <diagonal/>
    </border>
    <border>
      <left style="medium">
        <color rgb="FFB26A00"/>
      </left>
      <right/>
      <top style="thin">
        <color rgb="FFD6E1EA"/>
      </top>
      <bottom/>
      <diagonal/>
    </border>
    <border>
      <left/>
      <right/>
      <top style="thin">
        <color rgb="FFD6E1EA"/>
      </top>
      <bottom/>
      <diagonal/>
    </border>
    <border>
      <left style="medium">
        <color rgb="FFB26A00"/>
      </left>
      <right/>
      <top/>
      <bottom/>
      <diagonal/>
    </border>
    <border>
      <left/>
      <right/>
      <top/>
      <bottom style="thin">
        <color rgb="FFD6E1EA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 wrapText="1"/>
    </xf>
    <xf numFmtId="0" fontId="11" fillId="5" borderId="1" xfId="0" applyFont="1" applyFill="1" applyBorder="1" applyAlignment="1" applyProtection="1">
      <alignment horizontal="right" vertical="center"/>
      <protection locked="0"/>
    </xf>
    <xf numFmtId="3" fontId="11" fillId="5" borderId="1" xfId="0" applyNumberFormat="1" applyFont="1" applyFill="1" applyBorder="1" applyAlignment="1" applyProtection="1">
      <alignment horizontal="right" vertical="center"/>
      <protection locked="0"/>
    </xf>
    <xf numFmtId="164" fontId="11" fillId="5" borderId="1" xfId="0" applyNumberFormat="1" applyFont="1" applyFill="1" applyBorder="1" applyAlignment="1" applyProtection="1">
      <alignment horizontal="right" vertical="center"/>
      <protection locked="0"/>
    </xf>
    <xf numFmtId="1" fontId="11" fillId="5" borderId="1" xfId="0" applyNumberFormat="1" applyFont="1" applyFill="1" applyBorder="1" applyAlignment="1" applyProtection="1">
      <alignment horizontal="right" vertical="center"/>
      <protection locked="0"/>
    </xf>
    <xf numFmtId="0" fontId="4" fillId="6" borderId="3" xfId="0" applyFont="1" applyFill="1" applyBorder="1" applyAlignment="1">
      <alignment horizontal="left" vertical="top" wrapText="1"/>
    </xf>
    <xf numFmtId="3" fontId="15" fillId="6" borderId="4" xfId="0" applyNumberFormat="1" applyFont="1" applyFill="1" applyBorder="1" applyAlignment="1">
      <alignment horizontal="left" vertical="center" shrinkToFit="1"/>
    </xf>
    <xf numFmtId="0" fontId="16" fillId="6" borderId="5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 wrapText="1"/>
    </xf>
    <xf numFmtId="164" fontId="17" fillId="5" borderId="1" xfId="0" applyNumberFormat="1" applyFont="1" applyFill="1" applyBorder="1" applyAlignment="1" applyProtection="1">
      <alignment horizontal="right" vertical="center"/>
      <protection locked="0"/>
    </xf>
    <xf numFmtId="3" fontId="2" fillId="6" borderId="0" xfId="0" applyNumberFormat="1" applyFont="1" applyFill="1" applyAlignment="1">
      <alignment horizontal="right" vertical="center"/>
    </xf>
    <xf numFmtId="3" fontId="1" fillId="6" borderId="0" xfId="0" applyNumberFormat="1" applyFont="1" applyFill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2" fillId="6" borderId="9" xfId="0" applyFont="1" applyFill="1" applyBorder="1" applyAlignment="1">
      <alignment horizontal="left" vertical="center" wrapText="1"/>
    </xf>
    <xf numFmtId="0" fontId="19" fillId="6" borderId="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0" fillId="0" borderId="0" xfId="0"/>
    <xf numFmtId="0" fontId="13" fillId="2" borderId="0" xfId="0" applyFont="1" applyFill="1" applyAlignment="1">
      <alignment horizontal="left" vertical="center" shrinkToFit="1"/>
    </xf>
    <xf numFmtId="0" fontId="17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4" fillId="6" borderId="6" xfId="0" applyFont="1" applyFill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0" fillId="6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2">
    <dxf>
      <border>
        <bottom style="thin">
          <color rgb="FFD6E1EA"/>
        </bottom>
      </border>
    </dxf>
    <dxf>
      <fill>
        <patternFill patternType="solid">
          <fgColor rgb="FFFBFDFE"/>
        </patternFill>
      </fill>
      <border>
        <bottom style="thin">
          <color rgb="FFD6E1EA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Your growth over time</a:t>
            </a:r>
          </a:p>
        </c:rich>
      </c:tx>
      <c:overlay val="0"/>
    </c:title>
    <c:autoTitleDeleted val="0"/>
    <c:plotArea>
      <c:layout/>
      <c:areaChart>
        <c:grouping val="stacked"/>
        <c:varyColors val="1"/>
        <c:ser>
          <c:idx val="0"/>
          <c:order val="0"/>
          <c:tx>
            <c:v>What you put in</c:v>
          </c:tx>
          <c:spPr>
            <a:solidFill>
              <a:srgbClr val="1E5A85"/>
            </a:solidFill>
            <a:ln>
              <a:solidFill>
                <a:srgbClr val="1E5A85"/>
              </a:solidFill>
              <a:prstDash val="solid"/>
            </a:ln>
          </c:spPr>
          <c:cat>
            <c:numRef>
              <c:f>_Engine!ch_years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_Engine!ch_putin</c:f>
              <c:numCache>
                <c:formatCode>General</c:formatCode>
                <c:ptCount val="21"/>
                <c:pt idx="0">
                  <c:v>10000</c:v>
                </c:pt>
                <c:pt idx="1">
                  <c:v>16000</c:v>
                </c:pt>
                <c:pt idx="2">
                  <c:v>22000</c:v>
                </c:pt>
                <c:pt idx="3">
                  <c:v>28000</c:v>
                </c:pt>
                <c:pt idx="4">
                  <c:v>34000</c:v>
                </c:pt>
                <c:pt idx="5">
                  <c:v>40000</c:v>
                </c:pt>
                <c:pt idx="6">
                  <c:v>46000</c:v>
                </c:pt>
                <c:pt idx="7">
                  <c:v>52000</c:v>
                </c:pt>
                <c:pt idx="8">
                  <c:v>58000</c:v>
                </c:pt>
                <c:pt idx="9">
                  <c:v>64000</c:v>
                </c:pt>
                <c:pt idx="10">
                  <c:v>70000</c:v>
                </c:pt>
                <c:pt idx="11">
                  <c:v>76000</c:v>
                </c:pt>
                <c:pt idx="12">
                  <c:v>82000</c:v>
                </c:pt>
                <c:pt idx="13">
                  <c:v>88000</c:v>
                </c:pt>
                <c:pt idx="14">
                  <c:v>94000</c:v>
                </c:pt>
                <c:pt idx="15">
                  <c:v>100000</c:v>
                </c:pt>
                <c:pt idx="16">
                  <c:v>106000</c:v>
                </c:pt>
                <c:pt idx="17">
                  <c:v>112000</c:v>
                </c:pt>
                <c:pt idx="18">
                  <c:v>118000</c:v>
                </c:pt>
                <c:pt idx="19">
                  <c:v>124000</c:v>
                </c:pt>
                <c:pt idx="20">
                  <c:v>130000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38-4877-ACF1-DD36C7DD47C9}"/>
            </c:ext>
          </c:extLst>
        </c:ser>
        <c:ser>
          <c:idx val="1"/>
          <c:order val="1"/>
          <c:tx>
            <c:strRef>
              <c:f>_Engine!$B$9</c:f>
              <c:strCache>
                <c:ptCount val="1"/>
                <c:pt idx="0">
                  <c:v>What you earned</c:v>
                </c:pt>
              </c:strCache>
            </c:strRef>
          </c:tx>
          <c:spPr>
            <a:solidFill>
              <a:srgbClr val="A65F00"/>
            </a:solidFill>
            <a:ln>
              <a:solidFill>
                <a:srgbClr val="A65F00"/>
              </a:solidFill>
              <a:prstDash val="solid"/>
            </a:ln>
          </c:spPr>
          <c:cat>
            <c:numRef>
              <c:f>_Engine!ch_years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_Engine!ch_earned</c:f>
              <c:numCache>
                <c:formatCode>General</c:formatCode>
                <c:ptCount val="21"/>
                <c:pt idx="0">
                  <c:v>0</c:v>
                </c:pt>
                <c:pt idx="1">
                  <c:v>784.55930509473546</c:v>
                </c:pt>
                <c:pt idx="2">
                  <c:v>1987.5753825926549</c:v>
                </c:pt>
                <c:pt idx="3">
                  <c:v>3634.857730575397</c:v>
                </c:pt>
                <c:pt idx="4">
                  <c:v>5753.8077204917427</c:v>
                </c:pt>
                <c:pt idx="5">
                  <c:v>8373.5167804234079</c:v>
                </c:pt>
                <c:pt idx="6">
                  <c:v>11524.87063408026</c:v>
                </c:pt>
                <c:pt idx="7">
                  <c:v>15240.659969028406</c:v>
                </c:pt>
                <c:pt idx="8">
                  <c:v>19555.697930692535</c:v>
                </c:pt>
                <c:pt idx="9">
                  <c:v>24506.944863131357</c:v>
                </c:pt>
                <c:pt idx="10">
                  <c:v>30133.64074355083</c:v>
                </c:pt>
                <c:pt idx="11">
                  <c:v>36477.445785088508</c:v>
                </c:pt>
                <c:pt idx="12">
                  <c:v>43582.589711670167</c:v>
                </c:pt>
                <c:pt idx="13">
                  <c:v>51496.030239812739</c:v>
                </c:pt>
                <c:pt idx="14">
                  <c:v>60267.621335237956</c:v>
                </c:pt>
                <c:pt idx="15">
                  <c:v>69950.291847186076</c:v>
                </c:pt>
                <c:pt idx="16">
                  <c:v>80600.235160503042</c:v>
                </c:pt>
                <c:pt idx="17">
                  <c:v>92277.110545053321</c:v>
                </c:pt>
                <c:pt idx="18">
                  <c:v>105044.25692392414</c:v>
                </c:pt>
                <c:pt idx="19">
                  <c:v>118968.91982638428</c:v>
                </c:pt>
                <c:pt idx="20">
                  <c:v>134122.49233880598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38-4877-ACF1-DD36C7DD4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area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61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edtheseapps.com/apps/financial/compound-interest-calculator/" TargetMode="External"/><Relationship Id="rId1" Type="http://schemas.openxmlformats.org/officeDocument/2006/relationships/hyperlink" Target="https://needtheseapp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needtheseapps.com/apps/financial/compound-interest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2.140625" customWidth="1"/>
    <col min="2" max="2" width="34" customWidth="1"/>
    <col min="3" max="3" width="19" customWidth="1"/>
    <col min="4" max="4" width="1.5703125" customWidth="1"/>
    <col min="5" max="5" width="21" customWidth="1"/>
    <col min="6" max="6" width="1.5703125" customWidth="1"/>
    <col min="7" max="7" width="21" customWidth="1"/>
    <col min="8" max="8" width="2.140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customHeight="1" x14ac:dyDescent="0.25">
      <c r="A2" s="1"/>
      <c r="B2" s="30" t="s">
        <v>0</v>
      </c>
      <c r="C2" s="22"/>
      <c r="D2" s="22"/>
      <c r="E2" s="1"/>
      <c r="F2" s="1"/>
      <c r="G2" s="1"/>
      <c r="H2" s="1"/>
    </row>
    <row r="3" spans="1:8" ht="33.950000000000003" customHeight="1" x14ac:dyDescent="0.25">
      <c r="A3" s="1"/>
      <c r="B3" s="21" t="s">
        <v>1</v>
      </c>
      <c r="C3" s="22"/>
      <c r="D3" s="22"/>
      <c r="E3" s="22"/>
      <c r="F3" s="22"/>
      <c r="G3" s="22"/>
      <c r="H3" s="1"/>
    </row>
    <row r="4" spans="1:8" ht="24" customHeight="1" x14ac:dyDescent="0.25">
      <c r="A4" s="1"/>
      <c r="B4" s="31" t="s">
        <v>2</v>
      </c>
      <c r="C4" s="22"/>
      <c r="D4" s="22"/>
      <c r="E4" s="22"/>
      <c r="F4" s="22"/>
      <c r="G4" s="22"/>
      <c r="H4" s="1"/>
    </row>
    <row r="5" spans="1:8" ht="20.100000000000001" customHeight="1" x14ac:dyDescent="0.25">
      <c r="A5" s="1"/>
      <c r="B5" s="26" t="s">
        <v>3</v>
      </c>
      <c r="C5" s="22"/>
      <c r="D5" s="22"/>
      <c r="E5" s="22"/>
      <c r="F5" s="22"/>
      <c r="G5" s="22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26.1" customHeight="1" x14ac:dyDescent="0.25">
      <c r="A7" s="1"/>
      <c r="B7" s="29" t="s">
        <v>4</v>
      </c>
      <c r="C7" s="22"/>
      <c r="D7" s="22"/>
      <c r="E7" s="22"/>
      <c r="F7" s="22"/>
      <c r="G7" s="22"/>
      <c r="H7" s="1"/>
    </row>
    <row r="8" spans="1:8" ht="21.95" customHeight="1" x14ac:dyDescent="0.25">
      <c r="A8" s="1"/>
      <c r="B8" s="2" t="s">
        <v>5</v>
      </c>
      <c r="C8" s="3" t="s">
        <v>6</v>
      </c>
      <c r="D8" s="1"/>
      <c r="E8" s="1"/>
      <c r="F8" s="1"/>
      <c r="G8" s="1"/>
      <c r="H8" s="1"/>
    </row>
    <row r="9" spans="1:8" ht="21.95" customHeight="1" x14ac:dyDescent="0.25">
      <c r="A9" s="1"/>
      <c r="B9" s="2" t="s">
        <v>7</v>
      </c>
      <c r="C9" s="4">
        <v>10000</v>
      </c>
      <c r="D9" s="1"/>
      <c r="E9" s="1"/>
      <c r="F9" s="1"/>
      <c r="G9" s="1"/>
      <c r="H9" s="1"/>
    </row>
    <row r="10" spans="1:8" ht="21.95" customHeight="1" x14ac:dyDescent="0.25">
      <c r="A10" s="1"/>
      <c r="B10" s="2" t="s">
        <v>8</v>
      </c>
      <c r="C10" s="4">
        <v>500</v>
      </c>
      <c r="D10" s="1"/>
      <c r="E10" s="1"/>
      <c r="F10" s="1"/>
      <c r="G10" s="1"/>
      <c r="H10" s="1"/>
    </row>
    <row r="11" spans="1:8" ht="21.95" customHeight="1" x14ac:dyDescent="0.25">
      <c r="A11" s="1"/>
      <c r="B11" s="2" t="s">
        <v>9</v>
      </c>
      <c r="C11" s="5">
        <v>6</v>
      </c>
      <c r="D11" s="1"/>
      <c r="E11" s="1"/>
      <c r="F11" s="1"/>
      <c r="G11" s="1"/>
      <c r="H11" s="1"/>
    </row>
    <row r="12" spans="1:8" ht="21.95" customHeight="1" x14ac:dyDescent="0.25">
      <c r="A12" s="1"/>
      <c r="B12" s="2" t="s">
        <v>10</v>
      </c>
      <c r="C12" s="6">
        <v>20</v>
      </c>
      <c r="D12" s="1"/>
      <c r="E12" s="1"/>
      <c r="F12" s="1"/>
      <c r="G12" s="1"/>
      <c r="H12" s="1"/>
    </row>
    <row r="13" spans="1:8" ht="21" customHeight="1" x14ac:dyDescent="0.25">
      <c r="A13" s="1"/>
      <c r="B13" s="32" t="str">
        <f>"Edit the six blue cells. Everything else calculates automatically. Amounts are shown in "&amp;$C$8&amp;"."</f>
        <v>Edit the six blue cells. Everything else calculates automatically. Amounts are shown in $.</v>
      </c>
      <c r="C13" s="22"/>
      <c r="D13" s="22"/>
      <c r="E13" s="22"/>
      <c r="F13" s="22"/>
      <c r="G13" s="22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ht="26.1" customHeight="1" x14ac:dyDescent="0.25">
      <c r="A15" s="1"/>
      <c r="B15" s="29" t="s">
        <v>11</v>
      </c>
      <c r="C15" s="22"/>
      <c r="D15" s="22"/>
      <c r="E15" s="22"/>
      <c r="F15" s="22"/>
      <c r="G15" s="22"/>
      <c r="H15" s="1"/>
    </row>
    <row r="16" spans="1:8" ht="33.950000000000003" customHeight="1" x14ac:dyDescent="0.25">
      <c r="A16" s="1"/>
      <c r="B16" s="23" t="str">
        <f>"Projected balance after "&amp;$C$12&amp;IF($C$12=1," year"," years")&amp;": "&amp;$C$8&amp;TEXT(_Engine!$B$4,"#,##0")</f>
        <v>Projected balance after 20 years: $264,122</v>
      </c>
      <c r="C16" s="22"/>
      <c r="D16" s="22"/>
      <c r="E16" s="22"/>
      <c r="F16" s="22"/>
      <c r="G16" s="22"/>
      <c r="H16" s="1"/>
    </row>
    <row r="17" spans="1:8" ht="24" customHeight="1" x14ac:dyDescent="0.25">
      <c r="A17" s="1"/>
      <c r="B17" s="28" t="str">
        <f>"What you put in: "&amp;$C$8&amp;TEXT(_Engine!$B$5,"#,##0")&amp;"   ·   "&amp;_Engine!$B$9&amp;": "&amp;$C$8&amp;TEXT(ABS(_Engine!$B$6),"#,##0")</f>
        <v>What you put in: $130,000   ·   What you earned: $134,122</v>
      </c>
      <c r="C17" s="22"/>
      <c r="D17" s="22"/>
      <c r="E17" s="22"/>
      <c r="F17" s="22"/>
      <c r="G17" s="22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ht="21" customHeight="1" x14ac:dyDescent="0.25">
      <c r="A19" s="1"/>
      <c r="B19" s="1"/>
      <c r="C19" s="7" t="s">
        <v>12</v>
      </c>
      <c r="D19" s="1"/>
      <c r="E19" s="7" t="s">
        <v>13</v>
      </c>
      <c r="F19" s="1"/>
      <c r="G19" s="7" t="str">
        <f>_Engine!$B$9</f>
        <v>What you earned</v>
      </c>
      <c r="H19" s="1"/>
    </row>
    <row r="20" spans="1:8" ht="24" customHeight="1" x14ac:dyDescent="0.25">
      <c r="A20" s="1"/>
      <c r="B20" s="1"/>
      <c r="C20" s="8">
        <f>_Engine!$B$4</f>
        <v>264122.49233880598</v>
      </c>
      <c r="D20" s="1"/>
      <c r="E20" s="8">
        <f>_Engine!$B$5</f>
        <v>130000</v>
      </c>
      <c r="F20" s="1"/>
      <c r="G20" s="8">
        <f>ABS(_Engine!$B$6)</f>
        <v>134122.49233880598</v>
      </c>
      <c r="H20" s="1"/>
    </row>
    <row r="21" spans="1:8" ht="30" customHeight="1" x14ac:dyDescent="0.25">
      <c r="A21" s="1"/>
      <c r="B21" s="1"/>
      <c r="C21" s="9" t="str">
        <f>"after "&amp;$C$12&amp;IF($C$12=1," year"," years")</f>
        <v>after 20 years</v>
      </c>
      <c r="D21" s="1"/>
      <c r="E21" s="9" t="str">
        <f>"starting amount + monthly contributions"</f>
        <v>starting amount + monthly contributions</v>
      </c>
      <c r="F21" s="1"/>
      <c r="G21" s="9" t="str">
        <f>IF(_Engine!$B$6&lt;0,"taken off what you put in","growth on top of what you put in")</f>
        <v>growth on top of what you put in</v>
      </c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ht="26.1" customHeight="1" x14ac:dyDescent="0.25">
      <c r="A23" s="1"/>
      <c r="B23" s="29" t="s">
        <v>14</v>
      </c>
      <c r="C23" s="22"/>
      <c r="D23" s="22"/>
      <c r="E23" s="22"/>
      <c r="F23" s="22"/>
      <c r="G23" s="22"/>
      <c r="H23" s="1"/>
    </row>
    <row r="24" spans="1:8" ht="21.95" customHeight="1" x14ac:dyDescent="0.25">
      <c r="A24" s="1"/>
      <c r="B24" s="24" t="s">
        <v>15</v>
      </c>
      <c r="C24" s="22"/>
      <c r="D24" s="1"/>
      <c r="E24" s="1"/>
      <c r="F24" s="1"/>
      <c r="G24" s="1"/>
      <c r="H24" s="1"/>
    </row>
    <row r="25" spans="1:8" ht="21" customHeight="1" x14ac:dyDescent="0.25">
      <c r="A25" s="1"/>
      <c r="B25" s="10" t="s">
        <v>16</v>
      </c>
      <c r="C25" s="11">
        <v>2.5</v>
      </c>
      <c r="D25" s="1"/>
      <c r="E25" s="1"/>
      <c r="F25" s="1"/>
      <c r="G25" s="1"/>
      <c r="H25" s="1"/>
    </row>
    <row r="26" spans="1:8" ht="21" customHeight="1" x14ac:dyDescent="0.25">
      <c r="A26" s="1"/>
      <c r="B26" s="10" t="s">
        <v>12</v>
      </c>
      <c r="C26" s="12">
        <f>_Engine!$B$4</f>
        <v>264122.49233880598</v>
      </c>
      <c r="D26" s="1"/>
      <c r="E26" s="1"/>
      <c r="F26" s="1"/>
      <c r="G26" s="1"/>
      <c r="H26" s="1"/>
    </row>
    <row r="27" spans="1:8" ht="21" customHeight="1" x14ac:dyDescent="0.25">
      <c r="A27" s="1"/>
      <c r="B27" s="10" t="s">
        <v>17</v>
      </c>
      <c r="C27" s="13">
        <f>_Engine!$B$7</f>
        <v>161186.28242982732</v>
      </c>
      <c r="D27" s="1"/>
      <c r="E27" s="1"/>
      <c r="F27" s="1"/>
      <c r="G27" s="1"/>
      <c r="H27" s="1"/>
    </row>
    <row r="28" spans="1:8" ht="33.950000000000003" customHeight="1" x14ac:dyDescent="0.25">
      <c r="A28" s="1"/>
      <c r="B28" s="25" t="str">
        <f>"In today's money, assuming "&amp;$C$25&amp;"% average inflation, "&amp;$C$8&amp;TEXT(_Engine!$B$4,"#,##0")&amp;" in "&amp;$C$12&amp;IF($C$12=1," year"," years")&amp;" would be worth about "&amp;$C$8&amp;TEXT(_Engine!$B$7,"#,##0")&amp;". Prices rise too, so the same number buys less in the future. This is an illustrative assumption, not a forecast."</f>
        <v>In today's money, assuming 2.5% average inflation, $264,122 in 20 years would be worth about $161,186. Prices rise too, so the same number buys less in the future. This is an illustrative assumption, not a forecast.</v>
      </c>
      <c r="C28" s="22"/>
      <c r="D28" s="22"/>
      <c r="E28" s="22"/>
      <c r="F28" s="22"/>
      <c r="G28" s="22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ht="21.95" customHeight="1" x14ac:dyDescent="0.25">
      <c r="A30" s="1"/>
      <c r="B30" s="24" t="s">
        <v>18</v>
      </c>
      <c r="C30" s="22"/>
      <c r="D30" s="1"/>
      <c r="E30" s="1"/>
      <c r="F30" s="1"/>
      <c r="G30" s="1"/>
      <c r="H30" s="1"/>
    </row>
    <row r="31" spans="1:8" ht="33.950000000000003" customHeight="1" x14ac:dyDescent="0.25">
      <c r="A31" s="1"/>
      <c r="B31" s="27" t="str">
        <f>IF($C$11&gt;0,"At a "&amp;$C$11&amp;"% annual return, your money would take about "&amp;TEXT(_Engine!$B$8,"0.0")&amp;" years to double. A quick way to sanity-check any rate, not a precise projection.","Enter a return rate above 0% to see how long your money would take to double.")</f>
        <v>At a 6% annual return, your money would take about 12.0 years to double. A quick way to sanity-check any rate, not a precise projection.</v>
      </c>
      <c r="C31" s="22"/>
      <c r="D31" s="22"/>
      <c r="E31" s="22"/>
      <c r="F31" s="22"/>
      <c r="G31" s="22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ht="30" customHeight="1" x14ac:dyDescent="0.25">
      <c r="A33" s="1"/>
      <c r="B33" s="33" t="s">
        <v>19</v>
      </c>
      <c r="C33" s="34"/>
      <c r="D33" s="34"/>
      <c r="E33" s="34"/>
      <c r="F33" s="34"/>
      <c r="G33" s="34"/>
      <c r="H33" s="1"/>
    </row>
    <row r="34" spans="1:8" ht="30" customHeight="1" x14ac:dyDescent="0.25">
      <c r="A34" s="1"/>
      <c r="B34" s="35"/>
      <c r="C34" s="22"/>
      <c r="D34" s="22"/>
      <c r="E34" s="22"/>
      <c r="F34" s="22"/>
      <c r="G34" s="22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sheetProtection sheet="1" formatCells="0"/>
  <mergeCells count="15">
    <mergeCell ref="B33:G34"/>
    <mergeCell ref="B31:G31"/>
    <mergeCell ref="B17:G17"/>
    <mergeCell ref="B23:G23"/>
    <mergeCell ref="B2:D2"/>
    <mergeCell ref="B4:G4"/>
    <mergeCell ref="B13:G13"/>
    <mergeCell ref="B15:G15"/>
    <mergeCell ref="B7:G7"/>
    <mergeCell ref="B3:G3"/>
    <mergeCell ref="B16:G16"/>
    <mergeCell ref="B24:C24"/>
    <mergeCell ref="B30:C30"/>
    <mergeCell ref="B28:G28"/>
    <mergeCell ref="B5:G5"/>
  </mergeCells>
  <dataValidations count="4">
    <dataValidation type="decimal" operator="greaterThanOrEqual" showErrorMessage="1" errorTitle="Amount" error="Enter an amount of 0 or more." sqref="C9 C10" xr:uid="{00000000-0002-0000-0000-000000000000}">
      <formula1>0</formula1>
    </dataValidation>
    <dataValidation type="decimal" showErrorMessage="1" errorTitle="Annual return" error="Enter a return between -50% and 100%." sqref="C11" xr:uid="{00000000-0002-0000-0000-000001000000}">
      <formula1>-50</formula1>
      <formula2>100</formula2>
    </dataValidation>
    <dataValidation type="whole" showErrorMessage="1" errorTitle="Years" error="Enter a whole number of years, from 1 to 100." sqref="C12" xr:uid="{00000000-0002-0000-0000-000002000000}">
      <formula1>1</formula1>
      <formula2>100</formula2>
    </dataValidation>
    <dataValidation type="decimal" showErrorMessage="1" errorTitle="Inflation" error="Enter an inflation rate between 0% and 100%." sqref="C25" xr:uid="{00000000-0002-0000-0000-000003000000}">
      <formula1>0</formula1>
      <formula2>100</formula2>
    </dataValidation>
  </dataValidations>
  <hyperlinks>
    <hyperlink ref="B2" r:id="rId1" xr:uid="{00000000-0004-0000-0000-000000000000}"/>
    <hyperlink ref="B5" r:id="rId2" xr:uid="{00000000-0004-0000-0000-000001000000}"/>
  </hyperlinks>
  <pageMargins left="0.75" right="0.75" top="1" bottom="1" header="0.5" footer="0.5"/>
  <pageSetup fitToHeight="0" orientation="portrait"/>
  <headerFooter>
    <oddFooter>&amp;Lneedtheseapps.com&amp;CCompound Interest Calculator&amp;RPage &amp;P of &amp;N</oddFooter>
  </headerFooter>
  <rowBreaks count="1" manualBreakCount="1">
    <brk id="35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3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9" customWidth="1"/>
    <col min="2" max="5" width="19" customWidth="1"/>
    <col min="6" max="6" width="2" customWidth="1"/>
  </cols>
  <sheetData>
    <row r="1" spans="1:5" ht="30" customHeight="1" x14ac:dyDescent="0.25">
      <c r="A1" s="37" t="s">
        <v>20</v>
      </c>
      <c r="B1" s="22"/>
      <c r="C1" s="22"/>
      <c r="D1" s="22"/>
      <c r="E1" s="22"/>
    </row>
    <row r="2" spans="1:5" ht="30" customHeight="1" x14ac:dyDescent="0.25">
      <c r="A2" s="36" t="str">
        <f>"Every year: what you put in, what it earned, and your running balance. Nothing here needs editing. Amounts are shown in "&amp;Calculator!$C$8&amp;"."</f>
        <v>Every year: what you put in, what it earned, and your running balance. Nothing here needs editing. Amounts are shown in $.</v>
      </c>
      <c r="B2" s="22"/>
      <c r="C2" s="22"/>
      <c r="D2" s="22"/>
      <c r="E2" s="22"/>
    </row>
    <row r="3" spans="1:5" ht="33.950000000000003" customHeight="1" x14ac:dyDescent="0.25">
      <c r="A3" s="14" t="s">
        <v>21</v>
      </c>
      <c r="B3" s="14" t="s">
        <v>22</v>
      </c>
      <c r="C3" s="14" t="s">
        <v>23</v>
      </c>
      <c r="D3" s="14" t="s">
        <v>24</v>
      </c>
      <c r="E3" s="14" t="s">
        <v>25</v>
      </c>
    </row>
    <row r="4" spans="1:5" x14ac:dyDescent="0.25">
      <c r="A4" s="15">
        <f>IF(1&lt;=Calculator!$C$12,1,"")</f>
        <v>1</v>
      </c>
      <c r="B4" s="16">
        <f>IF($A4="","",Calculator!$C$9)</f>
        <v>10000</v>
      </c>
      <c r="C4" s="16">
        <f>IF($A4="","",Calculator!$C$10*12)</f>
        <v>6000</v>
      </c>
      <c r="D4" s="16">
        <f t="shared" ref="D4:D35" si="0">IF($A4="","",$E4-$B4-$C4)</f>
        <v>784.55930509473546</v>
      </c>
      <c r="E4" s="16">
        <f>IF($A4="","",IF(_Engine!$B$2=0,$B4+$C4,$B4*POWER(1+_Engine!$B$2,12)+Calculator!$C$10*(POWER(1+_Engine!$B$2,12)-1)/_Engine!$B$2))</f>
        <v>16784.559305094735</v>
      </c>
    </row>
    <row r="5" spans="1:5" x14ac:dyDescent="0.25">
      <c r="A5" s="15">
        <f>IF(2&lt;=Calculator!$C$12,2,"")</f>
        <v>2</v>
      </c>
      <c r="B5" s="16">
        <f t="shared" ref="B5:B36" si="1">IF($A5="","",$E4)</f>
        <v>16784.559305094735</v>
      </c>
      <c r="C5" s="16">
        <f>IF($A5="","",Calculator!$C$10*12)</f>
        <v>6000</v>
      </c>
      <c r="D5" s="16">
        <f t="shared" si="0"/>
        <v>1203.016077497894</v>
      </c>
      <c r="E5" s="16">
        <f>IF($A5="","",IF(_Engine!$B$2=0,$B5+$C5,$B5*POWER(1+_Engine!$B$2,12)+Calculator!$C$10*(POWER(1+_Engine!$B$2,12)-1)/_Engine!$B$2))</f>
        <v>23987.575382592629</v>
      </c>
    </row>
    <row r="6" spans="1:5" x14ac:dyDescent="0.25">
      <c r="A6" s="15">
        <f>IF(3&lt;=Calculator!$C$12,3,"")</f>
        <v>3</v>
      </c>
      <c r="B6" s="16">
        <f t="shared" si="1"/>
        <v>23987.575382592629</v>
      </c>
      <c r="C6" s="16">
        <f>IF($A6="","",Calculator!$C$10*12)</f>
        <v>6000</v>
      </c>
      <c r="D6" s="16">
        <f t="shared" si="0"/>
        <v>1647.2823479827639</v>
      </c>
      <c r="E6" s="16">
        <f>IF($A6="","",IF(_Engine!$B$2=0,$B6+$C6,$B6*POWER(1+_Engine!$B$2,12)+Calculator!$C$10*(POWER(1+_Engine!$B$2,12)-1)/_Engine!$B$2))</f>
        <v>31634.857730575393</v>
      </c>
    </row>
    <row r="7" spans="1:5" x14ac:dyDescent="0.25">
      <c r="A7" s="15">
        <f>IF(4&lt;=Calculator!$C$12,4,"")</f>
        <v>4</v>
      </c>
      <c r="B7" s="16">
        <f t="shared" si="1"/>
        <v>31634.857730575393</v>
      </c>
      <c r="C7" s="16">
        <f>IF($A7="","",Calculator!$C$10*12)</f>
        <v>6000</v>
      </c>
      <c r="D7" s="16">
        <f t="shared" si="0"/>
        <v>2118.949989916342</v>
      </c>
      <c r="E7" s="16">
        <f>IF($A7="","",IF(_Engine!$B$2=0,$B7+$C7,$B7*POWER(1+_Engine!$B$2,12)+Calculator!$C$10*(POWER(1+_Engine!$B$2,12)-1)/_Engine!$B$2))</f>
        <v>39753.807720491735</v>
      </c>
    </row>
    <row r="8" spans="1:5" x14ac:dyDescent="0.25">
      <c r="A8" s="15">
        <f>IF(5&lt;=Calculator!$C$12,5,"")</f>
        <v>5</v>
      </c>
      <c r="B8" s="16">
        <f t="shared" si="1"/>
        <v>39753.807720491735</v>
      </c>
      <c r="C8" s="16">
        <f>IF($A8="","",Calculator!$C$10*12)</f>
        <v>6000</v>
      </c>
      <c r="D8" s="16">
        <f t="shared" si="0"/>
        <v>2619.7090599316653</v>
      </c>
      <c r="E8" s="16">
        <f>IF($A8="","",IF(_Engine!$B$2=0,$B8+$C8,$B8*POWER(1+_Engine!$B$2,12)+Calculator!$C$10*(POWER(1+_Engine!$B$2,12)-1)/_Engine!$B$2))</f>
        <v>48373.516780423401</v>
      </c>
    </row>
    <row r="9" spans="1:5" x14ac:dyDescent="0.25">
      <c r="A9" s="15">
        <f>IF(6&lt;=Calculator!$C$12,6,"")</f>
        <v>6</v>
      </c>
      <c r="B9" s="16">
        <f t="shared" si="1"/>
        <v>48373.516780423401</v>
      </c>
      <c r="C9" s="16">
        <f>IF($A9="","",Calculator!$C$10*12)</f>
        <v>6000</v>
      </c>
      <c r="D9" s="16">
        <f t="shared" si="0"/>
        <v>3151.3538536568376</v>
      </c>
      <c r="E9" s="16">
        <f>IF($A9="","",IF(_Engine!$B$2=0,$B9+$C9,$B9*POWER(1+_Engine!$B$2,12)+Calculator!$C$10*(POWER(1+_Engine!$B$2,12)-1)/_Engine!$B$2))</f>
        <v>57524.870634080238</v>
      </c>
    </row>
    <row r="10" spans="1:5" x14ac:dyDescent="0.25">
      <c r="A10" s="15">
        <f>IF(7&lt;=Calculator!$C$12,7,"")</f>
        <v>7</v>
      </c>
      <c r="B10" s="16">
        <f t="shared" si="1"/>
        <v>57524.870634080238</v>
      </c>
      <c r="C10" s="16">
        <f>IF($A10="","",Calculator!$C$10*12)</f>
        <v>6000</v>
      </c>
      <c r="D10" s="16">
        <f t="shared" si="0"/>
        <v>3715.7893349481237</v>
      </c>
      <c r="E10" s="16">
        <f>IF($A10="","",IF(_Engine!$B$2=0,$B10+$C10,$B10*POWER(1+_Engine!$B$2,12)+Calculator!$C$10*(POWER(1+_Engine!$B$2,12)-1)/_Engine!$B$2))</f>
        <v>67240.659969028362</v>
      </c>
    </row>
    <row r="11" spans="1:5" x14ac:dyDescent="0.25">
      <c r="A11" s="15">
        <f>IF(8&lt;=Calculator!$C$12,8,"")</f>
        <v>8</v>
      </c>
      <c r="B11" s="16">
        <f t="shared" si="1"/>
        <v>67240.659969028362</v>
      </c>
      <c r="C11" s="16">
        <f>IF($A11="","",Calculator!$C$10*12)</f>
        <v>6000</v>
      </c>
      <c r="D11" s="16">
        <f t="shared" si="0"/>
        <v>4315.0379616641439</v>
      </c>
      <c r="E11" s="16">
        <f>IF($A11="","",IF(_Engine!$B$2=0,$B11+$C11,$B11*POWER(1+_Engine!$B$2,12)+Calculator!$C$10*(POWER(1+_Engine!$B$2,12)-1)/_Engine!$B$2))</f>
        <v>77555.697930692506</v>
      </c>
    </row>
    <row r="12" spans="1:5" x14ac:dyDescent="0.25">
      <c r="A12" s="15">
        <f>IF(9&lt;=Calculator!$C$12,9,"")</f>
        <v>9</v>
      </c>
      <c r="B12" s="16">
        <f t="shared" si="1"/>
        <v>77555.697930692506</v>
      </c>
      <c r="C12" s="16">
        <f>IF($A12="","",Calculator!$C$10*12)</f>
        <v>6000</v>
      </c>
      <c r="D12" s="16">
        <f t="shared" si="0"/>
        <v>4951.2469324388221</v>
      </c>
      <c r="E12" s="16">
        <f>IF($A12="","",IF(_Engine!$B$2=0,$B12+$C12,$B12*POWER(1+_Engine!$B$2,12)+Calculator!$C$10*(POWER(1+_Engine!$B$2,12)-1)/_Engine!$B$2))</f>
        <v>88506.944863131328</v>
      </c>
    </row>
    <row r="13" spans="1:5" x14ac:dyDescent="0.25">
      <c r="A13" s="15">
        <f>IF(10&lt;=Calculator!$C$12,10,"")</f>
        <v>10</v>
      </c>
      <c r="B13" s="16">
        <f t="shared" si="1"/>
        <v>88506.944863131328</v>
      </c>
      <c r="C13" s="16">
        <f>IF($A13="","",Calculator!$C$10*12)</f>
        <v>6000</v>
      </c>
      <c r="D13" s="16">
        <f t="shared" si="0"/>
        <v>5626.6958804194437</v>
      </c>
      <c r="E13" s="16">
        <f>IF($A13="","",IF(_Engine!$B$2=0,$B13+$C13,$B13*POWER(1+_Engine!$B$2,12)+Calculator!$C$10*(POWER(1+_Engine!$B$2,12)-1)/_Engine!$B$2))</f>
        <v>100133.64074355077</v>
      </c>
    </row>
    <row r="14" spans="1:5" x14ac:dyDescent="0.25">
      <c r="A14" s="15">
        <f>IF(11&lt;=Calculator!$C$12,11,"")</f>
        <v>11</v>
      </c>
      <c r="B14" s="16">
        <f t="shared" si="1"/>
        <v>100133.64074355077</v>
      </c>
      <c r="C14" s="16">
        <f>IF($A14="","",Calculator!$C$10*12)</f>
        <v>6000</v>
      </c>
      <c r="D14" s="16">
        <f t="shared" si="0"/>
        <v>6343.8050415376783</v>
      </c>
      <c r="E14" s="16">
        <f>IF($A14="","",IF(_Engine!$B$2=0,$B14+$C14,$B14*POWER(1+_Engine!$B$2,12)+Calculator!$C$10*(POWER(1+_Engine!$B$2,12)-1)/_Engine!$B$2))</f>
        <v>112477.44578508845</v>
      </c>
    </row>
    <row r="15" spans="1:5" x14ac:dyDescent="0.25">
      <c r="A15" s="15">
        <f>IF(12&lt;=Calculator!$C$12,12,"")</f>
        <v>12</v>
      </c>
      <c r="B15" s="16">
        <f t="shared" si="1"/>
        <v>112477.44578508845</v>
      </c>
      <c r="C15" s="16">
        <f>IF($A15="","",Calculator!$C$10*12)</f>
        <v>6000</v>
      </c>
      <c r="D15" s="16">
        <f t="shared" si="0"/>
        <v>7105.1439265816734</v>
      </c>
      <c r="E15" s="16">
        <f>IF($A15="","",IF(_Engine!$B$2=0,$B15+$C15,$B15*POWER(1+_Engine!$B$2,12)+Calculator!$C$10*(POWER(1+_Engine!$B$2,12)-1)/_Engine!$B$2))</f>
        <v>125582.58971167012</v>
      </c>
    </row>
    <row r="16" spans="1:5" x14ac:dyDescent="0.25">
      <c r="A16" s="15">
        <f>IF(13&lt;=Calculator!$C$12,13,"")</f>
        <v>13</v>
      </c>
      <c r="B16" s="16">
        <f t="shared" si="1"/>
        <v>125582.58971167012</v>
      </c>
      <c r="C16" s="16">
        <f>IF($A16="","",Calculator!$C$10*12)</f>
        <v>6000</v>
      </c>
      <c r="D16" s="16">
        <f t="shared" si="0"/>
        <v>7913.4405281425279</v>
      </c>
      <c r="E16" s="16">
        <f>IF($A16="","",IF(_Engine!$B$2=0,$B16+$C16,$B16*POWER(1+_Engine!$B$2,12)+Calculator!$C$10*(POWER(1+_Engine!$B$2,12)-1)/_Engine!$B$2))</f>
        <v>139496.03023981265</v>
      </c>
    </row>
    <row r="17" spans="1:5" x14ac:dyDescent="0.25">
      <c r="A17" s="15">
        <f>IF(14&lt;=Calculator!$C$12,14,"")</f>
        <v>14</v>
      </c>
      <c r="B17" s="16">
        <f t="shared" si="1"/>
        <v>139496.03023981265</v>
      </c>
      <c r="C17" s="16">
        <f>IF($A17="","",Calculator!$C$10*12)</f>
        <v>6000</v>
      </c>
      <c r="D17" s="16">
        <f t="shared" si="0"/>
        <v>8771.5910954251885</v>
      </c>
      <c r="E17" s="16">
        <f>IF($A17="","",IF(_Engine!$B$2=0,$B17+$C17,$B17*POWER(1+_Engine!$B$2,12)+Calculator!$C$10*(POWER(1+_Engine!$B$2,12)-1)/_Engine!$B$2))</f>
        <v>154267.62133523784</v>
      </c>
    </row>
    <row r="18" spans="1:5" x14ac:dyDescent="0.25">
      <c r="A18" s="15">
        <f>IF(15&lt;=Calculator!$C$12,15,"")</f>
        <v>15</v>
      </c>
      <c r="B18" s="16">
        <f t="shared" si="1"/>
        <v>154267.62133523784</v>
      </c>
      <c r="C18" s="16">
        <f>IF($A18="","",Calculator!$C$10*12)</f>
        <v>6000</v>
      </c>
      <c r="D18" s="16">
        <f t="shared" si="0"/>
        <v>9682.6705119481194</v>
      </c>
      <c r="E18" s="16">
        <f>IF($A18="","",IF(_Engine!$B$2=0,$B18+$C18,$B18*POWER(1+_Engine!$B$2,12)+Calculator!$C$10*(POWER(1+_Engine!$B$2,12)-1)/_Engine!$B$2))</f>
        <v>169950.29184718596</v>
      </c>
    </row>
    <row r="19" spans="1:5" x14ac:dyDescent="0.25">
      <c r="A19" s="15">
        <f>IF(16&lt;=Calculator!$C$12,16,"")</f>
        <v>16</v>
      </c>
      <c r="B19" s="16">
        <f t="shared" si="1"/>
        <v>169950.29184718596</v>
      </c>
      <c r="C19" s="16">
        <f>IF($A19="","",Calculator!$C$10*12)</f>
        <v>6000</v>
      </c>
      <c r="D19" s="16">
        <f t="shared" si="0"/>
        <v>10649.943313316937</v>
      </c>
      <c r="E19" s="16">
        <f>IF($A19="","",IF(_Engine!$B$2=0,$B19+$C19,$B19*POWER(1+_Engine!$B$2,12)+Calculator!$C$10*(POWER(1+_Engine!$B$2,12)-1)/_Engine!$B$2))</f>
        <v>186600.2351605029</v>
      </c>
    </row>
    <row r="20" spans="1:5" x14ac:dyDescent="0.25">
      <c r="A20" s="15">
        <f>IF(17&lt;=Calculator!$C$12,17,"")</f>
        <v>17</v>
      </c>
      <c r="B20" s="16">
        <f t="shared" si="1"/>
        <v>186600.2351605029</v>
      </c>
      <c r="C20" s="16">
        <f>IF($A20="","",Calculator!$C$10*12)</f>
        <v>6000</v>
      </c>
      <c r="D20" s="16">
        <f t="shared" si="0"/>
        <v>11676.875384550251</v>
      </c>
      <c r="E20" s="16">
        <f>IF($A20="","",IF(_Engine!$B$2=0,$B20+$C20,$B20*POWER(1+_Engine!$B$2,12)+Calculator!$C$10*(POWER(1+_Engine!$B$2,12)-1)/_Engine!$B$2))</f>
        <v>204277.11054505315</v>
      </c>
    </row>
    <row r="21" spans="1:5" x14ac:dyDescent="0.25">
      <c r="A21" s="15">
        <f>IF(18&lt;=Calculator!$C$12,18,"")</f>
        <v>18</v>
      </c>
      <c r="B21" s="16">
        <f t="shared" si="1"/>
        <v>204277.11054505315</v>
      </c>
      <c r="C21" s="16">
        <f>IF($A21="","",Calculator!$C$10*12)</f>
        <v>6000</v>
      </c>
      <c r="D21" s="16">
        <f t="shared" si="0"/>
        <v>12767.146378870704</v>
      </c>
      <c r="E21" s="16">
        <f>IF($A21="","",IF(_Engine!$B$2=0,$B21+$C21,$B21*POWER(1+_Engine!$B$2,12)+Calculator!$C$10*(POWER(1+_Engine!$B$2,12)-1)/_Engine!$B$2))</f>
        <v>223044.25692392385</v>
      </c>
    </row>
    <row r="22" spans="1:5" x14ac:dyDescent="0.25">
      <c r="A22" s="15">
        <f>IF(19&lt;=Calculator!$C$12,19,"")</f>
        <v>19</v>
      </c>
      <c r="B22" s="16">
        <f t="shared" si="1"/>
        <v>223044.25692392385</v>
      </c>
      <c r="C22" s="16">
        <f>IF($A22="","",Calculator!$C$10*12)</f>
        <v>6000</v>
      </c>
      <c r="D22" s="16">
        <f t="shared" si="0"/>
        <v>13924.662902460201</v>
      </c>
      <c r="E22" s="16">
        <f>IF($A22="","",IF(_Engine!$B$2=0,$B22+$C22,$B22*POWER(1+_Engine!$B$2,12)+Calculator!$C$10*(POWER(1+_Engine!$B$2,12)-1)/_Engine!$B$2))</f>
        <v>242968.91982638405</v>
      </c>
    </row>
    <row r="23" spans="1:5" x14ac:dyDescent="0.25">
      <c r="A23" s="15">
        <f>IF(20&lt;=Calculator!$C$12,20,"")</f>
        <v>20</v>
      </c>
      <c r="B23" s="16">
        <f t="shared" si="1"/>
        <v>242968.91982638405</v>
      </c>
      <c r="C23" s="16">
        <f>IF($A23="","",Calculator!$C$10*12)</f>
        <v>6000</v>
      </c>
      <c r="D23" s="16">
        <f t="shared" si="0"/>
        <v>15153.572512421699</v>
      </c>
      <c r="E23" s="16">
        <f>IF($A23="","",IF(_Engine!$B$2=0,$B23+$C23,$B23*POWER(1+_Engine!$B$2,12)+Calculator!$C$10*(POWER(1+_Engine!$B$2,12)-1)/_Engine!$B$2))</f>
        <v>264122.49233880575</v>
      </c>
    </row>
    <row r="24" spans="1:5" x14ac:dyDescent="0.25">
      <c r="A24" s="15" t="str">
        <f>IF(21&lt;=Calculator!$C$12,21,"")</f>
        <v/>
      </c>
      <c r="B24" s="16" t="str">
        <f t="shared" si="1"/>
        <v/>
      </c>
      <c r="C24" s="16" t="str">
        <f>IF($A24="","",Calculator!$C$10*12)</f>
        <v/>
      </c>
      <c r="D24" s="16" t="str">
        <f t="shared" si="0"/>
        <v/>
      </c>
      <c r="E24" s="16" t="str">
        <f>IF($A24="","",IF(_Engine!$B$2=0,$B24+$C24,$B24*POWER(1+_Engine!$B$2,12)+Calculator!$C$10*(POWER(1+_Engine!$B$2,12)-1)/_Engine!$B$2))</f>
        <v/>
      </c>
    </row>
    <row r="25" spans="1:5" x14ac:dyDescent="0.25">
      <c r="A25" s="15" t="str">
        <f>IF(22&lt;=Calculator!$C$12,22,"")</f>
        <v/>
      </c>
      <c r="B25" s="16" t="str">
        <f t="shared" si="1"/>
        <v/>
      </c>
      <c r="C25" s="16" t="str">
        <f>IF($A25="","",Calculator!$C$10*12)</f>
        <v/>
      </c>
      <c r="D25" s="16" t="str">
        <f t="shared" si="0"/>
        <v/>
      </c>
      <c r="E25" s="16" t="str">
        <f>IF($A25="","",IF(_Engine!$B$2=0,$B25+$C25,$B25*POWER(1+_Engine!$B$2,12)+Calculator!$C$10*(POWER(1+_Engine!$B$2,12)-1)/_Engine!$B$2))</f>
        <v/>
      </c>
    </row>
    <row r="26" spans="1:5" x14ac:dyDescent="0.25">
      <c r="A26" s="15" t="str">
        <f>IF(23&lt;=Calculator!$C$12,23,"")</f>
        <v/>
      </c>
      <c r="B26" s="16" t="str">
        <f t="shared" si="1"/>
        <v/>
      </c>
      <c r="C26" s="16" t="str">
        <f>IF($A26="","",Calculator!$C$10*12)</f>
        <v/>
      </c>
      <c r="D26" s="16" t="str">
        <f t="shared" si="0"/>
        <v/>
      </c>
      <c r="E26" s="16" t="str">
        <f>IF($A26="","",IF(_Engine!$B$2=0,$B26+$C26,$B26*POWER(1+_Engine!$B$2,12)+Calculator!$C$10*(POWER(1+_Engine!$B$2,12)-1)/_Engine!$B$2))</f>
        <v/>
      </c>
    </row>
    <row r="27" spans="1:5" x14ac:dyDescent="0.25">
      <c r="A27" s="15" t="str">
        <f>IF(24&lt;=Calculator!$C$12,24,"")</f>
        <v/>
      </c>
      <c r="B27" s="16" t="str">
        <f t="shared" si="1"/>
        <v/>
      </c>
      <c r="C27" s="16" t="str">
        <f>IF($A27="","",Calculator!$C$10*12)</f>
        <v/>
      </c>
      <c r="D27" s="16" t="str">
        <f t="shared" si="0"/>
        <v/>
      </c>
      <c r="E27" s="16" t="str">
        <f>IF($A27="","",IF(_Engine!$B$2=0,$B27+$C27,$B27*POWER(1+_Engine!$B$2,12)+Calculator!$C$10*(POWER(1+_Engine!$B$2,12)-1)/_Engine!$B$2))</f>
        <v/>
      </c>
    </row>
    <row r="28" spans="1:5" x14ac:dyDescent="0.25">
      <c r="A28" s="15" t="str">
        <f>IF(25&lt;=Calculator!$C$12,25,"")</f>
        <v/>
      </c>
      <c r="B28" s="16" t="str">
        <f t="shared" si="1"/>
        <v/>
      </c>
      <c r="C28" s="16" t="str">
        <f>IF($A28="","",Calculator!$C$10*12)</f>
        <v/>
      </c>
      <c r="D28" s="16" t="str">
        <f t="shared" si="0"/>
        <v/>
      </c>
      <c r="E28" s="16" t="str">
        <f>IF($A28="","",IF(_Engine!$B$2=0,$B28+$C28,$B28*POWER(1+_Engine!$B$2,12)+Calculator!$C$10*(POWER(1+_Engine!$B$2,12)-1)/_Engine!$B$2))</f>
        <v/>
      </c>
    </row>
    <row r="29" spans="1:5" x14ac:dyDescent="0.25">
      <c r="A29" s="15" t="str">
        <f>IF(26&lt;=Calculator!$C$12,26,"")</f>
        <v/>
      </c>
      <c r="B29" s="16" t="str">
        <f t="shared" si="1"/>
        <v/>
      </c>
      <c r="C29" s="16" t="str">
        <f>IF($A29="","",Calculator!$C$10*12)</f>
        <v/>
      </c>
      <c r="D29" s="16" t="str">
        <f t="shared" si="0"/>
        <v/>
      </c>
      <c r="E29" s="16" t="str">
        <f>IF($A29="","",IF(_Engine!$B$2=0,$B29+$C29,$B29*POWER(1+_Engine!$B$2,12)+Calculator!$C$10*(POWER(1+_Engine!$B$2,12)-1)/_Engine!$B$2))</f>
        <v/>
      </c>
    </row>
    <row r="30" spans="1:5" x14ac:dyDescent="0.25">
      <c r="A30" s="15" t="str">
        <f>IF(27&lt;=Calculator!$C$12,27,"")</f>
        <v/>
      </c>
      <c r="B30" s="16" t="str">
        <f t="shared" si="1"/>
        <v/>
      </c>
      <c r="C30" s="16" t="str">
        <f>IF($A30="","",Calculator!$C$10*12)</f>
        <v/>
      </c>
      <c r="D30" s="16" t="str">
        <f t="shared" si="0"/>
        <v/>
      </c>
      <c r="E30" s="16" t="str">
        <f>IF($A30="","",IF(_Engine!$B$2=0,$B30+$C30,$B30*POWER(1+_Engine!$B$2,12)+Calculator!$C$10*(POWER(1+_Engine!$B$2,12)-1)/_Engine!$B$2))</f>
        <v/>
      </c>
    </row>
    <row r="31" spans="1:5" x14ac:dyDescent="0.25">
      <c r="A31" s="15" t="str">
        <f>IF(28&lt;=Calculator!$C$12,28,"")</f>
        <v/>
      </c>
      <c r="B31" s="16" t="str">
        <f t="shared" si="1"/>
        <v/>
      </c>
      <c r="C31" s="16" t="str">
        <f>IF($A31="","",Calculator!$C$10*12)</f>
        <v/>
      </c>
      <c r="D31" s="16" t="str">
        <f t="shared" si="0"/>
        <v/>
      </c>
      <c r="E31" s="16" t="str">
        <f>IF($A31="","",IF(_Engine!$B$2=0,$B31+$C31,$B31*POWER(1+_Engine!$B$2,12)+Calculator!$C$10*(POWER(1+_Engine!$B$2,12)-1)/_Engine!$B$2))</f>
        <v/>
      </c>
    </row>
    <row r="32" spans="1:5" x14ac:dyDescent="0.25">
      <c r="A32" s="15" t="str">
        <f>IF(29&lt;=Calculator!$C$12,29,"")</f>
        <v/>
      </c>
      <c r="B32" s="16" t="str">
        <f t="shared" si="1"/>
        <v/>
      </c>
      <c r="C32" s="16" t="str">
        <f>IF($A32="","",Calculator!$C$10*12)</f>
        <v/>
      </c>
      <c r="D32" s="16" t="str">
        <f t="shared" si="0"/>
        <v/>
      </c>
      <c r="E32" s="16" t="str">
        <f>IF($A32="","",IF(_Engine!$B$2=0,$B32+$C32,$B32*POWER(1+_Engine!$B$2,12)+Calculator!$C$10*(POWER(1+_Engine!$B$2,12)-1)/_Engine!$B$2))</f>
        <v/>
      </c>
    </row>
    <row r="33" spans="1:5" x14ac:dyDescent="0.25">
      <c r="A33" s="15" t="str">
        <f>IF(30&lt;=Calculator!$C$12,30,"")</f>
        <v/>
      </c>
      <c r="B33" s="16" t="str">
        <f t="shared" si="1"/>
        <v/>
      </c>
      <c r="C33" s="16" t="str">
        <f>IF($A33="","",Calculator!$C$10*12)</f>
        <v/>
      </c>
      <c r="D33" s="16" t="str">
        <f t="shared" si="0"/>
        <v/>
      </c>
      <c r="E33" s="16" t="str">
        <f>IF($A33="","",IF(_Engine!$B$2=0,$B33+$C33,$B33*POWER(1+_Engine!$B$2,12)+Calculator!$C$10*(POWER(1+_Engine!$B$2,12)-1)/_Engine!$B$2))</f>
        <v/>
      </c>
    </row>
    <row r="34" spans="1:5" x14ac:dyDescent="0.25">
      <c r="A34" s="15" t="str">
        <f>IF(31&lt;=Calculator!$C$12,31,"")</f>
        <v/>
      </c>
      <c r="B34" s="16" t="str">
        <f t="shared" si="1"/>
        <v/>
      </c>
      <c r="C34" s="16" t="str">
        <f>IF($A34="","",Calculator!$C$10*12)</f>
        <v/>
      </c>
      <c r="D34" s="16" t="str">
        <f t="shared" si="0"/>
        <v/>
      </c>
      <c r="E34" s="16" t="str">
        <f>IF($A34="","",IF(_Engine!$B$2=0,$B34+$C34,$B34*POWER(1+_Engine!$B$2,12)+Calculator!$C$10*(POWER(1+_Engine!$B$2,12)-1)/_Engine!$B$2))</f>
        <v/>
      </c>
    </row>
    <row r="35" spans="1:5" x14ac:dyDescent="0.25">
      <c r="A35" s="15" t="str">
        <f>IF(32&lt;=Calculator!$C$12,32,"")</f>
        <v/>
      </c>
      <c r="B35" s="16" t="str">
        <f t="shared" si="1"/>
        <v/>
      </c>
      <c r="C35" s="16" t="str">
        <f>IF($A35="","",Calculator!$C$10*12)</f>
        <v/>
      </c>
      <c r="D35" s="16" t="str">
        <f t="shared" si="0"/>
        <v/>
      </c>
      <c r="E35" s="16" t="str">
        <f>IF($A35="","",IF(_Engine!$B$2=0,$B35+$C35,$B35*POWER(1+_Engine!$B$2,12)+Calculator!$C$10*(POWER(1+_Engine!$B$2,12)-1)/_Engine!$B$2))</f>
        <v/>
      </c>
    </row>
    <row r="36" spans="1:5" x14ac:dyDescent="0.25">
      <c r="A36" s="15" t="str">
        <f>IF(33&lt;=Calculator!$C$12,33,"")</f>
        <v/>
      </c>
      <c r="B36" s="16" t="str">
        <f t="shared" si="1"/>
        <v/>
      </c>
      <c r="C36" s="16" t="str">
        <f>IF($A36="","",Calculator!$C$10*12)</f>
        <v/>
      </c>
      <c r="D36" s="16" t="str">
        <f t="shared" ref="D36:D67" si="2">IF($A36="","",$E36-$B36-$C36)</f>
        <v/>
      </c>
      <c r="E36" s="16" t="str">
        <f>IF($A36="","",IF(_Engine!$B$2=0,$B36+$C36,$B36*POWER(1+_Engine!$B$2,12)+Calculator!$C$10*(POWER(1+_Engine!$B$2,12)-1)/_Engine!$B$2))</f>
        <v/>
      </c>
    </row>
    <row r="37" spans="1:5" x14ac:dyDescent="0.25">
      <c r="A37" s="15" t="str">
        <f>IF(34&lt;=Calculator!$C$12,34,"")</f>
        <v/>
      </c>
      <c r="B37" s="16" t="str">
        <f t="shared" ref="B37:B68" si="3">IF($A37="","",$E36)</f>
        <v/>
      </c>
      <c r="C37" s="16" t="str">
        <f>IF($A37="","",Calculator!$C$10*12)</f>
        <v/>
      </c>
      <c r="D37" s="16" t="str">
        <f t="shared" si="2"/>
        <v/>
      </c>
      <c r="E37" s="16" t="str">
        <f>IF($A37="","",IF(_Engine!$B$2=0,$B37+$C37,$B37*POWER(1+_Engine!$B$2,12)+Calculator!$C$10*(POWER(1+_Engine!$B$2,12)-1)/_Engine!$B$2))</f>
        <v/>
      </c>
    </row>
    <row r="38" spans="1:5" x14ac:dyDescent="0.25">
      <c r="A38" s="15" t="str">
        <f>IF(35&lt;=Calculator!$C$12,35,"")</f>
        <v/>
      </c>
      <c r="B38" s="16" t="str">
        <f t="shared" si="3"/>
        <v/>
      </c>
      <c r="C38" s="16" t="str">
        <f>IF($A38="","",Calculator!$C$10*12)</f>
        <v/>
      </c>
      <c r="D38" s="16" t="str">
        <f t="shared" si="2"/>
        <v/>
      </c>
      <c r="E38" s="16" t="str">
        <f>IF($A38="","",IF(_Engine!$B$2=0,$B38+$C38,$B38*POWER(1+_Engine!$B$2,12)+Calculator!$C$10*(POWER(1+_Engine!$B$2,12)-1)/_Engine!$B$2))</f>
        <v/>
      </c>
    </row>
    <row r="39" spans="1:5" x14ac:dyDescent="0.25">
      <c r="A39" s="15" t="str">
        <f>IF(36&lt;=Calculator!$C$12,36,"")</f>
        <v/>
      </c>
      <c r="B39" s="16" t="str">
        <f t="shared" si="3"/>
        <v/>
      </c>
      <c r="C39" s="16" t="str">
        <f>IF($A39="","",Calculator!$C$10*12)</f>
        <v/>
      </c>
      <c r="D39" s="16" t="str">
        <f t="shared" si="2"/>
        <v/>
      </c>
      <c r="E39" s="16" t="str">
        <f>IF($A39="","",IF(_Engine!$B$2=0,$B39+$C39,$B39*POWER(1+_Engine!$B$2,12)+Calculator!$C$10*(POWER(1+_Engine!$B$2,12)-1)/_Engine!$B$2))</f>
        <v/>
      </c>
    </row>
    <row r="40" spans="1:5" x14ac:dyDescent="0.25">
      <c r="A40" s="15" t="str">
        <f>IF(37&lt;=Calculator!$C$12,37,"")</f>
        <v/>
      </c>
      <c r="B40" s="16" t="str">
        <f t="shared" si="3"/>
        <v/>
      </c>
      <c r="C40" s="16" t="str">
        <f>IF($A40="","",Calculator!$C$10*12)</f>
        <v/>
      </c>
      <c r="D40" s="16" t="str">
        <f t="shared" si="2"/>
        <v/>
      </c>
      <c r="E40" s="16" t="str">
        <f>IF($A40="","",IF(_Engine!$B$2=0,$B40+$C40,$B40*POWER(1+_Engine!$B$2,12)+Calculator!$C$10*(POWER(1+_Engine!$B$2,12)-1)/_Engine!$B$2))</f>
        <v/>
      </c>
    </row>
    <row r="41" spans="1:5" x14ac:dyDescent="0.25">
      <c r="A41" s="15" t="str">
        <f>IF(38&lt;=Calculator!$C$12,38,"")</f>
        <v/>
      </c>
      <c r="B41" s="16" t="str">
        <f t="shared" si="3"/>
        <v/>
      </c>
      <c r="C41" s="16" t="str">
        <f>IF($A41="","",Calculator!$C$10*12)</f>
        <v/>
      </c>
      <c r="D41" s="16" t="str">
        <f t="shared" si="2"/>
        <v/>
      </c>
      <c r="E41" s="16" t="str">
        <f>IF($A41="","",IF(_Engine!$B$2=0,$B41+$C41,$B41*POWER(1+_Engine!$B$2,12)+Calculator!$C$10*(POWER(1+_Engine!$B$2,12)-1)/_Engine!$B$2))</f>
        <v/>
      </c>
    </row>
    <row r="42" spans="1:5" x14ac:dyDescent="0.25">
      <c r="A42" s="15" t="str">
        <f>IF(39&lt;=Calculator!$C$12,39,"")</f>
        <v/>
      </c>
      <c r="B42" s="16" t="str">
        <f t="shared" si="3"/>
        <v/>
      </c>
      <c r="C42" s="16" t="str">
        <f>IF($A42="","",Calculator!$C$10*12)</f>
        <v/>
      </c>
      <c r="D42" s="16" t="str">
        <f t="shared" si="2"/>
        <v/>
      </c>
      <c r="E42" s="16" t="str">
        <f>IF($A42="","",IF(_Engine!$B$2=0,$B42+$C42,$B42*POWER(1+_Engine!$B$2,12)+Calculator!$C$10*(POWER(1+_Engine!$B$2,12)-1)/_Engine!$B$2))</f>
        <v/>
      </c>
    </row>
    <row r="43" spans="1:5" x14ac:dyDescent="0.25">
      <c r="A43" s="15" t="str">
        <f>IF(40&lt;=Calculator!$C$12,40,"")</f>
        <v/>
      </c>
      <c r="B43" s="16" t="str">
        <f t="shared" si="3"/>
        <v/>
      </c>
      <c r="C43" s="16" t="str">
        <f>IF($A43="","",Calculator!$C$10*12)</f>
        <v/>
      </c>
      <c r="D43" s="16" t="str">
        <f t="shared" si="2"/>
        <v/>
      </c>
      <c r="E43" s="16" t="str">
        <f>IF($A43="","",IF(_Engine!$B$2=0,$B43+$C43,$B43*POWER(1+_Engine!$B$2,12)+Calculator!$C$10*(POWER(1+_Engine!$B$2,12)-1)/_Engine!$B$2))</f>
        <v/>
      </c>
    </row>
    <row r="44" spans="1:5" x14ac:dyDescent="0.25">
      <c r="A44" s="15" t="str">
        <f>IF(41&lt;=Calculator!$C$12,41,"")</f>
        <v/>
      </c>
      <c r="B44" s="16" t="str">
        <f t="shared" si="3"/>
        <v/>
      </c>
      <c r="C44" s="16" t="str">
        <f>IF($A44="","",Calculator!$C$10*12)</f>
        <v/>
      </c>
      <c r="D44" s="16" t="str">
        <f t="shared" si="2"/>
        <v/>
      </c>
      <c r="E44" s="16" t="str">
        <f>IF($A44="","",IF(_Engine!$B$2=0,$B44+$C44,$B44*POWER(1+_Engine!$B$2,12)+Calculator!$C$10*(POWER(1+_Engine!$B$2,12)-1)/_Engine!$B$2))</f>
        <v/>
      </c>
    </row>
    <row r="45" spans="1:5" x14ac:dyDescent="0.25">
      <c r="A45" s="15" t="str">
        <f>IF(42&lt;=Calculator!$C$12,42,"")</f>
        <v/>
      </c>
      <c r="B45" s="16" t="str">
        <f t="shared" si="3"/>
        <v/>
      </c>
      <c r="C45" s="16" t="str">
        <f>IF($A45="","",Calculator!$C$10*12)</f>
        <v/>
      </c>
      <c r="D45" s="16" t="str">
        <f t="shared" si="2"/>
        <v/>
      </c>
      <c r="E45" s="16" t="str">
        <f>IF($A45="","",IF(_Engine!$B$2=0,$B45+$C45,$B45*POWER(1+_Engine!$B$2,12)+Calculator!$C$10*(POWER(1+_Engine!$B$2,12)-1)/_Engine!$B$2))</f>
        <v/>
      </c>
    </row>
    <row r="46" spans="1:5" x14ac:dyDescent="0.25">
      <c r="A46" s="15" t="str">
        <f>IF(43&lt;=Calculator!$C$12,43,"")</f>
        <v/>
      </c>
      <c r="B46" s="16" t="str">
        <f t="shared" si="3"/>
        <v/>
      </c>
      <c r="C46" s="16" t="str">
        <f>IF($A46="","",Calculator!$C$10*12)</f>
        <v/>
      </c>
      <c r="D46" s="16" t="str">
        <f t="shared" si="2"/>
        <v/>
      </c>
      <c r="E46" s="16" t="str">
        <f>IF($A46="","",IF(_Engine!$B$2=0,$B46+$C46,$B46*POWER(1+_Engine!$B$2,12)+Calculator!$C$10*(POWER(1+_Engine!$B$2,12)-1)/_Engine!$B$2))</f>
        <v/>
      </c>
    </row>
    <row r="47" spans="1:5" x14ac:dyDescent="0.25">
      <c r="A47" s="15" t="str">
        <f>IF(44&lt;=Calculator!$C$12,44,"")</f>
        <v/>
      </c>
      <c r="B47" s="16" t="str">
        <f t="shared" si="3"/>
        <v/>
      </c>
      <c r="C47" s="16" t="str">
        <f>IF($A47="","",Calculator!$C$10*12)</f>
        <v/>
      </c>
      <c r="D47" s="16" t="str">
        <f t="shared" si="2"/>
        <v/>
      </c>
      <c r="E47" s="16" t="str">
        <f>IF($A47="","",IF(_Engine!$B$2=0,$B47+$C47,$B47*POWER(1+_Engine!$B$2,12)+Calculator!$C$10*(POWER(1+_Engine!$B$2,12)-1)/_Engine!$B$2))</f>
        <v/>
      </c>
    </row>
    <row r="48" spans="1:5" x14ac:dyDescent="0.25">
      <c r="A48" s="15" t="str">
        <f>IF(45&lt;=Calculator!$C$12,45,"")</f>
        <v/>
      </c>
      <c r="B48" s="16" t="str">
        <f t="shared" si="3"/>
        <v/>
      </c>
      <c r="C48" s="16" t="str">
        <f>IF($A48="","",Calculator!$C$10*12)</f>
        <v/>
      </c>
      <c r="D48" s="16" t="str">
        <f t="shared" si="2"/>
        <v/>
      </c>
      <c r="E48" s="16" t="str">
        <f>IF($A48="","",IF(_Engine!$B$2=0,$B48+$C48,$B48*POWER(1+_Engine!$B$2,12)+Calculator!$C$10*(POWER(1+_Engine!$B$2,12)-1)/_Engine!$B$2))</f>
        <v/>
      </c>
    </row>
    <row r="49" spans="1:5" x14ac:dyDescent="0.25">
      <c r="A49" s="15" t="str">
        <f>IF(46&lt;=Calculator!$C$12,46,"")</f>
        <v/>
      </c>
      <c r="B49" s="16" t="str">
        <f t="shared" si="3"/>
        <v/>
      </c>
      <c r="C49" s="16" t="str">
        <f>IF($A49="","",Calculator!$C$10*12)</f>
        <v/>
      </c>
      <c r="D49" s="16" t="str">
        <f t="shared" si="2"/>
        <v/>
      </c>
      <c r="E49" s="16" t="str">
        <f>IF($A49="","",IF(_Engine!$B$2=0,$B49+$C49,$B49*POWER(1+_Engine!$B$2,12)+Calculator!$C$10*(POWER(1+_Engine!$B$2,12)-1)/_Engine!$B$2))</f>
        <v/>
      </c>
    </row>
    <row r="50" spans="1:5" x14ac:dyDescent="0.25">
      <c r="A50" s="15" t="str">
        <f>IF(47&lt;=Calculator!$C$12,47,"")</f>
        <v/>
      </c>
      <c r="B50" s="16" t="str">
        <f t="shared" si="3"/>
        <v/>
      </c>
      <c r="C50" s="16" t="str">
        <f>IF($A50="","",Calculator!$C$10*12)</f>
        <v/>
      </c>
      <c r="D50" s="16" t="str">
        <f t="shared" si="2"/>
        <v/>
      </c>
      <c r="E50" s="16" t="str">
        <f>IF($A50="","",IF(_Engine!$B$2=0,$B50+$C50,$B50*POWER(1+_Engine!$B$2,12)+Calculator!$C$10*(POWER(1+_Engine!$B$2,12)-1)/_Engine!$B$2))</f>
        <v/>
      </c>
    </row>
    <row r="51" spans="1:5" x14ac:dyDescent="0.25">
      <c r="A51" s="15" t="str">
        <f>IF(48&lt;=Calculator!$C$12,48,"")</f>
        <v/>
      </c>
      <c r="B51" s="16" t="str">
        <f t="shared" si="3"/>
        <v/>
      </c>
      <c r="C51" s="16" t="str">
        <f>IF($A51="","",Calculator!$C$10*12)</f>
        <v/>
      </c>
      <c r="D51" s="16" t="str">
        <f t="shared" si="2"/>
        <v/>
      </c>
      <c r="E51" s="16" t="str">
        <f>IF($A51="","",IF(_Engine!$B$2=0,$B51+$C51,$B51*POWER(1+_Engine!$B$2,12)+Calculator!$C$10*(POWER(1+_Engine!$B$2,12)-1)/_Engine!$B$2))</f>
        <v/>
      </c>
    </row>
    <row r="52" spans="1:5" x14ac:dyDescent="0.25">
      <c r="A52" s="15" t="str">
        <f>IF(49&lt;=Calculator!$C$12,49,"")</f>
        <v/>
      </c>
      <c r="B52" s="16" t="str">
        <f t="shared" si="3"/>
        <v/>
      </c>
      <c r="C52" s="16" t="str">
        <f>IF($A52="","",Calculator!$C$10*12)</f>
        <v/>
      </c>
      <c r="D52" s="16" t="str">
        <f t="shared" si="2"/>
        <v/>
      </c>
      <c r="E52" s="16" t="str">
        <f>IF($A52="","",IF(_Engine!$B$2=0,$B52+$C52,$B52*POWER(1+_Engine!$B$2,12)+Calculator!$C$10*(POWER(1+_Engine!$B$2,12)-1)/_Engine!$B$2))</f>
        <v/>
      </c>
    </row>
    <row r="53" spans="1:5" x14ac:dyDescent="0.25">
      <c r="A53" s="15" t="str">
        <f>IF(50&lt;=Calculator!$C$12,50,"")</f>
        <v/>
      </c>
      <c r="B53" s="16" t="str">
        <f t="shared" si="3"/>
        <v/>
      </c>
      <c r="C53" s="16" t="str">
        <f>IF($A53="","",Calculator!$C$10*12)</f>
        <v/>
      </c>
      <c r="D53" s="16" t="str">
        <f t="shared" si="2"/>
        <v/>
      </c>
      <c r="E53" s="16" t="str">
        <f>IF($A53="","",IF(_Engine!$B$2=0,$B53+$C53,$B53*POWER(1+_Engine!$B$2,12)+Calculator!$C$10*(POWER(1+_Engine!$B$2,12)-1)/_Engine!$B$2))</f>
        <v/>
      </c>
    </row>
    <row r="54" spans="1:5" x14ac:dyDescent="0.25">
      <c r="A54" s="15" t="str">
        <f>IF(51&lt;=Calculator!$C$12,51,"")</f>
        <v/>
      </c>
      <c r="B54" s="16" t="str">
        <f t="shared" si="3"/>
        <v/>
      </c>
      <c r="C54" s="16" t="str">
        <f>IF($A54="","",Calculator!$C$10*12)</f>
        <v/>
      </c>
      <c r="D54" s="16" t="str">
        <f t="shared" si="2"/>
        <v/>
      </c>
      <c r="E54" s="16" t="str">
        <f>IF($A54="","",IF(_Engine!$B$2=0,$B54+$C54,$B54*POWER(1+_Engine!$B$2,12)+Calculator!$C$10*(POWER(1+_Engine!$B$2,12)-1)/_Engine!$B$2))</f>
        <v/>
      </c>
    </row>
    <row r="55" spans="1:5" x14ac:dyDescent="0.25">
      <c r="A55" s="15" t="str">
        <f>IF(52&lt;=Calculator!$C$12,52,"")</f>
        <v/>
      </c>
      <c r="B55" s="16" t="str">
        <f t="shared" si="3"/>
        <v/>
      </c>
      <c r="C55" s="16" t="str">
        <f>IF($A55="","",Calculator!$C$10*12)</f>
        <v/>
      </c>
      <c r="D55" s="16" t="str">
        <f t="shared" si="2"/>
        <v/>
      </c>
      <c r="E55" s="16" t="str">
        <f>IF($A55="","",IF(_Engine!$B$2=0,$B55+$C55,$B55*POWER(1+_Engine!$B$2,12)+Calculator!$C$10*(POWER(1+_Engine!$B$2,12)-1)/_Engine!$B$2))</f>
        <v/>
      </c>
    </row>
    <row r="56" spans="1:5" x14ac:dyDescent="0.25">
      <c r="A56" s="15" t="str">
        <f>IF(53&lt;=Calculator!$C$12,53,"")</f>
        <v/>
      </c>
      <c r="B56" s="16" t="str">
        <f t="shared" si="3"/>
        <v/>
      </c>
      <c r="C56" s="16" t="str">
        <f>IF($A56="","",Calculator!$C$10*12)</f>
        <v/>
      </c>
      <c r="D56" s="16" t="str">
        <f t="shared" si="2"/>
        <v/>
      </c>
      <c r="E56" s="16" t="str">
        <f>IF($A56="","",IF(_Engine!$B$2=0,$B56+$C56,$B56*POWER(1+_Engine!$B$2,12)+Calculator!$C$10*(POWER(1+_Engine!$B$2,12)-1)/_Engine!$B$2))</f>
        <v/>
      </c>
    </row>
    <row r="57" spans="1:5" x14ac:dyDescent="0.25">
      <c r="A57" s="15" t="str">
        <f>IF(54&lt;=Calculator!$C$12,54,"")</f>
        <v/>
      </c>
      <c r="B57" s="16" t="str">
        <f t="shared" si="3"/>
        <v/>
      </c>
      <c r="C57" s="16" t="str">
        <f>IF($A57="","",Calculator!$C$10*12)</f>
        <v/>
      </c>
      <c r="D57" s="16" t="str">
        <f t="shared" si="2"/>
        <v/>
      </c>
      <c r="E57" s="16" t="str">
        <f>IF($A57="","",IF(_Engine!$B$2=0,$B57+$C57,$B57*POWER(1+_Engine!$B$2,12)+Calculator!$C$10*(POWER(1+_Engine!$B$2,12)-1)/_Engine!$B$2))</f>
        <v/>
      </c>
    </row>
    <row r="58" spans="1:5" x14ac:dyDescent="0.25">
      <c r="A58" s="15" t="str">
        <f>IF(55&lt;=Calculator!$C$12,55,"")</f>
        <v/>
      </c>
      <c r="B58" s="16" t="str">
        <f t="shared" si="3"/>
        <v/>
      </c>
      <c r="C58" s="16" t="str">
        <f>IF($A58="","",Calculator!$C$10*12)</f>
        <v/>
      </c>
      <c r="D58" s="16" t="str">
        <f t="shared" si="2"/>
        <v/>
      </c>
      <c r="E58" s="16" t="str">
        <f>IF($A58="","",IF(_Engine!$B$2=0,$B58+$C58,$B58*POWER(1+_Engine!$B$2,12)+Calculator!$C$10*(POWER(1+_Engine!$B$2,12)-1)/_Engine!$B$2))</f>
        <v/>
      </c>
    </row>
    <row r="59" spans="1:5" x14ac:dyDescent="0.25">
      <c r="A59" s="15" t="str">
        <f>IF(56&lt;=Calculator!$C$12,56,"")</f>
        <v/>
      </c>
      <c r="B59" s="16" t="str">
        <f t="shared" si="3"/>
        <v/>
      </c>
      <c r="C59" s="16" t="str">
        <f>IF($A59="","",Calculator!$C$10*12)</f>
        <v/>
      </c>
      <c r="D59" s="16" t="str">
        <f t="shared" si="2"/>
        <v/>
      </c>
      <c r="E59" s="16" t="str">
        <f>IF($A59="","",IF(_Engine!$B$2=0,$B59+$C59,$B59*POWER(1+_Engine!$B$2,12)+Calculator!$C$10*(POWER(1+_Engine!$B$2,12)-1)/_Engine!$B$2))</f>
        <v/>
      </c>
    </row>
    <row r="60" spans="1:5" x14ac:dyDescent="0.25">
      <c r="A60" s="15" t="str">
        <f>IF(57&lt;=Calculator!$C$12,57,"")</f>
        <v/>
      </c>
      <c r="B60" s="16" t="str">
        <f t="shared" si="3"/>
        <v/>
      </c>
      <c r="C60" s="16" t="str">
        <f>IF($A60="","",Calculator!$C$10*12)</f>
        <v/>
      </c>
      <c r="D60" s="16" t="str">
        <f t="shared" si="2"/>
        <v/>
      </c>
      <c r="E60" s="16" t="str">
        <f>IF($A60="","",IF(_Engine!$B$2=0,$B60+$C60,$B60*POWER(1+_Engine!$B$2,12)+Calculator!$C$10*(POWER(1+_Engine!$B$2,12)-1)/_Engine!$B$2))</f>
        <v/>
      </c>
    </row>
    <row r="61" spans="1:5" x14ac:dyDescent="0.25">
      <c r="A61" s="15" t="str">
        <f>IF(58&lt;=Calculator!$C$12,58,"")</f>
        <v/>
      </c>
      <c r="B61" s="16" t="str">
        <f t="shared" si="3"/>
        <v/>
      </c>
      <c r="C61" s="16" t="str">
        <f>IF($A61="","",Calculator!$C$10*12)</f>
        <v/>
      </c>
      <c r="D61" s="16" t="str">
        <f t="shared" si="2"/>
        <v/>
      </c>
      <c r="E61" s="16" t="str">
        <f>IF($A61="","",IF(_Engine!$B$2=0,$B61+$C61,$B61*POWER(1+_Engine!$B$2,12)+Calculator!$C$10*(POWER(1+_Engine!$B$2,12)-1)/_Engine!$B$2))</f>
        <v/>
      </c>
    </row>
    <row r="62" spans="1:5" x14ac:dyDescent="0.25">
      <c r="A62" s="15" t="str">
        <f>IF(59&lt;=Calculator!$C$12,59,"")</f>
        <v/>
      </c>
      <c r="B62" s="16" t="str">
        <f t="shared" si="3"/>
        <v/>
      </c>
      <c r="C62" s="16" t="str">
        <f>IF($A62="","",Calculator!$C$10*12)</f>
        <v/>
      </c>
      <c r="D62" s="16" t="str">
        <f t="shared" si="2"/>
        <v/>
      </c>
      <c r="E62" s="16" t="str">
        <f>IF($A62="","",IF(_Engine!$B$2=0,$B62+$C62,$B62*POWER(1+_Engine!$B$2,12)+Calculator!$C$10*(POWER(1+_Engine!$B$2,12)-1)/_Engine!$B$2))</f>
        <v/>
      </c>
    </row>
    <row r="63" spans="1:5" x14ac:dyDescent="0.25">
      <c r="A63" s="15" t="str">
        <f>IF(60&lt;=Calculator!$C$12,60,"")</f>
        <v/>
      </c>
      <c r="B63" s="16" t="str">
        <f t="shared" si="3"/>
        <v/>
      </c>
      <c r="C63" s="16" t="str">
        <f>IF($A63="","",Calculator!$C$10*12)</f>
        <v/>
      </c>
      <c r="D63" s="16" t="str">
        <f t="shared" si="2"/>
        <v/>
      </c>
      <c r="E63" s="16" t="str">
        <f>IF($A63="","",IF(_Engine!$B$2=0,$B63+$C63,$B63*POWER(1+_Engine!$B$2,12)+Calculator!$C$10*(POWER(1+_Engine!$B$2,12)-1)/_Engine!$B$2))</f>
        <v/>
      </c>
    </row>
    <row r="64" spans="1:5" x14ac:dyDescent="0.25">
      <c r="A64" s="15" t="str">
        <f>IF(61&lt;=Calculator!$C$12,61,"")</f>
        <v/>
      </c>
      <c r="B64" s="16" t="str">
        <f t="shared" si="3"/>
        <v/>
      </c>
      <c r="C64" s="16" t="str">
        <f>IF($A64="","",Calculator!$C$10*12)</f>
        <v/>
      </c>
      <c r="D64" s="16" t="str">
        <f t="shared" si="2"/>
        <v/>
      </c>
      <c r="E64" s="16" t="str">
        <f>IF($A64="","",IF(_Engine!$B$2=0,$B64+$C64,$B64*POWER(1+_Engine!$B$2,12)+Calculator!$C$10*(POWER(1+_Engine!$B$2,12)-1)/_Engine!$B$2))</f>
        <v/>
      </c>
    </row>
    <row r="65" spans="1:5" x14ac:dyDescent="0.25">
      <c r="A65" s="15" t="str">
        <f>IF(62&lt;=Calculator!$C$12,62,"")</f>
        <v/>
      </c>
      <c r="B65" s="16" t="str">
        <f t="shared" si="3"/>
        <v/>
      </c>
      <c r="C65" s="16" t="str">
        <f>IF($A65="","",Calculator!$C$10*12)</f>
        <v/>
      </c>
      <c r="D65" s="16" t="str">
        <f t="shared" si="2"/>
        <v/>
      </c>
      <c r="E65" s="16" t="str">
        <f>IF($A65="","",IF(_Engine!$B$2=0,$B65+$C65,$B65*POWER(1+_Engine!$B$2,12)+Calculator!$C$10*(POWER(1+_Engine!$B$2,12)-1)/_Engine!$B$2))</f>
        <v/>
      </c>
    </row>
    <row r="66" spans="1:5" x14ac:dyDescent="0.25">
      <c r="A66" s="15" t="str">
        <f>IF(63&lt;=Calculator!$C$12,63,"")</f>
        <v/>
      </c>
      <c r="B66" s="16" t="str">
        <f t="shared" si="3"/>
        <v/>
      </c>
      <c r="C66" s="16" t="str">
        <f>IF($A66="","",Calculator!$C$10*12)</f>
        <v/>
      </c>
      <c r="D66" s="16" t="str">
        <f t="shared" si="2"/>
        <v/>
      </c>
      <c r="E66" s="16" t="str">
        <f>IF($A66="","",IF(_Engine!$B$2=0,$B66+$C66,$B66*POWER(1+_Engine!$B$2,12)+Calculator!$C$10*(POWER(1+_Engine!$B$2,12)-1)/_Engine!$B$2))</f>
        <v/>
      </c>
    </row>
    <row r="67" spans="1:5" x14ac:dyDescent="0.25">
      <c r="A67" s="15" t="str">
        <f>IF(64&lt;=Calculator!$C$12,64,"")</f>
        <v/>
      </c>
      <c r="B67" s="16" t="str">
        <f t="shared" si="3"/>
        <v/>
      </c>
      <c r="C67" s="16" t="str">
        <f>IF($A67="","",Calculator!$C$10*12)</f>
        <v/>
      </c>
      <c r="D67" s="16" t="str">
        <f t="shared" si="2"/>
        <v/>
      </c>
      <c r="E67" s="16" t="str">
        <f>IF($A67="","",IF(_Engine!$B$2=0,$B67+$C67,$B67*POWER(1+_Engine!$B$2,12)+Calculator!$C$10*(POWER(1+_Engine!$B$2,12)-1)/_Engine!$B$2))</f>
        <v/>
      </c>
    </row>
    <row r="68" spans="1:5" x14ac:dyDescent="0.25">
      <c r="A68" s="15" t="str">
        <f>IF(65&lt;=Calculator!$C$12,65,"")</f>
        <v/>
      </c>
      <c r="B68" s="16" t="str">
        <f t="shared" si="3"/>
        <v/>
      </c>
      <c r="C68" s="16" t="str">
        <f>IF($A68="","",Calculator!$C$10*12)</f>
        <v/>
      </c>
      <c r="D68" s="16" t="str">
        <f t="shared" ref="D68:D103" si="4">IF($A68="","",$E68-$B68-$C68)</f>
        <v/>
      </c>
      <c r="E68" s="16" t="str">
        <f>IF($A68="","",IF(_Engine!$B$2=0,$B68+$C68,$B68*POWER(1+_Engine!$B$2,12)+Calculator!$C$10*(POWER(1+_Engine!$B$2,12)-1)/_Engine!$B$2))</f>
        <v/>
      </c>
    </row>
    <row r="69" spans="1:5" x14ac:dyDescent="0.25">
      <c r="A69" s="15" t="str">
        <f>IF(66&lt;=Calculator!$C$12,66,"")</f>
        <v/>
      </c>
      <c r="B69" s="16" t="str">
        <f t="shared" ref="B69:B103" si="5">IF($A69="","",$E68)</f>
        <v/>
      </c>
      <c r="C69" s="16" t="str">
        <f>IF($A69="","",Calculator!$C$10*12)</f>
        <v/>
      </c>
      <c r="D69" s="16" t="str">
        <f t="shared" si="4"/>
        <v/>
      </c>
      <c r="E69" s="16" t="str">
        <f>IF($A69="","",IF(_Engine!$B$2=0,$B69+$C69,$B69*POWER(1+_Engine!$B$2,12)+Calculator!$C$10*(POWER(1+_Engine!$B$2,12)-1)/_Engine!$B$2))</f>
        <v/>
      </c>
    </row>
    <row r="70" spans="1:5" x14ac:dyDescent="0.25">
      <c r="A70" s="15" t="str">
        <f>IF(67&lt;=Calculator!$C$12,67,"")</f>
        <v/>
      </c>
      <c r="B70" s="16" t="str">
        <f t="shared" si="5"/>
        <v/>
      </c>
      <c r="C70" s="16" t="str">
        <f>IF($A70="","",Calculator!$C$10*12)</f>
        <v/>
      </c>
      <c r="D70" s="16" t="str">
        <f t="shared" si="4"/>
        <v/>
      </c>
      <c r="E70" s="16" t="str">
        <f>IF($A70="","",IF(_Engine!$B$2=0,$B70+$C70,$B70*POWER(1+_Engine!$B$2,12)+Calculator!$C$10*(POWER(1+_Engine!$B$2,12)-1)/_Engine!$B$2))</f>
        <v/>
      </c>
    </row>
    <row r="71" spans="1:5" x14ac:dyDescent="0.25">
      <c r="A71" s="15" t="str">
        <f>IF(68&lt;=Calculator!$C$12,68,"")</f>
        <v/>
      </c>
      <c r="B71" s="16" t="str">
        <f t="shared" si="5"/>
        <v/>
      </c>
      <c r="C71" s="16" t="str">
        <f>IF($A71="","",Calculator!$C$10*12)</f>
        <v/>
      </c>
      <c r="D71" s="16" t="str">
        <f t="shared" si="4"/>
        <v/>
      </c>
      <c r="E71" s="16" t="str">
        <f>IF($A71="","",IF(_Engine!$B$2=0,$B71+$C71,$B71*POWER(1+_Engine!$B$2,12)+Calculator!$C$10*(POWER(1+_Engine!$B$2,12)-1)/_Engine!$B$2))</f>
        <v/>
      </c>
    </row>
    <row r="72" spans="1:5" x14ac:dyDescent="0.25">
      <c r="A72" s="15" t="str">
        <f>IF(69&lt;=Calculator!$C$12,69,"")</f>
        <v/>
      </c>
      <c r="B72" s="16" t="str">
        <f t="shared" si="5"/>
        <v/>
      </c>
      <c r="C72" s="16" t="str">
        <f>IF($A72="","",Calculator!$C$10*12)</f>
        <v/>
      </c>
      <c r="D72" s="16" t="str">
        <f t="shared" si="4"/>
        <v/>
      </c>
      <c r="E72" s="16" t="str">
        <f>IF($A72="","",IF(_Engine!$B$2=0,$B72+$C72,$B72*POWER(1+_Engine!$B$2,12)+Calculator!$C$10*(POWER(1+_Engine!$B$2,12)-1)/_Engine!$B$2))</f>
        <v/>
      </c>
    </row>
    <row r="73" spans="1:5" x14ac:dyDescent="0.25">
      <c r="A73" s="15" t="str">
        <f>IF(70&lt;=Calculator!$C$12,70,"")</f>
        <v/>
      </c>
      <c r="B73" s="16" t="str">
        <f t="shared" si="5"/>
        <v/>
      </c>
      <c r="C73" s="16" t="str">
        <f>IF($A73="","",Calculator!$C$10*12)</f>
        <v/>
      </c>
      <c r="D73" s="16" t="str">
        <f t="shared" si="4"/>
        <v/>
      </c>
      <c r="E73" s="16" t="str">
        <f>IF($A73="","",IF(_Engine!$B$2=0,$B73+$C73,$B73*POWER(1+_Engine!$B$2,12)+Calculator!$C$10*(POWER(1+_Engine!$B$2,12)-1)/_Engine!$B$2))</f>
        <v/>
      </c>
    </row>
    <row r="74" spans="1:5" x14ac:dyDescent="0.25">
      <c r="A74" s="15" t="str">
        <f>IF(71&lt;=Calculator!$C$12,71,"")</f>
        <v/>
      </c>
      <c r="B74" s="16" t="str">
        <f t="shared" si="5"/>
        <v/>
      </c>
      <c r="C74" s="16" t="str">
        <f>IF($A74="","",Calculator!$C$10*12)</f>
        <v/>
      </c>
      <c r="D74" s="16" t="str">
        <f t="shared" si="4"/>
        <v/>
      </c>
      <c r="E74" s="16" t="str">
        <f>IF($A74="","",IF(_Engine!$B$2=0,$B74+$C74,$B74*POWER(1+_Engine!$B$2,12)+Calculator!$C$10*(POWER(1+_Engine!$B$2,12)-1)/_Engine!$B$2))</f>
        <v/>
      </c>
    </row>
    <row r="75" spans="1:5" x14ac:dyDescent="0.25">
      <c r="A75" s="15" t="str">
        <f>IF(72&lt;=Calculator!$C$12,72,"")</f>
        <v/>
      </c>
      <c r="B75" s="16" t="str">
        <f t="shared" si="5"/>
        <v/>
      </c>
      <c r="C75" s="16" t="str">
        <f>IF($A75="","",Calculator!$C$10*12)</f>
        <v/>
      </c>
      <c r="D75" s="16" t="str">
        <f t="shared" si="4"/>
        <v/>
      </c>
      <c r="E75" s="16" t="str">
        <f>IF($A75="","",IF(_Engine!$B$2=0,$B75+$C75,$B75*POWER(1+_Engine!$B$2,12)+Calculator!$C$10*(POWER(1+_Engine!$B$2,12)-1)/_Engine!$B$2))</f>
        <v/>
      </c>
    </row>
    <row r="76" spans="1:5" x14ac:dyDescent="0.25">
      <c r="A76" s="15" t="str">
        <f>IF(73&lt;=Calculator!$C$12,73,"")</f>
        <v/>
      </c>
      <c r="B76" s="16" t="str">
        <f t="shared" si="5"/>
        <v/>
      </c>
      <c r="C76" s="16" t="str">
        <f>IF($A76="","",Calculator!$C$10*12)</f>
        <v/>
      </c>
      <c r="D76" s="16" t="str">
        <f t="shared" si="4"/>
        <v/>
      </c>
      <c r="E76" s="16" t="str">
        <f>IF($A76="","",IF(_Engine!$B$2=0,$B76+$C76,$B76*POWER(1+_Engine!$B$2,12)+Calculator!$C$10*(POWER(1+_Engine!$B$2,12)-1)/_Engine!$B$2))</f>
        <v/>
      </c>
    </row>
    <row r="77" spans="1:5" x14ac:dyDescent="0.25">
      <c r="A77" s="15" t="str">
        <f>IF(74&lt;=Calculator!$C$12,74,"")</f>
        <v/>
      </c>
      <c r="B77" s="16" t="str">
        <f t="shared" si="5"/>
        <v/>
      </c>
      <c r="C77" s="16" t="str">
        <f>IF($A77="","",Calculator!$C$10*12)</f>
        <v/>
      </c>
      <c r="D77" s="16" t="str">
        <f t="shared" si="4"/>
        <v/>
      </c>
      <c r="E77" s="16" t="str">
        <f>IF($A77="","",IF(_Engine!$B$2=0,$B77+$C77,$B77*POWER(1+_Engine!$B$2,12)+Calculator!$C$10*(POWER(1+_Engine!$B$2,12)-1)/_Engine!$B$2))</f>
        <v/>
      </c>
    </row>
    <row r="78" spans="1:5" x14ac:dyDescent="0.25">
      <c r="A78" s="15" t="str">
        <f>IF(75&lt;=Calculator!$C$12,75,"")</f>
        <v/>
      </c>
      <c r="B78" s="16" t="str">
        <f t="shared" si="5"/>
        <v/>
      </c>
      <c r="C78" s="16" t="str">
        <f>IF($A78="","",Calculator!$C$10*12)</f>
        <v/>
      </c>
      <c r="D78" s="16" t="str">
        <f t="shared" si="4"/>
        <v/>
      </c>
      <c r="E78" s="16" t="str">
        <f>IF($A78="","",IF(_Engine!$B$2=0,$B78+$C78,$B78*POWER(1+_Engine!$B$2,12)+Calculator!$C$10*(POWER(1+_Engine!$B$2,12)-1)/_Engine!$B$2))</f>
        <v/>
      </c>
    </row>
    <row r="79" spans="1:5" x14ac:dyDescent="0.25">
      <c r="A79" s="15" t="str">
        <f>IF(76&lt;=Calculator!$C$12,76,"")</f>
        <v/>
      </c>
      <c r="B79" s="16" t="str">
        <f t="shared" si="5"/>
        <v/>
      </c>
      <c r="C79" s="16" t="str">
        <f>IF($A79="","",Calculator!$C$10*12)</f>
        <v/>
      </c>
      <c r="D79" s="16" t="str">
        <f t="shared" si="4"/>
        <v/>
      </c>
      <c r="E79" s="16" t="str">
        <f>IF($A79="","",IF(_Engine!$B$2=0,$B79+$C79,$B79*POWER(1+_Engine!$B$2,12)+Calculator!$C$10*(POWER(1+_Engine!$B$2,12)-1)/_Engine!$B$2))</f>
        <v/>
      </c>
    </row>
    <row r="80" spans="1:5" x14ac:dyDescent="0.25">
      <c r="A80" s="15" t="str">
        <f>IF(77&lt;=Calculator!$C$12,77,"")</f>
        <v/>
      </c>
      <c r="B80" s="16" t="str">
        <f t="shared" si="5"/>
        <v/>
      </c>
      <c r="C80" s="16" t="str">
        <f>IF($A80="","",Calculator!$C$10*12)</f>
        <v/>
      </c>
      <c r="D80" s="16" t="str">
        <f t="shared" si="4"/>
        <v/>
      </c>
      <c r="E80" s="16" t="str">
        <f>IF($A80="","",IF(_Engine!$B$2=0,$B80+$C80,$B80*POWER(1+_Engine!$B$2,12)+Calculator!$C$10*(POWER(1+_Engine!$B$2,12)-1)/_Engine!$B$2))</f>
        <v/>
      </c>
    </row>
    <row r="81" spans="1:5" x14ac:dyDescent="0.25">
      <c r="A81" s="15" t="str">
        <f>IF(78&lt;=Calculator!$C$12,78,"")</f>
        <v/>
      </c>
      <c r="B81" s="16" t="str">
        <f t="shared" si="5"/>
        <v/>
      </c>
      <c r="C81" s="16" t="str">
        <f>IF($A81="","",Calculator!$C$10*12)</f>
        <v/>
      </c>
      <c r="D81" s="16" t="str">
        <f t="shared" si="4"/>
        <v/>
      </c>
      <c r="E81" s="16" t="str">
        <f>IF($A81="","",IF(_Engine!$B$2=0,$B81+$C81,$B81*POWER(1+_Engine!$B$2,12)+Calculator!$C$10*(POWER(1+_Engine!$B$2,12)-1)/_Engine!$B$2))</f>
        <v/>
      </c>
    </row>
    <row r="82" spans="1:5" x14ac:dyDescent="0.25">
      <c r="A82" s="15" t="str">
        <f>IF(79&lt;=Calculator!$C$12,79,"")</f>
        <v/>
      </c>
      <c r="B82" s="16" t="str">
        <f t="shared" si="5"/>
        <v/>
      </c>
      <c r="C82" s="16" t="str">
        <f>IF($A82="","",Calculator!$C$10*12)</f>
        <v/>
      </c>
      <c r="D82" s="16" t="str">
        <f t="shared" si="4"/>
        <v/>
      </c>
      <c r="E82" s="16" t="str">
        <f>IF($A82="","",IF(_Engine!$B$2=0,$B82+$C82,$B82*POWER(1+_Engine!$B$2,12)+Calculator!$C$10*(POWER(1+_Engine!$B$2,12)-1)/_Engine!$B$2))</f>
        <v/>
      </c>
    </row>
    <row r="83" spans="1:5" x14ac:dyDescent="0.25">
      <c r="A83" s="15" t="str">
        <f>IF(80&lt;=Calculator!$C$12,80,"")</f>
        <v/>
      </c>
      <c r="B83" s="16" t="str">
        <f t="shared" si="5"/>
        <v/>
      </c>
      <c r="C83" s="16" t="str">
        <f>IF($A83="","",Calculator!$C$10*12)</f>
        <v/>
      </c>
      <c r="D83" s="16" t="str">
        <f t="shared" si="4"/>
        <v/>
      </c>
      <c r="E83" s="16" t="str">
        <f>IF($A83="","",IF(_Engine!$B$2=0,$B83+$C83,$B83*POWER(1+_Engine!$B$2,12)+Calculator!$C$10*(POWER(1+_Engine!$B$2,12)-1)/_Engine!$B$2))</f>
        <v/>
      </c>
    </row>
    <row r="84" spans="1:5" x14ac:dyDescent="0.25">
      <c r="A84" s="15" t="str">
        <f>IF(81&lt;=Calculator!$C$12,81,"")</f>
        <v/>
      </c>
      <c r="B84" s="16" t="str">
        <f t="shared" si="5"/>
        <v/>
      </c>
      <c r="C84" s="16" t="str">
        <f>IF($A84="","",Calculator!$C$10*12)</f>
        <v/>
      </c>
      <c r="D84" s="16" t="str">
        <f t="shared" si="4"/>
        <v/>
      </c>
      <c r="E84" s="16" t="str">
        <f>IF($A84="","",IF(_Engine!$B$2=0,$B84+$C84,$B84*POWER(1+_Engine!$B$2,12)+Calculator!$C$10*(POWER(1+_Engine!$B$2,12)-1)/_Engine!$B$2))</f>
        <v/>
      </c>
    </row>
    <row r="85" spans="1:5" x14ac:dyDescent="0.25">
      <c r="A85" s="15" t="str">
        <f>IF(82&lt;=Calculator!$C$12,82,"")</f>
        <v/>
      </c>
      <c r="B85" s="16" t="str">
        <f t="shared" si="5"/>
        <v/>
      </c>
      <c r="C85" s="16" t="str">
        <f>IF($A85="","",Calculator!$C$10*12)</f>
        <v/>
      </c>
      <c r="D85" s="16" t="str">
        <f t="shared" si="4"/>
        <v/>
      </c>
      <c r="E85" s="16" t="str">
        <f>IF($A85="","",IF(_Engine!$B$2=0,$B85+$C85,$B85*POWER(1+_Engine!$B$2,12)+Calculator!$C$10*(POWER(1+_Engine!$B$2,12)-1)/_Engine!$B$2))</f>
        <v/>
      </c>
    </row>
    <row r="86" spans="1:5" x14ac:dyDescent="0.25">
      <c r="A86" s="15" t="str">
        <f>IF(83&lt;=Calculator!$C$12,83,"")</f>
        <v/>
      </c>
      <c r="B86" s="16" t="str">
        <f t="shared" si="5"/>
        <v/>
      </c>
      <c r="C86" s="16" t="str">
        <f>IF($A86="","",Calculator!$C$10*12)</f>
        <v/>
      </c>
      <c r="D86" s="16" t="str">
        <f t="shared" si="4"/>
        <v/>
      </c>
      <c r="E86" s="16" t="str">
        <f>IF($A86="","",IF(_Engine!$B$2=0,$B86+$C86,$B86*POWER(1+_Engine!$B$2,12)+Calculator!$C$10*(POWER(1+_Engine!$B$2,12)-1)/_Engine!$B$2))</f>
        <v/>
      </c>
    </row>
    <row r="87" spans="1:5" x14ac:dyDescent="0.25">
      <c r="A87" s="15" t="str">
        <f>IF(84&lt;=Calculator!$C$12,84,"")</f>
        <v/>
      </c>
      <c r="B87" s="16" t="str">
        <f t="shared" si="5"/>
        <v/>
      </c>
      <c r="C87" s="16" t="str">
        <f>IF($A87="","",Calculator!$C$10*12)</f>
        <v/>
      </c>
      <c r="D87" s="16" t="str">
        <f t="shared" si="4"/>
        <v/>
      </c>
      <c r="E87" s="16" t="str">
        <f>IF($A87="","",IF(_Engine!$B$2=0,$B87+$C87,$B87*POWER(1+_Engine!$B$2,12)+Calculator!$C$10*(POWER(1+_Engine!$B$2,12)-1)/_Engine!$B$2))</f>
        <v/>
      </c>
    </row>
    <row r="88" spans="1:5" x14ac:dyDescent="0.25">
      <c r="A88" s="15" t="str">
        <f>IF(85&lt;=Calculator!$C$12,85,"")</f>
        <v/>
      </c>
      <c r="B88" s="16" t="str">
        <f t="shared" si="5"/>
        <v/>
      </c>
      <c r="C88" s="16" t="str">
        <f>IF($A88="","",Calculator!$C$10*12)</f>
        <v/>
      </c>
      <c r="D88" s="16" t="str">
        <f t="shared" si="4"/>
        <v/>
      </c>
      <c r="E88" s="16" t="str">
        <f>IF($A88="","",IF(_Engine!$B$2=0,$B88+$C88,$B88*POWER(1+_Engine!$B$2,12)+Calculator!$C$10*(POWER(1+_Engine!$B$2,12)-1)/_Engine!$B$2))</f>
        <v/>
      </c>
    </row>
    <row r="89" spans="1:5" x14ac:dyDescent="0.25">
      <c r="A89" s="15" t="str">
        <f>IF(86&lt;=Calculator!$C$12,86,"")</f>
        <v/>
      </c>
      <c r="B89" s="16" t="str">
        <f t="shared" si="5"/>
        <v/>
      </c>
      <c r="C89" s="16" t="str">
        <f>IF($A89="","",Calculator!$C$10*12)</f>
        <v/>
      </c>
      <c r="D89" s="16" t="str">
        <f t="shared" si="4"/>
        <v/>
      </c>
      <c r="E89" s="16" t="str">
        <f>IF($A89="","",IF(_Engine!$B$2=0,$B89+$C89,$B89*POWER(1+_Engine!$B$2,12)+Calculator!$C$10*(POWER(1+_Engine!$B$2,12)-1)/_Engine!$B$2))</f>
        <v/>
      </c>
    </row>
    <row r="90" spans="1:5" x14ac:dyDescent="0.25">
      <c r="A90" s="15" t="str">
        <f>IF(87&lt;=Calculator!$C$12,87,"")</f>
        <v/>
      </c>
      <c r="B90" s="16" t="str">
        <f t="shared" si="5"/>
        <v/>
      </c>
      <c r="C90" s="16" t="str">
        <f>IF($A90="","",Calculator!$C$10*12)</f>
        <v/>
      </c>
      <c r="D90" s="16" t="str">
        <f t="shared" si="4"/>
        <v/>
      </c>
      <c r="E90" s="16" t="str">
        <f>IF($A90="","",IF(_Engine!$B$2=0,$B90+$C90,$B90*POWER(1+_Engine!$B$2,12)+Calculator!$C$10*(POWER(1+_Engine!$B$2,12)-1)/_Engine!$B$2))</f>
        <v/>
      </c>
    </row>
    <row r="91" spans="1:5" x14ac:dyDescent="0.25">
      <c r="A91" s="15" t="str">
        <f>IF(88&lt;=Calculator!$C$12,88,"")</f>
        <v/>
      </c>
      <c r="B91" s="16" t="str">
        <f t="shared" si="5"/>
        <v/>
      </c>
      <c r="C91" s="16" t="str">
        <f>IF($A91="","",Calculator!$C$10*12)</f>
        <v/>
      </c>
      <c r="D91" s="16" t="str">
        <f t="shared" si="4"/>
        <v/>
      </c>
      <c r="E91" s="16" t="str">
        <f>IF($A91="","",IF(_Engine!$B$2=0,$B91+$C91,$B91*POWER(1+_Engine!$B$2,12)+Calculator!$C$10*(POWER(1+_Engine!$B$2,12)-1)/_Engine!$B$2))</f>
        <v/>
      </c>
    </row>
    <row r="92" spans="1:5" x14ac:dyDescent="0.25">
      <c r="A92" s="15" t="str">
        <f>IF(89&lt;=Calculator!$C$12,89,"")</f>
        <v/>
      </c>
      <c r="B92" s="16" t="str">
        <f t="shared" si="5"/>
        <v/>
      </c>
      <c r="C92" s="16" t="str">
        <f>IF($A92="","",Calculator!$C$10*12)</f>
        <v/>
      </c>
      <c r="D92" s="16" t="str">
        <f t="shared" si="4"/>
        <v/>
      </c>
      <c r="E92" s="16" t="str">
        <f>IF($A92="","",IF(_Engine!$B$2=0,$B92+$C92,$B92*POWER(1+_Engine!$B$2,12)+Calculator!$C$10*(POWER(1+_Engine!$B$2,12)-1)/_Engine!$B$2))</f>
        <v/>
      </c>
    </row>
    <row r="93" spans="1:5" x14ac:dyDescent="0.25">
      <c r="A93" s="15" t="str">
        <f>IF(90&lt;=Calculator!$C$12,90,"")</f>
        <v/>
      </c>
      <c r="B93" s="16" t="str">
        <f t="shared" si="5"/>
        <v/>
      </c>
      <c r="C93" s="16" t="str">
        <f>IF($A93="","",Calculator!$C$10*12)</f>
        <v/>
      </c>
      <c r="D93" s="16" t="str">
        <f t="shared" si="4"/>
        <v/>
      </c>
      <c r="E93" s="16" t="str">
        <f>IF($A93="","",IF(_Engine!$B$2=0,$B93+$C93,$B93*POWER(1+_Engine!$B$2,12)+Calculator!$C$10*(POWER(1+_Engine!$B$2,12)-1)/_Engine!$B$2))</f>
        <v/>
      </c>
    </row>
    <row r="94" spans="1:5" x14ac:dyDescent="0.25">
      <c r="A94" s="15" t="str">
        <f>IF(91&lt;=Calculator!$C$12,91,"")</f>
        <v/>
      </c>
      <c r="B94" s="16" t="str">
        <f t="shared" si="5"/>
        <v/>
      </c>
      <c r="C94" s="16" t="str">
        <f>IF($A94="","",Calculator!$C$10*12)</f>
        <v/>
      </c>
      <c r="D94" s="16" t="str">
        <f t="shared" si="4"/>
        <v/>
      </c>
      <c r="E94" s="16" t="str">
        <f>IF($A94="","",IF(_Engine!$B$2=0,$B94+$C94,$B94*POWER(1+_Engine!$B$2,12)+Calculator!$C$10*(POWER(1+_Engine!$B$2,12)-1)/_Engine!$B$2))</f>
        <v/>
      </c>
    </row>
    <row r="95" spans="1:5" x14ac:dyDescent="0.25">
      <c r="A95" s="15" t="str">
        <f>IF(92&lt;=Calculator!$C$12,92,"")</f>
        <v/>
      </c>
      <c r="B95" s="16" t="str">
        <f t="shared" si="5"/>
        <v/>
      </c>
      <c r="C95" s="16" t="str">
        <f>IF($A95="","",Calculator!$C$10*12)</f>
        <v/>
      </c>
      <c r="D95" s="16" t="str">
        <f t="shared" si="4"/>
        <v/>
      </c>
      <c r="E95" s="16" t="str">
        <f>IF($A95="","",IF(_Engine!$B$2=0,$B95+$C95,$B95*POWER(1+_Engine!$B$2,12)+Calculator!$C$10*(POWER(1+_Engine!$B$2,12)-1)/_Engine!$B$2))</f>
        <v/>
      </c>
    </row>
    <row r="96" spans="1:5" x14ac:dyDescent="0.25">
      <c r="A96" s="15" t="str">
        <f>IF(93&lt;=Calculator!$C$12,93,"")</f>
        <v/>
      </c>
      <c r="B96" s="16" t="str">
        <f t="shared" si="5"/>
        <v/>
      </c>
      <c r="C96" s="16" t="str">
        <f>IF($A96="","",Calculator!$C$10*12)</f>
        <v/>
      </c>
      <c r="D96" s="16" t="str">
        <f t="shared" si="4"/>
        <v/>
      </c>
      <c r="E96" s="16" t="str">
        <f>IF($A96="","",IF(_Engine!$B$2=0,$B96+$C96,$B96*POWER(1+_Engine!$B$2,12)+Calculator!$C$10*(POWER(1+_Engine!$B$2,12)-1)/_Engine!$B$2))</f>
        <v/>
      </c>
    </row>
    <row r="97" spans="1:5" x14ac:dyDescent="0.25">
      <c r="A97" s="15" t="str">
        <f>IF(94&lt;=Calculator!$C$12,94,"")</f>
        <v/>
      </c>
      <c r="B97" s="16" t="str">
        <f t="shared" si="5"/>
        <v/>
      </c>
      <c r="C97" s="16" t="str">
        <f>IF($A97="","",Calculator!$C$10*12)</f>
        <v/>
      </c>
      <c r="D97" s="16" t="str">
        <f t="shared" si="4"/>
        <v/>
      </c>
      <c r="E97" s="16" t="str">
        <f>IF($A97="","",IF(_Engine!$B$2=0,$B97+$C97,$B97*POWER(1+_Engine!$B$2,12)+Calculator!$C$10*(POWER(1+_Engine!$B$2,12)-1)/_Engine!$B$2))</f>
        <v/>
      </c>
    </row>
    <row r="98" spans="1:5" x14ac:dyDescent="0.25">
      <c r="A98" s="15" t="str">
        <f>IF(95&lt;=Calculator!$C$12,95,"")</f>
        <v/>
      </c>
      <c r="B98" s="16" t="str">
        <f t="shared" si="5"/>
        <v/>
      </c>
      <c r="C98" s="16" t="str">
        <f>IF($A98="","",Calculator!$C$10*12)</f>
        <v/>
      </c>
      <c r="D98" s="16" t="str">
        <f t="shared" si="4"/>
        <v/>
      </c>
      <c r="E98" s="16" t="str">
        <f>IF($A98="","",IF(_Engine!$B$2=0,$B98+$C98,$B98*POWER(1+_Engine!$B$2,12)+Calculator!$C$10*(POWER(1+_Engine!$B$2,12)-1)/_Engine!$B$2))</f>
        <v/>
      </c>
    </row>
    <row r="99" spans="1:5" x14ac:dyDescent="0.25">
      <c r="A99" s="15" t="str">
        <f>IF(96&lt;=Calculator!$C$12,96,"")</f>
        <v/>
      </c>
      <c r="B99" s="16" t="str">
        <f t="shared" si="5"/>
        <v/>
      </c>
      <c r="C99" s="16" t="str">
        <f>IF($A99="","",Calculator!$C$10*12)</f>
        <v/>
      </c>
      <c r="D99" s="16" t="str">
        <f t="shared" si="4"/>
        <v/>
      </c>
      <c r="E99" s="16" t="str">
        <f>IF($A99="","",IF(_Engine!$B$2=0,$B99+$C99,$B99*POWER(1+_Engine!$B$2,12)+Calculator!$C$10*(POWER(1+_Engine!$B$2,12)-1)/_Engine!$B$2))</f>
        <v/>
      </c>
    </row>
    <row r="100" spans="1:5" x14ac:dyDescent="0.25">
      <c r="A100" s="15" t="str">
        <f>IF(97&lt;=Calculator!$C$12,97,"")</f>
        <v/>
      </c>
      <c r="B100" s="16" t="str">
        <f t="shared" si="5"/>
        <v/>
      </c>
      <c r="C100" s="16" t="str">
        <f>IF($A100="","",Calculator!$C$10*12)</f>
        <v/>
      </c>
      <c r="D100" s="16" t="str">
        <f t="shared" si="4"/>
        <v/>
      </c>
      <c r="E100" s="16" t="str">
        <f>IF($A100="","",IF(_Engine!$B$2=0,$B100+$C100,$B100*POWER(1+_Engine!$B$2,12)+Calculator!$C$10*(POWER(1+_Engine!$B$2,12)-1)/_Engine!$B$2))</f>
        <v/>
      </c>
    </row>
    <row r="101" spans="1:5" x14ac:dyDescent="0.25">
      <c r="A101" s="15" t="str">
        <f>IF(98&lt;=Calculator!$C$12,98,"")</f>
        <v/>
      </c>
      <c r="B101" s="16" t="str">
        <f t="shared" si="5"/>
        <v/>
      </c>
      <c r="C101" s="16" t="str">
        <f>IF($A101="","",Calculator!$C$10*12)</f>
        <v/>
      </c>
      <c r="D101" s="16" t="str">
        <f t="shared" si="4"/>
        <v/>
      </c>
      <c r="E101" s="16" t="str">
        <f>IF($A101="","",IF(_Engine!$B$2=0,$B101+$C101,$B101*POWER(1+_Engine!$B$2,12)+Calculator!$C$10*(POWER(1+_Engine!$B$2,12)-1)/_Engine!$B$2))</f>
        <v/>
      </c>
    </row>
    <row r="102" spans="1:5" x14ac:dyDescent="0.25">
      <c r="A102" s="15" t="str">
        <f>IF(99&lt;=Calculator!$C$12,99,"")</f>
        <v/>
      </c>
      <c r="B102" s="16" t="str">
        <f t="shared" si="5"/>
        <v/>
      </c>
      <c r="C102" s="16" t="str">
        <f>IF($A102="","",Calculator!$C$10*12)</f>
        <v/>
      </c>
      <c r="D102" s="16" t="str">
        <f t="shared" si="4"/>
        <v/>
      </c>
      <c r="E102" s="16" t="str">
        <f>IF($A102="","",IF(_Engine!$B$2=0,$B102+$C102,$B102*POWER(1+_Engine!$B$2,12)+Calculator!$C$10*(POWER(1+_Engine!$B$2,12)-1)/_Engine!$B$2))</f>
        <v/>
      </c>
    </row>
    <row r="103" spans="1:5" x14ac:dyDescent="0.25">
      <c r="A103" s="15" t="str">
        <f>IF(100&lt;=Calculator!$C$12,100,"")</f>
        <v/>
      </c>
      <c r="B103" s="16" t="str">
        <f t="shared" si="5"/>
        <v/>
      </c>
      <c r="C103" s="16" t="str">
        <f>IF($A103="","",Calculator!$C$10*12)</f>
        <v/>
      </c>
      <c r="D103" s="16" t="str">
        <f t="shared" si="4"/>
        <v/>
      </c>
      <c r="E103" s="16" t="str">
        <f>IF($A103="","",IF(_Engine!$B$2=0,$B103+$C103,$B103*POWER(1+_Engine!$B$2,12)+Calculator!$C$10*(POWER(1+_Engine!$B$2,12)-1)/_Engine!$B$2))</f>
        <v/>
      </c>
    </row>
  </sheetData>
  <sheetProtection sheet="1" formatCells="0"/>
  <mergeCells count="2">
    <mergeCell ref="A2:E2"/>
    <mergeCell ref="A1:E1"/>
  </mergeCells>
  <conditionalFormatting sqref="A4:E103">
    <cfRule type="expression" dxfId="1" priority="1">
      <formula>AND($A4&lt;&gt;"",MOD(ROW(),2)=1)</formula>
    </cfRule>
    <cfRule type="expression" dxfId="0" priority="2">
      <formula>$A4&lt;&gt;""</formula>
    </cfRule>
  </conditionalFormatting>
  <pageMargins left="0.75" right="0.75" top="1" bottom="1" header="0.5" footer="0.5"/>
  <pageSetup fitToHeight="0" orientation="portrait"/>
  <headerFooter>
    <oddFooter>&amp;Lneedtheseapps.com&amp;CCompound Interest Calculator&amp;RPage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9"/>
  <sheetViews>
    <sheetView showGridLines="0" workbookViewId="0"/>
  </sheetViews>
  <sheetFormatPr defaultRowHeight="15" x14ac:dyDescent="0.25"/>
  <cols>
    <col min="1" max="1" width="2.140625" customWidth="1"/>
    <col min="2" max="2" width="40" customWidth="1"/>
    <col min="3" max="3" width="56" customWidth="1"/>
    <col min="4" max="4" width="2.140625" customWidth="1"/>
  </cols>
  <sheetData>
    <row r="1" spans="1:4" x14ac:dyDescent="0.25">
      <c r="A1" s="1"/>
      <c r="B1" s="1"/>
      <c r="C1" s="1"/>
      <c r="D1" s="1"/>
    </row>
    <row r="2" spans="1:4" ht="32.1" customHeight="1" x14ac:dyDescent="0.25">
      <c r="A2" s="1"/>
      <c r="B2" s="39" t="s">
        <v>26</v>
      </c>
      <c r="C2" s="22"/>
      <c r="D2" s="1"/>
    </row>
    <row r="3" spans="1:4" x14ac:dyDescent="0.25">
      <c r="A3" s="1"/>
      <c r="B3" s="1"/>
      <c r="C3" s="1"/>
      <c r="D3" s="1"/>
    </row>
    <row r="4" spans="1:4" ht="26.1" customHeight="1" x14ac:dyDescent="0.25">
      <c r="A4" s="1"/>
      <c r="B4" s="29" t="s">
        <v>27</v>
      </c>
      <c r="C4" s="22"/>
      <c r="D4" s="1"/>
    </row>
    <row r="5" spans="1:4" ht="27" customHeight="1" x14ac:dyDescent="0.25">
      <c r="A5" s="1"/>
      <c r="B5" s="27" t="s">
        <v>28</v>
      </c>
      <c r="C5" s="22"/>
      <c r="D5" s="1"/>
    </row>
    <row r="6" spans="1:4" ht="27" customHeight="1" x14ac:dyDescent="0.25">
      <c r="A6" s="1"/>
      <c r="B6" s="22"/>
      <c r="C6" s="22"/>
      <c r="D6" s="1"/>
    </row>
    <row r="7" spans="1:4" x14ac:dyDescent="0.25">
      <c r="A7" s="1"/>
      <c r="B7" s="1"/>
      <c r="C7" s="1"/>
      <c r="D7" s="1"/>
    </row>
    <row r="8" spans="1:4" ht="26.1" customHeight="1" x14ac:dyDescent="0.25">
      <c r="A8" s="1"/>
      <c r="B8" s="29" t="s">
        <v>29</v>
      </c>
      <c r="C8" s="22"/>
      <c r="D8" s="1"/>
    </row>
    <row r="9" spans="1:4" ht="21" customHeight="1" x14ac:dyDescent="0.25">
      <c r="A9" s="1"/>
      <c r="B9" s="17" t="s">
        <v>30</v>
      </c>
      <c r="C9" s="18" t="s">
        <v>31</v>
      </c>
      <c r="D9" s="1"/>
    </row>
    <row r="10" spans="1:4" ht="21" customHeight="1" x14ac:dyDescent="0.25">
      <c r="A10" s="1"/>
      <c r="B10" s="17" t="s">
        <v>32</v>
      </c>
      <c r="C10" s="18" t="s">
        <v>33</v>
      </c>
      <c r="D10" s="1"/>
    </row>
    <row r="11" spans="1:4" ht="21" customHeight="1" x14ac:dyDescent="0.25">
      <c r="A11" s="1"/>
      <c r="B11" s="17" t="s">
        <v>34</v>
      </c>
      <c r="C11" s="18" t="s">
        <v>35</v>
      </c>
      <c r="D11" s="1"/>
    </row>
    <row r="12" spans="1:4" ht="21" customHeight="1" x14ac:dyDescent="0.25">
      <c r="A12" s="1"/>
      <c r="B12" s="17" t="s">
        <v>36</v>
      </c>
      <c r="C12" s="18" t="s">
        <v>37</v>
      </c>
      <c r="D12" s="1"/>
    </row>
    <row r="13" spans="1:4" ht="21" customHeight="1" x14ac:dyDescent="0.25">
      <c r="A13" s="1"/>
      <c r="B13" s="17" t="s">
        <v>38</v>
      </c>
      <c r="C13" s="18" t="s">
        <v>39</v>
      </c>
      <c r="D13" s="1"/>
    </row>
    <row r="14" spans="1:4" x14ac:dyDescent="0.25">
      <c r="A14" s="1"/>
      <c r="B14" s="1"/>
      <c r="C14" s="1"/>
      <c r="D14" s="1"/>
    </row>
    <row r="15" spans="1:4" ht="26.1" customHeight="1" x14ac:dyDescent="0.25">
      <c r="A15" s="1"/>
      <c r="B15" s="29" t="s">
        <v>40</v>
      </c>
      <c r="C15" s="22"/>
      <c r="D15" s="1"/>
    </row>
    <row r="16" spans="1:4" ht="21" customHeight="1" x14ac:dyDescent="0.25">
      <c r="A16" s="1"/>
      <c r="B16" s="17" t="s">
        <v>41</v>
      </c>
      <c r="C16" s="18" t="s">
        <v>42</v>
      </c>
      <c r="D16" s="1"/>
    </row>
    <row r="17" spans="1:4" ht="21" customHeight="1" x14ac:dyDescent="0.25">
      <c r="A17" s="1"/>
      <c r="B17" s="17" t="s">
        <v>43</v>
      </c>
      <c r="C17" s="18" t="s">
        <v>44</v>
      </c>
      <c r="D17" s="1"/>
    </row>
    <row r="18" spans="1:4" ht="21" customHeight="1" x14ac:dyDescent="0.25">
      <c r="A18" s="1"/>
      <c r="B18" s="17" t="s">
        <v>45</v>
      </c>
      <c r="C18" s="18" t="s">
        <v>46</v>
      </c>
      <c r="D18" s="1"/>
    </row>
    <row r="19" spans="1:4" ht="21" customHeight="1" x14ac:dyDescent="0.25">
      <c r="A19" s="1"/>
      <c r="B19" s="17" t="s">
        <v>47</v>
      </c>
      <c r="C19" s="18" t="s">
        <v>48</v>
      </c>
      <c r="D19" s="1"/>
    </row>
    <row r="20" spans="1:4" x14ac:dyDescent="0.25">
      <c r="A20" s="1"/>
      <c r="B20" s="1"/>
      <c r="C20" s="1"/>
      <c r="D20" s="1"/>
    </row>
    <row r="21" spans="1:4" ht="24" customHeight="1" x14ac:dyDescent="0.25">
      <c r="A21" s="1"/>
      <c r="B21" s="38" t="s">
        <v>3</v>
      </c>
      <c r="C21" s="22"/>
      <c r="D21" s="1"/>
    </row>
    <row r="22" spans="1:4" x14ac:dyDescent="0.25">
      <c r="A22" s="1"/>
      <c r="B22" s="1"/>
      <c r="C22" s="1"/>
      <c r="D22" s="1"/>
    </row>
    <row r="23" spans="1:4" ht="26.1" customHeight="1" x14ac:dyDescent="0.25">
      <c r="A23" s="1"/>
      <c r="B23" s="29" t="s">
        <v>49</v>
      </c>
      <c r="C23" s="22"/>
      <c r="D23" s="1"/>
    </row>
    <row r="24" spans="1:4" ht="21" customHeight="1" x14ac:dyDescent="0.25">
      <c r="A24" s="1"/>
      <c r="B24" s="17" t="s">
        <v>50</v>
      </c>
      <c r="C24" s="18" t="s">
        <v>51</v>
      </c>
      <c r="D24" s="1"/>
    </row>
    <row r="25" spans="1:4" ht="21" customHeight="1" x14ac:dyDescent="0.25">
      <c r="A25" s="1"/>
      <c r="B25" s="17" t="s">
        <v>52</v>
      </c>
      <c r="C25" s="18" t="s">
        <v>53</v>
      </c>
      <c r="D25" s="1"/>
    </row>
    <row r="26" spans="1:4" ht="21" customHeight="1" x14ac:dyDescent="0.25">
      <c r="A26" s="1"/>
      <c r="B26" s="17" t="s">
        <v>54</v>
      </c>
      <c r="C26" s="18" t="s">
        <v>55</v>
      </c>
      <c r="D26" s="1"/>
    </row>
    <row r="27" spans="1:4" ht="21" customHeight="1" x14ac:dyDescent="0.25">
      <c r="A27" s="1"/>
      <c r="B27" s="17" t="s">
        <v>56</v>
      </c>
      <c r="C27" s="18" t="s">
        <v>57</v>
      </c>
      <c r="D27" s="1"/>
    </row>
    <row r="28" spans="1:4" ht="21" customHeight="1" x14ac:dyDescent="0.25">
      <c r="A28" s="1"/>
      <c r="B28" s="17" t="s">
        <v>58</v>
      </c>
      <c r="C28" s="18" t="s">
        <v>59</v>
      </c>
      <c r="D28" s="1"/>
    </row>
    <row r="29" spans="1:4" ht="21" customHeight="1" x14ac:dyDescent="0.25">
      <c r="A29" s="1"/>
      <c r="B29" s="17" t="s">
        <v>60</v>
      </c>
      <c r="C29" s="18" t="s">
        <v>61</v>
      </c>
      <c r="D29" s="1"/>
    </row>
    <row r="30" spans="1:4" x14ac:dyDescent="0.25">
      <c r="A30" s="1"/>
      <c r="B30" s="1"/>
      <c r="C30" s="1"/>
      <c r="D30" s="1"/>
    </row>
    <row r="31" spans="1:4" ht="26.1" customHeight="1" x14ac:dyDescent="0.25">
      <c r="A31" s="1"/>
      <c r="B31" s="29" t="s">
        <v>62</v>
      </c>
      <c r="C31" s="22"/>
      <c r="D31" s="1"/>
    </row>
    <row r="32" spans="1:4" ht="21" customHeight="1" x14ac:dyDescent="0.25">
      <c r="A32" s="1"/>
      <c r="B32" s="17" t="s">
        <v>63</v>
      </c>
      <c r="C32" s="18" t="s">
        <v>64</v>
      </c>
      <c r="D32" s="1"/>
    </row>
    <row r="33" spans="1:4" ht="21" customHeight="1" x14ac:dyDescent="0.25">
      <c r="A33" s="1"/>
      <c r="B33" s="17" t="s">
        <v>65</v>
      </c>
      <c r="C33" s="18" t="s">
        <v>66</v>
      </c>
      <c r="D33" s="1"/>
    </row>
    <row r="34" spans="1:4" ht="21" customHeight="1" x14ac:dyDescent="0.25">
      <c r="A34" s="1"/>
      <c r="B34" s="17" t="s">
        <v>67</v>
      </c>
      <c r="C34" s="18" t="s">
        <v>68</v>
      </c>
      <c r="D34" s="1"/>
    </row>
    <row r="35" spans="1:4" ht="21" customHeight="1" x14ac:dyDescent="0.25">
      <c r="A35" s="1"/>
      <c r="B35" s="17" t="s">
        <v>69</v>
      </c>
      <c r="C35" s="18" t="s">
        <v>70</v>
      </c>
      <c r="D35" s="1"/>
    </row>
    <row r="36" spans="1:4" ht="21" customHeight="1" x14ac:dyDescent="0.25">
      <c r="A36" s="1"/>
      <c r="B36" s="17" t="s">
        <v>71</v>
      </c>
      <c r="C36" s="18" t="str">
        <f>"Shown in "&amp;Calculator!$C$8&amp;", which you set on the Calculator sheet."</f>
        <v>Shown in $, which you set on the Calculator sheet.</v>
      </c>
      <c r="D36" s="1"/>
    </row>
    <row r="37" spans="1:4" x14ac:dyDescent="0.25">
      <c r="A37" s="1"/>
      <c r="B37" s="1"/>
      <c r="C37" s="1"/>
      <c r="D37" s="1"/>
    </row>
    <row r="38" spans="1:4" ht="24" customHeight="1" x14ac:dyDescent="0.25">
      <c r="A38" s="1"/>
      <c r="B38" s="24" t="s">
        <v>72</v>
      </c>
      <c r="C38" s="22"/>
      <c r="D38" s="1"/>
    </row>
    <row r="39" spans="1:4" x14ac:dyDescent="0.25">
      <c r="A39" s="1"/>
      <c r="B39" s="1"/>
      <c r="C39" s="1"/>
      <c r="D39" s="1"/>
    </row>
  </sheetData>
  <sheetProtection sheet="1" formatCells="0"/>
  <mergeCells count="9">
    <mergeCell ref="B21:C21"/>
    <mergeCell ref="B2:C2"/>
    <mergeCell ref="B38:C38"/>
    <mergeCell ref="B15:C15"/>
    <mergeCell ref="B5:C6"/>
    <mergeCell ref="B23:C23"/>
    <mergeCell ref="B31:C31"/>
    <mergeCell ref="B8:C8"/>
    <mergeCell ref="B4:C4"/>
  </mergeCells>
  <hyperlinks>
    <hyperlink ref="B21" r:id="rId1" xr:uid="{00000000-0004-0000-0200-000000000000}"/>
  </hyperlinks>
  <pageMargins left="0.75" right="0.75" top="1" bottom="1" header="0.5" footer="0.5"/>
  <pageSetup fitToHeight="0" orientation="portrait"/>
  <headerFooter>
    <oddFooter>&amp;Lneedtheseapps.com&amp;CCompound Interest Calculator&amp;RPage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1"/>
  <sheetViews>
    <sheetView workbookViewId="0"/>
  </sheetViews>
  <sheetFormatPr defaultRowHeight="15" x14ac:dyDescent="0.25"/>
  <cols>
    <col min="1" max="1" width="30" customWidth="1"/>
    <col min="4" max="7" width="16" customWidth="1"/>
  </cols>
  <sheetData>
    <row r="1" spans="1:7" ht="16.5" x14ac:dyDescent="0.25">
      <c r="A1" s="19" t="s">
        <v>73</v>
      </c>
    </row>
    <row r="2" spans="1:7" ht="16.5" x14ac:dyDescent="0.25">
      <c r="A2" s="20" t="s">
        <v>74</v>
      </c>
      <c r="B2" s="20">
        <f>Calculator!$C$11/100/12</f>
        <v>5.0000000000000001E-3</v>
      </c>
    </row>
    <row r="3" spans="1:7" ht="16.5" x14ac:dyDescent="0.25">
      <c r="A3" s="20" t="s">
        <v>75</v>
      </c>
      <c r="B3" s="20">
        <f>Calculator!$C$12*12</f>
        <v>240</v>
      </c>
    </row>
    <row r="4" spans="1:7" ht="16.5" x14ac:dyDescent="0.25">
      <c r="A4" s="20" t="s">
        <v>12</v>
      </c>
      <c r="B4" s="20">
        <f>IF($B$2=0,Calculator!$C$9+Calculator!$C$10*$B$3,Calculator!$C$9*POWER(1+$B$2,$B$3)+Calculator!$C$10*(POWER(1+$B$2,$B$3)-1)/$B$2)</f>
        <v>264122.49233880598</v>
      </c>
    </row>
    <row r="5" spans="1:7" ht="16.5" x14ac:dyDescent="0.25">
      <c r="A5" s="20" t="s">
        <v>13</v>
      </c>
      <c r="B5" s="20">
        <f>Calculator!$C$9+Calculator!$C$10*$B$3</f>
        <v>130000</v>
      </c>
    </row>
    <row r="6" spans="1:7" ht="16.5" x14ac:dyDescent="0.25">
      <c r="A6" s="20" t="s">
        <v>76</v>
      </c>
      <c r="B6" s="20">
        <f>$B$4-$B$5</f>
        <v>134122.49233880598</v>
      </c>
    </row>
    <row r="7" spans="1:7" ht="16.5" x14ac:dyDescent="0.25">
      <c r="A7" s="20" t="s">
        <v>77</v>
      </c>
      <c r="B7" s="20">
        <f>$B$4/POWER(1+Calculator!$C$25/100,Calculator!$C$12)</f>
        <v>161186.28242982732</v>
      </c>
    </row>
    <row r="8" spans="1:7" ht="16.5" x14ac:dyDescent="0.25">
      <c r="A8" s="20" t="s">
        <v>78</v>
      </c>
      <c r="B8" s="20">
        <f>IF(Calculator!$C$11&gt;0,72/Calculator!$C$11,"")</f>
        <v>12</v>
      </c>
    </row>
    <row r="9" spans="1:7" ht="16.5" x14ac:dyDescent="0.25">
      <c r="A9" s="20" t="s">
        <v>79</v>
      </c>
      <c r="B9" s="20" t="str">
        <f>IF($B$6&lt;0,"What you lost","What you earned")</f>
        <v>What you earned</v>
      </c>
    </row>
    <row r="10" spans="1:7" ht="16.5" x14ac:dyDescent="0.25">
      <c r="D10" s="19" t="s">
        <v>21</v>
      </c>
      <c r="E10" s="19" t="s">
        <v>13</v>
      </c>
      <c r="F10" s="19" t="s">
        <v>76</v>
      </c>
      <c r="G10" s="19" t="s">
        <v>80</v>
      </c>
    </row>
    <row r="11" spans="1:7" ht="16.5" x14ac:dyDescent="0.25">
      <c r="D11" s="20">
        <v>0</v>
      </c>
      <c r="E11" s="20">
        <f>MIN(Calculator!$C$9+Calculator!$C$10*12*$D11,$G11)</f>
        <v>10000</v>
      </c>
      <c r="F11" s="20">
        <f>ABS($G11-(Calculator!$C$9+Calculator!$C$10*12*$D11))</f>
        <v>0</v>
      </c>
      <c r="G11" s="20">
        <f>IF($B$2=0,$E11,Calculator!$C$9*POWER(1+$B$2,12*$D11)+Calculator!$C$10*(POWER(1+$B$2,12*$D11)-1)/$B$2)</f>
        <v>10000</v>
      </c>
    </row>
    <row r="12" spans="1:7" ht="16.5" x14ac:dyDescent="0.25">
      <c r="D12" s="20">
        <v>1</v>
      </c>
      <c r="E12" s="20">
        <f>MIN(Calculator!$C$9+Calculator!$C$10*12*$D12,$G12)</f>
        <v>16000</v>
      </c>
      <c r="F12" s="20">
        <f>ABS($G12-(Calculator!$C$9+Calculator!$C$10*12*$D12))</f>
        <v>784.55930509473546</v>
      </c>
      <c r="G12" s="20">
        <f>IF($B$2=0,$E12,Calculator!$C$9*POWER(1+$B$2,12*$D12)+Calculator!$C$10*(POWER(1+$B$2,12*$D12)-1)/$B$2)</f>
        <v>16784.559305094735</v>
      </c>
    </row>
    <row r="13" spans="1:7" ht="16.5" x14ac:dyDescent="0.25">
      <c r="D13" s="20">
        <v>2</v>
      </c>
      <c r="E13" s="20">
        <f>MIN(Calculator!$C$9+Calculator!$C$10*12*$D13,$G13)</f>
        <v>22000</v>
      </c>
      <c r="F13" s="20">
        <f>ABS($G13-(Calculator!$C$9+Calculator!$C$10*12*$D13))</f>
        <v>1987.5753825926549</v>
      </c>
      <c r="G13" s="20">
        <f>IF($B$2=0,$E13,Calculator!$C$9*POWER(1+$B$2,12*$D13)+Calculator!$C$10*(POWER(1+$B$2,12*$D13)-1)/$B$2)</f>
        <v>23987.575382592655</v>
      </c>
    </row>
    <row r="14" spans="1:7" ht="16.5" x14ac:dyDescent="0.25">
      <c r="D14" s="20">
        <v>3</v>
      </c>
      <c r="E14" s="20">
        <f>MIN(Calculator!$C$9+Calculator!$C$10*12*$D14,$G14)</f>
        <v>28000</v>
      </c>
      <c r="F14" s="20">
        <f>ABS($G14-(Calculator!$C$9+Calculator!$C$10*12*$D14))</f>
        <v>3634.857730575397</v>
      </c>
      <c r="G14" s="20">
        <f>IF($B$2=0,$E14,Calculator!$C$9*POWER(1+$B$2,12*$D14)+Calculator!$C$10*(POWER(1+$B$2,12*$D14)-1)/$B$2)</f>
        <v>31634.857730575397</v>
      </c>
    </row>
    <row r="15" spans="1:7" ht="16.5" x14ac:dyDescent="0.25">
      <c r="D15" s="20">
        <v>4</v>
      </c>
      <c r="E15" s="20">
        <f>MIN(Calculator!$C$9+Calculator!$C$10*12*$D15,$G15)</f>
        <v>34000</v>
      </c>
      <c r="F15" s="20">
        <f>ABS($G15-(Calculator!$C$9+Calculator!$C$10*12*$D15))</f>
        <v>5753.8077204917427</v>
      </c>
      <c r="G15" s="20">
        <f>IF($B$2=0,$E15,Calculator!$C$9*POWER(1+$B$2,12*$D15)+Calculator!$C$10*(POWER(1+$B$2,12*$D15)-1)/$B$2)</f>
        <v>39753.807720491743</v>
      </c>
    </row>
    <row r="16" spans="1:7" ht="16.5" x14ac:dyDescent="0.25">
      <c r="D16" s="20">
        <v>5</v>
      </c>
      <c r="E16" s="20">
        <f>MIN(Calculator!$C$9+Calculator!$C$10*12*$D16,$G16)</f>
        <v>40000</v>
      </c>
      <c r="F16" s="20">
        <f>ABS($G16-(Calculator!$C$9+Calculator!$C$10*12*$D16))</f>
        <v>8373.5167804234079</v>
      </c>
      <c r="G16" s="20">
        <f>IF($B$2=0,$E16,Calculator!$C$9*POWER(1+$B$2,12*$D16)+Calculator!$C$10*(POWER(1+$B$2,12*$D16)-1)/$B$2)</f>
        <v>48373.516780423408</v>
      </c>
    </row>
    <row r="17" spans="4:7" ht="16.5" x14ac:dyDescent="0.25">
      <c r="D17" s="20">
        <v>6</v>
      </c>
      <c r="E17" s="20">
        <f>MIN(Calculator!$C$9+Calculator!$C$10*12*$D17,$G17)</f>
        <v>46000</v>
      </c>
      <c r="F17" s="20">
        <f>ABS($G17-(Calculator!$C$9+Calculator!$C$10*12*$D17))</f>
        <v>11524.87063408026</v>
      </c>
      <c r="G17" s="20">
        <f>IF($B$2=0,$E17,Calculator!$C$9*POWER(1+$B$2,12*$D17)+Calculator!$C$10*(POWER(1+$B$2,12*$D17)-1)/$B$2)</f>
        <v>57524.87063408026</v>
      </c>
    </row>
    <row r="18" spans="4:7" ht="16.5" x14ac:dyDescent="0.25">
      <c r="D18" s="20">
        <v>7</v>
      </c>
      <c r="E18" s="20">
        <f>MIN(Calculator!$C$9+Calculator!$C$10*12*$D18,$G18)</f>
        <v>52000</v>
      </c>
      <c r="F18" s="20">
        <f>ABS($G18-(Calculator!$C$9+Calculator!$C$10*12*$D18))</f>
        <v>15240.659969028406</v>
      </c>
      <c r="G18" s="20">
        <f>IF($B$2=0,$E18,Calculator!$C$9*POWER(1+$B$2,12*$D18)+Calculator!$C$10*(POWER(1+$B$2,12*$D18)-1)/$B$2)</f>
        <v>67240.659969028406</v>
      </c>
    </row>
    <row r="19" spans="4:7" ht="16.5" x14ac:dyDescent="0.25">
      <c r="D19" s="20">
        <v>8</v>
      </c>
      <c r="E19" s="20">
        <f>MIN(Calculator!$C$9+Calculator!$C$10*12*$D19,$G19)</f>
        <v>58000</v>
      </c>
      <c r="F19" s="20">
        <f>ABS($G19-(Calculator!$C$9+Calculator!$C$10*12*$D19))</f>
        <v>19555.697930692535</v>
      </c>
      <c r="G19" s="20">
        <f>IF($B$2=0,$E19,Calculator!$C$9*POWER(1+$B$2,12*$D19)+Calculator!$C$10*(POWER(1+$B$2,12*$D19)-1)/$B$2)</f>
        <v>77555.697930692535</v>
      </c>
    </row>
    <row r="20" spans="4:7" ht="16.5" x14ac:dyDescent="0.25">
      <c r="D20" s="20">
        <v>9</v>
      </c>
      <c r="E20" s="20">
        <f>MIN(Calculator!$C$9+Calculator!$C$10*12*$D20,$G20)</f>
        <v>64000</v>
      </c>
      <c r="F20" s="20">
        <f>ABS($G20-(Calculator!$C$9+Calculator!$C$10*12*$D20))</f>
        <v>24506.944863131357</v>
      </c>
      <c r="G20" s="20">
        <f>IF($B$2=0,$E20,Calculator!$C$9*POWER(1+$B$2,12*$D20)+Calculator!$C$10*(POWER(1+$B$2,12*$D20)-1)/$B$2)</f>
        <v>88506.944863131357</v>
      </c>
    </row>
    <row r="21" spans="4:7" ht="16.5" x14ac:dyDescent="0.25">
      <c r="D21" s="20">
        <v>10</v>
      </c>
      <c r="E21" s="20">
        <f>MIN(Calculator!$C$9+Calculator!$C$10*12*$D21,$G21)</f>
        <v>70000</v>
      </c>
      <c r="F21" s="20">
        <f>ABS($G21-(Calculator!$C$9+Calculator!$C$10*12*$D21))</f>
        <v>30133.64074355083</v>
      </c>
      <c r="G21" s="20">
        <f>IF($B$2=0,$E21,Calculator!$C$9*POWER(1+$B$2,12*$D21)+Calculator!$C$10*(POWER(1+$B$2,12*$D21)-1)/$B$2)</f>
        <v>100133.64074355083</v>
      </c>
    </row>
    <row r="22" spans="4:7" ht="16.5" x14ac:dyDescent="0.25">
      <c r="D22" s="20">
        <v>11</v>
      </c>
      <c r="E22" s="20">
        <f>MIN(Calculator!$C$9+Calculator!$C$10*12*$D22,$G22)</f>
        <v>76000</v>
      </c>
      <c r="F22" s="20">
        <f>ABS($G22-(Calculator!$C$9+Calculator!$C$10*12*$D22))</f>
        <v>36477.445785088508</v>
      </c>
      <c r="G22" s="20">
        <f>IF($B$2=0,$E22,Calculator!$C$9*POWER(1+$B$2,12*$D22)+Calculator!$C$10*(POWER(1+$B$2,12*$D22)-1)/$B$2)</f>
        <v>112477.44578508851</v>
      </c>
    </row>
    <row r="23" spans="4:7" ht="16.5" x14ac:dyDescent="0.25">
      <c r="D23" s="20">
        <v>12</v>
      </c>
      <c r="E23" s="20">
        <f>MIN(Calculator!$C$9+Calculator!$C$10*12*$D23,$G23)</f>
        <v>82000</v>
      </c>
      <c r="F23" s="20">
        <f>ABS($G23-(Calculator!$C$9+Calculator!$C$10*12*$D23))</f>
        <v>43582.589711670167</v>
      </c>
      <c r="G23" s="20">
        <f>IF($B$2=0,$E23,Calculator!$C$9*POWER(1+$B$2,12*$D23)+Calculator!$C$10*(POWER(1+$B$2,12*$D23)-1)/$B$2)</f>
        <v>125582.58971167017</v>
      </c>
    </row>
    <row r="24" spans="4:7" ht="16.5" x14ac:dyDescent="0.25">
      <c r="D24" s="20">
        <v>13</v>
      </c>
      <c r="E24" s="20">
        <f>MIN(Calculator!$C$9+Calculator!$C$10*12*$D24,$G24)</f>
        <v>88000</v>
      </c>
      <c r="F24" s="20">
        <f>ABS($G24-(Calculator!$C$9+Calculator!$C$10*12*$D24))</f>
        <v>51496.030239812739</v>
      </c>
      <c r="G24" s="20">
        <f>IF($B$2=0,$E24,Calculator!$C$9*POWER(1+$B$2,12*$D24)+Calculator!$C$10*(POWER(1+$B$2,12*$D24)-1)/$B$2)</f>
        <v>139496.03023981274</v>
      </c>
    </row>
    <row r="25" spans="4:7" ht="16.5" x14ac:dyDescent="0.25">
      <c r="D25" s="20">
        <v>14</v>
      </c>
      <c r="E25" s="20">
        <f>MIN(Calculator!$C$9+Calculator!$C$10*12*$D25,$G25)</f>
        <v>94000</v>
      </c>
      <c r="F25" s="20">
        <f>ABS($G25-(Calculator!$C$9+Calculator!$C$10*12*$D25))</f>
        <v>60267.621335237956</v>
      </c>
      <c r="G25" s="20">
        <f>IF($B$2=0,$E25,Calculator!$C$9*POWER(1+$B$2,12*$D25)+Calculator!$C$10*(POWER(1+$B$2,12*$D25)-1)/$B$2)</f>
        <v>154267.62133523796</v>
      </c>
    </row>
    <row r="26" spans="4:7" ht="16.5" x14ac:dyDescent="0.25">
      <c r="D26" s="20">
        <v>15</v>
      </c>
      <c r="E26" s="20">
        <f>MIN(Calculator!$C$9+Calculator!$C$10*12*$D26,$G26)</f>
        <v>100000</v>
      </c>
      <c r="F26" s="20">
        <f>ABS($G26-(Calculator!$C$9+Calculator!$C$10*12*$D26))</f>
        <v>69950.291847186076</v>
      </c>
      <c r="G26" s="20">
        <f>IF($B$2=0,$E26,Calculator!$C$9*POWER(1+$B$2,12*$D26)+Calculator!$C$10*(POWER(1+$B$2,12*$D26)-1)/$B$2)</f>
        <v>169950.29184718608</v>
      </c>
    </row>
    <row r="27" spans="4:7" ht="16.5" x14ac:dyDescent="0.25">
      <c r="D27" s="20">
        <v>16</v>
      </c>
      <c r="E27" s="20">
        <f>MIN(Calculator!$C$9+Calculator!$C$10*12*$D27,$G27)</f>
        <v>106000</v>
      </c>
      <c r="F27" s="20">
        <f>ABS($G27-(Calculator!$C$9+Calculator!$C$10*12*$D27))</f>
        <v>80600.235160503042</v>
      </c>
      <c r="G27" s="20">
        <f>IF($B$2=0,$E27,Calculator!$C$9*POWER(1+$B$2,12*$D27)+Calculator!$C$10*(POWER(1+$B$2,12*$D27)-1)/$B$2)</f>
        <v>186600.23516050304</v>
      </c>
    </row>
    <row r="28" spans="4:7" ht="16.5" x14ac:dyDescent="0.25">
      <c r="D28" s="20">
        <v>17</v>
      </c>
      <c r="E28" s="20">
        <f>MIN(Calculator!$C$9+Calculator!$C$10*12*$D28,$G28)</f>
        <v>112000</v>
      </c>
      <c r="F28" s="20">
        <f>ABS($G28-(Calculator!$C$9+Calculator!$C$10*12*$D28))</f>
        <v>92277.110545053321</v>
      </c>
      <c r="G28" s="20">
        <f>IF($B$2=0,$E28,Calculator!$C$9*POWER(1+$B$2,12*$D28)+Calculator!$C$10*(POWER(1+$B$2,12*$D28)-1)/$B$2)</f>
        <v>204277.11054505332</v>
      </c>
    </row>
    <row r="29" spans="4:7" ht="16.5" x14ac:dyDescent="0.25">
      <c r="D29" s="20">
        <v>18</v>
      </c>
      <c r="E29" s="20">
        <f>MIN(Calculator!$C$9+Calculator!$C$10*12*$D29,$G29)</f>
        <v>118000</v>
      </c>
      <c r="F29" s="20">
        <f>ABS($G29-(Calculator!$C$9+Calculator!$C$10*12*$D29))</f>
        <v>105044.25692392414</v>
      </c>
      <c r="G29" s="20">
        <f>IF($B$2=0,$E29,Calculator!$C$9*POWER(1+$B$2,12*$D29)+Calculator!$C$10*(POWER(1+$B$2,12*$D29)-1)/$B$2)</f>
        <v>223044.25692392414</v>
      </c>
    </row>
    <row r="30" spans="4:7" ht="16.5" x14ac:dyDescent="0.25">
      <c r="D30" s="20">
        <v>19</v>
      </c>
      <c r="E30" s="20">
        <f>MIN(Calculator!$C$9+Calculator!$C$10*12*$D30,$G30)</f>
        <v>124000</v>
      </c>
      <c r="F30" s="20">
        <f>ABS($G30-(Calculator!$C$9+Calculator!$C$10*12*$D30))</f>
        <v>118968.91982638428</v>
      </c>
      <c r="G30" s="20">
        <f>IF($B$2=0,$E30,Calculator!$C$9*POWER(1+$B$2,12*$D30)+Calculator!$C$10*(POWER(1+$B$2,12*$D30)-1)/$B$2)</f>
        <v>242968.91982638428</v>
      </c>
    </row>
    <row r="31" spans="4:7" ht="16.5" x14ac:dyDescent="0.25">
      <c r="D31" s="20">
        <v>20</v>
      </c>
      <c r="E31" s="20">
        <f>MIN(Calculator!$C$9+Calculator!$C$10*12*$D31,$G31)</f>
        <v>130000</v>
      </c>
      <c r="F31" s="20">
        <f>ABS($G31-(Calculator!$C$9+Calculator!$C$10*12*$D31))</f>
        <v>134122.49233880598</v>
      </c>
      <c r="G31" s="20">
        <f>IF($B$2=0,$E31,Calculator!$C$9*POWER(1+$B$2,12*$D31)+Calculator!$C$10*(POWER(1+$B$2,12*$D31)-1)/$B$2)</f>
        <v>264122.49233880598</v>
      </c>
    </row>
    <row r="32" spans="4:7" ht="16.5" x14ac:dyDescent="0.25">
      <c r="D32" s="20">
        <v>21</v>
      </c>
      <c r="E32" s="20">
        <f>MIN(Calculator!$C$9+Calculator!$C$10*12*$D32,$G32)</f>
        <v>136000</v>
      </c>
      <c r="F32" s="20">
        <f>ABS($G32-(Calculator!$C$9+Calculator!$C$10*12*$D32))</f>
        <v>150580.7709169109</v>
      </c>
      <c r="G32" s="20">
        <f>IF($B$2=0,$E32,Calculator!$C$9*POWER(1+$B$2,12*$D32)+Calculator!$C$10*(POWER(1+$B$2,12*$D32)-1)/$B$2)</f>
        <v>286580.7709169109</v>
      </c>
    </row>
    <row r="33" spans="4:7" ht="16.5" x14ac:dyDescent="0.25">
      <c r="D33" s="20">
        <v>22</v>
      </c>
      <c r="E33" s="20">
        <f>MIN(Calculator!$C$9+Calculator!$C$10*12*$D33,$G33)</f>
        <v>142000</v>
      </c>
      <c r="F33" s="20">
        <f>ABS($G33-(Calculator!$C$9+Calculator!$C$10*12*$D33))</f>
        <v>168424.22697595658</v>
      </c>
      <c r="G33" s="20">
        <f>IF($B$2=0,$E33,Calculator!$C$9*POWER(1+$B$2,12*$D33)+Calculator!$C$10*(POWER(1+$B$2,12*$D33)-1)/$B$2)</f>
        <v>310424.22697595658</v>
      </c>
    </row>
    <row r="34" spans="4:7" ht="16.5" x14ac:dyDescent="0.25">
      <c r="D34" s="20">
        <v>23</v>
      </c>
      <c r="E34" s="20">
        <f>MIN(Calculator!$C$9+Calculator!$C$10*12*$D34,$G34)</f>
        <v>148000</v>
      </c>
      <c r="F34" s="20">
        <f>ABS($G34-(Calculator!$C$9+Calculator!$C$10*12*$D34))</f>
        <v>187738.29523201147</v>
      </c>
      <c r="G34" s="20">
        <f>IF($B$2=0,$E34,Calculator!$C$9*POWER(1+$B$2,12*$D34)+Calculator!$C$10*(POWER(1+$B$2,12*$D34)-1)/$B$2)</f>
        <v>335738.29523201147</v>
      </c>
    </row>
    <row r="35" spans="4:7" ht="16.5" x14ac:dyDescent="0.25">
      <c r="D35" s="20">
        <v>24</v>
      </c>
      <c r="E35" s="20">
        <f>MIN(Calculator!$C$9+Calculator!$C$10*12*$D35,$G35)</f>
        <v>154000</v>
      </c>
      <c r="F35" s="20">
        <f>ABS($G35-(Calculator!$C$9+Calculator!$C$10*12*$D35))</f>
        <v>208613.67982748838</v>
      </c>
      <c r="G35" s="20">
        <f>IF($B$2=0,$E35,Calculator!$C$9*POWER(1+$B$2,12*$D35)+Calculator!$C$10*(POWER(1+$B$2,12*$D35)-1)/$B$2)</f>
        <v>362613.67982748838</v>
      </c>
    </row>
    <row r="36" spans="4:7" ht="16.5" x14ac:dyDescent="0.25">
      <c r="D36" s="20">
        <v>25</v>
      </c>
      <c r="E36" s="20">
        <f>MIN(Calculator!$C$9+Calculator!$C$10*12*$D36,$G36)</f>
        <v>160000</v>
      </c>
      <c r="F36" s="20">
        <f>ABS($G36-(Calculator!$C$9+Calculator!$C$10*12*$D36))</f>
        <v>231146.67933783121</v>
      </c>
      <c r="G36" s="20">
        <f>IF($B$2=0,$E36,Calculator!$C$9*POWER(1+$B$2,12*$D36)+Calculator!$C$10*(POWER(1+$B$2,12*$D36)-1)/$B$2)</f>
        <v>391146.67933783121</v>
      </c>
    </row>
    <row r="37" spans="4:7" ht="16.5" x14ac:dyDescent="0.25">
      <c r="D37" s="20">
        <v>26</v>
      </c>
      <c r="E37" s="20">
        <f>MIN(Calculator!$C$9+Calculator!$C$10*12*$D37,$G37)</f>
        <v>166000</v>
      </c>
      <c r="F37" s="20">
        <f>ABS($G37-(Calculator!$C$9+Calculator!$C$10*12*$D37))</f>
        <v>255439.53182390268</v>
      </c>
      <c r="G37" s="20">
        <f>IF($B$2=0,$E37,Calculator!$C$9*POWER(1+$B$2,12*$D37)+Calculator!$C$10*(POWER(1+$B$2,12*$D37)-1)/$B$2)</f>
        <v>421439.53182390268</v>
      </c>
    </row>
    <row r="38" spans="4:7" ht="16.5" x14ac:dyDescent="0.25">
      <c r="D38" s="20">
        <v>27</v>
      </c>
      <c r="E38" s="20">
        <f>MIN(Calculator!$C$9+Calculator!$C$10*12*$D38,$G38)</f>
        <v>172000</v>
      </c>
      <c r="F38" s="20">
        <f>ABS($G38-(Calculator!$C$9+Calculator!$C$10*12*$D38))</f>
        <v>281600.78116644913</v>
      </c>
      <c r="G38" s="20">
        <f>IF($B$2=0,$E38,Calculator!$C$9*POWER(1+$B$2,12*$D38)+Calculator!$C$10*(POWER(1+$B$2,12*$D38)-1)/$B$2)</f>
        <v>453600.78116644913</v>
      </c>
    </row>
    <row r="39" spans="4:7" ht="16.5" x14ac:dyDescent="0.25">
      <c r="D39" s="20">
        <v>28</v>
      </c>
      <c r="E39" s="20">
        <f>MIN(Calculator!$C$9+Calculator!$C$10*12*$D39,$G39)</f>
        <v>178000</v>
      </c>
      <c r="F39" s="20">
        <f>ABS($G39-(Calculator!$C$9+Calculator!$C$10*12*$D39))</f>
        <v>309745.66599527223</v>
      </c>
      <c r="G39" s="20">
        <f>IF($B$2=0,$E39,Calculator!$C$9*POWER(1+$B$2,12*$D39)+Calculator!$C$10*(POWER(1+$B$2,12*$D39)-1)/$B$2)</f>
        <v>487745.66599527223</v>
      </c>
    </row>
    <row r="40" spans="4:7" ht="16.5" x14ac:dyDescent="0.25">
      <c r="D40" s="20">
        <v>29</v>
      </c>
      <c r="E40" s="20">
        <f>MIN(Calculator!$C$9+Calculator!$C$10*12*$D40,$G40)</f>
        <v>184000</v>
      </c>
      <c r="F40" s="20">
        <f>ABS($G40-(Calculator!$C$9+Calculator!$C$10*12*$D40))</f>
        <v>339996.53260670253</v>
      </c>
      <c r="G40" s="20">
        <f>IF($B$2=0,$E40,Calculator!$C$9*POWER(1+$B$2,12*$D40)+Calculator!$C$10*(POWER(1+$B$2,12*$D40)-1)/$B$2)</f>
        <v>523996.53260670253</v>
      </c>
    </row>
    <row r="41" spans="4:7" ht="16.5" x14ac:dyDescent="0.25">
      <c r="D41" s="20">
        <v>30</v>
      </c>
      <c r="E41" s="20">
        <f>MIN(Calculator!$C$9+Calculator!$C$10*12*$D41,$G41)</f>
        <v>190000</v>
      </c>
      <c r="F41" s="20">
        <f>ABS($G41-(Calculator!$C$9+Calculator!$C$10*12*$D41))</f>
        <v>372483.27334891772</v>
      </c>
      <c r="G41" s="20">
        <f>IF($B$2=0,$E41,Calculator!$C$9*POWER(1+$B$2,12*$D41)+Calculator!$C$10*(POWER(1+$B$2,12*$D41)-1)/$B$2)</f>
        <v>562483.27334891772</v>
      </c>
    </row>
    <row r="42" spans="4:7" ht="16.5" x14ac:dyDescent="0.25">
      <c r="D42" s="20">
        <v>31</v>
      </c>
      <c r="E42" s="20">
        <f>MIN(Calculator!$C$9+Calculator!$C$10*12*$D42,$G42)</f>
        <v>196000</v>
      </c>
      <c r="F42" s="20">
        <f>ABS($G42-(Calculator!$C$9+Calculator!$C$10*12*$D42))</f>
        <v>407343.79204590863</v>
      </c>
      <c r="G42" s="20">
        <f>IF($B$2=0,$E42,Calculator!$C$9*POWER(1+$B$2,12*$D42)+Calculator!$C$10*(POWER(1+$B$2,12*$D42)-1)/$B$2)</f>
        <v>603343.79204590863</v>
      </c>
    </row>
    <row r="43" spans="4:7" ht="16.5" x14ac:dyDescent="0.25">
      <c r="D43" s="20">
        <v>32</v>
      </c>
      <c r="E43" s="20">
        <f>MIN(Calculator!$C$9+Calculator!$C$10*12*$D43,$G43)</f>
        <v>202000</v>
      </c>
      <c r="F43" s="20">
        <f>ABS($G43-(Calculator!$C$9+Calculator!$C$10*12*$D43))</f>
        <v>444724.49812777864</v>
      </c>
      <c r="G43" s="20">
        <f>IF($B$2=0,$E43,Calculator!$C$9*POWER(1+$B$2,12*$D43)+Calculator!$C$10*(POWER(1+$B$2,12*$D43)-1)/$B$2)</f>
        <v>646724.49812777864</v>
      </c>
    </row>
    <row r="44" spans="4:7" ht="16.5" x14ac:dyDescent="0.25">
      <c r="D44" s="20">
        <v>33</v>
      </c>
      <c r="E44" s="20">
        <f>MIN(Calculator!$C$9+Calculator!$C$10*12*$D44,$G44)</f>
        <v>208000</v>
      </c>
      <c r="F44" s="20">
        <f>ABS($G44-(Calculator!$C$9+Calculator!$C$10*12*$D44))</f>
        <v>484780.83123791509</v>
      </c>
      <c r="G44" s="20">
        <f>IF($B$2=0,$E44,Calculator!$C$9*POWER(1+$B$2,12*$D44)+Calculator!$C$10*(POWER(1+$B$2,12*$D44)-1)/$B$2)</f>
        <v>692780.83123791509</v>
      </c>
    </row>
    <row r="45" spans="4:7" ht="16.5" x14ac:dyDescent="0.25">
      <c r="D45" s="20">
        <v>34</v>
      </c>
      <c r="E45" s="20">
        <f>MIN(Calculator!$C$9+Calculator!$C$10*12*$D45,$G45)</f>
        <v>214000</v>
      </c>
      <c r="F45" s="20">
        <f>ABS($G45-(Calculator!$C$9+Calculator!$C$10*12*$D45))</f>
        <v>527677.8181967875</v>
      </c>
      <c r="G45" s="20">
        <f>IF($B$2=0,$E45,Calculator!$C$9*POWER(1+$B$2,12*$D45)+Calculator!$C$10*(POWER(1+$B$2,12*$D45)-1)/$B$2)</f>
        <v>741677.8181967875</v>
      </c>
    </row>
    <row r="46" spans="4:7" ht="16.5" x14ac:dyDescent="0.25">
      <c r="D46" s="20">
        <v>35</v>
      </c>
      <c r="E46" s="20">
        <f>MIN(Calculator!$C$9+Calculator!$C$10*12*$D46,$G46)</f>
        <v>220000</v>
      </c>
      <c r="F46" s="20">
        <f>ABS($G46-(Calculator!$C$9+Calculator!$C$10*12*$D46))</f>
        <v>573590.66431804956</v>
      </c>
      <c r="G46" s="20">
        <f>IF($B$2=0,$E46,Calculator!$C$9*POWER(1+$B$2,12*$D46)+Calculator!$C$10*(POWER(1+$B$2,12*$D46)-1)/$B$2)</f>
        <v>793590.66431804956</v>
      </c>
    </row>
    <row r="47" spans="4:7" ht="16.5" x14ac:dyDescent="0.25">
      <c r="D47" s="20">
        <v>36</v>
      </c>
      <c r="E47" s="20">
        <f>MIN(Calculator!$C$9+Calculator!$C$10*12*$D47,$G47)</f>
        <v>226000</v>
      </c>
      <c r="F47" s="20">
        <f>ABS($G47-(Calculator!$C$9+Calculator!$C$10*12*$D47))</f>
        <v>622705.3811957296</v>
      </c>
      <c r="G47" s="20">
        <f>IF($B$2=0,$E47,Calculator!$C$9*POWER(1+$B$2,12*$D47)+Calculator!$C$10*(POWER(1+$B$2,12*$D47)-1)/$B$2)</f>
        <v>848705.3811957296</v>
      </c>
    </row>
    <row r="48" spans="4:7" ht="16.5" x14ac:dyDescent="0.25">
      <c r="D48" s="20">
        <v>37</v>
      </c>
      <c r="E48" s="20">
        <f>MIN(Calculator!$C$9+Calculator!$C$10*12*$D48,$G48)</f>
        <v>232000</v>
      </c>
      <c r="F48" s="20">
        <f>ABS($G48-(Calculator!$C$9+Calculator!$C$10*12*$D48))</f>
        <v>675219.45321195654</v>
      </c>
      <c r="G48" s="20">
        <f>IF($B$2=0,$E48,Calculator!$C$9*POWER(1+$B$2,12*$D48)+Calculator!$C$10*(POWER(1+$B$2,12*$D48)-1)/$B$2)</f>
        <v>907219.45321195654</v>
      </c>
    </row>
    <row r="49" spans="4:7" ht="16.5" x14ac:dyDescent="0.25">
      <c r="D49" s="20">
        <v>38</v>
      </c>
      <c r="E49" s="20">
        <f>MIN(Calculator!$C$9+Calculator!$C$10*12*$D49,$G49)</f>
        <v>238000</v>
      </c>
      <c r="F49" s="20">
        <f>ABS($G49-(Calculator!$C$9+Calculator!$C$10*12*$D49))</f>
        <v>731342.54515342577</v>
      </c>
      <c r="G49" s="20">
        <f>IF($B$2=0,$E49,Calculator!$C$9*POWER(1+$B$2,12*$D49)+Calculator!$C$10*(POWER(1+$B$2,12*$D49)-1)/$B$2)</f>
        <v>969342.54515342577</v>
      </c>
    </row>
    <row r="50" spans="4:7" ht="16.5" x14ac:dyDescent="0.25">
      <c r="D50" s="20">
        <v>39</v>
      </c>
      <c r="E50" s="20">
        <f>MIN(Calculator!$C$9+Calculator!$C$10*12*$D50,$G50)</f>
        <v>244000</v>
      </c>
      <c r="F50" s="20">
        <f>ABS($G50-(Calculator!$C$9+Calculator!$C$10*12*$D50))</f>
        <v>791297.25347210187</v>
      </c>
      <c r="G50" s="20">
        <f>IF($B$2=0,$E50,Calculator!$C$9*POWER(1+$B$2,12*$D50)+Calculator!$C$10*(POWER(1+$B$2,12*$D50)-1)/$B$2)</f>
        <v>1035297.2534721019</v>
      </c>
    </row>
    <row r="51" spans="4:7" ht="16.5" x14ac:dyDescent="0.25">
      <c r="D51" s="20">
        <v>40</v>
      </c>
      <c r="E51" s="20">
        <f>MIN(Calculator!$C$9+Calculator!$C$10*12*$D51,$G51)</f>
        <v>250000</v>
      </c>
      <c r="F51" s="20">
        <f>ABS($G51-(Calculator!$C$9+Calculator!$C$10*12*$D51))</f>
        <v>855319.90388203482</v>
      </c>
      <c r="G51" s="20">
        <f>IF($B$2=0,$E51,Calculator!$C$9*POWER(1+$B$2,12*$D51)+Calculator!$C$10*(POWER(1+$B$2,12*$D51)-1)/$B$2)</f>
        <v>1105319.9038820348</v>
      </c>
    </row>
    <row r="52" spans="4:7" ht="16.5" x14ac:dyDescent="0.25">
      <c r="D52" s="20">
        <v>41</v>
      </c>
      <c r="E52" s="20">
        <f>MIN(Calculator!$C$9+Calculator!$C$10*12*$D52,$G52)</f>
        <v>256000</v>
      </c>
      <c r="F52" s="20">
        <f>ABS($G52-(Calculator!$C$9+Calculator!$C$10*12*$D52))</f>
        <v>923661.39815020538</v>
      </c>
      <c r="G52" s="20">
        <f>IF($B$2=0,$E52,Calculator!$C$9*POWER(1+$B$2,12*$D52)+Calculator!$C$10*(POWER(1+$B$2,12*$D52)-1)/$B$2)</f>
        <v>1179661.3981502054</v>
      </c>
    </row>
    <row r="53" spans="4:7" ht="16.5" x14ac:dyDescent="0.25">
      <c r="D53" s="20">
        <v>42</v>
      </c>
      <c r="E53" s="20">
        <f>MIN(Calculator!$C$9+Calculator!$C$10*12*$D53,$G53)</f>
        <v>262000</v>
      </c>
      <c r="F53" s="20">
        <f>ABS($G53-(Calculator!$C$9+Calculator!$C$10*12*$D53))</f>
        <v>996588.113115574</v>
      </c>
      <c r="G53" s="20">
        <f>IF($B$2=0,$E53,Calculator!$C$9*POWER(1+$B$2,12*$D53)+Calculator!$C$10*(POWER(1+$B$2,12*$D53)-1)/$B$2)</f>
        <v>1258588.113115574</v>
      </c>
    </row>
    <row r="54" spans="4:7" ht="16.5" x14ac:dyDescent="0.25">
      <c r="D54" s="20">
        <v>43</v>
      </c>
      <c r="E54" s="20">
        <f>MIN(Calculator!$C$9+Calculator!$C$10*12*$D54,$G54)</f>
        <v>268000</v>
      </c>
      <c r="F54" s="20">
        <f>ABS($G54-(Calculator!$C$9+Calculator!$C$10*12*$D54))</f>
        <v>1074382.8551576589</v>
      </c>
      <c r="G54" s="20">
        <f>IF($B$2=0,$E54,Calculator!$C$9*POWER(1+$B$2,12*$D54)+Calculator!$C$10*(POWER(1+$B$2,12*$D54)-1)/$B$2)</f>
        <v>1342382.8551576589</v>
      </c>
    </row>
    <row r="55" spans="4:7" ht="16.5" x14ac:dyDescent="0.25">
      <c r="D55" s="20">
        <v>44</v>
      </c>
      <c r="E55" s="20">
        <f>MIN(Calculator!$C$9+Calculator!$C$10*12*$D55,$G55)</f>
        <v>274000</v>
      </c>
      <c r="F55" s="20">
        <f>ABS($G55-(Calculator!$C$9+Calculator!$C$10*12*$D55))</f>
        <v>1157345.8735346501</v>
      </c>
      <c r="G55" s="20">
        <f>IF($B$2=0,$E55,Calculator!$C$9*POWER(1+$B$2,12*$D55)+Calculator!$C$10*(POWER(1+$B$2,12*$D55)-1)/$B$2)</f>
        <v>1431345.8735346501</v>
      </c>
    </row>
    <row r="56" spans="4:7" ht="16.5" x14ac:dyDescent="0.25">
      <c r="D56" s="20">
        <v>45</v>
      </c>
      <c r="E56" s="20">
        <f>MIN(Calculator!$C$9+Calculator!$C$10*12*$D56,$G56)</f>
        <v>280000</v>
      </c>
      <c r="F56" s="20">
        <f>ABS($G56-(Calculator!$C$9+Calculator!$C$10*12*$D56))</f>
        <v>1245795.9362219952</v>
      </c>
      <c r="G56" s="20">
        <f>IF($B$2=0,$E56,Calculator!$C$9*POWER(1+$B$2,12*$D56)+Calculator!$C$10*(POWER(1+$B$2,12*$D56)-1)/$B$2)</f>
        <v>1525795.9362219952</v>
      </c>
    </row>
    <row r="57" spans="4:7" ht="16.5" x14ac:dyDescent="0.25">
      <c r="D57" s="20">
        <v>46</v>
      </c>
      <c r="E57" s="20">
        <f>MIN(Calculator!$C$9+Calculator!$C$10*12*$D57,$G57)</f>
        <v>286000</v>
      </c>
      <c r="F57" s="20">
        <f>ABS($G57-(Calculator!$C$9+Calculator!$C$10*12*$D57))</f>
        <v>1340071.4721063604</v>
      </c>
      <c r="G57" s="20">
        <f>IF($B$2=0,$E57,Calculator!$C$9*POWER(1+$B$2,12*$D57)+Calculator!$C$10*(POWER(1+$B$2,12*$D57)-1)/$B$2)</f>
        <v>1626071.4721063604</v>
      </c>
    </row>
    <row r="58" spans="4:7" ht="16.5" x14ac:dyDescent="0.25">
      <c r="D58" s="20">
        <v>47</v>
      </c>
      <c r="E58" s="20">
        <f>MIN(Calculator!$C$9+Calculator!$C$10*12*$D58,$G58)</f>
        <v>292000</v>
      </c>
      <c r="F58" s="20">
        <f>ABS($G58-(Calculator!$C$9+Calculator!$C$10*12*$D58))</f>
        <v>1440531.7836276125</v>
      </c>
      <c r="G58" s="20">
        <f>IF($B$2=0,$E58,Calculator!$C$9*POWER(1+$B$2,12*$D58)+Calculator!$C$10*(POWER(1+$B$2,12*$D58)-1)/$B$2)</f>
        <v>1732531.7836276125</v>
      </c>
    </row>
    <row r="59" spans="4:7" ht="16.5" x14ac:dyDescent="0.25">
      <c r="D59" s="20">
        <v>48</v>
      </c>
      <c r="E59" s="20">
        <f>MIN(Calculator!$C$9+Calculator!$C$10*12*$D59,$G59)</f>
        <v>298000</v>
      </c>
      <c r="F59" s="20">
        <f>ABS($G59-(Calculator!$C$9+Calculator!$C$10*12*$D59))</f>
        <v>1547558.3342139092</v>
      </c>
      <c r="G59" s="20">
        <f>IF($B$2=0,$E59,Calculator!$C$9*POWER(1+$B$2,12*$D59)+Calculator!$C$10*(POWER(1+$B$2,12*$D59)-1)/$B$2)</f>
        <v>1845558.3342139092</v>
      </c>
    </row>
    <row r="60" spans="4:7" ht="16.5" x14ac:dyDescent="0.25">
      <c r="D60" s="20">
        <v>49</v>
      </c>
      <c r="E60" s="20">
        <f>MIN(Calculator!$C$9+Calculator!$C$10*12*$D60,$G60)</f>
        <v>304000</v>
      </c>
      <c r="F60" s="20">
        <f>ABS($G60-(Calculator!$C$9+Calculator!$C$10*12*$D60))</f>
        <v>1661556.1151229597</v>
      </c>
      <c r="G60" s="20">
        <f>IF($B$2=0,$E60,Calculator!$C$9*POWER(1+$B$2,12*$D60)+Calculator!$C$10*(POWER(1+$B$2,12*$D60)-1)/$B$2)</f>
        <v>1965556.1151229597</v>
      </c>
    </row>
    <row r="61" spans="4:7" ht="16.5" x14ac:dyDescent="0.25">
      <c r="D61" s="20">
        <v>50</v>
      </c>
      <c r="E61" s="20">
        <f>MIN(Calculator!$C$9+Calculator!$C$10*12*$D61,$G61)</f>
        <v>310000</v>
      </c>
      <c r="F61" s="20">
        <f>ABS($G61-(Calculator!$C$9+Calculator!$C$10*12*$D61))</f>
        <v>1782955.0965870763</v>
      </c>
      <c r="G61" s="20">
        <f>IF($B$2=0,$E61,Calculator!$C$9*POWER(1+$B$2,12*$D61)+Calculator!$C$10*(POWER(1+$B$2,12*$D61)-1)/$B$2)</f>
        <v>2092955.0965870763</v>
      </c>
    </row>
    <row r="62" spans="4:7" ht="16.5" x14ac:dyDescent="0.25">
      <c r="D62" s="20">
        <v>51</v>
      </c>
      <c r="E62" s="20">
        <f>MIN(Calculator!$C$9+Calculator!$C$10*12*$D62,$G62)</f>
        <v>316000</v>
      </c>
      <c r="F62" s="20">
        <f>ABS($G62-(Calculator!$C$9+Calculator!$C$10*12*$D62))</f>
        <v>1912211.7684616651</v>
      </c>
      <c r="G62" s="20">
        <f>IF($B$2=0,$E62,Calculator!$C$9*POWER(1+$B$2,12*$D62)+Calculator!$C$10*(POWER(1+$B$2,12*$D62)-1)/$B$2)</f>
        <v>2228211.7684616651</v>
      </c>
    </row>
    <row r="63" spans="4:7" ht="16.5" x14ac:dyDescent="0.25">
      <c r="D63" s="20">
        <v>52</v>
      </c>
      <c r="E63" s="20">
        <f>MIN(Calculator!$C$9+Calculator!$C$10*12*$D63,$G63)</f>
        <v>322000</v>
      </c>
      <c r="F63" s="20">
        <f>ABS($G63-(Calculator!$C$9+Calculator!$C$10*12*$D63))</f>
        <v>2049810.7758975532</v>
      </c>
      <c r="G63" s="20">
        <f>IF($B$2=0,$E63,Calculator!$C$9*POWER(1+$B$2,12*$D63)+Calculator!$C$10*(POWER(1+$B$2,12*$D63)-1)/$B$2)</f>
        <v>2371810.7758975532</v>
      </c>
    </row>
    <row r="64" spans="4:7" ht="16.5" x14ac:dyDescent="0.25">
      <c r="D64" s="20">
        <v>53</v>
      </c>
      <c r="E64" s="20">
        <f>MIN(Calculator!$C$9+Calculator!$C$10*12*$D64,$G64)</f>
        <v>328000</v>
      </c>
      <c r="F64" s="20">
        <f>ABS($G64-(Calculator!$C$9+Calculator!$C$10*12*$D64))</f>
        <v>2196266.6558980001</v>
      </c>
      <c r="G64" s="20">
        <f>IF($B$2=0,$E64,Calculator!$C$9*POWER(1+$B$2,12*$D64)+Calculator!$C$10*(POWER(1+$B$2,12*$D64)-1)/$B$2)</f>
        <v>2524266.6558980001</v>
      </c>
    </row>
    <row r="65" spans="4:7" ht="16.5" x14ac:dyDescent="0.25">
      <c r="D65" s="20">
        <v>54</v>
      </c>
      <c r="E65" s="20">
        <f>MIN(Calculator!$C$9+Calculator!$C$10*12*$D65,$G65)</f>
        <v>334000</v>
      </c>
      <c r="F65" s="20">
        <f>ABS($G65-(Calculator!$C$9+Calculator!$C$10*12*$D65))</f>
        <v>2352125.6809827518</v>
      </c>
      <c r="G65" s="20">
        <f>IF($B$2=0,$E65,Calculator!$C$9*POWER(1+$B$2,12*$D65)+Calculator!$C$10*(POWER(1+$B$2,12*$D65)-1)/$B$2)</f>
        <v>2686125.6809827518</v>
      </c>
    </row>
    <row r="66" spans="4:7" ht="16.5" x14ac:dyDescent="0.25">
      <c r="D66" s="20">
        <v>55</v>
      </c>
      <c r="E66" s="20">
        <f>MIN(Calculator!$C$9+Calculator!$C$10*12*$D66,$G66)</f>
        <v>340000</v>
      </c>
      <c r="F66" s="20">
        <f>ABS($G66-(Calculator!$C$9+Calculator!$C$10*12*$D66))</f>
        <v>2517967.816565251</v>
      </c>
      <c r="G66" s="20">
        <f>IF($B$2=0,$E66,Calculator!$C$9*POWER(1+$B$2,12*$D66)+Calculator!$C$10*(POWER(1+$B$2,12*$D66)-1)/$B$2)</f>
        <v>2857967.816565251</v>
      </c>
    </row>
    <row r="67" spans="4:7" ht="16.5" x14ac:dyDescent="0.25">
      <c r="D67" s="20">
        <v>56</v>
      </c>
      <c r="E67" s="20">
        <f>MIN(Calculator!$C$9+Calculator!$C$10*12*$D67,$G67)</f>
        <v>346000</v>
      </c>
      <c r="F67" s="20">
        <f>ABS($G67-(Calculator!$C$9+Calculator!$C$10*12*$D67))</f>
        <v>2694408.7990566017</v>
      </c>
      <c r="G67" s="20">
        <f>IF($B$2=0,$E67,Calculator!$C$9*POWER(1+$B$2,12*$D67)+Calculator!$C$10*(POWER(1+$B$2,12*$D67)-1)/$B$2)</f>
        <v>3040408.7990566017</v>
      </c>
    </row>
    <row r="68" spans="4:7" ht="16.5" x14ac:dyDescent="0.25">
      <c r="D68" s="20">
        <v>57</v>
      </c>
      <c r="E68" s="20">
        <f>MIN(Calculator!$C$9+Calculator!$C$10*12*$D68,$G68)</f>
        <v>352000</v>
      </c>
      <c r="F68" s="20">
        <f>ABS($G68-(Calculator!$C$9+Calculator!$C$10*12*$D68))</f>
        <v>2882102.3421424278</v>
      </c>
      <c r="G68" s="20">
        <f>IF($B$2=0,$E68,Calculator!$C$9*POWER(1+$B$2,12*$D68)+Calculator!$C$10*(POWER(1+$B$2,12*$D68)-1)/$B$2)</f>
        <v>3234102.3421424278</v>
      </c>
    </row>
    <row r="69" spans="4:7" ht="16.5" x14ac:dyDescent="0.25">
      <c r="D69" s="20">
        <v>58</v>
      </c>
      <c r="E69" s="20">
        <f>MIN(Calculator!$C$9+Calculator!$C$10*12*$D69,$G69)</f>
        <v>358000</v>
      </c>
      <c r="F69" s="20">
        <f>ABS($G69-(Calculator!$C$9+Calculator!$C$10*12*$D69))</f>
        <v>3081742.4791380693</v>
      </c>
      <c r="G69" s="20">
        <f>IF($B$2=0,$E69,Calculator!$C$9*POWER(1+$B$2,12*$D69)+Calculator!$C$10*(POWER(1+$B$2,12*$D69)-1)/$B$2)</f>
        <v>3439742.4791380693</v>
      </c>
    </row>
    <row r="70" spans="4:7" ht="16.5" x14ac:dyDescent="0.25">
      <c r="D70" s="20">
        <v>59</v>
      </c>
      <c r="E70" s="20">
        <f>MIN(Calculator!$C$9+Calculator!$C$10*12*$D70,$G70)</f>
        <v>364000</v>
      </c>
      <c r="F70" s="20">
        <f>ABS($G70-(Calculator!$C$9+Calculator!$C$10*12*$D70))</f>
        <v>3294066.0498151174</v>
      </c>
      <c r="G70" s="20">
        <f>IF($B$2=0,$E70,Calculator!$C$9*POWER(1+$B$2,12*$D70)+Calculator!$C$10*(POWER(1+$B$2,12*$D70)-1)/$B$2)</f>
        <v>3658066.0498151174</v>
      </c>
    </row>
    <row r="71" spans="4:7" ht="16.5" x14ac:dyDescent="0.25">
      <c r="D71" s="20">
        <v>60</v>
      </c>
      <c r="E71" s="20">
        <f>MIN(Calculator!$C$9+Calculator!$C$10*12*$D71,$G71)</f>
        <v>370000</v>
      </c>
      <c r="F71" s="20">
        <f>ABS($G71-(Calculator!$C$9+Calculator!$C$10*12*$D71))</f>
        <v>3519855.3406099696</v>
      </c>
      <c r="G71" s="20">
        <f>IF($B$2=0,$E71,Calculator!$C$9*POWER(1+$B$2,12*$D71)+Calculator!$C$10*(POWER(1+$B$2,12*$D71)-1)/$B$2)</f>
        <v>3889855.3406099696</v>
      </c>
    </row>
    <row r="72" spans="4:7" ht="16.5" x14ac:dyDescent="0.25">
      <c r="D72" s="20">
        <v>61</v>
      </c>
      <c r="E72" s="20">
        <f>MIN(Calculator!$C$9+Calculator!$C$10*12*$D72,$G72)</f>
        <v>376000</v>
      </c>
      <c r="F72" s="20">
        <f>ABS($G72-(Calculator!$C$9+Calculator!$C$10*12*$D72))</f>
        <v>3759940.8876746735</v>
      </c>
      <c r="G72" s="20">
        <f>IF($B$2=0,$E72,Calculator!$C$9*POWER(1+$B$2,12*$D72)+Calculator!$C$10*(POWER(1+$B$2,12*$D72)-1)/$B$2)</f>
        <v>4135940.8876746735</v>
      </c>
    </row>
    <row r="73" spans="4:7" ht="16.5" x14ac:dyDescent="0.25">
      <c r="D73" s="20">
        <v>62</v>
      </c>
      <c r="E73" s="20">
        <f>MIN(Calculator!$C$9+Calculator!$C$10*12*$D73,$G73)</f>
        <v>382000</v>
      </c>
      <c r="F73" s="20">
        <f>ABS($G73-(Calculator!$C$9+Calculator!$C$10*12*$D73))</f>
        <v>4015204.4528138051</v>
      </c>
      <c r="G73" s="20">
        <f>IF($B$2=0,$E73,Calculator!$C$9*POWER(1+$B$2,12*$D73)+Calculator!$C$10*(POWER(1+$B$2,12*$D73)-1)/$B$2)</f>
        <v>4397204.4528138051</v>
      </c>
    </row>
    <row r="74" spans="4:7" ht="16.5" x14ac:dyDescent="0.25">
      <c r="D74" s="20">
        <v>63</v>
      </c>
      <c r="E74" s="20">
        <f>MIN(Calculator!$C$9+Calculator!$C$10*12*$D74,$G74)</f>
        <v>388000</v>
      </c>
      <c r="F74" s="20">
        <f>ABS($G74-(Calculator!$C$9+Calculator!$C$10*12*$D74))</f>
        <v>4286582.1829706347</v>
      </c>
      <c r="G74" s="20">
        <f>IF($B$2=0,$E74,Calculator!$C$9*POWER(1+$B$2,12*$D74)+Calculator!$C$10*(POWER(1+$B$2,12*$D74)-1)/$B$2)</f>
        <v>4674582.1829706347</v>
      </c>
    </row>
    <row r="75" spans="4:7" ht="16.5" x14ac:dyDescent="0.25">
      <c r="D75" s="20">
        <v>64</v>
      </c>
      <c r="E75" s="20">
        <f>MIN(Calculator!$C$9+Calculator!$C$10*12*$D75,$G75)</f>
        <v>394000</v>
      </c>
      <c r="F75" s="20">
        <f>ABS($G75-(Calculator!$C$9+Calculator!$C$10*12*$D75))</f>
        <v>4575067.9645834798</v>
      </c>
      <c r="G75" s="20">
        <f>IF($B$2=0,$E75,Calculator!$C$9*POWER(1+$B$2,12*$D75)+Calculator!$C$10*(POWER(1+$B$2,12*$D75)-1)/$B$2)</f>
        <v>4969067.9645834798</v>
      </c>
    </row>
    <row r="76" spans="4:7" ht="16.5" x14ac:dyDescent="0.25">
      <c r="D76" s="20">
        <v>65</v>
      </c>
      <c r="E76" s="20">
        <f>MIN(Calculator!$C$9+Calculator!$C$10*12*$D76,$G76)</f>
        <v>400000</v>
      </c>
      <c r="F76" s="20">
        <f>ABS($G76-(Calculator!$C$9+Calculator!$C$10*12*$D76))</f>
        <v>4881716.9848314123</v>
      </c>
      <c r="G76" s="20">
        <f>IF($B$2=0,$E76,Calculator!$C$9*POWER(1+$B$2,12*$D76)+Calculator!$C$10*(POWER(1+$B$2,12*$D76)-1)/$B$2)</f>
        <v>5281716.9848314123</v>
      </c>
    </row>
    <row r="77" spans="4:7" ht="16.5" x14ac:dyDescent="0.25">
      <c r="D77" s="20">
        <v>66</v>
      </c>
      <c r="E77" s="20">
        <f>MIN(Calculator!$C$9+Calculator!$C$10*12*$D77,$G77)</f>
        <v>406000</v>
      </c>
      <c r="F77" s="20">
        <f>ABS($G77-(Calculator!$C$9+Calculator!$C$10*12*$D77))</f>
        <v>5207649.5125298174</v>
      </c>
      <c r="G77" s="20">
        <f>IF($B$2=0,$E77,Calculator!$C$9*POWER(1+$B$2,12*$D77)+Calculator!$C$10*(POWER(1+$B$2,12*$D77)-1)/$B$2)</f>
        <v>5613649.5125298174</v>
      </c>
    </row>
    <row r="78" spans="4:7" ht="16.5" x14ac:dyDescent="0.25">
      <c r="D78" s="20">
        <v>67</v>
      </c>
      <c r="E78" s="20">
        <f>MIN(Calculator!$C$9+Calculator!$C$10*12*$D78,$G78)</f>
        <v>412000</v>
      </c>
      <c r="F78" s="20">
        <f>ABS($G78-(Calculator!$C$9+Calculator!$C$10*12*$D78))</f>
        <v>5554054.9122233083</v>
      </c>
      <c r="G78" s="20">
        <f>IF($B$2=0,$E78,Calculator!$C$9*POWER(1+$B$2,12*$D78)+Calculator!$C$10*(POWER(1+$B$2,12*$D78)-1)/$B$2)</f>
        <v>5966054.9122233083</v>
      </c>
    </row>
    <row r="79" spans="4:7" ht="16.5" x14ac:dyDescent="0.25">
      <c r="D79" s="20">
        <v>68</v>
      </c>
      <c r="E79" s="20">
        <f>MIN(Calculator!$C$9+Calculator!$C$10*12*$D79,$G79)</f>
        <v>418000</v>
      </c>
      <c r="F79" s="20">
        <f>ABS($G79-(Calculator!$C$9+Calculator!$C$10*12*$D79))</f>
        <v>5922195.9058591276</v>
      </c>
      <c r="G79" s="20">
        <f>IF($B$2=0,$E79,Calculator!$C$9*POWER(1+$B$2,12*$D79)+Calculator!$C$10*(POWER(1+$B$2,12*$D79)-1)/$B$2)</f>
        <v>6340195.9058591276</v>
      </c>
    </row>
    <row r="80" spans="4:7" ht="16.5" x14ac:dyDescent="0.25">
      <c r="D80" s="20">
        <v>69</v>
      </c>
      <c r="E80" s="20">
        <f>MIN(Calculator!$C$9+Calculator!$C$10*12*$D80,$G80)</f>
        <v>424000</v>
      </c>
      <c r="F80" s="20">
        <f>ABS($G80-(Calculator!$C$9+Calculator!$C$10*12*$D80))</f>
        <v>6313413.0973112155</v>
      </c>
      <c r="G80" s="20">
        <f>IF($B$2=0,$E80,Calculator!$C$9*POWER(1+$B$2,12*$D80)+Calculator!$C$10*(POWER(1+$B$2,12*$D80)-1)/$B$2)</f>
        <v>6737413.0973112155</v>
      </c>
    </row>
    <row r="81" spans="4:7" ht="16.5" x14ac:dyDescent="0.25">
      <c r="D81" s="20">
        <v>70</v>
      </c>
      <c r="E81" s="20">
        <f>MIN(Calculator!$C$9+Calculator!$C$10*12*$D81,$G81)</f>
        <v>430000</v>
      </c>
      <c r="F81" s="20">
        <f>ABS($G81-(Calculator!$C$9+Calculator!$C$10*12*$D81))</f>
        <v>6729129.7759670299</v>
      </c>
      <c r="G81" s="20">
        <f>IF($B$2=0,$E81,Calculator!$C$9*POWER(1+$B$2,12*$D81)+Calculator!$C$10*(POWER(1+$B$2,12*$D81)-1)/$B$2)</f>
        <v>7159129.7759670299</v>
      </c>
    </row>
    <row r="82" spans="4:7" ht="16.5" x14ac:dyDescent="0.25">
      <c r="D82" s="20">
        <v>71</v>
      </c>
      <c r="E82" s="20">
        <f>MIN(Calculator!$C$9+Calculator!$C$10*12*$D82,$G82)</f>
        <v>436000</v>
      </c>
      <c r="F82" s="20">
        <f>ABS($G82-(Calculator!$C$9+Calculator!$C$10*12*$D82))</f>
        <v>7170857.0165890977</v>
      </c>
      <c r="G82" s="20">
        <f>IF($B$2=0,$E82,Calculator!$C$9*POWER(1+$B$2,12*$D82)+Calculator!$C$10*(POWER(1+$B$2,12*$D82)-1)/$B$2)</f>
        <v>7606857.0165890977</v>
      </c>
    </row>
    <row r="83" spans="4:7" ht="16.5" x14ac:dyDescent="0.25">
      <c r="D83" s="20">
        <v>72</v>
      </c>
      <c r="E83" s="20">
        <f>MIN(Calculator!$C$9+Calculator!$C$10*12*$D83,$G83)</f>
        <v>442000</v>
      </c>
      <c r="F83" s="20">
        <f>ABS($G83-(Calculator!$C$9+Calculator!$C$10*12*$D83))</f>
        <v>7640199.0937248627</v>
      </c>
      <c r="G83" s="20">
        <f>IF($B$2=0,$E83,Calculator!$C$9*POWER(1+$B$2,12*$D83)+Calculator!$C$10*(POWER(1+$B$2,12*$D83)-1)/$B$2)</f>
        <v>8082199.0937248627</v>
      </c>
    </row>
    <row r="84" spans="4:7" ht="16.5" x14ac:dyDescent="0.25">
      <c r="D84" s="20">
        <v>73</v>
      </c>
      <c r="E84" s="20">
        <f>MIN(Calculator!$C$9+Calculator!$C$10*12*$D84,$G84)</f>
        <v>448000</v>
      </c>
      <c r="F84" s="20">
        <f>ABS($G84-(Calculator!$C$9+Calculator!$C$10*12*$D84))</f>
        <v>8138859.2300654892</v>
      </c>
      <c r="G84" s="20">
        <f>IF($B$2=0,$E84,Calculator!$C$9*POWER(1+$B$2,12*$D84)+Calculator!$C$10*(POWER(1+$B$2,12*$D84)-1)/$B$2)</f>
        <v>8586859.2300654892</v>
      </c>
    </row>
    <row r="85" spans="4:7" ht="16.5" x14ac:dyDescent="0.25">
      <c r="D85" s="20">
        <v>74</v>
      </c>
      <c r="E85" s="20">
        <f>MIN(Calculator!$C$9+Calculator!$C$10*12*$D85,$G85)</f>
        <v>454000</v>
      </c>
      <c r="F85" s="20">
        <f>ABS($G85-(Calculator!$C$9+Calculator!$C$10*12*$D85))</f>
        <v>8668645.6993508432</v>
      </c>
      <c r="G85" s="20">
        <f>IF($B$2=0,$E85,Calculator!$C$9*POWER(1+$B$2,12*$D85)+Calculator!$C$10*(POWER(1+$B$2,12*$D85)-1)/$B$2)</f>
        <v>9122645.6993508432</v>
      </c>
    </row>
    <row r="86" spans="4:7" ht="16.5" x14ac:dyDescent="0.25">
      <c r="D86" s="20">
        <v>75</v>
      </c>
      <c r="E86" s="20">
        <f>MIN(Calculator!$C$9+Calculator!$C$10*12*$D86,$G86)</f>
        <v>460000</v>
      </c>
      <c r="F86" s="20">
        <f>ABS($G86-(Calculator!$C$9+Calculator!$C$10*12*$D86))</f>
        <v>9231478.3056883216</v>
      </c>
      <c r="G86" s="20">
        <f>IF($B$2=0,$E86,Calculator!$C$9*POWER(1+$B$2,12*$D86)+Calculator!$C$10*(POWER(1+$B$2,12*$D86)-1)/$B$2)</f>
        <v>9691478.3056883216</v>
      </c>
    </row>
    <row r="87" spans="4:7" ht="16.5" x14ac:dyDescent="0.25">
      <c r="D87" s="20">
        <v>76</v>
      </c>
      <c r="E87" s="20">
        <f>MIN(Calculator!$C$9+Calculator!$C$10*12*$D87,$G87)</f>
        <v>466000</v>
      </c>
      <c r="F87" s="20">
        <f>ABS($G87-(Calculator!$C$9+Calculator!$C$10*12*$D87))</f>
        <v>9829395.2625018749</v>
      </c>
      <c r="G87" s="20">
        <f>IF($B$2=0,$E87,Calculator!$C$9*POWER(1+$B$2,12*$D87)+Calculator!$C$10*(POWER(1+$B$2,12*$D87)-1)/$B$2)</f>
        <v>10295395.262501875</v>
      </c>
    </row>
    <row r="88" spans="4:7" ht="16.5" x14ac:dyDescent="0.25">
      <c r="D88" s="20">
        <v>77</v>
      </c>
      <c r="E88" s="20">
        <f>MIN(Calculator!$C$9+Calculator!$C$10*12*$D88,$G88)</f>
        <v>472000</v>
      </c>
      <c r="F88" s="20">
        <f>ABS($G88-(Calculator!$C$9+Calculator!$C$10*12*$D88))</f>
        <v>10464560.495759558</v>
      </c>
      <c r="G88" s="20">
        <f>IF($B$2=0,$E88,Calculator!$C$9*POWER(1+$B$2,12*$D88)+Calculator!$C$10*(POWER(1+$B$2,12*$D88)-1)/$B$2)</f>
        <v>10936560.495759558</v>
      </c>
    </row>
    <row r="89" spans="4:7" ht="16.5" x14ac:dyDescent="0.25">
      <c r="D89" s="20">
        <v>78</v>
      </c>
      <c r="E89" s="20">
        <f>MIN(Calculator!$C$9+Calculator!$C$10*12*$D89,$G89)</f>
        <v>478000</v>
      </c>
      <c r="F89" s="20">
        <f>ABS($G89-(Calculator!$C$9+Calculator!$C$10*12*$D89))</f>
        <v>11139271.397648163</v>
      </c>
      <c r="G89" s="20">
        <f>IF($B$2=0,$E89,Calculator!$C$9*POWER(1+$B$2,12*$D89)+Calculator!$C$10*(POWER(1+$B$2,12*$D89)-1)/$B$2)</f>
        <v>11617271.397648163</v>
      </c>
    </row>
    <row r="90" spans="4:7" ht="16.5" x14ac:dyDescent="0.25">
      <c r="D90" s="20">
        <v>79</v>
      </c>
      <c r="E90" s="20">
        <f>MIN(Calculator!$C$9+Calculator!$C$10*12*$D90,$G90)</f>
        <v>484000</v>
      </c>
      <c r="F90" s="20">
        <f>ABS($G90-(Calculator!$C$9+Calculator!$C$10*12*$D90))</f>
        <v>11855967.058477564</v>
      </c>
      <c r="G90" s="20">
        <f>IF($B$2=0,$E90,Calculator!$C$9*POWER(1+$B$2,12*$D90)+Calculator!$C$10*(POWER(1+$B$2,12*$D90)-1)/$B$2)</f>
        <v>12339967.058477564</v>
      </c>
    </row>
    <row r="91" spans="4:7" ht="16.5" x14ac:dyDescent="0.25">
      <c r="D91" s="20">
        <v>80</v>
      </c>
      <c r="E91" s="20">
        <f>MIN(Calculator!$C$9+Calculator!$C$10*12*$D91,$G91)</f>
        <v>490000</v>
      </c>
      <c r="F91" s="20">
        <f>ABS($G91-(Calculator!$C$9+Calculator!$C$10*12*$D91))</f>
        <v>12617237.006310891</v>
      </c>
      <c r="G91" s="20">
        <f>IF($B$2=0,$E91,Calculator!$C$9*POWER(1+$B$2,12*$D91)+Calculator!$C$10*(POWER(1+$B$2,12*$D91)-1)/$B$2)</f>
        <v>13107237.006310891</v>
      </c>
    </row>
    <row r="92" spans="4:7" ht="16.5" x14ac:dyDescent="0.25">
      <c r="D92" s="20">
        <v>81</v>
      </c>
      <c r="E92" s="20">
        <f>MIN(Calculator!$C$9+Calculator!$C$10*12*$D92,$G92)</f>
        <v>496000</v>
      </c>
      <c r="F92" s="20">
        <f>ABS($G92-(Calculator!$C$9+Calculator!$C$10*12*$D92))</f>
        <v>13425830.485635964</v>
      </c>
      <c r="G92" s="20">
        <f>IF($B$2=0,$E92,Calculator!$C$9*POWER(1+$B$2,12*$D92)+Calculator!$C$10*(POWER(1+$B$2,12*$D92)-1)/$B$2)</f>
        <v>13921830.485635964</v>
      </c>
    </row>
    <row r="93" spans="4:7" ht="16.5" x14ac:dyDescent="0.25">
      <c r="D93" s="20">
        <v>82</v>
      </c>
      <c r="E93" s="20">
        <f>MIN(Calculator!$C$9+Calculator!$C$10*12*$D93,$G93)</f>
        <v>502000</v>
      </c>
      <c r="F93" s="20">
        <f>ABS($G93-(Calculator!$C$9+Calculator!$C$10*12*$D93))</f>
        <v>14284666.3083249</v>
      </c>
      <c r="G93" s="20">
        <f>IF($B$2=0,$E93,Calculator!$C$9*POWER(1+$B$2,12*$D93)+Calculator!$C$10*(POWER(1+$B$2,12*$D93)-1)/$B$2)</f>
        <v>14786666.3083249</v>
      </c>
    </row>
    <row r="94" spans="4:7" ht="16.5" x14ac:dyDescent="0.25">
      <c r="D94" s="20">
        <v>83</v>
      </c>
      <c r="E94" s="20">
        <f>MIN(Calculator!$C$9+Calculator!$C$10*12*$D94,$G94)</f>
        <v>508000</v>
      </c>
      <c r="F94" s="20">
        <f>ABS($G94-(Calculator!$C$9+Calculator!$C$10*12*$D94))</f>
        <v>15196843.31217932</v>
      </c>
      <c r="G94" s="20">
        <f>IF($B$2=0,$E94,Calculator!$C$9*POWER(1+$B$2,12*$D94)+Calculator!$C$10*(POWER(1+$B$2,12*$D94)-1)/$B$2)</f>
        <v>15704843.31217932</v>
      </c>
    </row>
    <row r="95" spans="4:7" ht="16.5" x14ac:dyDescent="0.25">
      <c r="D95" s="20">
        <v>84</v>
      </c>
      <c r="E95" s="20">
        <f>MIN(Calculator!$C$9+Calculator!$C$10*12*$D95,$G95)</f>
        <v>514000</v>
      </c>
      <c r="F95" s="20">
        <f>ABS($G95-(Calculator!$C$9+Calculator!$C$10*12*$D95))</f>
        <v>16165651.464535775</v>
      </c>
      <c r="G95" s="20">
        <f>IF($B$2=0,$E95,Calculator!$C$9*POWER(1+$B$2,12*$D95)+Calculator!$C$10*(POWER(1+$B$2,12*$D95)-1)/$B$2)</f>
        <v>16679651.464535775</v>
      </c>
    </row>
    <row r="96" spans="4:7" ht="16.5" x14ac:dyDescent="0.25">
      <c r="D96" s="20">
        <v>85</v>
      </c>
      <c r="E96" s="20">
        <f>MIN(Calculator!$C$9+Calculator!$C$10*12*$D96,$G96)</f>
        <v>520000</v>
      </c>
      <c r="F96" s="20">
        <f>ABS($G96-(Calculator!$C$9+Calculator!$C$10*12*$D96))</f>
        <v>17194583.650717258</v>
      </c>
      <c r="G96" s="20">
        <f>IF($B$2=0,$E96,Calculator!$C$9*POWER(1+$B$2,12*$D96)+Calculator!$C$10*(POWER(1+$B$2,12*$D96)-1)/$B$2)</f>
        <v>17714583.650717258</v>
      </c>
    </row>
    <row r="97" spans="4:7" ht="16.5" x14ac:dyDescent="0.25">
      <c r="D97" s="20">
        <v>86</v>
      </c>
      <c r="E97" s="20">
        <f>MIN(Calculator!$C$9+Calculator!$C$10*12*$D97,$G97)</f>
        <v>526000</v>
      </c>
      <c r="F97" s="20">
        <f>ABS($G97-(Calculator!$C$9+Calculator!$C$10*12*$D97))</f>
        <v>18287348.18957055</v>
      </c>
      <c r="G97" s="20">
        <f>IF($B$2=0,$E97,Calculator!$C$9*POWER(1+$B$2,12*$D97)+Calculator!$C$10*(POWER(1+$B$2,12*$D97)-1)/$B$2)</f>
        <v>18813348.18957055</v>
      </c>
    </row>
    <row r="98" spans="4:7" ht="16.5" x14ac:dyDescent="0.25">
      <c r="D98" s="20">
        <v>87</v>
      </c>
      <c r="E98" s="20">
        <f>MIN(Calculator!$C$9+Calculator!$C$10*12*$D98,$G98)</f>
        <v>532000</v>
      </c>
      <c r="F98" s="20">
        <f>ABS($G98-(Calculator!$C$9+Calculator!$C$10*12*$D98))</f>
        <v>19447882.12093462</v>
      </c>
      <c r="G98" s="20">
        <f>IF($B$2=0,$E98,Calculator!$C$9*POWER(1+$B$2,12*$D98)+Calculator!$C$10*(POWER(1+$B$2,12*$D98)-1)/$B$2)</f>
        <v>19979882.12093462</v>
      </c>
    </row>
    <row r="99" spans="4:7" ht="16.5" x14ac:dyDescent="0.25">
      <c r="D99" s="20">
        <v>88</v>
      </c>
      <c r="E99" s="20">
        <f>MIN(Calculator!$C$9+Calculator!$C$10*12*$D99,$G99)</f>
        <v>538000</v>
      </c>
      <c r="F99" s="20">
        <f>ABS($G99-(Calculator!$C$9+Calculator!$C$10*12*$D99))</f>
        <v>20680365.312650915</v>
      </c>
      <c r="G99" s="20">
        <f>IF($B$2=0,$E99,Calculator!$C$9*POWER(1+$B$2,12*$D99)+Calculator!$C$10*(POWER(1+$B$2,12*$D99)-1)/$B$2)</f>
        <v>21218365.312650915</v>
      </c>
    </row>
    <row r="100" spans="4:7" ht="16.5" x14ac:dyDescent="0.25">
      <c r="D100" s="20">
        <v>89</v>
      </c>
      <c r="E100" s="20">
        <f>MIN(Calculator!$C$9+Calculator!$C$10*12*$D100,$G100)</f>
        <v>544000</v>
      </c>
      <c r="F100" s="20">
        <f>ABS($G100-(Calculator!$C$9+Calculator!$C$10*12*$D100))</f>
        <v>21989235.437663235</v>
      </c>
      <c r="G100" s="20">
        <f>IF($B$2=0,$E100,Calculator!$C$9*POWER(1+$B$2,12*$D100)+Calculator!$C$10*(POWER(1+$B$2,12*$D100)-1)/$B$2)</f>
        <v>22533235.437663235</v>
      </c>
    </row>
    <row r="101" spans="4:7" ht="16.5" x14ac:dyDescent="0.25">
      <c r="D101" s="20">
        <v>90</v>
      </c>
      <c r="E101" s="20">
        <f>MIN(Calculator!$C$9+Calculator!$C$10*12*$D101,$G101)</f>
        <v>550000</v>
      </c>
      <c r="F101" s="20">
        <f>ABS($G101-(Calculator!$C$9+Calculator!$C$10*12*$D101))</f>
        <v>23379203.874872308</v>
      </c>
      <c r="G101" s="20">
        <f>IF($B$2=0,$E101,Calculator!$C$9*POWER(1+$B$2,12*$D101)+Calculator!$C$10*(POWER(1+$B$2,12*$D101)-1)/$B$2)</f>
        <v>23929203.874872308</v>
      </c>
    </row>
    <row r="102" spans="4:7" ht="16.5" x14ac:dyDescent="0.25">
      <c r="D102" s="20">
        <v>91</v>
      </c>
      <c r="E102" s="20">
        <f>MIN(Calculator!$C$9+Calculator!$C$10*12*$D102,$G102)</f>
        <v>556000</v>
      </c>
      <c r="F102" s="20">
        <f>ABS($G102-(Calculator!$C$9+Calculator!$C$10*12*$D102))</f>
        <v>24855272.590720337</v>
      </c>
      <c r="G102" s="20">
        <f>IF($B$2=0,$E102,Calculator!$C$9*POWER(1+$B$2,12*$D102)+Calculator!$C$10*(POWER(1+$B$2,12*$D102)-1)/$B$2)</f>
        <v>25411272.590720337</v>
      </c>
    </row>
    <row r="103" spans="4:7" ht="16.5" x14ac:dyDescent="0.25">
      <c r="D103" s="20">
        <v>92</v>
      </c>
      <c r="E103" s="20">
        <f>MIN(Calculator!$C$9+Calculator!$C$10*12*$D103,$G103)</f>
        <v>562000</v>
      </c>
      <c r="F103" s="20">
        <f>ABS($G103-(Calculator!$C$9+Calculator!$C$10*12*$D103))</f>
        <v>26422752.061994702</v>
      </c>
      <c r="G103" s="20">
        <f>IF($B$2=0,$E103,Calculator!$C$9*POWER(1+$B$2,12*$D103)+Calculator!$C$10*(POWER(1+$B$2,12*$D103)-1)/$B$2)</f>
        <v>26984752.061994702</v>
      </c>
    </row>
    <row r="104" spans="4:7" ht="16.5" x14ac:dyDescent="0.25">
      <c r="D104" s="20">
        <v>93</v>
      </c>
      <c r="E104" s="20">
        <f>MIN(Calculator!$C$9+Calculator!$C$10*12*$D104,$G104)</f>
        <v>568000</v>
      </c>
      <c r="F104" s="20">
        <f>ABS($G104-(Calculator!$C$9+Calculator!$C$10*12*$D104))</f>
        <v>28087280.304070976</v>
      </c>
      <c r="G104" s="20">
        <f>IF($B$2=0,$E104,Calculator!$C$9*POWER(1+$B$2,12*$D104)+Calculator!$C$10*(POWER(1+$B$2,12*$D104)-1)/$B$2)</f>
        <v>28655280.304070976</v>
      </c>
    </row>
    <row r="105" spans="4:7" ht="16.5" x14ac:dyDescent="0.25">
      <c r="D105" s="20">
        <v>94</v>
      </c>
      <c r="E105" s="20">
        <f>MIN(Calculator!$C$9+Calculator!$C$10*12*$D105,$G105)</f>
        <v>574000</v>
      </c>
      <c r="F105" s="20">
        <f>ABS($G105-(Calculator!$C$9+Calculator!$C$10*12*$D105))</f>
        <v>29854843.072776366</v>
      </c>
      <c r="G105" s="20">
        <f>IF($B$2=0,$E105,Calculator!$C$9*POWER(1+$B$2,12*$D105)+Calculator!$C$10*(POWER(1+$B$2,12*$D105)-1)/$B$2)</f>
        <v>30428843.072776366</v>
      </c>
    </row>
    <row r="106" spans="4:7" ht="16.5" x14ac:dyDescent="0.25">
      <c r="D106" s="20">
        <v>95</v>
      </c>
      <c r="E106" s="20">
        <f>MIN(Calculator!$C$9+Calculator!$C$10*12*$D106,$G106)</f>
        <v>580000</v>
      </c>
      <c r="F106" s="20">
        <f>ABS($G106-(Calculator!$C$9+Calculator!$C$10*12*$D106))</f>
        <v>31731795.312259827</v>
      </c>
      <c r="G106" s="20">
        <f>IF($B$2=0,$E106,Calculator!$C$9*POWER(1+$B$2,12*$D106)+Calculator!$C$10*(POWER(1+$B$2,12*$D106)-1)/$B$2)</f>
        <v>32311795.312259827</v>
      </c>
    </row>
    <row r="107" spans="4:7" ht="16.5" x14ac:dyDescent="0.25">
      <c r="D107" s="20">
        <v>96</v>
      </c>
      <c r="E107" s="20">
        <f>MIN(Calculator!$C$9+Calculator!$C$10*12*$D107,$G107)</f>
        <v>586000</v>
      </c>
      <c r="F107" s="20">
        <f>ABS($G107-(Calculator!$C$9+Calculator!$C$10*12*$D107))</f>
        <v>33724883.925719999</v>
      </c>
      <c r="G107" s="20">
        <f>IF($B$2=0,$E107,Calculator!$C$9*POWER(1+$B$2,12*$D107)+Calculator!$C$10*(POWER(1+$B$2,12*$D107)-1)/$B$2)</f>
        <v>34310883.925719999</v>
      </c>
    </row>
    <row r="108" spans="4:7" ht="16.5" x14ac:dyDescent="0.25">
      <c r="D108" s="20">
        <v>97</v>
      </c>
      <c r="E108" s="20">
        <f>MIN(Calculator!$C$9+Calculator!$C$10*12*$D108,$G108)</f>
        <v>592000</v>
      </c>
      <c r="F108" s="20">
        <f>ABS($G108-(Calculator!$C$9+Calculator!$C$10*12*$D108))</f>
        <v>35841271.950581633</v>
      </c>
      <c r="G108" s="20">
        <f>IF($B$2=0,$E108,Calculator!$C$9*POWER(1+$B$2,12*$D108)+Calculator!$C$10*(POWER(1+$B$2,12*$D108)-1)/$B$2)</f>
        <v>36433271.950581633</v>
      </c>
    </row>
    <row r="109" spans="4:7" ht="16.5" x14ac:dyDescent="0.25">
      <c r="D109" s="20">
        <v>98</v>
      </c>
      <c r="E109" s="20">
        <f>MIN(Calculator!$C$9+Calculator!$C$10*12*$D109,$G109)</f>
        <v>598000</v>
      </c>
      <c r="F109" s="20">
        <f>ABS($G109-(Calculator!$C$9+Calculator!$C$10*12*$D109))</f>
        <v>38088564.224744141</v>
      </c>
      <c r="G109" s="20">
        <f>IF($B$2=0,$E109,Calculator!$C$9*POWER(1+$B$2,12*$D109)+Calculator!$C$10*(POWER(1+$B$2,12*$D109)-1)/$B$2)</f>
        <v>38686564.224744141</v>
      </c>
    </row>
    <row r="110" spans="4:7" ht="16.5" x14ac:dyDescent="0.25">
      <c r="D110" s="20">
        <v>99</v>
      </c>
      <c r="E110" s="20">
        <f>MIN(Calculator!$C$9+Calculator!$C$10*12*$D110,$G110)</f>
        <v>604000</v>
      </c>
      <c r="F110" s="20">
        <f>ABS($G110-(Calculator!$C$9+Calculator!$C$10*12*$D110))</f>
        <v>40474834.635868147</v>
      </c>
      <c r="G110" s="20">
        <f>IF($B$2=0,$E110,Calculator!$C$9*POWER(1+$B$2,12*$D110)+Calculator!$C$10*(POWER(1+$B$2,12*$D110)-1)/$B$2)</f>
        <v>41078834.635868147</v>
      </c>
    </row>
    <row r="111" spans="4:7" ht="16.5" x14ac:dyDescent="0.25">
      <c r="D111" s="20">
        <v>100</v>
      </c>
      <c r="E111" s="20">
        <f>MIN(Calculator!$C$9+Calculator!$C$10*12*$D111,$G111)</f>
        <v>610000</v>
      </c>
      <c r="F111" s="20">
        <f>ABS($G111-(Calculator!$C$9+Calculator!$C$10*12*$D111))</f>
        <v>43008655.051338471</v>
      </c>
      <c r="G111" s="20">
        <f>IF($B$2=0,$E111,Calculator!$C$9*POWER(1+$B$2,12*$D111)+Calculator!$C$10*(POWER(1+$B$2,12*$D111)-1)/$B$2)</f>
        <v>43618655.051338471</v>
      </c>
    </row>
  </sheetData>
  <sheetProtection sheet="1" formatCell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Breakdown</vt:lpstr>
      <vt:lpstr>About &amp; Assumptions</vt:lpstr>
      <vt:lpstr>_Engine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Eyal Doron</cp:lastModifiedBy>
  <dcterms:created xsi:type="dcterms:W3CDTF">2026-10-01T05:49:16Z</dcterms:created>
  <dcterms:modified xsi:type="dcterms:W3CDTF">2026-10-07T15:41:58Z</dcterms:modified>
</cp:coreProperties>
</file>