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Breakdown" sheetId="2" state="visible" r:id="rId2"/>
    <sheet xmlns:r="http://schemas.openxmlformats.org/officeDocument/2006/relationships" name="About &amp; Assumptions" sheetId="3" state="visible" r:id="rId3"/>
    <sheet xmlns:r="http://schemas.openxmlformats.org/officeDocument/2006/relationships" name="_Engine" sheetId="4" state="hidden" r:id="rId4"/>
  </sheets>
  <definedNames>
    <definedName name="_xlnm.Print_Area" localSheetId="1">OFFSET(Breakdown!$A$1,0,0,MAX(_Engine!$B$36,1)+3,11)</definedName>
    <definedName name="ch_x" localSheetId="3">OFFSET(_Engine!$AL$61,0,0,_Engine!$B$35,1)</definedName>
    <definedName name="ch_b" localSheetId="3">OFFSET(_Engine!$AM$61,0,0,_Engine!$B$35,1)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#&quot;%&quot;"/>
    <numFmt numFmtId="165" formatCode="yyyy-mm-dd h:mm:ss"/>
    <numFmt numFmtId="166" formatCode="mmm yyyy"/>
    <numFmt numFmtId="167" formatCode="yyyy-mm-dd"/>
  </numFmts>
  <fonts count="19">
    <font>
      <name val="Calibri"/>
      <family val="2"/>
      <color theme="1"/>
      <sz val="11"/>
      <scheme val="minor"/>
    </font>
    <font>
      <name val="Segoe UI"/>
      <color rgb="001B2733"/>
      <sz val="11"/>
    </font>
    <font>
      <name val="Segoe UI"/>
      <b val="1"/>
      <color rgb="001E5A85"/>
      <sz val="10"/>
    </font>
    <font>
      <name val="Segoe UI"/>
      <b val="1"/>
      <color rgb="0012354E"/>
      <sz val="20"/>
    </font>
    <font>
      <name val="Segoe UI"/>
      <b val="1"/>
      <color rgb="001E5A85"/>
      <sz val="11"/>
    </font>
    <font>
      <name val="Segoe UI"/>
      <b val="1"/>
      <color rgb="001E5A85"/>
      <sz val="12"/>
    </font>
    <font>
      <name val="Segoe UI"/>
      <b val="1"/>
      <color rgb="0012354E"/>
      <sz val="12"/>
    </font>
    <font>
      <name val="Segoe UI"/>
      <color rgb="006C6D70"/>
      <sz val="9.5"/>
    </font>
    <font>
      <name val="Segoe UI"/>
      <b val="1"/>
      <color rgb="00FFFFFF"/>
      <sz val="10.5"/>
    </font>
    <font>
      <name val="Segoe UI"/>
      <i val="1"/>
      <color rgb="006C6D70"/>
      <sz val="10"/>
    </font>
    <font>
      <name val="Segoe UI"/>
      <b val="1"/>
      <color rgb="001E5A85"/>
      <sz val="22"/>
    </font>
    <font>
      <name val="Segoe UI"/>
      <b val="1"/>
      <color rgb="001B2733"/>
      <sz val="11"/>
    </font>
    <font>
      <name val="Segoe UI"/>
      <b val="1"/>
      <color rgb="0012354E"/>
      <sz val="18"/>
    </font>
    <font>
      <name val="Segoe UI"/>
      <color rgb="006C6D70"/>
      <sz val="10"/>
    </font>
    <font>
      <name val="Segoe UI"/>
      <color rgb="001B2733"/>
      <sz val="10"/>
    </font>
    <font>
      <name val="Segoe UI"/>
      <b val="1"/>
      <sz val="11"/>
    </font>
    <font>
      <b val="1"/>
    </font>
    <font>
      <name val="Segoe UI"/>
      <color rgb="006C6D70"/>
      <sz val="11"/>
    </font>
    <font>
      <name val="Segoe UI"/>
      <b val="1"/>
      <color rgb="0012354E"/>
      <sz val="11"/>
    </font>
  </fonts>
  <fills count="7">
    <fill>
      <patternFill/>
    </fill>
    <fill>
      <patternFill patternType="gray125"/>
    </fill>
    <fill>
      <patternFill patternType="solid">
        <fgColor rgb="00F5F8FB"/>
      </patternFill>
    </fill>
    <fill>
      <patternFill patternType="solid">
        <fgColor rgb="00E4EDF5"/>
      </patternFill>
    </fill>
    <fill>
      <patternFill patternType="solid">
        <fgColor rgb="00C9DEEF"/>
      </patternFill>
    </fill>
    <fill>
      <patternFill patternType="solid">
        <fgColor rgb="001E5A85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bottom style="thin">
        <color rgb="00748BA0"/>
      </bottom>
    </border>
    <border>
      <right/>
      <bottom style="thin">
        <color rgb="00748BA0"/>
      </bottom>
    </border>
    <border>
      <left/>
      <right/>
      <top/>
      <bottom style="thin">
        <color rgb="00748BA0"/>
      </bottom>
      <diagonal/>
    </border>
    <border>
      <left style="thin">
        <color rgb="001E5A85"/>
      </left>
      <right style="thin">
        <color rgb="001E5A85"/>
      </right>
      <top style="thin">
        <color rgb="001E5A85"/>
      </top>
      <bottom style="thin">
        <color rgb="001E5A85"/>
      </bottom>
    </border>
    <border>
      <bottom style="thin">
        <color rgb="00D6E1EA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6" fillId="4" borderId="4" applyAlignment="1" applyProtection="1" pivotButton="0" quotePrefix="0" xfId="0">
      <alignment horizontal="right" vertical="center"/>
      <protection locked="0" hidden="0"/>
    </xf>
    <xf numFmtId="0" fontId="7" fillId="2" borderId="0" applyAlignment="1" pivotButton="0" quotePrefix="0" xfId="0">
      <alignment horizontal="left" vertical="center" wrapText="1"/>
    </xf>
    <xf numFmtId="0" fontId="8" fillId="5" borderId="4" applyAlignment="1" pivotButton="0" quotePrefix="0" xfId="0">
      <alignment horizontal="center" vertical="center" wrapText="1"/>
    </xf>
    <xf numFmtId="0" fontId="6" fillId="4" borderId="4" applyAlignment="1" applyProtection="1" pivotButton="0" quotePrefix="0" xfId="0">
      <alignment horizontal="left" vertical="center"/>
      <protection locked="0" hidden="0"/>
    </xf>
    <xf numFmtId="3" fontId="6" fillId="4" borderId="4" applyAlignment="1" applyProtection="1" pivotButton="0" quotePrefix="0" xfId="0">
      <alignment horizontal="right" vertical="center"/>
      <protection locked="0" hidden="0"/>
    </xf>
    <xf numFmtId="164" fontId="6" fillId="4" borderId="4" applyAlignment="1" applyProtection="1" pivotButton="0" quotePrefix="0" xfId="0">
      <alignment horizontal="right" vertical="center"/>
      <protection locked="0" hidden="0"/>
    </xf>
    <xf numFmtId="166" fontId="6" fillId="4" borderId="4" applyAlignment="1" applyProtection="1" pivotButton="0" quotePrefix="0" xfId="0">
      <alignment horizontal="right" vertical="center"/>
      <protection locked="0" hidden="0"/>
    </xf>
    <xf numFmtId="0" fontId="9" fillId="2" borderId="0" applyAlignment="1" pivotButton="0" quotePrefix="0" xfId="0">
      <alignment horizontal="left" vertical="center" wrapText="1"/>
    </xf>
    <xf numFmtId="1" fontId="6" fillId="4" borderId="4" applyAlignment="1" applyProtection="1" pivotButton="0" quotePrefix="0" xfId="0">
      <alignment horizontal="right" vertical="center"/>
      <protection locked="0" hidden="0"/>
    </xf>
    <xf numFmtId="0" fontId="10" fillId="2" borderId="0" applyAlignment="1" pivotButton="0" quotePrefix="0" xfId="0">
      <alignment horizontal="left" vertical="center"/>
    </xf>
    <xf numFmtId="0" fontId="1" fillId="2" borderId="0" applyAlignment="1" pivotButton="0" quotePrefix="0" xfId="0">
      <alignment horizontal="left" vertical="top" wrapText="1"/>
    </xf>
    <xf numFmtId="0" fontId="1" fillId="6" borderId="5" applyAlignment="1" pivotButton="0" quotePrefix="0" xfId="0">
      <alignment horizontal="left" vertical="center" wrapText="1"/>
    </xf>
    <xf numFmtId="3" fontId="1" fillId="6" borderId="5" applyAlignment="1" pivotButton="0" quotePrefix="0" xfId="0">
      <alignment horizontal="right" vertical="center" wrapText="1"/>
    </xf>
    <xf numFmtId="3" fontId="11" fillId="6" borderId="5" applyAlignment="1" pivotButton="0" quotePrefix="0" xfId="0">
      <alignment horizontal="left" vertical="center" wrapText="1"/>
    </xf>
    <xf numFmtId="3" fontId="11" fillId="6" borderId="5" applyAlignment="1" pivotButton="0" quotePrefix="0" xfId="0">
      <alignment horizontal="right" vertical="center" wrapText="1"/>
    </xf>
    <xf numFmtId="0" fontId="12" fillId="2" borderId="0" applyAlignment="1" pivotButton="0" quotePrefix="0" xfId="0">
      <alignment horizontal="left" vertical="center" wrapText="1"/>
    </xf>
    <xf numFmtId="0" fontId="13" fillId="2" borderId="0" applyAlignment="1" pivotButton="0" quotePrefix="0" xfId="0">
      <alignment horizontal="left" vertical="center" wrapText="1"/>
    </xf>
    <xf numFmtId="1" fontId="14" fillId="0" borderId="0" applyAlignment="1" pivotButton="0" quotePrefix="0" xfId="0">
      <alignment horizontal="center"/>
    </xf>
    <xf numFmtId="166" fontId="14" fillId="0" borderId="0" applyAlignment="1" pivotButton="0" quotePrefix="0" xfId="0">
      <alignment horizontal="right"/>
    </xf>
    <xf numFmtId="3" fontId="14" fillId="0" borderId="0" applyAlignment="1" pivotButton="0" quotePrefix="0" xfId="0">
      <alignment horizontal="right"/>
    </xf>
    <xf numFmtId="0" fontId="1" fillId="6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6" borderId="0" applyAlignment="1" pivotButton="0" quotePrefix="0" xfId="0">
      <alignment vertical="top" wrapText="1"/>
    </xf>
    <xf numFmtId="0" fontId="1" fillId="6" borderId="0" applyAlignment="1" pivotButton="0" quotePrefix="0" xfId="0">
      <alignment horizontal="left" vertical="center" wrapText="1"/>
    </xf>
    <xf numFmtId="0" fontId="17" fillId="6" borderId="5" applyAlignment="1" pivotButton="0" quotePrefix="0" xfId="0">
      <alignment horizontal="left" vertical="center" wrapText="1"/>
    </xf>
    <xf numFmtId="0" fontId="5" fillId="6" borderId="0" applyAlignment="1" pivotButton="0" quotePrefix="0" xfId="0">
      <alignment horizontal="left" vertical="center" wrapText="1"/>
    </xf>
    <xf numFmtId="0" fontId="4" fillId="6" borderId="0" applyAlignment="1" pivotButton="0" quotePrefix="0" xfId="0">
      <alignment horizontal="left" vertical="center" wrapText="1"/>
    </xf>
    <xf numFmtId="0" fontId="18" fillId="6" borderId="0" applyAlignment="1" pivotButton="0" quotePrefix="0" xfId="0">
      <alignment horizontal="left" vertical="center" wrapText="1"/>
    </xf>
    <xf numFmtId="0" fontId="15" fillId="0" borderId="0" pivotButton="0" quotePrefix="0" xfId="0"/>
    <xf numFmtId="167" fontId="0" fillId="0" borderId="0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What you still owe, all debts</a:t>
            </a:r>
          </a:p>
        </rich>
      </tx>
    </title>
    <plotArea>
      <lineChart>
        <grouping val="standard"/>
        <ser>
          <idx val="0"/>
          <order val="0"/>
          <tx>
            <v>What you still owe</v>
          </tx>
          <spPr>
            <a:ln xmlns:a="http://schemas.openxmlformats.org/drawingml/2006/main" w="28575">
              <a:solidFill>
                <a:srgbClr val="1E5A8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_Engine!ch_x</f>
            </strRef>
          </cat>
          <val>
            <numRef>
              <f>_Engine!ch_b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DBE3EF"/>
              </a:solidFill>
              <a:prstDash val="dash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You still owe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48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needtheseapps.com/" TargetMode="External" Id="rId1"/><Relationship Type="http://schemas.openxmlformats.org/officeDocument/2006/relationships/hyperlink" Target="https://needtheseapps.com/apps/financial/debt-payoff-calculator/" TargetMode="External" Id="rId2"/><Relationship Type="http://schemas.openxmlformats.org/officeDocument/2006/relationships/drawing" Target="/xl/drawings/drawing1.xml" Id="rId3"/></Relationships>
</file>

<file path=xl/worksheets/_rels/sheet3.xml.rels><Relationships xmlns="http://schemas.openxmlformats.org/package/2006/relationships"><Relationship Type="http://schemas.openxmlformats.org/officeDocument/2006/relationships/hyperlink" Target="https://needtheseapps.com/apps/financial/debt-payoff-calcul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7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.1" customWidth="1" min="1" max="1"/>
    <col width="34" customWidth="1" min="2" max="2"/>
    <col width="19" customWidth="1" min="3" max="3"/>
    <col width="17" customWidth="1" min="4" max="4"/>
    <col width="17" customWidth="1" min="5" max="5"/>
    <col width="22" customWidth="1" min="6" max="6"/>
    <col width="2.1" customWidth="1" min="7" max="7"/>
  </cols>
  <sheetData>
    <row r="1">
      <c r="A1" s="1" t="n"/>
      <c r="B1" s="1" t="n"/>
      <c r="C1" s="1" t="n"/>
      <c r="D1" s="1" t="n"/>
      <c r="E1" s="1" t="n"/>
      <c r="F1" s="1" t="n"/>
      <c r="G1" s="1" t="n"/>
    </row>
    <row r="2" ht="18" customHeight="1">
      <c r="A2" s="1" t="n"/>
      <c r="B2" s="2" t="inlineStr">
        <is>
          <t>NEEDTHESEAPPS.COM</t>
        </is>
      </c>
      <c r="C2" s="2" t="n"/>
      <c r="D2" s="1" t="n"/>
      <c r="E2" s="1" t="n"/>
      <c r="F2" s="1" t="n"/>
      <c r="G2" s="1" t="n"/>
    </row>
    <row r="3" ht="32.1" customHeight="1">
      <c r="A3" s="1" t="n"/>
      <c r="B3" s="3" t="inlineStr">
        <is>
          <t>Debt Payoff Calculator</t>
        </is>
      </c>
      <c r="C3" s="3" t="n"/>
      <c r="D3" s="3" t="n"/>
      <c r="E3" s="3" t="n"/>
      <c r="F3" s="3" t="n"/>
      <c r="G3" s="1" t="n"/>
    </row>
    <row r="4" ht="24" customHeight="1">
      <c r="A4" s="1" t="n"/>
      <c r="B4" s="4" t="inlineStr">
        <is>
          <t>When will you be debt-free, and what will it cost you?</t>
        </is>
      </c>
      <c r="C4" s="4" t="n"/>
      <c r="D4" s="4" t="n"/>
      <c r="E4" s="4" t="n"/>
      <c r="F4" s="4" t="n"/>
      <c r="G4" s="1" t="n"/>
    </row>
    <row r="5" ht="20.1" customHeight="1">
      <c r="A5" s="1" t="n"/>
      <c r="B5" s="5" t="inlineStr">
        <is>
          <t>Open the full calculator online  ↗</t>
        </is>
      </c>
      <c r="C5" s="5" t="n"/>
      <c r="D5" s="5" t="n"/>
      <c r="E5" s="5" t="n"/>
      <c r="F5" s="5" t="n"/>
      <c r="G5" s="1" t="n"/>
    </row>
    <row r="6">
      <c r="A6" s="1" t="n"/>
      <c r="B6" s="1" t="n"/>
      <c r="C6" s="1" t="n"/>
      <c r="D6" s="1" t="n"/>
      <c r="E6" s="1" t="n"/>
      <c r="F6" s="1" t="n"/>
      <c r="G6" s="1" t="n"/>
    </row>
    <row r="7" ht="26.1" customHeight="1">
      <c r="A7" s="1" t="n"/>
      <c r="B7" s="6" t="inlineStr">
        <is>
          <t>YOUR DEBTS (used by both questions)</t>
        </is>
      </c>
      <c r="C7" s="7" t="n"/>
      <c r="D7" s="7" t="n"/>
      <c r="E7" s="7" t="n"/>
      <c r="F7" s="7" t="n"/>
      <c r="G7" s="1" t="n"/>
    </row>
    <row r="8" ht="24" customHeight="1">
      <c r="A8" s="1" t="n"/>
      <c r="B8" s="4" t="inlineStr">
        <is>
          <t>Currency symbol you use</t>
        </is>
      </c>
      <c r="C8" s="8" t="inlineStr">
        <is>
          <t>$</t>
        </is>
      </c>
      <c r="D8" s="9" t="inlineStr">
        <is>
          <t>Type the symbol you use: $, £, €, ₪ ...</t>
        </is>
      </c>
      <c r="E8" s="9" t="n"/>
      <c r="F8" s="9" t="n"/>
      <c r="G8" s="1" t="n"/>
    </row>
    <row r="9" ht="33.95" customHeight="1">
      <c r="A9" s="1" t="n"/>
      <c r="B9" s="10" t="inlineStr">
        <is>
          <t>Debt (name, optional)</t>
        </is>
      </c>
      <c r="C9" s="10" t="inlineStr">
        <is>
          <t>Amount you owe</t>
        </is>
      </c>
      <c r="D9" s="10" t="inlineStr">
        <is>
          <t>Interest rate (per year)</t>
        </is>
      </c>
      <c r="E9" s="10" t="inlineStr">
        <is>
          <t>What you pay each month</t>
        </is>
      </c>
      <c r="F9" s="9" t="inlineStr">
        <is>
          <t>One row per debt, up to five.</t>
        </is>
      </c>
      <c r="G9" s="1" t="n"/>
    </row>
    <row r="10" ht="24" customHeight="1">
      <c r="A10" s="1" t="n"/>
      <c r="B10" s="11" t="inlineStr">
        <is>
          <t>Debt 1</t>
        </is>
      </c>
      <c r="C10" s="12" t="n">
        <v>5000</v>
      </c>
      <c r="D10" s="13" t="n">
        <v>12</v>
      </c>
      <c r="E10" s="12" t="n">
        <v>150</v>
      </c>
      <c r="F10" s="9" t="inlineStr">
        <is>
          <t>Example: change to your numbers</t>
        </is>
      </c>
      <c r="G10" s="1" t="n"/>
    </row>
    <row r="11" ht="24" customHeight="1">
      <c r="A11" s="1" t="n"/>
      <c r="B11" s="11" t="n"/>
      <c r="C11" s="12" t="n"/>
      <c r="D11" s="13" t="n"/>
      <c r="E11" s="12" t="n"/>
      <c r="F11" s="9" t="inlineStr">
        <is>
          <t>Leave empty if you have no more debts</t>
        </is>
      </c>
      <c r="G11" s="1" t="n"/>
    </row>
    <row r="12" ht="24" customHeight="1">
      <c r="A12" s="1" t="n"/>
      <c r="B12" s="11" t="n"/>
      <c r="C12" s="12" t="n"/>
      <c r="D12" s="13" t="n"/>
      <c r="E12" s="12" t="n"/>
      <c r="F12" s="9" t="n"/>
      <c r="G12" s="1" t="n"/>
    </row>
    <row r="13" ht="24" customHeight="1">
      <c r="A13" s="1" t="n"/>
      <c r="B13" s="11" t="n"/>
      <c r="C13" s="12" t="n"/>
      <c r="D13" s="13" t="n"/>
      <c r="E13" s="12" t="n"/>
      <c r="F13" s="9" t="n"/>
      <c r="G13" s="1" t="n"/>
    </row>
    <row r="14" ht="24" customHeight="1">
      <c r="A14" s="1" t="n"/>
      <c r="B14" s="11" t="n"/>
      <c r="C14" s="12" t="n"/>
      <c r="D14" s="13" t="n"/>
      <c r="E14" s="12" t="n"/>
      <c r="F14" s="9" t="n"/>
      <c r="G14" s="1" t="n"/>
    </row>
    <row r="15" ht="33.95" customHeight="1">
      <c r="A15" s="1" t="n"/>
      <c r="B15" s="4" t="inlineStr">
        <is>
          <t>First payment month</t>
        </is>
      </c>
      <c r="C15" s="14" t="n">
        <v>46327</v>
      </c>
      <c r="D15" s="9" t="inlineStr">
        <is>
          <t>An example month. Type the month of your first payment. It never changes by itself.</t>
        </is>
      </c>
      <c r="E15" s="9" t="n"/>
      <c r="F15" s="9" t="n"/>
      <c r="G15" s="1" t="n"/>
    </row>
    <row r="16" ht="33.95" customHeight="1">
      <c r="A16" s="1" t="n"/>
      <c r="B16" s="15">
        <f>"Edit the blue cells. Not sure of a rate? Your statement may call it APR. Credit cards are often about 22%. Amounts are shown in "&amp;$C$8&amp;"."</f>
        <v/>
      </c>
      <c r="C16" s="15" t="n"/>
      <c r="D16" s="15" t="n"/>
      <c r="E16" s="15" t="n"/>
      <c r="F16" s="15" t="n"/>
      <c r="G16" s="1" t="n"/>
    </row>
    <row r="17">
      <c r="A17" s="1" t="n"/>
      <c r="B17" s="1" t="n"/>
      <c r="C17" s="1" t="n"/>
      <c r="D17" s="1" t="n"/>
      <c r="E17" s="1" t="n"/>
      <c r="F17" s="1" t="n"/>
      <c r="G17" s="1" t="n"/>
    </row>
    <row r="18" ht="26.1" customHeight="1">
      <c r="A18" s="1" t="n"/>
      <c r="B18" s="6" t="inlineStr">
        <is>
          <t>QUESTION 1: When will I be debt-free, and what will it cost me?</t>
        </is>
      </c>
      <c r="C18" s="7" t="n"/>
      <c r="D18" s="7" t="n"/>
      <c r="E18" s="7" t="n"/>
      <c r="F18" s="7" t="n"/>
      <c r="G18" s="1" t="n"/>
    </row>
    <row r="19" ht="33.95" customHeight="1">
      <c r="A19" s="1" t="n"/>
      <c r="B19" s="4" t="inlineStr">
        <is>
          <t>Extra you can add each month (optional)</t>
        </is>
      </c>
      <c r="C19" s="12" t="n">
        <v>0</v>
      </c>
      <c r="D19" s="9" t="inlineStr">
        <is>
          <t>On top of what you already pay. It goes to your highest-rate debt first.</t>
        </is>
      </c>
      <c r="E19" s="9" t="n"/>
      <c r="F19" s="9" t="n"/>
      <c r="G19" s="1" t="n"/>
    </row>
    <row r="20" ht="33.95" customHeight="1">
      <c r="A20" s="1" t="n"/>
      <c r="B20" s="4" t="inlineStr">
        <is>
          <t>One-time extra payment (optional)</t>
        </is>
      </c>
      <c r="C20" s="12" t="n">
        <v>0</v>
      </c>
      <c r="D20" s="9" t="inlineStr">
        <is>
          <t>A tax refund, a bonus, a gift. It goes to your highest-rate debt first.</t>
        </is>
      </c>
      <c r="E20" s="9" t="n"/>
      <c r="F20" s="9" t="n"/>
      <c r="G20" s="1" t="n"/>
    </row>
    <row r="21" ht="33.95" customHeight="1">
      <c r="A21" s="1" t="n"/>
      <c r="B21" s="4" t="inlineStr">
        <is>
          <t>Paid with payment number</t>
        </is>
      </c>
      <c r="C21" s="16" t="n">
        <v>1</v>
      </c>
      <c r="D21" s="9" t="inlineStr">
        <is>
          <t>1 = with your first payment, 13 = a year later.</t>
        </is>
      </c>
      <c r="E21" s="9" t="n"/>
      <c r="F21" s="9" t="n"/>
      <c r="G21" s="1" t="n"/>
    </row>
    <row r="22" ht="33.95" customHeight="1">
      <c r="A22" s="1" t="n"/>
      <c r="B22" s="4" t="inlineStr">
        <is>
          <t>Smallest minimum payment</t>
        </is>
      </c>
      <c r="C22" s="12" t="n">
        <v>25</v>
      </c>
      <c r="D22" s="9" t="inlineStr">
        <is>
          <t>Used only for the "minimum only" line below. A common card rule is 25.</t>
        </is>
      </c>
      <c r="E22" s="9" t="n"/>
      <c r="F22" s="9" t="n"/>
      <c r="G22" s="1" t="n"/>
    </row>
    <row r="23" ht="33.95" customHeight="1">
      <c r="A23" s="1" t="n"/>
      <c r="B23" s="17">
        <f>CHOOSE(_Engine!$B$20+1,"Enter a debt above","Fill in the rate and the payment of each debt","Debt-free in "&amp;TEXT(_Engine!$B$18,"mmmm yyyy"),"Not yet")</f>
        <v/>
      </c>
      <c r="C23" s="17" t="n"/>
      <c r="D23" s="17" t="n"/>
      <c r="E23" s="17" t="n"/>
      <c r="F23" s="17" t="n"/>
      <c r="G23" s="1" t="n"/>
    </row>
    <row r="24" ht="52" customHeight="1">
      <c r="A24" s="1" t="n"/>
      <c r="B24" s="18">
        <f>IF(_Engine!$B$20=2,"You owe "&amp;$C$8&amp;TEXT(_Engine!$B$12,"#,##0")&amp;IF(_Engine!$B$2&gt;1," on "&amp;_Engine!$B$2&amp;" debts","")&amp;" and pay "&amp;$C$8&amp;TEXT(_Engine!$B$13+_Engine!$B$6,"#,##0")&amp;" a month"&amp;IF(_Engine!$B$6&gt;0," (the "&amp;$C$8&amp;TEXT(_Engine!$B$13,"#,##0")&amp;" you pay now + "&amp;$C$8&amp;TEXT(_Engine!$B$6,"#,##0")&amp;" extra)","")&amp;IF(_Engine!$B$7&gt;0,", plus a one-time "&amp;$C$8&amp;TEXT(_Engine!$B$7,"#,##0")&amp;" with payment "&amp;_Engine!$B$8,"")&amp;". All your debts are gone in "&amp;_Engine!$B$19&amp;", after "&amp;_Engine!$B$15&amp;IF(_Engine!$B$15=1," payment."," payments.")&amp;" Interest: "&amp;$C$8&amp;TEXT(_Engine!$B$16,"#,##0")&amp;". Total you pay: "&amp;$C$8&amp;TEXT(_Engine!$B$17,"#,##0")&amp;".",IF(_Engine!$B$20=3,IF(_Engine!$B$23&lt;=_Engine!$B$24,"At "&amp;$C$8&amp;TEXT(_Engine!$B$23,"#,##0")&amp;" a month, "&amp;_Engine!$B$22&amp;IF(_Engine!$B$23&lt;_Engine!$B$24," grows every month."," never goes down.")&amp;" Its interest is "&amp;$C$8&amp;TEXT(_Engine!$B$24,"#,##0")&amp;" a month. Pay more than that to start it moving, or use question 2 to see what clears it in time.","At "&amp;$C$8&amp;TEXT(_Engine!$B$23,"#,##0")&amp;" a month, "&amp;_Engine!$B$22&amp;" takes more than 100 years to pay off. Pay a little more, or use question 2 to see what clears it in time."),""))</f>
        <v/>
      </c>
      <c r="C24" s="18" t="n"/>
      <c r="D24" s="18" t="n"/>
      <c r="E24" s="18" t="n"/>
      <c r="F24" s="18" t="n"/>
      <c r="G24" s="1" t="n"/>
    </row>
    <row r="25" ht="26.1" customHeight="1">
      <c r="A25" s="1" t="n"/>
      <c r="B25" s="10" t="inlineStr">
        <is>
          <t>Debt</t>
        </is>
      </c>
      <c r="C25" s="10" t="inlineStr">
        <is>
          <t>Per month</t>
        </is>
      </c>
      <c r="D25" s="10" t="inlineStr">
        <is>
          <t>Done by</t>
        </is>
      </c>
      <c r="E25" s="10" t="inlineStr">
        <is>
          <t>Interest</t>
        </is>
      </c>
      <c r="F25" s="10" t="inlineStr">
        <is>
          <t>Total paid</t>
        </is>
      </c>
      <c r="G25" s="1" t="n"/>
    </row>
    <row r="26" ht="24" customHeight="1">
      <c r="A26" s="1" t="n"/>
      <c r="B26" s="19">
        <f>IF(_Engine!$D$41=1,_Engine!$E$41,"")</f>
        <v/>
      </c>
      <c r="C26" s="20">
        <f>IF(AND(_Engine!$B$20&gt;=2,_Engine!$D$41=1),_Engine!$H$41,"")</f>
        <v/>
      </c>
      <c r="D26" s="20">
        <f>IF(AND(_Engine!$B$20&gt;=2,_Engine!$D$41=1),IF(_Engine!$L$41=-1,"Not yet",TEXT(EDATE(_Engine!$B$5,_Engine!$L$41-1),"mmm yyyy")),"")</f>
        <v/>
      </c>
      <c r="E26" s="20">
        <f>IF(AND(_Engine!$B$20&gt;=2,_Engine!$D$41=1),IF(_Engine!$L$41=-1,"–",ROUND(_Engine!$M$41,0)),"")</f>
        <v/>
      </c>
      <c r="F26" s="20">
        <f>IF(AND(_Engine!$B$20&gt;=2,_Engine!$D$41=1),IF(_Engine!$L$41=-1,"–",ROUND(_Engine!$N$41,0)),"")</f>
        <v/>
      </c>
      <c r="G26" s="1" t="n"/>
    </row>
    <row r="27" ht="24" customHeight="1">
      <c r="A27" s="1" t="n"/>
      <c r="B27" s="19">
        <f>IF(_Engine!$D$42=1,_Engine!$E$42,"")</f>
        <v/>
      </c>
      <c r="C27" s="20">
        <f>IF(AND(_Engine!$B$20&gt;=2,_Engine!$D$42=1),_Engine!$H$42,"")</f>
        <v/>
      </c>
      <c r="D27" s="20">
        <f>IF(AND(_Engine!$B$20&gt;=2,_Engine!$D$42=1),IF(_Engine!$L$42=-1,"Not yet",TEXT(EDATE(_Engine!$B$5,_Engine!$L$42-1),"mmm yyyy")),"")</f>
        <v/>
      </c>
      <c r="E27" s="20">
        <f>IF(AND(_Engine!$B$20&gt;=2,_Engine!$D$42=1),IF(_Engine!$L$42=-1,"–",ROUND(_Engine!$M$42,0)),"")</f>
        <v/>
      </c>
      <c r="F27" s="20">
        <f>IF(AND(_Engine!$B$20&gt;=2,_Engine!$D$42=1),IF(_Engine!$L$42=-1,"–",ROUND(_Engine!$N$42,0)),"")</f>
        <v/>
      </c>
      <c r="G27" s="1" t="n"/>
    </row>
    <row r="28" ht="24" customHeight="1">
      <c r="A28" s="1" t="n"/>
      <c r="B28" s="19">
        <f>IF(_Engine!$D$43=1,_Engine!$E$43,"")</f>
        <v/>
      </c>
      <c r="C28" s="20">
        <f>IF(AND(_Engine!$B$20&gt;=2,_Engine!$D$43=1),_Engine!$H$43,"")</f>
        <v/>
      </c>
      <c r="D28" s="20">
        <f>IF(AND(_Engine!$B$20&gt;=2,_Engine!$D$43=1),IF(_Engine!$L$43=-1,"Not yet",TEXT(EDATE(_Engine!$B$5,_Engine!$L$43-1),"mmm yyyy")),"")</f>
        <v/>
      </c>
      <c r="E28" s="20">
        <f>IF(AND(_Engine!$B$20&gt;=2,_Engine!$D$43=1),IF(_Engine!$L$43=-1,"–",ROUND(_Engine!$M$43,0)),"")</f>
        <v/>
      </c>
      <c r="F28" s="20">
        <f>IF(AND(_Engine!$B$20&gt;=2,_Engine!$D$43=1),IF(_Engine!$L$43=-1,"–",ROUND(_Engine!$N$43,0)),"")</f>
        <v/>
      </c>
      <c r="G28" s="1" t="n"/>
    </row>
    <row r="29" ht="24" customHeight="1">
      <c r="A29" s="1" t="n"/>
      <c r="B29" s="19">
        <f>IF(_Engine!$D$44=1,_Engine!$E$44,"")</f>
        <v/>
      </c>
      <c r="C29" s="20">
        <f>IF(AND(_Engine!$B$20&gt;=2,_Engine!$D$44=1),_Engine!$H$44,"")</f>
        <v/>
      </c>
      <c r="D29" s="20">
        <f>IF(AND(_Engine!$B$20&gt;=2,_Engine!$D$44=1),IF(_Engine!$L$44=-1,"Not yet",TEXT(EDATE(_Engine!$B$5,_Engine!$L$44-1),"mmm yyyy")),"")</f>
        <v/>
      </c>
      <c r="E29" s="20">
        <f>IF(AND(_Engine!$B$20&gt;=2,_Engine!$D$44=1),IF(_Engine!$L$44=-1,"–",ROUND(_Engine!$M$44,0)),"")</f>
        <v/>
      </c>
      <c r="F29" s="20">
        <f>IF(AND(_Engine!$B$20&gt;=2,_Engine!$D$44=1),IF(_Engine!$L$44=-1,"–",ROUND(_Engine!$N$44,0)),"")</f>
        <v/>
      </c>
      <c r="G29" s="1" t="n"/>
    </row>
    <row r="30" ht="24" customHeight="1">
      <c r="A30" s="1" t="n"/>
      <c r="B30" s="19">
        <f>IF(_Engine!$D$45=1,_Engine!$E$45,"")</f>
        <v/>
      </c>
      <c r="C30" s="20">
        <f>IF(AND(_Engine!$B$20&gt;=2,_Engine!$D$45=1),_Engine!$H$45,"")</f>
        <v/>
      </c>
      <c r="D30" s="20">
        <f>IF(AND(_Engine!$B$20&gt;=2,_Engine!$D$45=1),IF(_Engine!$L$45=-1,"Not yet",TEXT(EDATE(_Engine!$B$5,_Engine!$L$45-1),"mmm yyyy")),"")</f>
        <v/>
      </c>
      <c r="E30" s="20">
        <f>IF(AND(_Engine!$B$20&gt;=2,_Engine!$D$45=1),IF(_Engine!$L$45=-1,"–",ROUND(_Engine!$M$45,0)),"")</f>
        <v/>
      </c>
      <c r="F30" s="20">
        <f>IF(AND(_Engine!$B$20&gt;=2,_Engine!$D$45=1),IF(_Engine!$L$45=-1,"–",ROUND(_Engine!$N$45,0)),"")</f>
        <v/>
      </c>
      <c r="G30" s="1" t="n"/>
    </row>
    <row r="31" ht="24" customHeight="1">
      <c r="A31" s="1" t="n"/>
      <c r="B31" s="21">
        <f>IF(_Engine!$B$20&gt;=2,"All debts","")</f>
        <v/>
      </c>
      <c r="C31" s="22">
        <f>IF(_Engine!$B$20&gt;=2,_Engine!$B$13,"")</f>
        <v/>
      </c>
      <c r="D31" s="22">
        <f>IF(_Engine!$B$20&gt;=2,IF(_Engine!$B$20=2,TEXT(_Engine!$B$18,"mmm yyyy"),"Not yet"),"")</f>
        <v/>
      </c>
      <c r="E31" s="22">
        <f>IF(_Engine!$B$20&gt;=2,IF(_Engine!$B$20=2,ROUND(_Engine!$B$16,0),"–"),"")</f>
        <v/>
      </c>
      <c r="F31" s="22">
        <f>IF(_Engine!$B$20&gt;=2,IF(_Engine!$B$20=2,ROUND(_Engine!$B$17,0),"–"),"")</f>
        <v/>
      </c>
      <c r="G31" s="1" t="n"/>
    </row>
    <row r="32" ht="36" customHeight="1">
      <c r="A32" s="1" t="n"/>
      <c r="B32" s="18">
        <f>IF(_Engine!$B$20&lt;2,"","Paying only the minimum (1% of the balance plus the month's interest, at least "&amp;$C$8&amp;TEXT(_Engine!$B$9,"#,##0")&amp;") would take "&amp;IF(_Engine!$B$25=1,"more than 100 years",_Engine!$B$28&amp;" and cost "&amp;$C$8&amp;TEXT(_Engine!$B$27,"#,##0")&amp;" in interest")&amp;".")</f>
        <v/>
      </c>
      <c r="C32" s="18" t="n"/>
      <c r="D32" s="18" t="n"/>
      <c r="E32" s="18" t="n"/>
      <c r="F32" s="18" t="n"/>
      <c r="G32" s="1" t="n"/>
    </row>
    <row r="33" ht="46" customHeight="1">
      <c r="A33" s="1" t="n"/>
      <c r="B33" s="15" t="inlineStr">
        <is>
          <t>Each debt is paid with its own monthly payment. Extra goes to your highest-rate debt first, then to the next. Interest each month is the yearly rate ÷ 12, on what you still owe. Rates stay the same and nothing new is added: the same rules as the online calculator.</t>
        </is>
      </c>
      <c r="C33" s="15" t="n"/>
      <c r="D33" s="15" t="n"/>
      <c r="E33" s="15" t="n"/>
      <c r="F33" s="15" t="n"/>
      <c r="G33" s="1" t="n"/>
    </row>
    <row r="34">
      <c r="A34" s="1" t="n"/>
      <c r="B34" s="1" t="n"/>
      <c r="C34" s="1" t="n"/>
      <c r="D34" s="1" t="n"/>
      <c r="E34" s="1" t="n"/>
      <c r="F34" s="1" t="n"/>
      <c r="G34" s="1" t="n"/>
    </row>
    <row r="35" ht="26.1" customHeight="1">
      <c r="A35" s="1" t="n"/>
      <c r="B35" s="6" t="inlineStr">
        <is>
          <t>QUESTION 2: I want to be debt-free in a set time. How much a month?</t>
        </is>
      </c>
      <c r="C35" s="7" t="n"/>
      <c r="D35" s="7" t="n"/>
      <c r="E35" s="7" t="n"/>
      <c r="F35" s="7" t="n"/>
      <c r="G35" s="1" t="n"/>
    </row>
    <row r="36" ht="24" customHeight="1">
      <c r="A36" s="1" t="n"/>
      <c r="B36" s="4" t="inlineStr">
        <is>
          <t>Debt-free in (years)</t>
        </is>
      </c>
      <c r="C36" s="16" t="n">
        <v>3</v>
      </c>
      <c r="D36" s="9" t="inlineStr">
        <is>
          <t>A whole number of years, 1 to 30. It uses your debts above.</t>
        </is>
      </c>
      <c r="E36" s="9" t="n"/>
      <c r="F36" s="9" t="n"/>
      <c r="G36" s="1" t="n"/>
    </row>
    <row r="37" ht="33.95" customHeight="1">
      <c r="A37" s="1" t="n"/>
      <c r="B37" s="17">
        <f>IF(_Engine!$B$2=0,"Enter a debt above",IF(_Engine!$B$3&gt;0,"Fill in the rate and the payment of each debt","Pay "&amp;$C$8&amp;TEXT(_Engine!$B$29,"#,##0")&amp;" a month in total"))</f>
        <v/>
      </c>
      <c r="C37" s="17" t="n"/>
      <c r="D37" s="17" t="n"/>
      <c r="E37" s="17" t="n"/>
      <c r="F37" s="17" t="n"/>
      <c r="G37" s="1" t="n"/>
    </row>
    <row r="38" ht="52" customHeight="1">
      <c r="A38" s="1" t="n"/>
      <c r="B38" s="18">
        <f>IF(AND(_Engine!$B$2&gt;0,_Engine!$B$3=0),"To be debt-free in "&amp;$C$36&amp;IF($C$36=1," year"," years")&amp;", by "&amp;TEXT(_Engine!$B$33,"mmmm yyyy")&amp;", pay "&amp;$C$8&amp;TEXT(_Engine!$B$29,"#,##0")&amp;" a month in total. "&amp;IF(_Engine!$B$34&gt;0,"That is "&amp;$C$8&amp;TEXT(_Engine!$B$34,"#,##0")&amp;" more than the "&amp;$C$8&amp;TEXT(_Engine!$B$13,"#,##0")&amp;" you pay now.",IF(_Engine!$B$34&lt;0,"That is "&amp;$C$8&amp;TEXT(-_Engine!$B$34,"#,##0")&amp;" less than the "&amp;$C$8&amp;TEXT(_Engine!$B$13,"#,##0")&amp;" you pay now.","That is what you pay now."))&amp;" Interest: "&amp;$C$8&amp;TEXT(_Engine!$B$30,"#,##0")&amp;". Total you pay: "&amp;$C$8&amp;TEXT(_Engine!$B$31,"#,##0")&amp;".","")</f>
        <v/>
      </c>
      <c r="C38" s="18" t="n"/>
      <c r="D38" s="18" t="n"/>
      <c r="E38" s="18" t="n"/>
      <c r="F38" s="18" t="n"/>
      <c r="G38" s="1" t="n"/>
    </row>
    <row r="39" ht="26.1" customHeight="1">
      <c r="A39" s="1" t="n"/>
      <c r="B39" s="10" t="inlineStr">
        <is>
          <t>Debt</t>
        </is>
      </c>
      <c r="C39" s="10" t="inlineStr">
        <is>
          <t>Per month</t>
        </is>
      </c>
      <c r="D39" s="10" t="inlineStr">
        <is>
          <t>Done by</t>
        </is>
      </c>
      <c r="E39" s="10" t="inlineStr">
        <is>
          <t>Interest</t>
        </is>
      </c>
      <c r="F39" s="10" t="inlineStr">
        <is>
          <t>Total paid</t>
        </is>
      </c>
      <c r="G39" s="1" t="n"/>
    </row>
    <row r="40" ht="24" customHeight="1">
      <c r="A40" s="1" t="n"/>
      <c r="B40" s="19">
        <f>IF(_Engine!$D$41=1,_Engine!$E$41,"")</f>
        <v/>
      </c>
      <c r="C40" s="20">
        <f>IF(AND(AND(_Engine!$B$2&gt;0,_Engine!$B$3=0),_Engine!$D$41=1),_Engine!$O$41,"")</f>
        <v/>
      </c>
      <c r="D40" s="20">
        <f>IF(AND(AND(_Engine!$B$2&gt;0,_Engine!$B$3=0),_Engine!$D$41=1),TEXT(EDATE(_Engine!$B$5,_Engine!$P$41-1),"mmm yyyy"),"")</f>
        <v/>
      </c>
      <c r="E40" s="20">
        <f>IF(AND(AND(_Engine!$B$2&gt;0,_Engine!$B$3=0),_Engine!$D$41=1),ROUND(_Engine!$R$41,0),"")</f>
        <v/>
      </c>
      <c r="F40" s="20">
        <f>IF(AND(AND(_Engine!$B$2&gt;0,_Engine!$B$3=0),_Engine!$D$41=1),ROUND(_Engine!$Q$41,0),"")</f>
        <v/>
      </c>
      <c r="G40" s="1" t="n"/>
    </row>
    <row r="41" ht="24" customHeight="1">
      <c r="A41" s="1" t="n"/>
      <c r="B41" s="19">
        <f>IF(_Engine!$D$42=1,_Engine!$E$42,"")</f>
        <v/>
      </c>
      <c r="C41" s="20">
        <f>IF(AND(AND(_Engine!$B$2&gt;0,_Engine!$B$3=0),_Engine!$D$42=1),_Engine!$O$42,"")</f>
        <v/>
      </c>
      <c r="D41" s="20">
        <f>IF(AND(AND(_Engine!$B$2&gt;0,_Engine!$B$3=0),_Engine!$D$42=1),TEXT(EDATE(_Engine!$B$5,_Engine!$P$42-1),"mmm yyyy"),"")</f>
        <v/>
      </c>
      <c r="E41" s="20">
        <f>IF(AND(AND(_Engine!$B$2&gt;0,_Engine!$B$3=0),_Engine!$D$42=1),ROUND(_Engine!$R$42,0),"")</f>
        <v/>
      </c>
      <c r="F41" s="20">
        <f>IF(AND(AND(_Engine!$B$2&gt;0,_Engine!$B$3=0),_Engine!$D$42=1),ROUND(_Engine!$Q$42,0),"")</f>
        <v/>
      </c>
      <c r="G41" s="1" t="n"/>
    </row>
    <row r="42" ht="24" customHeight="1">
      <c r="A42" s="1" t="n"/>
      <c r="B42" s="19">
        <f>IF(_Engine!$D$43=1,_Engine!$E$43,"")</f>
        <v/>
      </c>
      <c r="C42" s="20">
        <f>IF(AND(AND(_Engine!$B$2&gt;0,_Engine!$B$3=0),_Engine!$D$43=1),_Engine!$O$43,"")</f>
        <v/>
      </c>
      <c r="D42" s="20">
        <f>IF(AND(AND(_Engine!$B$2&gt;0,_Engine!$B$3=0),_Engine!$D$43=1),TEXT(EDATE(_Engine!$B$5,_Engine!$P$43-1),"mmm yyyy"),"")</f>
        <v/>
      </c>
      <c r="E42" s="20">
        <f>IF(AND(AND(_Engine!$B$2&gt;0,_Engine!$B$3=0),_Engine!$D$43=1),ROUND(_Engine!$R$43,0),"")</f>
        <v/>
      </c>
      <c r="F42" s="20">
        <f>IF(AND(AND(_Engine!$B$2&gt;0,_Engine!$B$3=0),_Engine!$D$43=1),ROUND(_Engine!$Q$43,0),"")</f>
        <v/>
      </c>
      <c r="G42" s="1" t="n"/>
    </row>
    <row r="43" ht="24" customHeight="1">
      <c r="A43" s="1" t="n"/>
      <c r="B43" s="19">
        <f>IF(_Engine!$D$44=1,_Engine!$E$44,"")</f>
        <v/>
      </c>
      <c r="C43" s="20">
        <f>IF(AND(AND(_Engine!$B$2&gt;0,_Engine!$B$3=0),_Engine!$D$44=1),_Engine!$O$44,"")</f>
        <v/>
      </c>
      <c r="D43" s="20">
        <f>IF(AND(AND(_Engine!$B$2&gt;0,_Engine!$B$3=0),_Engine!$D$44=1),TEXT(EDATE(_Engine!$B$5,_Engine!$P$44-1),"mmm yyyy"),"")</f>
        <v/>
      </c>
      <c r="E43" s="20">
        <f>IF(AND(AND(_Engine!$B$2&gt;0,_Engine!$B$3=0),_Engine!$D$44=1),ROUND(_Engine!$R$44,0),"")</f>
        <v/>
      </c>
      <c r="F43" s="20">
        <f>IF(AND(AND(_Engine!$B$2&gt;0,_Engine!$B$3=0),_Engine!$D$44=1),ROUND(_Engine!$Q$44,0),"")</f>
        <v/>
      </c>
      <c r="G43" s="1" t="n"/>
    </row>
    <row r="44" ht="24" customHeight="1">
      <c r="A44" s="1" t="n"/>
      <c r="B44" s="19">
        <f>IF(_Engine!$D$45=1,_Engine!$E$45,"")</f>
        <v/>
      </c>
      <c r="C44" s="20">
        <f>IF(AND(AND(_Engine!$B$2&gt;0,_Engine!$B$3=0),_Engine!$D$45=1),_Engine!$O$45,"")</f>
        <v/>
      </c>
      <c r="D44" s="20">
        <f>IF(AND(AND(_Engine!$B$2&gt;0,_Engine!$B$3=0),_Engine!$D$45=1),TEXT(EDATE(_Engine!$B$5,_Engine!$P$45-1),"mmm yyyy"),"")</f>
        <v/>
      </c>
      <c r="E44" s="20">
        <f>IF(AND(AND(_Engine!$B$2&gt;0,_Engine!$B$3=0),_Engine!$D$45=1),ROUND(_Engine!$R$45,0),"")</f>
        <v/>
      </c>
      <c r="F44" s="20">
        <f>IF(AND(AND(_Engine!$B$2&gt;0,_Engine!$B$3=0),_Engine!$D$45=1),ROUND(_Engine!$Q$45,0),"")</f>
        <v/>
      </c>
      <c r="G44" s="1" t="n"/>
    </row>
    <row r="45" ht="24" customHeight="1">
      <c r="A45" s="1" t="n"/>
      <c r="B45" s="21">
        <f>IF(AND(_Engine!$B$2&gt;0,_Engine!$B$3=0),"All debts","")</f>
        <v/>
      </c>
      <c r="C45" s="22">
        <f>IF(AND(_Engine!$B$2&gt;0,_Engine!$B$3=0),_Engine!$B$29,"")</f>
        <v/>
      </c>
      <c r="D45" s="22">
        <f>IF(AND(_Engine!$B$2&gt;0,_Engine!$B$3=0),TEXT(_Engine!$B$33,"mmm yyyy"),"")</f>
        <v/>
      </c>
      <c r="E45" s="22">
        <f>IF(AND(_Engine!$B$2&gt;0,_Engine!$B$3=0),ROUND(_Engine!$B$30,0),"")</f>
        <v/>
      </c>
      <c r="F45" s="22">
        <f>IF(AND(_Engine!$B$2&gt;0,_Engine!$B$3=0),ROUND(_Engine!$B$31,0),"")</f>
        <v/>
      </c>
      <c r="G45" s="1" t="n"/>
    </row>
    <row r="46" ht="33.95" customHeight="1">
      <c r="A46" s="1" t="n"/>
      <c r="B46" s="15" t="inlineStr">
        <is>
          <t>Each debt gets the monthly payment that clears it in time, rounded up to a whole amount, with the same rules as question 1.</t>
        </is>
      </c>
      <c r="C46" s="15" t="n"/>
      <c r="D46" s="15" t="n"/>
      <c r="E46" s="15" t="n"/>
      <c r="F46" s="15" t="n"/>
      <c r="G46" s="1" t="n"/>
    </row>
    <row r="47">
      <c r="A47" s="1" t="n"/>
      <c r="B47" s="1" t="n"/>
      <c r="C47" s="1" t="n"/>
      <c r="D47" s="1" t="n"/>
      <c r="E47" s="1" t="n"/>
      <c r="F47" s="1" t="n"/>
      <c r="G47" s="1" t="n"/>
    </row>
    <row r="48" ht="26.1" customHeight="1">
      <c r="A48" s="1" t="n"/>
      <c r="B48" s="6" t="inlineStr">
        <is>
          <t>YOUR DEBT, MONTH BY MONTH (question 1)</t>
        </is>
      </c>
      <c r="C48" s="7" t="n"/>
      <c r="D48" s="7" t="n"/>
      <c r="E48" s="7" t="n"/>
      <c r="F48" s="7" t="n"/>
      <c r="G48" s="1" t="n"/>
    </row>
    <row r="49">
      <c r="A49" s="1" t="n"/>
      <c r="B49" s="1" t="n"/>
      <c r="C49" s="1" t="n"/>
      <c r="D49" s="1" t="n"/>
      <c r="E49" s="1" t="n"/>
      <c r="F49" s="1" t="n"/>
      <c r="G49" s="1" t="n"/>
    </row>
    <row r="50">
      <c r="A50" s="1" t="n"/>
      <c r="B50" s="1" t="n"/>
      <c r="C50" s="1" t="n"/>
      <c r="D50" s="1" t="n"/>
      <c r="E50" s="1" t="n"/>
      <c r="F50" s="1" t="n"/>
      <c r="G50" s="1" t="n"/>
    </row>
    <row r="51">
      <c r="A51" s="1" t="n"/>
      <c r="B51" s="1" t="n"/>
      <c r="C51" s="1" t="n"/>
      <c r="D51" s="1" t="n"/>
      <c r="E51" s="1" t="n"/>
      <c r="F51" s="1" t="n"/>
      <c r="G51" s="1" t="n"/>
    </row>
    <row r="52">
      <c r="A52" s="1" t="n"/>
      <c r="B52" s="1" t="n"/>
      <c r="C52" s="1" t="n"/>
      <c r="D52" s="1" t="n"/>
      <c r="E52" s="1" t="n"/>
      <c r="F52" s="1" t="n"/>
      <c r="G52" s="1" t="n"/>
    </row>
    <row r="53">
      <c r="A53" s="1" t="n"/>
      <c r="B53" s="1" t="n"/>
      <c r="C53" s="1" t="n"/>
      <c r="D53" s="1" t="n"/>
      <c r="E53" s="1" t="n"/>
      <c r="F53" s="1" t="n"/>
      <c r="G53" s="1" t="n"/>
    </row>
    <row r="54">
      <c r="A54" s="1" t="n"/>
      <c r="B54" s="1" t="n"/>
      <c r="C54" s="1" t="n"/>
      <c r="D54" s="1" t="n"/>
      <c r="E54" s="1" t="n"/>
      <c r="F54" s="1" t="n"/>
      <c r="G54" s="1" t="n"/>
    </row>
    <row r="55">
      <c r="A55" s="1" t="n"/>
      <c r="B55" s="1" t="n"/>
      <c r="C55" s="1" t="n"/>
      <c r="D55" s="1" t="n"/>
      <c r="E55" s="1" t="n"/>
      <c r="F55" s="1" t="n"/>
      <c r="G55" s="1" t="n"/>
    </row>
    <row r="56">
      <c r="A56" s="1" t="n"/>
      <c r="B56" s="1" t="n"/>
      <c r="C56" s="1" t="n"/>
      <c r="D56" s="1" t="n"/>
      <c r="E56" s="1" t="n"/>
      <c r="F56" s="1" t="n"/>
      <c r="G56" s="1" t="n"/>
    </row>
    <row r="57">
      <c r="A57" s="1" t="n"/>
      <c r="B57" s="1" t="n"/>
      <c r="C57" s="1" t="n"/>
      <c r="D57" s="1" t="n"/>
      <c r="E57" s="1" t="n"/>
      <c r="F57" s="1" t="n"/>
      <c r="G57" s="1" t="n"/>
    </row>
    <row r="58">
      <c r="A58" s="1" t="n"/>
      <c r="B58" s="1" t="n"/>
      <c r="C58" s="1" t="n"/>
      <c r="D58" s="1" t="n"/>
      <c r="E58" s="1" t="n"/>
      <c r="F58" s="1" t="n"/>
      <c r="G58" s="1" t="n"/>
    </row>
    <row r="59">
      <c r="A59" s="1" t="n"/>
      <c r="B59" s="1" t="n"/>
      <c r="C59" s="1" t="n"/>
      <c r="D59" s="1" t="n"/>
      <c r="E59" s="1" t="n"/>
      <c r="F59" s="1" t="n"/>
      <c r="G59" s="1" t="n"/>
    </row>
    <row r="60">
      <c r="A60" s="1" t="n"/>
      <c r="B60" s="1" t="n"/>
      <c r="C60" s="1" t="n"/>
      <c r="D60" s="1" t="n"/>
      <c r="E60" s="1" t="n"/>
      <c r="F60" s="1" t="n"/>
      <c r="G60" s="1" t="n"/>
    </row>
    <row r="61">
      <c r="A61" s="1" t="n"/>
      <c r="B61" s="1" t="n"/>
      <c r="C61" s="1" t="n"/>
      <c r="D61" s="1" t="n"/>
      <c r="E61" s="1" t="n"/>
      <c r="F61" s="1" t="n"/>
      <c r="G61" s="1" t="n"/>
    </row>
    <row r="62">
      <c r="A62" s="1" t="n"/>
      <c r="B62" s="1" t="n"/>
      <c r="C62" s="1" t="n"/>
      <c r="D62" s="1" t="n"/>
      <c r="E62" s="1" t="n"/>
      <c r="F62" s="1" t="n"/>
      <c r="G62" s="1" t="n"/>
    </row>
    <row r="63">
      <c r="A63" s="1" t="n"/>
      <c r="B63" s="1" t="n"/>
      <c r="C63" s="1" t="n"/>
      <c r="D63" s="1" t="n"/>
      <c r="E63" s="1" t="n"/>
      <c r="F63" s="1" t="n"/>
      <c r="G63" s="1" t="n"/>
    </row>
    <row r="64">
      <c r="A64" s="1" t="n"/>
      <c r="B64" s="1" t="n"/>
      <c r="C64" s="1" t="n"/>
      <c r="D64" s="1" t="n"/>
      <c r="E64" s="1" t="n"/>
      <c r="F64" s="1" t="n"/>
      <c r="G64" s="1" t="n"/>
    </row>
    <row r="65" ht="21" customHeight="1">
      <c r="A65" s="1" t="n"/>
      <c r="B65" s="15" t="inlineStr">
        <is>
          <t>All your debts together, after each monthly payment. The Breakdown sheet has the numbers.</t>
        </is>
      </c>
      <c r="C65" s="15" t="n"/>
      <c r="D65" s="15" t="n"/>
      <c r="E65" s="15" t="n"/>
      <c r="F65" s="15" t="n"/>
      <c r="G65" s="1" t="n"/>
    </row>
    <row r="66">
      <c r="A66" s="1" t="n"/>
      <c r="B66" s="1" t="n"/>
      <c r="C66" s="1" t="n"/>
      <c r="D66" s="1" t="n"/>
      <c r="E66" s="1" t="n"/>
      <c r="F66" s="1" t="n"/>
      <c r="G66" s="1" t="n"/>
    </row>
    <row r="67">
      <c r="A67" s="1" t="n"/>
      <c r="B67" s="1" t="n"/>
      <c r="C67" s="1" t="n"/>
      <c r="D67" s="1" t="n"/>
      <c r="E67" s="1" t="n"/>
      <c r="F67" s="1" t="n"/>
      <c r="G67" s="1" t="n"/>
    </row>
    <row r="68">
      <c r="A68" s="1" t="n"/>
      <c r="B68" s="1" t="n"/>
      <c r="C68" s="1" t="n"/>
      <c r="D68" s="1" t="n"/>
      <c r="E68" s="1" t="n"/>
      <c r="F68" s="1" t="n"/>
      <c r="G68" s="1" t="n"/>
    </row>
    <row r="69">
      <c r="A69" s="1" t="n"/>
      <c r="B69" s="1" t="n"/>
      <c r="C69" s="1" t="n"/>
      <c r="D69" s="1" t="n"/>
      <c r="E69" s="1" t="n"/>
      <c r="F69" s="1" t="n"/>
      <c r="G69" s="1" t="n"/>
    </row>
    <row r="70">
      <c r="A70" s="1" t="n"/>
      <c r="B70" s="1" t="n"/>
      <c r="C70" s="1" t="n"/>
      <c r="D70" s="1" t="n"/>
      <c r="E70" s="1" t="n"/>
      <c r="F70" s="1" t="n"/>
      <c r="G70" s="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24">
    <mergeCell ref="B4:F4"/>
    <mergeCell ref="B7:F7"/>
    <mergeCell ref="B16:F16"/>
    <mergeCell ref="B3:F3"/>
    <mergeCell ref="B46:F46"/>
    <mergeCell ref="B18:F18"/>
    <mergeCell ref="D21:F21"/>
    <mergeCell ref="B2:C2"/>
    <mergeCell ref="B48:F48"/>
    <mergeCell ref="B23:F23"/>
    <mergeCell ref="D8:F8"/>
    <mergeCell ref="D15:F15"/>
    <mergeCell ref="B38:F38"/>
    <mergeCell ref="B37:F37"/>
    <mergeCell ref="D20:F20"/>
    <mergeCell ref="B65:F65"/>
    <mergeCell ref="D19:F19"/>
    <mergeCell ref="B24:F24"/>
    <mergeCell ref="B33:F33"/>
    <mergeCell ref="D22:F22"/>
    <mergeCell ref="B5:F5"/>
    <mergeCell ref="D36:F36"/>
    <mergeCell ref="B32:F32"/>
    <mergeCell ref="B35:F35"/>
  </mergeCells>
  <dataValidations count="26">
    <dataValidation sqref="C10" showDropDown="0" showInputMessage="0" showErrorMessage="1" allowBlank="1" errorTitle="Please check this number" error="Enter what you owe, up to 10,000,000. Leave the row empty to leave it out." type="decimal" operator="between">
      <formula1>0</formula1>
      <formula2>10000000</formula2>
    </dataValidation>
    <dataValidation sqref="D10" showDropDown="0" showInputMessage="0" showErrorMessage="1" allowBlank="1" errorTitle="Please check this number" error="Enter a yearly rate from 0% to 60%." type="decimal" operator="between">
      <formula1>0</formula1>
      <formula2>60</formula2>
    </dataValidation>
    <dataValidation sqref="E10" showDropDown="0" showInputMessage="0" showErrorMessage="1" allowBlank="1" errorTitle="Please check this number" error="Enter what you pay each month, 0 or more." type="decimal" operator="between">
      <formula1>0</formula1>
      <formula2>100000000</formula2>
    </dataValidation>
    <dataValidation sqref="B10" showDropDown="0" showInputMessage="0" showErrorMessage="1" allowBlank="1" errorTitle="Please check this number" error="Up to 30 characters." type="textLength" operator="between">
      <formula1>0</formula1>
      <formula2>30</formula2>
    </dataValidation>
    <dataValidation sqref="C11" showDropDown="0" showInputMessage="0" showErrorMessage="1" allowBlank="1" errorTitle="Please check this number" error="Enter what you owe, up to 10,000,000. Leave the row empty to leave it out." type="decimal" operator="between">
      <formula1>0</formula1>
      <formula2>10000000</formula2>
    </dataValidation>
    <dataValidation sqref="D11" showDropDown="0" showInputMessage="0" showErrorMessage="1" allowBlank="1" errorTitle="Please check this number" error="Enter a yearly rate from 0% to 60%." type="decimal" operator="between">
      <formula1>0</formula1>
      <formula2>60</formula2>
    </dataValidation>
    <dataValidation sqref="E11" showDropDown="0" showInputMessage="0" showErrorMessage="1" allowBlank="1" errorTitle="Please check this number" error="Enter what you pay each month, 0 or more." type="decimal" operator="between">
      <formula1>0</formula1>
      <formula2>100000000</formula2>
    </dataValidation>
    <dataValidation sqref="B11" showDropDown="0" showInputMessage="0" showErrorMessage="1" allowBlank="1" errorTitle="Please check this number" error="Up to 30 characters." type="textLength" operator="between">
      <formula1>0</formula1>
      <formula2>30</formula2>
    </dataValidation>
    <dataValidation sqref="C12" showDropDown="0" showInputMessage="0" showErrorMessage="1" allowBlank="1" errorTitle="Please check this number" error="Enter what you owe, up to 10,000,000. Leave the row empty to leave it out." type="decimal" operator="between">
      <formula1>0</formula1>
      <formula2>10000000</formula2>
    </dataValidation>
    <dataValidation sqref="D12" showDropDown="0" showInputMessage="0" showErrorMessage="1" allowBlank="1" errorTitle="Please check this number" error="Enter a yearly rate from 0% to 60%." type="decimal" operator="between">
      <formula1>0</formula1>
      <formula2>60</formula2>
    </dataValidation>
    <dataValidation sqref="E12" showDropDown="0" showInputMessage="0" showErrorMessage="1" allowBlank="1" errorTitle="Please check this number" error="Enter what you pay each month, 0 or more." type="decimal" operator="between">
      <formula1>0</formula1>
      <formula2>100000000</formula2>
    </dataValidation>
    <dataValidation sqref="B12" showDropDown="0" showInputMessage="0" showErrorMessage="1" allowBlank="1" errorTitle="Please check this number" error="Up to 30 characters." type="textLength" operator="between">
      <formula1>0</formula1>
      <formula2>30</formula2>
    </dataValidation>
    <dataValidation sqref="C13" showDropDown="0" showInputMessage="0" showErrorMessage="1" allowBlank="1" errorTitle="Please check this number" error="Enter what you owe, up to 10,000,000. Leave the row empty to leave it out." type="decimal" operator="between">
      <formula1>0</formula1>
      <formula2>10000000</formula2>
    </dataValidation>
    <dataValidation sqref="D13" showDropDown="0" showInputMessage="0" showErrorMessage="1" allowBlank="1" errorTitle="Please check this number" error="Enter a yearly rate from 0% to 60%." type="decimal" operator="between">
      <formula1>0</formula1>
      <formula2>60</formula2>
    </dataValidation>
    <dataValidation sqref="E13" showDropDown="0" showInputMessage="0" showErrorMessage="1" allowBlank="1" errorTitle="Please check this number" error="Enter what you pay each month, 0 or more." type="decimal" operator="between">
      <formula1>0</formula1>
      <formula2>100000000</formula2>
    </dataValidation>
    <dataValidation sqref="B13" showDropDown="0" showInputMessage="0" showErrorMessage="1" allowBlank="1" errorTitle="Please check this number" error="Up to 30 characters." type="textLength" operator="between">
      <formula1>0</formula1>
      <formula2>30</formula2>
    </dataValidation>
    <dataValidation sqref="C14" showDropDown="0" showInputMessage="0" showErrorMessage="1" allowBlank="1" errorTitle="Please check this number" error="Enter what you owe, up to 10,000,000. Leave the row empty to leave it out." type="decimal" operator="between">
      <formula1>0</formula1>
      <formula2>10000000</formula2>
    </dataValidation>
    <dataValidation sqref="D14" showDropDown="0" showInputMessage="0" showErrorMessage="1" allowBlank="1" errorTitle="Please check this number" error="Enter a yearly rate from 0% to 60%." type="decimal" operator="between">
      <formula1>0</formula1>
      <formula2>60</formula2>
    </dataValidation>
    <dataValidation sqref="E14" showDropDown="0" showInputMessage="0" showErrorMessage="1" allowBlank="1" errorTitle="Please check this number" error="Enter what you pay each month, 0 or more." type="decimal" operator="between">
      <formula1>0</formula1>
      <formula2>100000000</formula2>
    </dataValidation>
    <dataValidation sqref="B14" showDropDown="0" showInputMessage="0" showErrorMessage="1" allowBlank="1" errorTitle="Please check this number" error="Up to 30 characters." type="textLength" operator="between">
      <formula1>0</formula1>
      <formula2>30</formula2>
    </dataValidation>
    <dataValidation sqref="C15" showDropDown="0" showInputMessage="0" showErrorMessage="1" allowBlank="1" errorTitle="Please check this number" error="Enter a month, for example Nov 2026." type="date" operator="between">
      <formula1>36526</formula1>
      <formula2>73415</formula2>
    </dataValidation>
    <dataValidation sqref="C19" showDropDown="0" showInputMessage="0" showErrorMessage="1" allowBlank="1" errorTitle="Please check this number" error="Enter 0 or more, up to 1 million." type="decimal" operator="between">
      <formula1>0</formula1>
      <formula2>1000000</formula2>
    </dataValidation>
    <dataValidation sqref="C20" showDropDown="0" showInputMessage="0" showErrorMessage="1" allowBlank="1" errorTitle="Please check this number" error="Enter 0 or more, up to 10 million." type="decimal" operator="between">
      <formula1>0</formula1>
      <formula2>10000000</formula2>
    </dataValidation>
    <dataValidation sqref="C21" showDropDown="0" showInputMessage="0" showErrorMessage="1" allowBlank="1" errorTitle="Please check this number" error="Enter a payment number from 1 to 1,200." type="whole" operator="between">
      <formula1>1</formula1>
      <formula2>1200</formula2>
    </dataValidation>
    <dataValidation sqref="C22" showDropDown="0" showInputMessage="0" showErrorMessage="1" allowBlank="1" errorTitle="Please check this number" error="Enter 0 or more." type="decimal" operator="between">
      <formula1>0</formula1>
      <formula2>100000</formula2>
    </dataValidation>
    <dataValidation sqref="C36" showDropDown="0" showInputMessage="0" showErrorMessage="1" allowBlank="1" errorTitle="Please check this number" error="Enter a whole number of years from 1 to 30." type="whole" operator="between">
      <formula1>1</formula1>
      <formula2>30</formula2>
    </dataValidation>
  </dataValidations>
  <hyperlinks>
    <hyperlink xmlns:r="http://schemas.openxmlformats.org/officeDocument/2006/relationships" ref="B2" r:id="rId1"/>
    <hyperlink xmlns:r="http://schemas.openxmlformats.org/officeDocument/2006/relationships" ref="B5" r:id="rId2"/>
  </hyperlinks>
  <pageMargins left="0.75" right="0.75" top="1" bottom="1" header="0.5" footer="0.5"/>
  <pageSetup orientation="portrait" fitToHeight="0" fitToWidth="1"/>
  <headerFooter>
    <oddHeader/>
    <oddFooter>&amp;Lneedtheseapps.com&amp;CDebt Payoff Calculator&amp;RPage &amp;P of &amp;N</oddFooter>
    <evenHeader/>
    <evenFooter/>
    <firstHeader/>
    <firstFooter/>
  </headerFooter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2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13" customWidth="1" min="4" max="4"/>
    <col width="13" customWidth="1" min="5" max="5"/>
    <col width="15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 ht="30" customHeight="1">
      <c r="A1" s="23" t="inlineStr">
        <is>
          <t>Month-by-month breakdown (question 1)</t>
        </is>
      </c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</row>
    <row r="2" ht="44.1" customHeight="1">
      <c r="A2" s="24">
        <f>"What you pay, the interest, and what you still owe after each monthly payment, for all your debts and for each one. Amounts in "&amp;Calculator!$C$8&amp;"."</f>
        <v/>
      </c>
      <c r="B2" s="9" t="n"/>
      <c r="C2" s="9" t="n"/>
      <c r="D2" s="9" t="n"/>
      <c r="E2" s="9" t="n"/>
      <c r="F2" s="9" t="n"/>
      <c r="G2" s="9" t="n"/>
      <c r="H2" s="9" t="n"/>
      <c r="I2" s="9" t="n"/>
      <c r="J2" s="9" t="n"/>
      <c r="K2" s="9" t="n"/>
    </row>
    <row r="3" ht="36" customHeight="1">
      <c r="A3" s="10" t="inlineStr">
        <is>
          <t>Month no.</t>
        </is>
      </c>
      <c r="B3" s="10" t="inlineStr">
        <is>
          <t>Month</t>
        </is>
      </c>
      <c r="C3" s="10" t="inlineStr">
        <is>
          <t>You pay</t>
        </is>
      </c>
      <c r="D3" s="10" t="inlineStr">
        <is>
          <t>Interest</t>
        </is>
      </c>
      <c r="E3" s="10" t="inlineStr">
        <is>
          <t>To the debts</t>
        </is>
      </c>
      <c r="F3" s="10" t="inlineStr">
        <is>
          <t>Left to pay (all debts)</t>
        </is>
      </c>
      <c r="G3" s="10">
        <f>IF(_Engine!$D$41=1,"Left: "&amp;_Engine!$E$41,"")</f>
        <v/>
      </c>
      <c r="H3" s="10">
        <f>IF(_Engine!$D$42=1,"Left: "&amp;_Engine!$E$42,"")</f>
        <v/>
      </c>
      <c r="I3" s="10">
        <f>IF(_Engine!$D$43=1,"Left: "&amp;_Engine!$E$43,"")</f>
        <v/>
      </c>
      <c r="J3" s="10">
        <f>IF(_Engine!$D$44=1,"Left: "&amp;_Engine!$E$44,"")</f>
        <v/>
      </c>
      <c r="K3" s="10">
        <f>IF(_Engine!$D$45=1,"Left: "&amp;_Engine!$E$45,"")</f>
        <v/>
      </c>
    </row>
    <row r="4">
      <c r="A4" s="25">
        <f>IF(1&lt;=_Engine!$B$36,1,"")</f>
        <v/>
      </c>
      <c r="B4" s="26">
        <f>IF($A4="","",EDATE(_Engine!$B$5,$A4-1))</f>
        <v/>
      </c>
      <c r="C4" s="27">
        <f>IF($A4="","",_Engine!$AJ62)</f>
        <v/>
      </c>
      <c r="D4" s="27">
        <f>IF($A4="","",_Engine!$AK62)</f>
        <v/>
      </c>
      <c r="E4" s="27">
        <f>IF($A4="","",_Engine!$AJ62-_Engine!$AK62)</f>
        <v/>
      </c>
      <c r="F4" s="27">
        <f>IF($A4="","",_Engine!$AI62)</f>
        <v/>
      </c>
      <c r="G4" s="27">
        <f>IF(OR($A4="",_Engine!$D$41=0),"",INDEX(_Engine!$E62:$X62,1,(_Engine!$J$41-1)*4+3))</f>
        <v/>
      </c>
      <c r="H4" s="27">
        <f>IF(OR($A4="",_Engine!$D$42=0),"",INDEX(_Engine!$E62:$X62,1,(_Engine!$J$42-1)*4+3))</f>
        <v/>
      </c>
      <c r="I4" s="27">
        <f>IF(OR($A4="",_Engine!$D$43=0),"",INDEX(_Engine!$E62:$X62,1,(_Engine!$J$43-1)*4+3))</f>
        <v/>
      </c>
      <c r="J4" s="27">
        <f>IF(OR($A4="",_Engine!$D$44=0),"",INDEX(_Engine!$E62:$X62,1,(_Engine!$J$44-1)*4+3))</f>
        <v/>
      </c>
      <c r="K4" s="27">
        <f>IF(OR($A4="",_Engine!$D$45=0),"",INDEX(_Engine!$E62:$X62,1,(_Engine!$J$45-1)*4+3))</f>
        <v/>
      </c>
    </row>
    <row r="5">
      <c r="A5" s="25">
        <f>IF(2&lt;=_Engine!$B$36,2,"")</f>
        <v/>
      </c>
      <c r="B5" s="26">
        <f>IF($A5="","",EDATE(_Engine!$B$5,$A5-1))</f>
        <v/>
      </c>
      <c r="C5" s="27">
        <f>IF($A5="","",_Engine!$AJ63)</f>
        <v/>
      </c>
      <c r="D5" s="27">
        <f>IF($A5="","",_Engine!$AK63)</f>
        <v/>
      </c>
      <c r="E5" s="27">
        <f>IF($A5="","",_Engine!$AJ63-_Engine!$AK63)</f>
        <v/>
      </c>
      <c r="F5" s="27">
        <f>IF($A5="","",_Engine!$AI63)</f>
        <v/>
      </c>
      <c r="G5" s="27">
        <f>IF(OR($A5="",_Engine!$D$41=0),"",INDEX(_Engine!$E63:$X63,1,(_Engine!$J$41-1)*4+3))</f>
        <v/>
      </c>
      <c r="H5" s="27">
        <f>IF(OR($A5="",_Engine!$D$42=0),"",INDEX(_Engine!$E63:$X63,1,(_Engine!$J$42-1)*4+3))</f>
        <v/>
      </c>
      <c r="I5" s="27">
        <f>IF(OR($A5="",_Engine!$D$43=0),"",INDEX(_Engine!$E63:$X63,1,(_Engine!$J$43-1)*4+3))</f>
        <v/>
      </c>
      <c r="J5" s="27">
        <f>IF(OR($A5="",_Engine!$D$44=0),"",INDEX(_Engine!$E63:$X63,1,(_Engine!$J$44-1)*4+3))</f>
        <v/>
      </c>
      <c r="K5" s="27">
        <f>IF(OR($A5="",_Engine!$D$45=0),"",INDEX(_Engine!$E63:$X63,1,(_Engine!$J$45-1)*4+3))</f>
        <v/>
      </c>
    </row>
    <row r="6">
      <c r="A6" s="25">
        <f>IF(3&lt;=_Engine!$B$36,3,"")</f>
        <v/>
      </c>
      <c r="B6" s="26">
        <f>IF($A6="","",EDATE(_Engine!$B$5,$A6-1))</f>
        <v/>
      </c>
      <c r="C6" s="27">
        <f>IF($A6="","",_Engine!$AJ64)</f>
        <v/>
      </c>
      <c r="D6" s="27">
        <f>IF($A6="","",_Engine!$AK64)</f>
        <v/>
      </c>
      <c r="E6" s="27">
        <f>IF($A6="","",_Engine!$AJ64-_Engine!$AK64)</f>
        <v/>
      </c>
      <c r="F6" s="27">
        <f>IF($A6="","",_Engine!$AI64)</f>
        <v/>
      </c>
      <c r="G6" s="27">
        <f>IF(OR($A6="",_Engine!$D$41=0),"",INDEX(_Engine!$E64:$X64,1,(_Engine!$J$41-1)*4+3))</f>
        <v/>
      </c>
      <c r="H6" s="27">
        <f>IF(OR($A6="",_Engine!$D$42=0),"",INDEX(_Engine!$E64:$X64,1,(_Engine!$J$42-1)*4+3))</f>
        <v/>
      </c>
      <c r="I6" s="27">
        <f>IF(OR($A6="",_Engine!$D$43=0),"",INDEX(_Engine!$E64:$X64,1,(_Engine!$J$43-1)*4+3))</f>
        <v/>
      </c>
      <c r="J6" s="27">
        <f>IF(OR($A6="",_Engine!$D$44=0),"",INDEX(_Engine!$E64:$X64,1,(_Engine!$J$44-1)*4+3))</f>
        <v/>
      </c>
      <c r="K6" s="27">
        <f>IF(OR($A6="",_Engine!$D$45=0),"",INDEX(_Engine!$E64:$X64,1,(_Engine!$J$45-1)*4+3))</f>
        <v/>
      </c>
    </row>
    <row r="7">
      <c r="A7" s="25">
        <f>IF(4&lt;=_Engine!$B$36,4,"")</f>
        <v/>
      </c>
      <c r="B7" s="26">
        <f>IF($A7="","",EDATE(_Engine!$B$5,$A7-1))</f>
        <v/>
      </c>
      <c r="C7" s="27">
        <f>IF($A7="","",_Engine!$AJ65)</f>
        <v/>
      </c>
      <c r="D7" s="27">
        <f>IF($A7="","",_Engine!$AK65)</f>
        <v/>
      </c>
      <c r="E7" s="27">
        <f>IF($A7="","",_Engine!$AJ65-_Engine!$AK65)</f>
        <v/>
      </c>
      <c r="F7" s="27">
        <f>IF($A7="","",_Engine!$AI65)</f>
        <v/>
      </c>
      <c r="G7" s="27">
        <f>IF(OR($A7="",_Engine!$D$41=0),"",INDEX(_Engine!$E65:$X65,1,(_Engine!$J$41-1)*4+3))</f>
        <v/>
      </c>
      <c r="H7" s="27">
        <f>IF(OR($A7="",_Engine!$D$42=0),"",INDEX(_Engine!$E65:$X65,1,(_Engine!$J$42-1)*4+3))</f>
        <v/>
      </c>
      <c r="I7" s="27">
        <f>IF(OR($A7="",_Engine!$D$43=0),"",INDEX(_Engine!$E65:$X65,1,(_Engine!$J$43-1)*4+3))</f>
        <v/>
      </c>
      <c r="J7" s="27">
        <f>IF(OR($A7="",_Engine!$D$44=0),"",INDEX(_Engine!$E65:$X65,1,(_Engine!$J$44-1)*4+3))</f>
        <v/>
      </c>
      <c r="K7" s="27">
        <f>IF(OR($A7="",_Engine!$D$45=0),"",INDEX(_Engine!$E65:$X65,1,(_Engine!$J$45-1)*4+3))</f>
        <v/>
      </c>
    </row>
    <row r="8">
      <c r="A8" s="25">
        <f>IF(5&lt;=_Engine!$B$36,5,"")</f>
        <v/>
      </c>
      <c r="B8" s="26">
        <f>IF($A8="","",EDATE(_Engine!$B$5,$A8-1))</f>
        <v/>
      </c>
      <c r="C8" s="27">
        <f>IF($A8="","",_Engine!$AJ66)</f>
        <v/>
      </c>
      <c r="D8" s="27">
        <f>IF($A8="","",_Engine!$AK66)</f>
        <v/>
      </c>
      <c r="E8" s="27">
        <f>IF($A8="","",_Engine!$AJ66-_Engine!$AK66)</f>
        <v/>
      </c>
      <c r="F8" s="27">
        <f>IF($A8="","",_Engine!$AI66)</f>
        <v/>
      </c>
      <c r="G8" s="27">
        <f>IF(OR($A8="",_Engine!$D$41=0),"",INDEX(_Engine!$E66:$X66,1,(_Engine!$J$41-1)*4+3))</f>
        <v/>
      </c>
      <c r="H8" s="27">
        <f>IF(OR($A8="",_Engine!$D$42=0),"",INDEX(_Engine!$E66:$X66,1,(_Engine!$J$42-1)*4+3))</f>
        <v/>
      </c>
      <c r="I8" s="27">
        <f>IF(OR($A8="",_Engine!$D$43=0),"",INDEX(_Engine!$E66:$X66,1,(_Engine!$J$43-1)*4+3))</f>
        <v/>
      </c>
      <c r="J8" s="27">
        <f>IF(OR($A8="",_Engine!$D$44=0),"",INDEX(_Engine!$E66:$X66,1,(_Engine!$J$44-1)*4+3))</f>
        <v/>
      </c>
      <c r="K8" s="27">
        <f>IF(OR($A8="",_Engine!$D$45=0),"",INDEX(_Engine!$E66:$X66,1,(_Engine!$J$45-1)*4+3))</f>
        <v/>
      </c>
    </row>
    <row r="9">
      <c r="A9" s="25">
        <f>IF(6&lt;=_Engine!$B$36,6,"")</f>
        <v/>
      </c>
      <c r="B9" s="26">
        <f>IF($A9="","",EDATE(_Engine!$B$5,$A9-1))</f>
        <v/>
      </c>
      <c r="C9" s="27">
        <f>IF($A9="","",_Engine!$AJ67)</f>
        <v/>
      </c>
      <c r="D9" s="27">
        <f>IF($A9="","",_Engine!$AK67)</f>
        <v/>
      </c>
      <c r="E9" s="27">
        <f>IF($A9="","",_Engine!$AJ67-_Engine!$AK67)</f>
        <v/>
      </c>
      <c r="F9" s="27">
        <f>IF($A9="","",_Engine!$AI67)</f>
        <v/>
      </c>
      <c r="G9" s="27">
        <f>IF(OR($A9="",_Engine!$D$41=0),"",INDEX(_Engine!$E67:$X67,1,(_Engine!$J$41-1)*4+3))</f>
        <v/>
      </c>
      <c r="H9" s="27">
        <f>IF(OR($A9="",_Engine!$D$42=0),"",INDEX(_Engine!$E67:$X67,1,(_Engine!$J$42-1)*4+3))</f>
        <v/>
      </c>
      <c r="I9" s="27">
        <f>IF(OR($A9="",_Engine!$D$43=0),"",INDEX(_Engine!$E67:$X67,1,(_Engine!$J$43-1)*4+3))</f>
        <v/>
      </c>
      <c r="J9" s="27">
        <f>IF(OR($A9="",_Engine!$D$44=0),"",INDEX(_Engine!$E67:$X67,1,(_Engine!$J$44-1)*4+3))</f>
        <v/>
      </c>
      <c r="K9" s="27">
        <f>IF(OR($A9="",_Engine!$D$45=0),"",INDEX(_Engine!$E67:$X67,1,(_Engine!$J$45-1)*4+3))</f>
        <v/>
      </c>
    </row>
    <row r="10">
      <c r="A10" s="25">
        <f>IF(7&lt;=_Engine!$B$36,7,"")</f>
        <v/>
      </c>
      <c r="B10" s="26">
        <f>IF($A10="","",EDATE(_Engine!$B$5,$A10-1))</f>
        <v/>
      </c>
      <c r="C10" s="27">
        <f>IF($A10="","",_Engine!$AJ68)</f>
        <v/>
      </c>
      <c r="D10" s="27">
        <f>IF($A10="","",_Engine!$AK68)</f>
        <v/>
      </c>
      <c r="E10" s="27">
        <f>IF($A10="","",_Engine!$AJ68-_Engine!$AK68)</f>
        <v/>
      </c>
      <c r="F10" s="27">
        <f>IF($A10="","",_Engine!$AI68)</f>
        <v/>
      </c>
      <c r="G10" s="27">
        <f>IF(OR($A10="",_Engine!$D$41=0),"",INDEX(_Engine!$E68:$X68,1,(_Engine!$J$41-1)*4+3))</f>
        <v/>
      </c>
      <c r="H10" s="27">
        <f>IF(OR($A10="",_Engine!$D$42=0),"",INDEX(_Engine!$E68:$X68,1,(_Engine!$J$42-1)*4+3))</f>
        <v/>
      </c>
      <c r="I10" s="27">
        <f>IF(OR($A10="",_Engine!$D$43=0),"",INDEX(_Engine!$E68:$X68,1,(_Engine!$J$43-1)*4+3))</f>
        <v/>
      </c>
      <c r="J10" s="27">
        <f>IF(OR($A10="",_Engine!$D$44=0),"",INDEX(_Engine!$E68:$X68,1,(_Engine!$J$44-1)*4+3))</f>
        <v/>
      </c>
      <c r="K10" s="27">
        <f>IF(OR($A10="",_Engine!$D$45=0),"",INDEX(_Engine!$E68:$X68,1,(_Engine!$J$45-1)*4+3))</f>
        <v/>
      </c>
    </row>
    <row r="11">
      <c r="A11" s="25">
        <f>IF(8&lt;=_Engine!$B$36,8,"")</f>
        <v/>
      </c>
      <c r="B11" s="26">
        <f>IF($A11="","",EDATE(_Engine!$B$5,$A11-1))</f>
        <v/>
      </c>
      <c r="C11" s="27">
        <f>IF($A11="","",_Engine!$AJ69)</f>
        <v/>
      </c>
      <c r="D11" s="27">
        <f>IF($A11="","",_Engine!$AK69)</f>
        <v/>
      </c>
      <c r="E11" s="27">
        <f>IF($A11="","",_Engine!$AJ69-_Engine!$AK69)</f>
        <v/>
      </c>
      <c r="F11" s="27">
        <f>IF($A11="","",_Engine!$AI69)</f>
        <v/>
      </c>
      <c r="G11" s="27">
        <f>IF(OR($A11="",_Engine!$D$41=0),"",INDEX(_Engine!$E69:$X69,1,(_Engine!$J$41-1)*4+3))</f>
        <v/>
      </c>
      <c r="H11" s="27">
        <f>IF(OR($A11="",_Engine!$D$42=0),"",INDEX(_Engine!$E69:$X69,1,(_Engine!$J$42-1)*4+3))</f>
        <v/>
      </c>
      <c r="I11" s="27">
        <f>IF(OR($A11="",_Engine!$D$43=0),"",INDEX(_Engine!$E69:$X69,1,(_Engine!$J$43-1)*4+3))</f>
        <v/>
      </c>
      <c r="J11" s="27">
        <f>IF(OR($A11="",_Engine!$D$44=0),"",INDEX(_Engine!$E69:$X69,1,(_Engine!$J$44-1)*4+3))</f>
        <v/>
      </c>
      <c r="K11" s="27">
        <f>IF(OR($A11="",_Engine!$D$45=0),"",INDEX(_Engine!$E69:$X69,1,(_Engine!$J$45-1)*4+3))</f>
        <v/>
      </c>
    </row>
    <row r="12">
      <c r="A12" s="25">
        <f>IF(9&lt;=_Engine!$B$36,9,"")</f>
        <v/>
      </c>
      <c r="B12" s="26">
        <f>IF($A12="","",EDATE(_Engine!$B$5,$A12-1))</f>
        <v/>
      </c>
      <c r="C12" s="27">
        <f>IF($A12="","",_Engine!$AJ70)</f>
        <v/>
      </c>
      <c r="D12" s="27">
        <f>IF($A12="","",_Engine!$AK70)</f>
        <v/>
      </c>
      <c r="E12" s="27">
        <f>IF($A12="","",_Engine!$AJ70-_Engine!$AK70)</f>
        <v/>
      </c>
      <c r="F12" s="27">
        <f>IF($A12="","",_Engine!$AI70)</f>
        <v/>
      </c>
      <c r="G12" s="27">
        <f>IF(OR($A12="",_Engine!$D$41=0),"",INDEX(_Engine!$E70:$X70,1,(_Engine!$J$41-1)*4+3))</f>
        <v/>
      </c>
      <c r="H12" s="27">
        <f>IF(OR($A12="",_Engine!$D$42=0),"",INDEX(_Engine!$E70:$X70,1,(_Engine!$J$42-1)*4+3))</f>
        <v/>
      </c>
      <c r="I12" s="27">
        <f>IF(OR($A12="",_Engine!$D$43=0),"",INDEX(_Engine!$E70:$X70,1,(_Engine!$J$43-1)*4+3))</f>
        <v/>
      </c>
      <c r="J12" s="27">
        <f>IF(OR($A12="",_Engine!$D$44=0),"",INDEX(_Engine!$E70:$X70,1,(_Engine!$J$44-1)*4+3))</f>
        <v/>
      </c>
      <c r="K12" s="27">
        <f>IF(OR($A12="",_Engine!$D$45=0),"",INDEX(_Engine!$E70:$X70,1,(_Engine!$J$45-1)*4+3))</f>
        <v/>
      </c>
    </row>
    <row r="13">
      <c r="A13" s="25">
        <f>IF(10&lt;=_Engine!$B$36,10,"")</f>
        <v/>
      </c>
      <c r="B13" s="26">
        <f>IF($A13="","",EDATE(_Engine!$B$5,$A13-1))</f>
        <v/>
      </c>
      <c r="C13" s="27">
        <f>IF($A13="","",_Engine!$AJ71)</f>
        <v/>
      </c>
      <c r="D13" s="27">
        <f>IF($A13="","",_Engine!$AK71)</f>
        <v/>
      </c>
      <c r="E13" s="27">
        <f>IF($A13="","",_Engine!$AJ71-_Engine!$AK71)</f>
        <v/>
      </c>
      <c r="F13" s="27">
        <f>IF($A13="","",_Engine!$AI71)</f>
        <v/>
      </c>
      <c r="G13" s="27">
        <f>IF(OR($A13="",_Engine!$D$41=0),"",INDEX(_Engine!$E71:$X71,1,(_Engine!$J$41-1)*4+3))</f>
        <v/>
      </c>
      <c r="H13" s="27">
        <f>IF(OR($A13="",_Engine!$D$42=0),"",INDEX(_Engine!$E71:$X71,1,(_Engine!$J$42-1)*4+3))</f>
        <v/>
      </c>
      <c r="I13" s="27">
        <f>IF(OR($A13="",_Engine!$D$43=0),"",INDEX(_Engine!$E71:$X71,1,(_Engine!$J$43-1)*4+3))</f>
        <v/>
      </c>
      <c r="J13" s="27">
        <f>IF(OR($A13="",_Engine!$D$44=0),"",INDEX(_Engine!$E71:$X71,1,(_Engine!$J$44-1)*4+3))</f>
        <v/>
      </c>
      <c r="K13" s="27">
        <f>IF(OR($A13="",_Engine!$D$45=0),"",INDEX(_Engine!$E71:$X71,1,(_Engine!$J$45-1)*4+3))</f>
        <v/>
      </c>
    </row>
    <row r="14">
      <c r="A14" s="25">
        <f>IF(11&lt;=_Engine!$B$36,11,"")</f>
        <v/>
      </c>
      <c r="B14" s="26">
        <f>IF($A14="","",EDATE(_Engine!$B$5,$A14-1))</f>
        <v/>
      </c>
      <c r="C14" s="27">
        <f>IF($A14="","",_Engine!$AJ72)</f>
        <v/>
      </c>
      <c r="D14" s="27">
        <f>IF($A14="","",_Engine!$AK72)</f>
        <v/>
      </c>
      <c r="E14" s="27">
        <f>IF($A14="","",_Engine!$AJ72-_Engine!$AK72)</f>
        <v/>
      </c>
      <c r="F14" s="27">
        <f>IF($A14="","",_Engine!$AI72)</f>
        <v/>
      </c>
      <c r="G14" s="27">
        <f>IF(OR($A14="",_Engine!$D$41=0),"",INDEX(_Engine!$E72:$X72,1,(_Engine!$J$41-1)*4+3))</f>
        <v/>
      </c>
      <c r="H14" s="27">
        <f>IF(OR($A14="",_Engine!$D$42=0),"",INDEX(_Engine!$E72:$X72,1,(_Engine!$J$42-1)*4+3))</f>
        <v/>
      </c>
      <c r="I14" s="27">
        <f>IF(OR($A14="",_Engine!$D$43=0),"",INDEX(_Engine!$E72:$X72,1,(_Engine!$J$43-1)*4+3))</f>
        <v/>
      </c>
      <c r="J14" s="27">
        <f>IF(OR($A14="",_Engine!$D$44=0),"",INDEX(_Engine!$E72:$X72,1,(_Engine!$J$44-1)*4+3))</f>
        <v/>
      </c>
      <c r="K14" s="27">
        <f>IF(OR($A14="",_Engine!$D$45=0),"",INDEX(_Engine!$E72:$X72,1,(_Engine!$J$45-1)*4+3))</f>
        <v/>
      </c>
    </row>
    <row r="15">
      <c r="A15" s="25">
        <f>IF(12&lt;=_Engine!$B$36,12,"")</f>
        <v/>
      </c>
      <c r="B15" s="26">
        <f>IF($A15="","",EDATE(_Engine!$B$5,$A15-1))</f>
        <v/>
      </c>
      <c r="C15" s="27">
        <f>IF($A15="","",_Engine!$AJ73)</f>
        <v/>
      </c>
      <c r="D15" s="27">
        <f>IF($A15="","",_Engine!$AK73)</f>
        <v/>
      </c>
      <c r="E15" s="27">
        <f>IF($A15="","",_Engine!$AJ73-_Engine!$AK73)</f>
        <v/>
      </c>
      <c r="F15" s="27">
        <f>IF($A15="","",_Engine!$AI73)</f>
        <v/>
      </c>
      <c r="G15" s="27">
        <f>IF(OR($A15="",_Engine!$D$41=0),"",INDEX(_Engine!$E73:$X73,1,(_Engine!$J$41-1)*4+3))</f>
        <v/>
      </c>
      <c r="H15" s="27">
        <f>IF(OR($A15="",_Engine!$D$42=0),"",INDEX(_Engine!$E73:$X73,1,(_Engine!$J$42-1)*4+3))</f>
        <v/>
      </c>
      <c r="I15" s="27">
        <f>IF(OR($A15="",_Engine!$D$43=0),"",INDEX(_Engine!$E73:$X73,1,(_Engine!$J$43-1)*4+3))</f>
        <v/>
      </c>
      <c r="J15" s="27">
        <f>IF(OR($A15="",_Engine!$D$44=0),"",INDEX(_Engine!$E73:$X73,1,(_Engine!$J$44-1)*4+3))</f>
        <v/>
      </c>
      <c r="K15" s="27">
        <f>IF(OR($A15="",_Engine!$D$45=0),"",INDEX(_Engine!$E73:$X73,1,(_Engine!$J$45-1)*4+3))</f>
        <v/>
      </c>
    </row>
    <row r="16">
      <c r="A16" s="25">
        <f>IF(13&lt;=_Engine!$B$36,13,"")</f>
        <v/>
      </c>
      <c r="B16" s="26">
        <f>IF($A16="","",EDATE(_Engine!$B$5,$A16-1))</f>
        <v/>
      </c>
      <c r="C16" s="27">
        <f>IF($A16="","",_Engine!$AJ74)</f>
        <v/>
      </c>
      <c r="D16" s="27">
        <f>IF($A16="","",_Engine!$AK74)</f>
        <v/>
      </c>
      <c r="E16" s="27">
        <f>IF($A16="","",_Engine!$AJ74-_Engine!$AK74)</f>
        <v/>
      </c>
      <c r="F16" s="27">
        <f>IF($A16="","",_Engine!$AI74)</f>
        <v/>
      </c>
      <c r="G16" s="27">
        <f>IF(OR($A16="",_Engine!$D$41=0),"",INDEX(_Engine!$E74:$X74,1,(_Engine!$J$41-1)*4+3))</f>
        <v/>
      </c>
      <c r="H16" s="27">
        <f>IF(OR($A16="",_Engine!$D$42=0),"",INDEX(_Engine!$E74:$X74,1,(_Engine!$J$42-1)*4+3))</f>
        <v/>
      </c>
      <c r="I16" s="27">
        <f>IF(OR($A16="",_Engine!$D$43=0),"",INDEX(_Engine!$E74:$X74,1,(_Engine!$J$43-1)*4+3))</f>
        <v/>
      </c>
      <c r="J16" s="27">
        <f>IF(OR($A16="",_Engine!$D$44=0),"",INDEX(_Engine!$E74:$X74,1,(_Engine!$J$44-1)*4+3))</f>
        <v/>
      </c>
      <c r="K16" s="27">
        <f>IF(OR($A16="",_Engine!$D$45=0),"",INDEX(_Engine!$E74:$X74,1,(_Engine!$J$45-1)*4+3))</f>
        <v/>
      </c>
    </row>
    <row r="17">
      <c r="A17" s="25">
        <f>IF(14&lt;=_Engine!$B$36,14,"")</f>
        <v/>
      </c>
      <c r="B17" s="26">
        <f>IF($A17="","",EDATE(_Engine!$B$5,$A17-1))</f>
        <v/>
      </c>
      <c r="C17" s="27">
        <f>IF($A17="","",_Engine!$AJ75)</f>
        <v/>
      </c>
      <c r="D17" s="27">
        <f>IF($A17="","",_Engine!$AK75)</f>
        <v/>
      </c>
      <c r="E17" s="27">
        <f>IF($A17="","",_Engine!$AJ75-_Engine!$AK75)</f>
        <v/>
      </c>
      <c r="F17" s="27">
        <f>IF($A17="","",_Engine!$AI75)</f>
        <v/>
      </c>
      <c r="G17" s="27">
        <f>IF(OR($A17="",_Engine!$D$41=0),"",INDEX(_Engine!$E75:$X75,1,(_Engine!$J$41-1)*4+3))</f>
        <v/>
      </c>
      <c r="H17" s="27">
        <f>IF(OR($A17="",_Engine!$D$42=0),"",INDEX(_Engine!$E75:$X75,1,(_Engine!$J$42-1)*4+3))</f>
        <v/>
      </c>
      <c r="I17" s="27">
        <f>IF(OR($A17="",_Engine!$D$43=0),"",INDEX(_Engine!$E75:$X75,1,(_Engine!$J$43-1)*4+3))</f>
        <v/>
      </c>
      <c r="J17" s="27">
        <f>IF(OR($A17="",_Engine!$D$44=0),"",INDEX(_Engine!$E75:$X75,1,(_Engine!$J$44-1)*4+3))</f>
        <v/>
      </c>
      <c r="K17" s="27">
        <f>IF(OR($A17="",_Engine!$D$45=0),"",INDEX(_Engine!$E75:$X75,1,(_Engine!$J$45-1)*4+3))</f>
        <v/>
      </c>
    </row>
    <row r="18">
      <c r="A18" s="25">
        <f>IF(15&lt;=_Engine!$B$36,15,"")</f>
        <v/>
      </c>
      <c r="B18" s="26">
        <f>IF($A18="","",EDATE(_Engine!$B$5,$A18-1))</f>
        <v/>
      </c>
      <c r="C18" s="27">
        <f>IF($A18="","",_Engine!$AJ76)</f>
        <v/>
      </c>
      <c r="D18" s="27">
        <f>IF($A18="","",_Engine!$AK76)</f>
        <v/>
      </c>
      <c r="E18" s="27">
        <f>IF($A18="","",_Engine!$AJ76-_Engine!$AK76)</f>
        <v/>
      </c>
      <c r="F18" s="27">
        <f>IF($A18="","",_Engine!$AI76)</f>
        <v/>
      </c>
      <c r="G18" s="27">
        <f>IF(OR($A18="",_Engine!$D$41=0),"",INDEX(_Engine!$E76:$X76,1,(_Engine!$J$41-1)*4+3))</f>
        <v/>
      </c>
      <c r="H18" s="27">
        <f>IF(OR($A18="",_Engine!$D$42=0),"",INDEX(_Engine!$E76:$X76,1,(_Engine!$J$42-1)*4+3))</f>
        <v/>
      </c>
      <c r="I18" s="27">
        <f>IF(OR($A18="",_Engine!$D$43=0),"",INDEX(_Engine!$E76:$X76,1,(_Engine!$J$43-1)*4+3))</f>
        <v/>
      </c>
      <c r="J18" s="27">
        <f>IF(OR($A18="",_Engine!$D$44=0),"",INDEX(_Engine!$E76:$X76,1,(_Engine!$J$44-1)*4+3))</f>
        <v/>
      </c>
      <c r="K18" s="27">
        <f>IF(OR($A18="",_Engine!$D$45=0),"",INDEX(_Engine!$E76:$X76,1,(_Engine!$J$45-1)*4+3))</f>
        <v/>
      </c>
    </row>
    <row r="19">
      <c r="A19" s="25">
        <f>IF(16&lt;=_Engine!$B$36,16,"")</f>
        <v/>
      </c>
      <c r="B19" s="26">
        <f>IF($A19="","",EDATE(_Engine!$B$5,$A19-1))</f>
        <v/>
      </c>
      <c r="C19" s="27">
        <f>IF($A19="","",_Engine!$AJ77)</f>
        <v/>
      </c>
      <c r="D19" s="27">
        <f>IF($A19="","",_Engine!$AK77)</f>
        <v/>
      </c>
      <c r="E19" s="27">
        <f>IF($A19="","",_Engine!$AJ77-_Engine!$AK77)</f>
        <v/>
      </c>
      <c r="F19" s="27">
        <f>IF($A19="","",_Engine!$AI77)</f>
        <v/>
      </c>
      <c r="G19" s="27">
        <f>IF(OR($A19="",_Engine!$D$41=0),"",INDEX(_Engine!$E77:$X77,1,(_Engine!$J$41-1)*4+3))</f>
        <v/>
      </c>
      <c r="H19" s="27">
        <f>IF(OR($A19="",_Engine!$D$42=0),"",INDEX(_Engine!$E77:$X77,1,(_Engine!$J$42-1)*4+3))</f>
        <v/>
      </c>
      <c r="I19" s="27">
        <f>IF(OR($A19="",_Engine!$D$43=0),"",INDEX(_Engine!$E77:$X77,1,(_Engine!$J$43-1)*4+3))</f>
        <v/>
      </c>
      <c r="J19" s="27">
        <f>IF(OR($A19="",_Engine!$D$44=0),"",INDEX(_Engine!$E77:$X77,1,(_Engine!$J$44-1)*4+3))</f>
        <v/>
      </c>
      <c r="K19" s="27">
        <f>IF(OR($A19="",_Engine!$D$45=0),"",INDEX(_Engine!$E77:$X77,1,(_Engine!$J$45-1)*4+3))</f>
        <v/>
      </c>
    </row>
    <row r="20">
      <c r="A20" s="25">
        <f>IF(17&lt;=_Engine!$B$36,17,"")</f>
        <v/>
      </c>
      <c r="B20" s="26">
        <f>IF($A20="","",EDATE(_Engine!$B$5,$A20-1))</f>
        <v/>
      </c>
      <c r="C20" s="27">
        <f>IF($A20="","",_Engine!$AJ78)</f>
        <v/>
      </c>
      <c r="D20" s="27">
        <f>IF($A20="","",_Engine!$AK78)</f>
        <v/>
      </c>
      <c r="E20" s="27">
        <f>IF($A20="","",_Engine!$AJ78-_Engine!$AK78)</f>
        <v/>
      </c>
      <c r="F20" s="27">
        <f>IF($A20="","",_Engine!$AI78)</f>
        <v/>
      </c>
      <c r="G20" s="27">
        <f>IF(OR($A20="",_Engine!$D$41=0),"",INDEX(_Engine!$E78:$X78,1,(_Engine!$J$41-1)*4+3))</f>
        <v/>
      </c>
      <c r="H20" s="27">
        <f>IF(OR($A20="",_Engine!$D$42=0),"",INDEX(_Engine!$E78:$X78,1,(_Engine!$J$42-1)*4+3))</f>
        <v/>
      </c>
      <c r="I20" s="27">
        <f>IF(OR($A20="",_Engine!$D$43=0),"",INDEX(_Engine!$E78:$X78,1,(_Engine!$J$43-1)*4+3))</f>
        <v/>
      </c>
      <c r="J20" s="27">
        <f>IF(OR($A20="",_Engine!$D$44=0),"",INDEX(_Engine!$E78:$X78,1,(_Engine!$J$44-1)*4+3))</f>
        <v/>
      </c>
      <c r="K20" s="27">
        <f>IF(OR($A20="",_Engine!$D$45=0),"",INDEX(_Engine!$E78:$X78,1,(_Engine!$J$45-1)*4+3))</f>
        <v/>
      </c>
    </row>
    <row r="21">
      <c r="A21" s="25">
        <f>IF(18&lt;=_Engine!$B$36,18,"")</f>
        <v/>
      </c>
      <c r="B21" s="26">
        <f>IF($A21="","",EDATE(_Engine!$B$5,$A21-1))</f>
        <v/>
      </c>
      <c r="C21" s="27">
        <f>IF($A21="","",_Engine!$AJ79)</f>
        <v/>
      </c>
      <c r="D21" s="27">
        <f>IF($A21="","",_Engine!$AK79)</f>
        <v/>
      </c>
      <c r="E21" s="27">
        <f>IF($A21="","",_Engine!$AJ79-_Engine!$AK79)</f>
        <v/>
      </c>
      <c r="F21" s="27">
        <f>IF($A21="","",_Engine!$AI79)</f>
        <v/>
      </c>
      <c r="G21" s="27">
        <f>IF(OR($A21="",_Engine!$D$41=0),"",INDEX(_Engine!$E79:$X79,1,(_Engine!$J$41-1)*4+3))</f>
        <v/>
      </c>
      <c r="H21" s="27">
        <f>IF(OR($A21="",_Engine!$D$42=0),"",INDEX(_Engine!$E79:$X79,1,(_Engine!$J$42-1)*4+3))</f>
        <v/>
      </c>
      <c r="I21" s="27">
        <f>IF(OR($A21="",_Engine!$D$43=0),"",INDEX(_Engine!$E79:$X79,1,(_Engine!$J$43-1)*4+3))</f>
        <v/>
      </c>
      <c r="J21" s="27">
        <f>IF(OR($A21="",_Engine!$D$44=0),"",INDEX(_Engine!$E79:$X79,1,(_Engine!$J$44-1)*4+3))</f>
        <v/>
      </c>
      <c r="K21" s="27">
        <f>IF(OR($A21="",_Engine!$D$45=0),"",INDEX(_Engine!$E79:$X79,1,(_Engine!$J$45-1)*4+3))</f>
        <v/>
      </c>
    </row>
    <row r="22">
      <c r="A22" s="25">
        <f>IF(19&lt;=_Engine!$B$36,19,"")</f>
        <v/>
      </c>
      <c r="B22" s="26">
        <f>IF($A22="","",EDATE(_Engine!$B$5,$A22-1))</f>
        <v/>
      </c>
      <c r="C22" s="27">
        <f>IF($A22="","",_Engine!$AJ80)</f>
        <v/>
      </c>
      <c r="D22" s="27">
        <f>IF($A22="","",_Engine!$AK80)</f>
        <v/>
      </c>
      <c r="E22" s="27">
        <f>IF($A22="","",_Engine!$AJ80-_Engine!$AK80)</f>
        <v/>
      </c>
      <c r="F22" s="27">
        <f>IF($A22="","",_Engine!$AI80)</f>
        <v/>
      </c>
      <c r="G22" s="27">
        <f>IF(OR($A22="",_Engine!$D$41=0),"",INDEX(_Engine!$E80:$X80,1,(_Engine!$J$41-1)*4+3))</f>
        <v/>
      </c>
      <c r="H22" s="27">
        <f>IF(OR($A22="",_Engine!$D$42=0),"",INDEX(_Engine!$E80:$X80,1,(_Engine!$J$42-1)*4+3))</f>
        <v/>
      </c>
      <c r="I22" s="27">
        <f>IF(OR($A22="",_Engine!$D$43=0),"",INDEX(_Engine!$E80:$X80,1,(_Engine!$J$43-1)*4+3))</f>
        <v/>
      </c>
      <c r="J22" s="27">
        <f>IF(OR($A22="",_Engine!$D$44=0),"",INDEX(_Engine!$E80:$X80,1,(_Engine!$J$44-1)*4+3))</f>
        <v/>
      </c>
      <c r="K22" s="27">
        <f>IF(OR($A22="",_Engine!$D$45=0),"",INDEX(_Engine!$E80:$X80,1,(_Engine!$J$45-1)*4+3))</f>
        <v/>
      </c>
    </row>
    <row r="23">
      <c r="A23" s="25">
        <f>IF(20&lt;=_Engine!$B$36,20,"")</f>
        <v/>
      </c>
      <c r="B23" s="26">
        <f>IF($A23="","",EDATE(_Engine!$B$5,$A23-1))</f>
        <v/>
      </c>
      <c r="C23" s="27">
        <f>IF($A23="","",_Engine!$AJ81)</f>
        <v/>
      </c>
      <c r="D23" s="27">
        <f>IF($A23="","",_Engine!$AK81)</f>
        <v/>
      </c>
      <c r="E23" s="27">
        <f>IF($A23="","",_Engine!$AJ81-_Engine!$AK81)</f>
        <v/>
      </c>
      <c r="F23" s="27">
        <f>IF($A23="","",_Engine!$AI81)</f>
        <v/>
      </c>
      <c r="G23" s="27">
        <f>IF(OR($A23="",_Engine!$D$41=0),"",INDEX(_Engine!$E81:$X81,1,(_Engine!$J$41-1)*4+3))</f>
        <v/>
      </c>
      <c r="H23" s="27">
        <f>IF(OR($A23="",_Engine!$D$42=0),"",INDEX(_Engine!$E81:$X81,1,(_Engine!$J$42-1)*4+3))</f>
        <v/>
      </c>
      <c r="I23" s="27">
        <f>IF(OR($A23="",_Engine!$D$43=0),"",INDEX(_Engine!$E81:$X81,1,(_Engine!$J$43-1)*4+3))</f>
        <v/>
      </c>
      <c r="J23" s="27">
        <f>IF(OR($A23="",_Engine!$D$44=0),"",INDEX(_Engine!$E81:$X81,1,(_Engine!$J$44-1)*4+3))</f>
        <v/>
      </c>
      <c r="K23" s="27">
        <f>IF(OR($A23="",_Engine!$D$45=0),"",INDEX(_Engine!$E81:$X81,1,(_Engine!$J$45-1)*4+3))</f>
        <v/>
      </c>
    </row>
    <row r="24">
      <c r="A24" s="25">
        <f>IF(21&lt;=_Engine!$B$36,21,"")</f>
        <v/>
      </c>
      <c r="B24" s="26">
        <f>IF($A24="","",EDATE(_Engine!$B$5,$A24-1))</f>
        <v/>
      </c>
      <c r="C24" s="27">
        <f>IF($A24="","",_Engine!$AJ82)</f>
        <v/>
      </c>
      <c r="D24" s="27">
        <f>IF($A24="","",_Engine!$AK82)</f>
        <v/>
      </c>
      <c r="E24" s="27">
        <f>IF($A24="","",_Engine!$AJ82-_Engine!$AK82)</f>
        <v/>
      </c>
      <c r="F24" s="27">
        <f>IF($A24="","",_Engine!$AI82)</f>
        <v/>
      </c>
      <c r="G24" s="27">
        <f>IF(OR($A24="",_Engine!$D$41=0),"",INDEX(_Engine!$E82:$X82,1,(_Engine!$J$41-1)*4+3))</f>
        <v/>
      </c>
      <c r="H24" s="27">
        <f>IF(OR($A24="",_Engine!$D$42=0),"",INDEX(_Engine!$E82:$X82,1,(_Engine!$J$42-1)*4+3))</f>
        <v/>
      </c>
      <c r="I24" s="27">
        <f>IF(OR($A24="",_Engine!$D$43=0),"",INDEX(_Engine!$E82:$X82,1,(_Engine!$J$43-1)*4+3))</f>
        <v/>
      </c>
      <c r="J24" s="27">
        <f>IF(OR($A24="",_Engine!$D$44=0),"",INDEX(_Engine!$E82:$X82,1,(_Engine!$J$44-1)*4+3))</f>
        <v/>
      </c>
      <c r="K24" s="27">
        <f>IF(OR($A24="",_Engine!$D$45=0),"",INDEX(_Engine!$E82:$X82,1,(_Engine!$J$45-1)*4+3))</f>
        <v/>
      </c>
    </row>
    <row r="25">
      <c r="A25" s="25">
        <f>IF(22&lt;=_Engine!$B$36,22,"")</f>
        <v/>
      </c>
      <c r="B25" s="26">
        <f>IF($A25="","",EDATE(_Engine!$B$5,$A25-1))</f>
        <v/>
      </c>
      <c r="C25" s="27">
        <f>IF($A25="","",_Engine!$AJ83)</f>
        <v/>
      </c>
      <c r="D25" s="27">
        <f>IF($A25="","",_Engine!$AK83)</f>
        <v/>
      </c>
      <c r="E25" s="27">
        <f>IF($A25="","",_Engine!$AJ83-_Engine!$AK83)</f>
        <v/>
      </c>
      <c r="F25" s="27">
        <f>IF($A25="","",_Engine!$AI83)</f>
        <v/>
      </c>
      <c r="G25" s="27">
        <f>IF(OR($A25="",_Engine!$D$41=0),"",INDEX(_Engine!$E83:$X83,1,(_Engine!$J$41-1)*4+3))</f>
        <v/>
      </c>
      <c r="H25" s="27">
        <f>IF(OR($A25="",_Engine!$D$42=0),"",INDEX(_Engine!$E83:$X83,1,(_Engine!$J$42-1)*4+3))</f>
        <v/>
      </c>
      <c r="I25" s="27">
        <f>IF(OR($A25="",_Engine!$D$43=0),"",INDEX(_Engine!$E83:$X83,1,(_Engine!$J$43-1)*4+3))</f>
        <v/>
      </c>
      <c r="J25" s="27">
        <f>IF(OR($A25="",_Engine!$D$44=0),"",INDEX(_Engine!$E83:$X83,1,(_Engine!$J$44-1)*4+3))</f>
        <v/>
      </c>
      <c r="K25" s="27">
        <f>IF(OR($A25="",_Engine!$D$45=0),"",INDEX(_Engine!$E83:$X83,1,(_Engine!$J$45-1)*4+3))</f>
        <v/>
      </c>
    </row>
    <row r="26">
      <c r="A26" s="25">
        <f>IF(23&lt;=_Engine!$B$36,23,"")</f>
        <v/>
      </c>
      <c r="B26" s="26">
        <f>IF($A26="","",EDATE(_Engine!$B$5,$A26-1))</f>
        <v/>
      </c>
      <c r="C26" s="27">
        <f>IF($A26="","",_Engine!$AJ84)</f>
        <v/>
      </c>
      <c r="D26" s="27">
        <f>IF($A26="","",_Engine!$AK84)</f>
        <v/>
      </c>
      <c r="E26" s="27">
        <f>IF($A26="","",_Engine!$AJ84-_Engine!$AK84)</f>
        <v/>
      </c>
      <c r="F26" s="27">
        <f>IF($A26="","",_Engine!$AI84)</f>
        <v/>
      </c>
      <c r="G26" s="27">
        <f>IF(OR($A26="",_Engine!$D$41=0),"",INDEX(_Engine!$E84:$X84,1,(_Engine!$J$41-1)*4+3))</f>
        <v/>
      </c>
      <c r="H26" s="27">
        <f>IF(OR($A26="",_Engine!$D$42=0),"",INDEX(_Engine!$E84:$X84,1,(_Engine!$J$42-1)*4+3))</f>
        <v/>
      </c>
      <c r="I26" s="27">
        <f>IF(OR($A26="",_Engine!$D$43=0),"",INDEX(_Engine!$E84:$X84,1,(_Engine!$J$43-1)*4+3))</f>
        <v/>
      </c>
      <c r="J26" s="27">
        <f>IF(OR($A26="",_Engine!$D$44=0),"",INDEX(_Engine!$E84:$X84,1,(_Engine!$J$44-1)*4+3))</f>
        <v/>
      </c>
      <c r="K26" s="27">
        <f>IF(OR($A26="",_Engine!$D$45=0),"",INDEX(_Engine!$E84:$X84,1,(_Engine!$J$45-1)*4+3))</f>
        <v/>
      </c>
    </row>
    <row r="27">
      <c r="A27" s="25">
        <f>IF(24&lt;=_Engine!$B$36,24,"")</f>
        <v/>
      </c>
      <c r="B27" s="26">
        <f>IF($A27="","",EDATE(_Engine!$B$5,$A27-1))</f>
        <v/>
      </c>
      <c r="C27" s="27">
        <f>IF($A27="","",_Engine!$AJ85)</f>
        <v/>
      </c>
      <c r="D27" s="27">
        <f>IF($A27="","",_Engine!$AK85)</f>
        <v/>
      </c>
      <c r="E27" s="27">
        <f>IF($A27="","",_Engine!$AJ85-_Engine!$AK85)</f>
        <v/>
      </c>
      <c r="F27" s="27">
        <f>IF($A27="","",_Engine!$AI85)</f>
        <v/>
      </c>
      <c r="G27" s="27">
        <f>IF(OR($A27="",_Engine!$D$41=0),"",INDEX(_Engine!$E85:$X85,1,(_Engine!$J$41-1)*4+3))</f>
        <v/>
      </c>
      <c r="H27" s="27">
        <f>IF(OR($A27="",_Engine!$D$42=0),"",INDEX(_Engine!$E85:$X85,1,(_Engine!$J$42-1)*4+3))</f>
        <v/>
      </c>
      <c r="I27" s="27">
        <f>IF(OR($A27="",_Engine!$D$43=0),"",INDEX(_Engine!$E85:$X85,1,(_Engine!$J$43-1)*4+3))</f>
        <v/>
      </c>
      <c r="J27" s="27">
        <f>IF(OR($A27="",_Engine!$D$44=0),"",INDEX(_Engine!$E85:$X85,1,(_Engine!$J$44-1)*4+3))</f>
        <v/>
      </c>
      <c r="K27" s="27">
        <f>IF(OR($A27="",_Engine!$D$45=0),"",INDEX(_Engine!$E85:$X85,1,(_Engine!$J$45-1)*4+3))</f>
        <v/>
      </c>
    </row>
    <row r="28">
      <c r="A28" s="25">
        <f>IF(25&lt;=_Engine!$B$36,25,"")</f>
        <v/>
      </c>
      <c r="B28" s="26">
        <f>IF($A28="","",EDATE(_Engine!$B$5,$A28-1))</f>
        <v/>
      </c>
      <c r="C28" s="27">
        <f>IF($A28="","",_Engine!$AJ86)</f>
        <v/>
      </c>
      <c r="D28" s="27">
        <f>IF($A28="","",_Engine!$AK86)</f>
        <v/>
      </c>
      <c r="E28" s="27">
        <f>IF($A28="","",_Engine!$AJ86-_Engine!$AK86)</f>
        <v/>
      </c>
      <c r="F28" s="27">
        <f>IF($A28="","",_Engine!$AI86)</f>
        <v/>
      </c>
      <c r="G28" s="27">
        <f>IF(OR($A28="",_Engine!$D$41=0),"",INDEX(_Engine!$E86:$X86,1,(_Engine!$J$41-1)*4+3))</f>
        <v/>
      </c>
      <c r="H28" s="27">
        <f>IF(OR($A28="",_Engine!$D$42=0),"",INDEX(_Engine!$E86:$X86,1,(_Engine!$J$42-1)*4+3))</f>
        <v/>
      </c>
      <c r="I28" s="27">
        <f>IF(OR($A28="",_Engine!$D$43=0),"",INDEX(_Engine!$E86:$X86,1,(_Engine!$J$43-1)*4+3))</f>
        <v/>
      </c>
      <c r="J28" s="27">
        <f>IF(OR($A28="",_Engine!$D$44=0),"",INDEX(_Engine!$E86:$X86,1,(_Engine!$J$44-1)*4+3))</f>
        <v/>
      </c>
      <c r="K28" s="27">
        <f>IF(OR($A28="",_Engine!$D$45=0),"",INDEX(_Engine!$E86:$X86,1,(_Engine!$J$45-1)*4+3))</f>
        <v/>
      </c>
    </row>
    <row r="29">
      <c r="A29" s="25">
        <f>IF(26&lt;=_Engine!$B$36,26,"")</f>
        <v/>
      </c>
      <c r="B29" s="26">
        <f>IF($A29="","",EDATE(_Engine!$B$5,$A29-1))</f>
        <v/>
      </c>
      <c r="C29" s="27">
        <f>IF($A29="","",_Engine!$AJ87)</f>
        <v/>
      </c>
      <c r="D29" s="27">
        <f>IF($A29="","",_Engine!$AK87)</f>
        <v/>
      </c>
      <c r="E29" s="27">
        <f>IF($A29="","",_Engine!$AJ87-_Engine!$AK87)</f>
        <v/>
      </c>
      <c r="F29" s="27">
        <f>IF($A29="","",_Engine!$AI87)</f>
        <v/>
      </c>
      <c r="G29" s="27">
        <f>IF(OR($A29="",_Engine!$D$41=0),"",INDEX(_Engine!$E87:$X87,1,(_Engine!$J$41-1)*4+3))</f>
        <v/>
      </c>
      <c r="H29" s="27">
        <f>IF(OR($A29="",_Engine!$D$42=0),"",INDEX(_Engine!$E87:$X87,1,(_Engine!$J$42-1)*4+3))</f>
        <v/>
      </c>
      <c r="I29" s="27">
        <f>IF(OR($A29="",_Engine!$D$43=0),"",INDEX(_Engine!$E87:$X87,1,(_Engine!$J$43-1)*4+3))</f>
        <v/>
      </c>
      <c r="J29" s="27">
        <f>IF(OR($A29="",_Engine!$D$44=0),"",INDEX(_Engine!$E87:$X87,1,(_Engine!$J$44-1)*4+3))</f>
        <v/>
      </c>
      <c r="K29" s="27">
        <f>IF(OR($A29="",_Engine!$D$45=0),"",INDEX(_Engine!$E87:$X87,1,(_Engine!$J$45-1)*4+3))</f>
        <v/>
      </c>
    </row>
    <row r="30">
      <c r="A30" s="25">
        <f>IF(27&lt;=_Engine!$B$36,27,"")</f>
        <v/>
      </c>
      <c r="B30" s="26">
        <f>IF($A30="","",EDATE(_Engine!$B$5,$A30-1))</f>
        <v/>
      </c>
      <c r="C30" s="27">
        <f>IF($A30="","",_Engine!$AJ88)</f>
        <v/>
      </c>
      <c r="D30" s="27">
        <f>IF($A30="","",_Engine!$AK88)</f>
        <v/>
      </c>
      <c r="E30" s="27">
        <f>IF($A30="","",_Engine!$AJ88-_Engine!$AK88)</f>
        <v/>
      </c>
      <c r="F30" s="27">
        <f>IF($A30="","",_Engine!$AI88)</f>
        <v/>
      </c>
      <c r="G30" s="27">
        <f>IF(OR($A30="",_Engine!$D$41=0),"",INDEX(_Engine!$E88:$X88,1,(_Engine!$J$41-1)*4+3))</f>
        <v/>
      </c>
      <c r="H30" s="27">
        <f>IF(OR($A30="",_Engine!$D$42=0),"",INDEX(_Engine!$E88:$X88,1,(_Engine!$J$42-1)*4+3))</f>
        <v/>
      </c>
      <c r="I30" s="27">
        <f>IF(OR($A30="",_Engine!$D$43=0),"",INDEX(_Engine!$E88:$X88,1,(_Engine!$J$43-1)*4+3))</f>
        <v/>
      </c>
      <c r="J30" s="27">
        <f>IF(OR($A30="",_Engine!$D$44=0),"",INDEX(_Engine!$E88:$X88,1,(_Engine!$J$44-1)*4+3))</f>
        <v/>
      </c>
      <c r="K30" s="27">
        <f>IF(OR($A30="",_Engine!$D$45=0),"",INDEX(_Engine!$E88:$X88,1,(_Engine!$J$45-1)*4+3))</f>
        <v/>
      </c>
    </row>
    <row r="31">
      <c r="A31" s="25">
        <f>IF(28&lt;=_Engine!$B$36,28,"")</f>
        <v/>
      </c>
      <c r="B31" s="26">
        <f>IF($A31="","",EDATE(_Engine!$B$5,$A31-1))</f>
        <v/>
      </c>
      <c r="C31" s="27">
        <f>IF($A31="","",_Engine!$AJ89)</f>
        <v/>
      </c>
      <c r="D31" s="27">
        <f>IF($A31="","",_Engine!$AK89)</f>
        <v/>
      </c>
      <c r="E31" s="27">
        <f>IF($A31="","",_Engine!$AJ89-_Engine!$AK89)</f>
        <v/>
      </c>
      <c r="F31" s="27">
        <f>IF($A31="","",_Engine!$AI89)</f>
        <v/>
      </c>
      <c r="G31" s="27">
        <f>IF(OR($A31="",_Engine!$D$41=0),"",INDEX(_Engine!$E89:$X89,1,(_Engine!$J$41-1)*4+3))</f>
        <v/>
      </c>
      <c r="H31" s="27">
        <f>IF(OR($A31="",_Engine!$D$42=0),"",INDEX(_Engine!$E89:$X89,1,(_Engine!$J$42-1)*4+3))</f>
        <v/>
      </c>
      <c r="I31" s="27">
        <f>IF(OR($A31="",_Engine!$D$43=0),"",INDEX(_Engine!$E89:$X89,1,(_Engine!$J$43-1)*4+3))</f>
        <v/>
      </c>
      <c r="J31" s="27">
        <f>IF(OR($A31="",_Engine!$D$44=0),"",INDEX(_Engine!$E89:$X89,1,(_Engine!$J$44-1)*4+3))</f>
        <v/>
      </c>
      <c r="K31" s="27">
        <f>IF(OR($A31="",_Engine!$D$45=0),"",INDEX(_Engine!$E89:$X89,1,(_Engine!$J$45-1)*4+3))</f>
        <v/>
      </c>
    </row>
    <row r="32">
      <c r="A32" s="25">
        <f>IF(29&lt;=_Engine!$B$36,29,"")</f>
        <v/>
      </c>
      <c r="B32" s="26">
        <f>IF($A32="","",EDATE(_Engine!$B$5,$A32-1))</f>
        <v/>
      </c>
      <c r="C32" s="27">
        <f>IF($A32="","",_Engine!$AJ90)</f>
        <v/>
      </c>
      <c r="D32" s="27">
        <f>IF($A32="","",_Engine!$AK90)</f>
        <v/>
      </c>
      <c r="E32" s="27">
        <f>IF($A32="","",_Engine!$AJ90-_Engine!$AK90)</f>
        <v/>
      </c>
      <c r="F32" s="27">
        <f>IF($A32="","",_Engine!$AI90)</f>
        <v/>
      </c>
      <c r="G32" s="27">
        <f>IF(OR($A32="",_Engine!$D$41=0),"",INDEX(_Engine!$E90:$X90,1,(_Engine!$J$41-1)*4+3))</f>
        <v/>
      </c>
      <c r="H32" s="27">
        <f>IF(OR($A32="",_Engine!$D$42=0),"",INDEX(_Engine!$E90:$X90,1,(_Engine!$J$42-1)*4+3))</f>
        <v/>
      </c>
      <c r="I32" s="27">
        <f>IF(OR($A32="",_Engine!$D$43=0),"",INDEX(_Engine!$E90:$X90,1,(_Engine!$J$43-1)*4+3))</f>
        <v/>
      </c>
      <c r="J32" s="27">
        <f>IF(OR($A32="",_Engine!$D$44=0),"",INDEX(_Engine!$E90:$X90,1,(_Engine!$J$44-1)*4+3))</f>
        <v/>
      </c>
      <c r="K32" s="27">
        <f>IF(OR($A32="",_Engine!$D$45=0),"",INDEX(_Engine!$E90:$X90,1,(_Engine!$J$45-1)*4+3))</f>
        <v/>
      </c>
    </row>
    <row r="33">
      <c r="A33" s="25">
        <f>IF(30&lt;=_Engine!$B$36,30,"")</f>
        <v/>
      </c>
      <c r="B33" s="26">
        <f>IF($A33="","",EDATE(_Engine!$B$5,$A33-1))</f>
        <v/>
      </c>
      <c r="C33" s="27">
        <f>IF($A33="","",_Engine!$AJ91)</f>
        <v/>
      </c>
      <c r="D33" s="27">
        <f>IF($A33="","",_Engine!$AK91)</f>
        <v/>
      </c>
      <c r="E33" s="27">
        <f>IF($A33="","",_Engine!$AJ91-_Engine!$AK91)</f>
        <v/>
      </c>
      <c r="F33" s="27">
        <f>IF($A33="","",_Engine!$AI91)</f>
        <v/>
      </c>
      <c r="G33" s="27">
        <f>IF(OR($A33="",_Engine!$D$41=0),"",INDEX(_Engine!$E91:$X91,1,(_Engine!$J$41-1)*4+3))</f>
        <v/>
      </c>
      <c r="H33" s="27">
        <f>IF(OR($A33="",_Engine!$D$42=0),"",INDEX(_Engine!$E91:$X91,1,(_Engine!$J$42-1)*4+3))</f>
        <v/>
      </c>
      <c r="I33" s="27">
        <f>IF(OR($A33="",_Engine!$D$43=0),"",INDEX(_Engine!$E91:$X91,1,(_Engine!$J$43-1)*4+3))</f>
        <v/>
      </c>
      <c r="J33" s="27">
        <f>IF(OR($A33="",_Engine!$D$44=0),"",INDEX(_Engine!$E91:$X91,1,(_Engine!$J$44-1)*4+3))</f>
        <v/>
      </c>
      <c r="K33" s="27">
        <f>IF(OR($A33="",_Engine!$D$45=0),"",INDEX(_Engine!$E91:$X91,1,(_Engine!$J$45-1)*4+3))</f>
        <v/>
      </c>
    </row>
    <row r="34">
      <c r="A34" s="25">
        <f>IF(31&lt;=_Engine!$B$36,31,"")</f>
        <v/>
      </c>
      <c r="B34" s="26">
        <f>IF($A34="","",EDATE(_Engine!$B$5,$A34-1))</f>
        <v/>
      </c>
      <c r="C34" s="27">
        <f>IF($A34="","",_Engine!$AJ92)</f>
        <v/>
      </c>
      <c r="D34" s="27">
        <f>IF($A34="","",_Engine!$AK92)</f>
        <v/>
      </c>
      <c r="E34" s="27">
        <f>IF($A34="","",_Engine!$AJ92-_Engine!$AK92)</f>
        <v/>
      </c>
      <c r="F34" s="27">
        <f>IF($A34="","",_Engine!$AI92)</f>
        <v/>
      </c>
      <c r="G34" s="27">
        <f>IF(OR($A34="",_Engine!$D$41=0),"",INDEX(_Engine!$E92:$X92,1,(_Engine!$J$41-1)*4+3))</f>
        <v/>
      </c>
      <c r="H34" s="27">
        <f>IF(OR($A34="",_Engine!$D$42=0),"",INDEX(_Engine!$E92:$X92,1,(_Engine!$J$42-1)*4+3))</f>
        <v/>
      </c>
      <c r="I34" s="27">
        <f>IF(OR($A34="",_Engine!$D$43=0),"",INDEX(_Engine!$E92:$X92,1,(_Engine!$J$43-1)*4+3))</f>
        <v/>
      </c>
      <c r="J34" s="27">
        <f>IF(OR($A34="",_Engine!$D$44=0),"",INDEX(_Engine!$E92:$X92,1,(_Engine!$J$44-1)*4+3))</f>
        <v/>
      </c>
      <c r="K34" s="27">
        <f>IF(OR($A34="",_Engine!$D$45=0),"",INDEX(_Engine!$E92:$X92,1,(_Engine!$J$45-1)*4+3))</f>
        <v/>
      </c>
    </row>
    <row r="35">
      <c r="A35" s="25">
        <f>IF(32&lt;=_Engine!$B$36,32,"")</f>
        <v/>
      </c>
      <c r="B35" s="26">
        <f>IF($A35="","",EDATE(_Engine!$B$5,$A35-1))</f>
        <v/>
      </c>
      <c r="C35" s="27">
        <f>IF($A35="","",_Engine!$AJ93)</f>
        <v/>
      </c>
      <c r="D35" s="27">
        <f>IF($A35="","",_Engine!$AK93)</f>
        <v/>
      </c>
      <c r="E35" s="27">
        <f>IF($A35="","",_Engine!$AJ93-_Engine!$AK93)</f>
        <v/>
      </c>
      <c r="F35" s="27">
        <f>IF($A35="","",_Engine!$AI93)</f>
        <v/>
      </c>
      <c r="G35" s="27">
        <f>IF(OR($A35="",_Engine!$D$41=0),"",INDEX(_Engine!$E93:$X93,1,(_Engine!$J$41-1)*4+3))</f>
        <v/>
      </c>
      <c r="H35" s="27">
        <f>IF(OR($A35="",_Engine!$D$42=0),"",INDEX(_Engine!$E93:$X93,1,(_Engine!$J$42-1)*4+3))</f>
        <v/>
      </c>
      <c r="I35" s="27">
        <f>IF(OR($A35="",_Engine!$D$43=0),"",INDEX(_Engine!$E93:$X93,1,(_Engine!$J$43-1)*4+3))</f>
        <v/>
      </c>
      <c r="J35" s="27">
        <f>IF(OR($A35="",_Engine!$D$44=0),"",INDEX(_Engine!$E93:$X93,1,(_Engine!$J$44-1)*4+3))</f>
        <v/>
      </c>
      <c r="K35" s="27">
        <f>IF(OR($A35="",_Engine!$D$45=0),"",INDEX(_Engine!$E93:$X93,1,(_Engine!$J$45-1)*4+3))</f>
        <v/>
      </c>
    </row>
    <row r="36">
      <c r="A36" s="25">
        <f>IF(33&lt;=_Engine!$B$36,33,"")</f>
        <v/>
      </c>
      <c r="B36" s="26">
        <f>IF($A36="","",EDATE(_Engine!$B$5,$A36-1))</f>
        <v/>
      </c>
      <c r="C36" s="27">
        <f>IF($A36="","",_Engine!$AJ94)</f>
        <v/>
      </c>
      <c r="D36" s="27">
        <f>IF($A36="","",_Engine!$AK94)</f>
        <v/>
      </c>
      <c r="E36" s="27">
        <f>IF($A36="","",_Engine!$AJ94-_Engine!$AK94)</f>
        <v/>
      </c>
      <c r="F36" s="27">
        <f>IF($A36="","",_Engine!$AI94)</f>
        <v/>
      </c>
      <c r="G36" s="27">
        <f>IF(OR($A36="",_Engine!$D$41=0),"",INDEX(_Engine!$E94:$X94,1,(_Engine!$J$41-1)*4+3))</f>
        <v/>
      </c>
      <c r="H36" s="27">
        <f>IF(OR($A36="",_Engine!$D$42=0),"",INDEX(_Engine!$E94:$X94,1,(_Engine!$J$42-1)*4+3))</f>
        <v/>
      </c>
      <c r="I36" s="27">
        <f>IF(OR($A36="",_Engine!$D$43=0),"",INDEX(_Engine!$E94:$X94,1,(_Engine!$J$43-1)*4+3))</f>
        <v/>
      </c>
      <c r="J36" s="27">
        <f>IF(OR($A36="",_Engine!$D$44=0),"",INDEX(_Engine!$E94:$X94,1,(_Engine!$J$44-1)*4+3))</f>
        <v/>
      </c>
      <c r="K36" s="27">
        <f>IF(OR($A36="",_Engine!$D$45=0),"",INDEX(_Engine!$E94:$X94,1,(_Engine!$J$45-1)*4+3))</f>
        <v/>
      </c>
    </row>
    <row r="37">
      <c r="A37" s="25">
        <f>IF(34&lt;=_Engine!$B$36,34,"")</f>
        <v/>
      </c>
      <c r="B37" s="26">
        <f>IF($A37="","",EDATE(_Engine!$B$5,$A37-1))</f>
        <v/>
      </c>
      <c r="C37" s="27">
        <f>IF($A37="","",_Engine!$AJ95)</f>
        <v/>
      </c>
      <c r="D37" s="27">
        <f>IF($A37="","",_Engine!$AK95)</f>
        <v/>
      </c>
      <c r="E37" s="27">
        <f>IF($A37="","",_Engine!$AJ95-_Engine!$AK95)</f>
        <v/>
      </c>
      <c r="F37" s="27">
        <f>IF($A37="","",_Engine!$AI95)</f>
        <v/>
      </c>
      <c r="G37" s="27">
        <f>IF(OR($A37="",_Engine!$D$41=0),"",INDEX(_Engine!$E95:$X95,1,(_Engine!$J$41-1)*4+3))</f>
        <v/>
      </c>
      <c r="H37" s="27">
        <f>IF(OR($A37="",_Engine!$D$42=0),"",INDEX(_Engine!$E95:$X95,1,(_Engine!$J$42-1)*4+3))</f>
        <v/>
      </c>
      <c r="I37" s="27">
        <f>IF(OR($A37="",_Engine!$D$43=0),"",INDEX(_Engine!$E95:$X95,1,(_Engine!$J$43-1)*4+3))</f>
        <v/>
      </c>
      <c r="J37" s="27">
        <f>IF(OR($A37="",_Engine!$D$44=0),"",INDEX(_Engine!$E95:$X95,1,(_Engine!$J$44-1)*4+3))</f>
        <v/>
      </c>
      <c r="K37" s="27">
        <f>IF(OR($A37="",_Engine!$D$45=0),"",INDEX(_Engine!$E95:$X95,1,(_Engine!$J$45-1)*4+3))</f>
        <v/>
      </c>
    </row>
    <row r="38">
      <c r="A38" s="25">
        <f>IF(35&lt;=_Engine!$B$36,35,"")</f>
        <v/>
      </c>
      <c r="B38" s="26">
        <f>IF($A38="","",EDATE(_Engine!$B$5,$A38-1))</f>
        <v/>
      </c>
      <c r="C38" s="27">
        <f>IF($A38="","",_Engine!$AJ96)</f>
        <v/>
      </c>
      <c r="D38" s="27">
        <f>IF($A38="","",_Engine!$AK96)</f>
        <v/>
      </c>
      <c r="E38" s="27">
        <f>IF($A38="","",_Engine!$AJ96-_Engine!$AK96)</f>
        <v/>
      </c>
      <c r="F38" s="27">
        <f>IF($A38="","",_Engine!$AI96)</f>
        <v/>
      </c>
      <c r="G38" s="27">
        <f>IF(OR($A38="",_Engine!$D$41=0),"",INDEX(_Engine!$E96:$X96,1,(_Engine!$J$41-1)*4+3))</f>
        <v/>
      </c>
      <c r="H38" s="27">
        <f>IF(OR($A38="",_Engine!$D$42=0),"",INDEX(_Engine!$E96:$X96,1,(_Engine!$J$42-1)*4+3))</f>
        <v/>
      </c>
      <c r="I38" s="27">
        <f>IF(OR($A38="",_Engine!$D$43=0),"",INDEX(_Engine!$E96:$X96,1,(_Engine!$J$43-1)*4+3))</f>
        <v/>
      </c>
      <c r="J38" s="27">
        <f>IF(OR($A38="",_Engine!$D$44=0),"",INDEX(_Engine!$E96:$X96,1,(_Engine!$J$44-1)*4+3))</f>
        <v/>
      </c>
      <c r="K38" s="27">
        <f>IF(OR($A38="",_Engine!$D$45=0),"",INDEX(_Engine!$E96:$X96,1,(_Engine!$J$45-1)*4+3))</f>
        <v/>
      </c>
    </row>
    <row r="39">
      <c r="A39" s="25">
        <f>IF(36&lt;=_Engine!$B$36,36,"")</f>
        <v/>
      </c>
      <c r="B39" s="26">
        <f>IF($A39="","",EDATE(_Engine!$B$5,$A39-1))</f>
        <v/>
      </c>
      <c r="C39" s="27">
        <f>IF($A39="","",_Engine!$AJ97)</f>
        <v/>
      </c>
      <c r="D39" s="27">
        <f>IF($A39="","",_Engine!$AK97)</f>
        <v/>
      </c>
      <c r="E39" s="27">
        <f>IF($A39="","",_Engine!$AJ97-_Engine!$AK97)</f>
        <v/>
      </c>
      <c r="F39" s="27">
        <f>IF($A39="","",_Engine!$AI97)</f>
        <v/>
      </c>
      <c r="G39" s="27">
        <f>IF(OR($A39="",_Engine!$D$41=0),"",INDEX(_Engine!$E97:$X97,1,(_Engine!$J$41-1)*4+3))</f>
        <v/>
      </c>
      <c r="H39" s="27">
        <f>IF(OR($A39="",_Engine!$D$42=0),"",INDEX(_Engine!$E97:$X97,1,(_Engine!$J$42-1)*4+3))</f>
        <v/>
      </c>
      <c r="I39" s="27">
        <f>IF(OR($A39="",_Engine!$D$43=0),"",INDEX(_Engine!$E97:$X97,1,(_Engine!$J$43-1)*4+3))</f>
        <v/>
      </c>
      <c r="J39" s="27">
        <f>IF(OR($A39="",_Engine!$D$44=0),"",INDEX(_Engine!$E97:$X97,1,(_Engine!$J$44-1)*4+3))</f>
        <v/>
      </c>
      <c r="K39" s="27">
        <f>IF(OR($A39="",_Engine!$D$45=0),"",INDEX(_Engine!$E97:$X97,1,(_Engine!$J$45-1)*4+3))</f>
        <v/>
      </c>
    </row>
    <row r="40">
      <c r="A40" s="25">
        <f>IF(37&lt;=_Engine!$B$36,37,"")</f>
        <v/>
      </c>
      <c r="B40" s="26">
        <f>IF($A40="","",EDATE(_Engine!$B$5,$A40-1))</f>
        <v/>
      </c>
      <c r="C40" s="27">
        <f>IF($A40="","",_Engine!$AJ98)</f>
        <v/>
      </c>
      <c r="D40" s="27">
        <f>IF($A40="","",_Engine!$AK98)</f>
        <v/>
      </c>
      <c r="E40" s="27">
        <f>IF($A40="","",_Engine!$AJ98-_Engine!$AK98)</f>
        <v/>
      </c>
      <c r="F40" s="27">
        <f>IF($A40="","",_Engine!$AI98)</f>
        <v/>
      </c>
      <c r="G40" s="27">
        <f>IF(OR($A40="",_Engine!$D$41=0),"",INDEX(_Engine!$E98:$X98,1,(_Engine!$J$41-1)*4+3))</f>
        <v/>
      </c>
      <c r="H40" s="27">
        <f>IF(OR($A40="",_Engine!$D$42=0),"",INDEX(_Engine!$E98:$X98,1,(_Engine!$J$42-1)*4+3))</f>
        <v/>
      </c>
      <c r="I40" s="27">
        <f>IF(OR($A40="",_Engine!$D$43=0),"",INDEX(_Engine!$E98:$X98,1,(_Engine!$J$43-1)*4+3))</f>
        <v/>
      </c>
      <c r="J40" s="27">
        <f>IF(OR($A40="",_Engine!$D$44=0),"",INDEX(_Engine!$E98:$X98,1,(_Engine!$J$44-1)*4+3))</f>
        <v/>
      </c>
      <c r="K40" s="27">
        <f>IF(OR($A40="",_Engine!$D$45=0),"",INDEX(_Engine!$E98:$X98,1,(_Engine!$J$45-1)*4+3))</f>
        <v/>
      </c>
    </row>
    <row r="41">
      <c r="A41" s="25">
        <f>IF(38&lt;=_Engine!$B$36,38,"")</f>
        <v/>
      </c>
      <c r="B41" s="26">
        <f>IF($A41="","",EDATE(_Engine!$B$5,$A41-1))</f>
        <v/>
      </c>
      <c r="C41" s="27">
        <f>IF($A41="","",_Engine!$AJ99)</f>
        <v/>
      </c>
      <c r="D41" s="27">
        <f>IF($A41="","",_Engine!$AK99)</f>
        <v/>
      </c>
      <c r="E41" s="27">
        <f>IF($A41="","",_Engine!$AJ99-_Engine!$AK99)</f>
        <v/>
      </c>
      <c r="F41" s="27">
        <f>IF($A41="","",_Engine!$AI99)</f>
        <v/>
      </c>
      <c r="G41" s="27">
        <f>IF(OR($A41="",_Engine!$D$41=0),"",INDEX(_Engine!$E99:$X99,1,(_Engine!$J$41-1)*4+3))</f>
        <v/>
      </c>
      <c r="H41" s="27">
        <f>IF(OR($A41="",_Engine!$D$42=0),"",INDEX(_Engine!$E99:$X99,1,(_Engine!$J$42-1)*4+3))</f>
        <v/>
      </c>
      <c r="I41" s="27">
        <f>IF(OR($A41="",_Engine!$D$43=0),"",INDEX(_Engine!$E99:$X99,1,(_Engine!$J$43-1)*4+3))</f>
        <v/>
      </c>
      <c r="J41" s="27">
        <f>IF(OR($A41="",_Engine!$D$44=0),"",INDEX(_Engine!$E99:$X99,1,(_Engine!$J$44-1)*4+3))</f>
        <v/>
      </c>
      <c r="K41" s="27">
        <f>IF(OR($A41="",_Engine!$D$45=0),"",INDEX(_Engine!$E99:$X99,1,(_Engine!$J$45-1)*4+3))</f>
        <v/>
      </c>
    </row>
    <row r="42">
      <c r="A42" s="25">
        <f>IF(39&lt;=_Engine!$B$36,39,"")</f>
        <v/>
      </c>
      <c r="B42" s="26">
        <f>IF($A42="","",EDATE(_Engine!$B$5,$A42-1))</f>
        <v/>
      </c>
      <c r="C42" s="27">
        <f>IF($A42="","",_Engine!$AJ100)</f>
        <v/>
      </c>
      <c r="D42" s="27">
        <f>IF($A42="","",_Engine!$AK100)</f>
        <v/>
      </c>
      <c r="E42" s="27">
        <f>IF($A42="","",_Engine!$AJ100-_Engine!$AK100)</f>
        <v/>
      </c>
      <c r="F42" s="27">
        <f>IF($A42="","",_Engine!$AI100)</f>
        <v/>
      </c>
      <c r="G42" s="27">
        <f>IF(OR($A42="",_Engine!$D$41=0),"",INDEX(_Engine!$E100:$X100,1,(_Engine!$J$41-1)*4+3))</f>
        <v/>
      </c>
      <c r="H42" s="27">
        <f>IF(OR($A42="",_Engine!$D$42=0),"",INDEX(_Engine!$E100:$X100,1,(_Engine!$J$42-1)*4+3))</f>
        <v/>
      </c>
      <c r="I42" s="27">
        <f>IF(OR($A42="",_Engine!$D$43=0),"",INDEX(_Engine!$E100:$X100,1,(_Engine!$J$43-1)*4+3))</f>
        <v/>
      </c>
      <c r="J42" s="27">
        <f>IF(OR($A42="",_Engine!$D$44=0),"",INDEX(_Engine!$E100:$X100,1,(_Engine!$J$44-1)*4+3))</f>
        <v/>
      </c>
      <c r="K42" s="27">
        <f>IF(OR($A42="",_Engine!$D$45=0),"",INDEX(_Engine!$E100:$X100,1,(_Engine!$J$45-1)*4+3))</f>
        <v/>
      </c>
    </row>
    <row r="43">
      <c r="A43" s="25">
        <f>IF(40&lt;=_Engine!$B$36,40,"")</f>
        <v/>
      </c>
      <c r="B43" s="26">
        <f>IF($A43="","",EDATE(_Engine!$B$5,$A43-1))</f>
        <v/>
      </c>
      <c r="C43" s="27">
        <f>IF($A43="","",_Engine!$AJ101)</f>
        <v/>
      </c>
      <c r="D43" s="27">
        <f>IF($A43="","",_Engine!$AK101)</f>
        <v/>
      </c>
      <c r="E43" s="27">
        <f>IF($A43="","",_Engine!$AJ101-_Engine!$AK101)</f>
        <v/>
      </c>
      <c r="F43" s="27">
        <f>IF($A43="","",_Engine!$AI101)</f>
        <v/>
      </c>
      <c r="G43" s="27">
        <f>IF(OR($A43="",_Engine!$D$41=0),"",INDEX(_Engine!$E101:$X101,1,(_Engine!$J$41-1)*4+3))</f>
        <v/>
      </c>
      <c r="H43" s="27">
        <f>IF(OR($A43="",_Engine!$D$42=0),"",INDEX(_Engine!$E101:$X101,1,(_Engine!$J$42-1)*4+3))</f>
        <v/>
      </c>
      <c r="I43" s="27">
        <f>IF(OR($A43="",_Engine!$D$43=0),"",INDEX(_Engine!$E101:$X101,1,(_Engine!$J$43-1)*4+3))</f>
        <v/>
      </c>
      <c r="J43" s="27">
        <f>IF(OR($A43="",_Engine!$D$44=0),"",INDEX(_Engine!$E101:$X101,1,(_Engine!$J$44-1)*4+3))</f>
        <v/>
      </c>
      <c r="K43" s="27">
        <f>IF(OR($A43="",_Engine!$D$45=0),"",INDEX(_Engine!$E101:$X101,1,(_Engine!$J$45-1)*4+3))</f>
        <v/>
      </c>
    </row>
    <row r="44">
      <c r="A44" s="25">
        <f>IF(41&lt;=_Engine!$B$36,41,"")</f>
        <v/>
      </c>
      <c r="B44" s="26">
        <f>IF($A44="","",EDATE(_Engine!$B$5,$A44-1))</f>
        <v/>
      </c>
      <c r="C44" s="27">
        <f>IF($A44="","",_Engine!$AJ102)</f>
        <v/>
      </c>
      <c r="D44" s="27">
        <f>IF($A44="","",_Engine!$AK102)</f>
        <v/>
      </c>
      <c r="E44" s="27">
        <f>IF($A44="","",_Engine!$AJ102-_Engine!$AK102)</f>
        <v/>
      </c>
      <c r="F44" s="27">
        <f>IF($A44="","",_Engine!$AI102)</f>
        <v/>
      </c>
      <c r="G44" s="27">
        <f>IF(OR($A44="",_Engine!$D$41=0),"",INDEX(_Engine!$E102:$X102,1,(_Engine!$J$41-1)*4+3))</f>
        <v/>
      </c>
      <c r="H44" s="27">
        <f>IF(OR($A44="",_Engine!$D$42=0),"",INDEX(_Engine!$E102:$X102,1,(_Engine!$J$42-1)*4+3))</f>
        <v/>
      </c>
      <c r="I44" s="27">
        <f>IF(OR($A44="",_Engine!$D$43=0),"",INDEX(_Engine!$E102:$X102,1,(_Engine!$J$43-1)*4+3))</f>
        <v/>
      </c>
      <c r="J44" s="27">
        <f>IF(OR($A44="",_Engine!$D$44=0),"",INDEX(_Engine!$E102:$X102,1,(_Engine!$J$44-1)*4+3))</f>
        <v/>
      </c>
      <c r="K44" s="27">
        <f>IF(OR($A44="",_Engine!$D$45=0),"",INDEX(_Engine!$E102:$X102,1,(_Engine!$J$45-1)*4+3))</f>
        <v/>
      </c>
    </row>
    <row r="45">
      <c r="A45" s="25">
        <f>IF(42&lt;=_Engine!$B$36,42,"")</f>
        <v/>
      </c>
      <c r="B45" s="26">
        <f>IF($A45="","",EDATE(_Engine!$B$5,$A45-1))</f>
        <v/>
      </c>
      <c r="C45" s="27">
        <f>IF($A45="","",_Engine!$AJ103)</f>
        <v/>
      </c>
      <c r="D45" s="27">
        <f>IF($A45="","",_Engine!$AK103)</f>
        <v/>
      </c>
      <c r="E45" s="27">
        <f>IF($A45="","",_Engine!$AJ103-_Engine!$AK103)</f>
        <v/>
      </c>
      <c r="F45" s="27">
        <f>IF($A45="","",_Engine!$AI103)</f>
        <v/>
      </c>
      <c r="G45" s="27">
        <f>IF(OR($A45="",_Engine!$D$41=0),"",INDEX(_Engine!$E103:$X103,1,(_Engine!$J$41-1)*4+3))</f>
        <v/>
      </c>
      <c r="H45" s="27">
        <f>IF(OR($A45="",_Engine!$D$42=0),"",INDEX(_Engine!$E103:$X103,1,(_Engine!$J$42-1)*4+3))</f>
        <v/>
      </c>
      <c r="I45" s="27">
        <f>IF(OR($A45="",_Engine!$D$43=0),"",INDEX(_Engine!$E103:$X103,1,(_Engine!$J$43-1)*4+3))</f>
        <v/>
      </c>
      <c r="J45" s="27">
        <f>IF(OR($A45="",_Engine!$D$44=0),"",INDEX(_Engine!$E103:$X103,1,(_Engine!$J$44-1)*4+3))</f>
        <v/>
      </c>
      <c r="K45" s="27">
        <f>IF(OR($A45="",_Engine!$D$45=0),"",INDEX(_Engine!$E103:$X103,1,(_Engine!$J$45-1)*4+3))</f>
        <v/>
      </c>
    </row>
    <row r="46">
      <c r="A46" s="25">
        <f>IF(43&lt;=_Engine!$B$36,43,"")</f>
        <v/>
      </c>
      <c r="B46" s="26">
        <f>IF($A46="","",EDATE(_Engine!$B$5,$A46-1))</f>
        <v/>
      </c>
      <c r="C46" s="27">
        <f>IF($A46="","",_Engine!$AJ104)</f>
        <v/>
      </c>
      <c r="D46" s="27">
        <f>IF($A46="","",_Engine!$AK104)</f>
        <v/>
      </c>
      <c r="E46" s="27">
        <f>IF($A46="","",_Engine!$AJ104-_Engine!$AK104)</f>
        <v/>
      </c>
      <c r="F46" s="27">
        <f>IF($A46="","",_Engine!$AI104)</f>
        <v/>
      </c>
      <c r="G46" s="27">
        <f>IF(OR($A46="",_Engine!$D$41=0),"",INDEX(_Engine!$E104:$X104,1,(_Engine!$J$41-1)*4+3))</f>
        <v/>
      </c>
      <c r="H46" s="27">
        <f>IF(OR($A46="",_Engine!$D$42=0),"",INDEX(_Engine!$E104:$X104,1,(_Engine!$J$42-1)*4+3))</f>
        <v/>
      </c>
      <c r="I46" s="27">
        <f>IF(OR($A46="",_Engine!$D$43=0),"",INDEX(_Engine!$E104:$X104,1,(_Engine!$J$43-1)*4+3))</f>
        <v/>
      </c>
      <c r="J46" s="27">
        <f>IF(OR($A46="",_Engine!$D$44=0),"",INDEX(_Engine!$E104:$X104,1,(_Engine!$J$44-1)*4+3))</f>
        <v/>
      </c>
      <c r="K46" s="27">
        <f>IF(OR($A46="",_Engine!$D$45=0),"",INDEX(_Engine!$E104:$X104,1,(_Engine!$J$45-1)*4+3))</f>
        <v/>
      </c>
    </row>
    <row r="47">
      <c r="A47" s="25">
        <f>IF(44&lt;=_Engine!$B$36,44,"")</f>
        <v/>
      </c>
      <c r="B47" s="26">
        <f>IF($A47="","",EDATE(_Engine!$B$5,$A47-1))</f>
        <v/>
      </c>
      <c r="C47" s="27">
        <f>IF($A47="","",_Engine!$AJ105)</f>
        <v/>
      </c>
      <c r="D47" s="27">
        <f>IF($A47="","",_Engine!$AK105)</f>
        <v/>
      </c>
      <c r="E47" s="27">
        <f>IF($A47="","",_Engine!$AJ105-_Engine!$AK105)</f>
        <v/>
      </c>
      <c r="F47" s="27">
        <f>IF($A47="","",_Engine!$AI105)</f>
        <v/>
      </c>
      <c r="G47" s="27">
        <f>IF(OR($A47="",_Engine!$D$41=0),"",INDEX(_Engine!$E105:$X105,1,(_Engine!$J$41-1)*4+3))</f>
        <v/>
      </c>
      <c r="H47" s="27">
        <f>IF(OR($A47="",_Engine!$D$42=0),"",INDEX(_Engine!$E105:$X105,1,(_Engine!$J$42-1)*4+3))</f>
        <v/>
      </c>
      <c r="I47" s="27">
        <f>IF(OR($A47="",_Engine!$D$43=0),"",INDEX(_Engine!$E105:$X105,1,(_Engine!$J$43-1)*4+3))</f>
        <v/>
      </c>
      <c r="J47" s="27">
        <f>IF(OR($A47="",_Engine!$D$44=0),"",INDEX(_Engine!$E105:$X105,1,(_Engine!$J$44-1)*4+3))</f>
        <v/>
      </c>
      <c r="K47" s="27">
        <f>IF(OR($A47="",_Engine!$D$45=0),"",INDEX(_Engine!$E105:$X105,1,(_Engine!$J$45-1)*4+3))</f>
        <v/>
      </c>
    </row>
    <row r="48">
      <c r="A48" s="25">
        <f>IF(45&lt;=_Engine!$B$36,45,"")</f>
        <v/>
      </c>
      <c r="B48" s="26">
        <f>IF($A48="","",EDATE(_Engine!$B$5,$A48-1))</f>
        <v/>
      </c>
      <c r="C48" s="27">
        <f>IF($A48="","",_Engine!$AJ106)</f>
        <v/>
      </c>
      <c r="D48" s="27">
        <f>IF($A48="","",_Engine!$AK106)</f>
        <v/>
      </c>
      <c r="E48" s="27">
        <f>IF($A48="","",_Engine!$AJ106-_Engine!$AK106)</f>
        <v/>
      </c>
      <c r="F48" s="27">
        <f>IF($A48="","",_Engine!$AI106)</f>
        <v/>
      </c>
      <c r="G48" s="27">
        <f>IF(OR($A48="",_Engine!$D$41=0),"",INDEX(_Engine!$E106:$X106,1,(_Engine!$J$41-1)*4+3))</f>
        <v/>
      </c>
      <c r="H48" s="27">
        <f>IF(OR($A48="",_Engine!$D$42=0),"",INDEX(_Engine!$E106:$X106,1,(_Engine!$J$42-1)*4+3))</f>
        <v/>
      </c>
      <c r="I48" s="27">
        <f>IF(OR($A48="",_Engine!$D$43=0),"",INDEX(_Engine!$E106:$X106,1,(_Engine!$J$43-1)*4+3))</f>
        <v/>
      </c>
      <c r="J48" s="27">
        <f>IF(OR($A48="",_Engine!$D$44=0),"",INDEX(_Engine!$E106:$X106,1,(_Engine!$J$44-1)*4+3))</f>
        <v/>
      </c>
      <c r="K48" s="27">
        <f>IF(OR($A48="",_Engine!$D$45=0),"",INDEX(_Engine!$E106:$X106,1,(_Engine!$J$45-1)*4+3))</f>
        <v/>
      </c>
    </row>
    <row r="49">
      <c r="A49" s="25">
        <f>IF(46&lt;=_Engine!$B$36,46,"")</f>
        <v/>
      </c>
      <c r="B49" s="26">
        <f>IF($A49="","",EDATE(_Engine!$B$5,$A49-1))</f>
        <v/>
      </c>
      <c r="C49" s="27">
        <f>IF($A49="","",_Engine!$AJ107)</f>
        <v/>
      </c>
      <c r="D49" s="27">
        <f>IF($A49="","",_Engine!$AK107)</f>
        <v/>
      </c>
      <c r="E49" s="27">
        <f>IF($A49="","",_Engine!$AJ107-_Engine!$AK107)</f>
        <v/>
      </c>
      <c r="F49" s="27">
        <f>IF($A49="","",_Engine!$AI107)</f>
        <v/>
      </c>
      <c r="G49" s="27">
        <f>IF(OR($A49="",_Engine!$D$41=0),"",INDEX(_Engine!$E107:$X107,1,(_Engine!$J$41-1)*4+3))</f>
        <v/>
      </c>
      <c r="H49" s="27">
        <f>IF(OR($A49="",_Engine!$D$42=0),"",INDEX(_Engine!$E107:$X107,1,(_Engine!$J$42-1)*4+3))</f>
        <v/>
      </c>
      <c r="I49" s="27">
        <f>IF(OR($A49="",_Engine!$D$43=0),"",INDEX(_Engine!$E107:$X107,1,(_Engine!$J$43-1)*4+3))</f>
        <v/>
      </c>
      <c r="J49" s="27">
        <f>IF(OR($A49="",_Engine!$D$44=0),"",INDEX(_Engine!$E107:$X107,1,(_Engine!$J$44-1)*4+3))</f>
        <v/>
      </c>
      <c r="K49" s="27">
        <f>IF(OR($A49="",_Engine!$D$45=0),"",INDEX(_Engine!$E107:$X107,1,(_Engine!$J$45-1)*4+3))</f>
        <v/>
      </c>
    </row>
    <row r="50">
      <c r="A50" s="25">
        <f>IF(47&lt;=_Engine!$B$36,47,"")</f>
        <v/>
      </c>
      <c r="B50" s="26">
        <f>IF($A50="","",EDATE(_Engine!$B$5,$A50-1))</f>
        <v/>
      </c>
      <c r="C50" s="27">
        <f>IF($A50="","",_Engine!$AJ108)</f>
        <v/>
      </c>
      <c r="D50" s="27">
        <f>IF($A50="","",_Engine!$AK108)</f>
        <v/>
      </c>
      <c r="E50" s="27">
        <f>IF($A50="","",_Engine!$AJ108-_Engine!$AK108)</f>
        <v/>
      </c>
      <c r="F50" s="27">
        <f>IF($A50="","",_Engine!$AI108)</f>
        <v/>
      </c>
      <c r="G50" s="27">
        <f>IF(OR($A50="",_Engine!$D$41=0),"",INDEX(_Engine!$E108:$X108,1,(_Engine!$J$41-1)*4+3))</f>
        <v/>
      </c>
      <c r="H50" s="27">
        <f>IF(OR($A50="",_Engine!$D$42=0),"",INDEX(_Engine!$E108:$X108,1,(_Engine!$J$42-1)*4+3))</f>
        <v/>
      </c>
      <c r="I50" s="27">
        <f>IF(OR($A50="",_Engine!$D$43=0),"",INDEX(_Engine!$E108:$X108,1,(_Engine!$J$43-1)*4+3))</f>
        <v/>
      </c>
      <c r="J50" s="27">
        <f>IF(OR($A50="",_Engine!$D$44=0),"",INDEX(_Engine!$E108:$X108,1,(_Engine!$J$44-1)*4+3))</f>
        <v/>
      </c>
      <c r="K50" s="27">
        <f>IF(OR($A50="",_Engine!$D$45=0),"",INDEX(_Engine!$E108:$X108,1,(_Engine!$J$45-1)*4+3))</f>
        <v/>
      </c>
    </row>
    <row r="51">
      <c r="A51" s="25">
        <f>IF(48&lt;=_Engine!$B$36,48,"")</f>
        <v/>
      </c>
      <c r="B51" s="26">
        <f>IF($A51="","",EDATE(_Engine!$B$5,$A51-1))</f>
        <v/>
      </c>
      <c r="C51" s="27">
        <f>IF($A51="","",_Engine!$AJ109)</f>
        <v/>
      </c>
      <c r="D51" s="27">
        <f>IF($A51="","",_Engine!$AK109)</f>
        <v/>
      </c>
      <c r="E51" s="27">
        <f>IF($A51="","",_Engine!$AJ109-_Engine!$AK109)</f>
        <v/>
      </c>
      <c r="F51" s="27">
        <f>IF($A51="","",_Engine!$AI109)</f>
        <v/>
      </c>
      <c r="G51" s="27">
        <f>IF(OR($A51="",_Engine!$D$41=0),"",INDEX(_Engine!$E109:$X109,1,(_Engine!$J$41-1)*4+3))</f>
        <v/>
      </c>
      <c r="H51" s="27">
        <f>IF(OR($A51="",_Engine!$D$42=0),"",INDEX(_Engine!$E109:$X109,1,(_Engine!$J$42-1)*4+3))</f>
        <v/>
      </c>
      <c r="I51" s="27">
        <f>IF(OR($A51="",_Engine!$D$43=0),"",INDEX(_Engine!$E109:$X109,1,(_Engine!$J$43-1)*4+3))</f>
        <v/>
      </c>
      <c r="J51" s="27">
        <f>IF(OR($A51="",_Engine!$D$44=0),"",INDEX(_Engine!$E109:$X109,1,(_Engine!$J$44-1)*4+3))</f>
        <v/>
      </c>
      <c r="K51" s="27">
        <f>IF(OR($A51="",_Engine!$D$45=0),"",INDEX(_Engine!$E109:$X109,1,(_Engine!$J$45-1)*4+3))</f>
        <v/>
      </c>
    </row>
    <row r="52">
      <c r="A52" s="25">
        <f>IF(49&lt;=_Engine!$B$36,49,"")</f>
        <v/>
      </c>
      <c r="B52" s="26">
        <f>IF($A52="","",EDATE(_Engine!$B$5,$A52-1))</f>
        <v/>
      </c>
      <c r="C52" s="27">
        <f>IF($A52="","",_Engine!$AJ110)</f>
        <v/>
      </c>
      <c r="D52" s="27">
        <f>IF($A52="","",_Engine!$AK110)</f>
        <v/>
      </c>
      <c r="E52" s="27">
        <f>IF($A52="","",_Engine!$AJ110-_Engine!$AK110)</f>
        <v/>
      </c>
      <c r="F52" s="27">
        <f>IF($A52="","",_Engine!$AI110)</f>
        <v/>
      </c>
      <c r="G52" s="27">
        <f>IF(OR($A52="",_Engine!$D$41=0),"",INDEX(_Engine!$E110:$X110,1,(_Engine!$J$41-1)*4+3))</f>
        <v/>
      </c>
      <c r="H52" s="27">
        <f>IF(OR($A52="",_Engine!$D$42=0),"",INDEX(_Engine!$E110:$X110,1,(_Engine!$J$42-1)*4+3))</f>
        <v/>
      </c>
      <c r="I52" s="27">
        <f>IF(OR($A52="",_Engine!$D$43=0),"",INDEX(_Engine!$E110:$X110,1,(_Engine!$J$43-1)*4+3))</f>
        <v/>
      </c>
      <c r="J52" s="27">
        <f>IF(OR($A52="",_Engine!$D$44=0),"",INDEX(_Engine!$E110:$X110,1,(_Engine!$J$44-1)*4+3))</f>
        <v/>
      </c>
      <c r="K52" s="27">
        <f>IF(OR($A52="",_Engine!$D$45=0),"",INDEX(_Engine!$E110:$X110,1,(_Engine!$J$45-1)*4+3))</f>
        <v/>
      </c>
    </row>
    <row r="53">
      <c r="A53" s="25">
        <f>IF(50&lt;=_Engine!$B$36,50,"")</f>
        <v/>
      </c>
      <c r="B53" s="26">
        <f>IF($A53="","",EDATE(_Engine!$B$5,$A53-1))</f>
        <v/>
      </c>
      <c r="C53" s="27">
        <f>IF($A53="","",_Engine!$AJ111)</f>
        <v/>
      </c>
      <c r="D53" s="27">
        <f>IF($A53="","",_Engine!$AK111)</f>
        <v/>
      </c>
      <c r="E53" s="27">
        <f>IF($A53="","",_Engine!$AJ111-_Engine!$AK111)</f>
        <v/>
      </c>
      <c r="F53" s="27">
        <f>IF($A53="","",_Engine!$AI111)</f>
        <v/>
      </c>
      <c r="G53" s="27">
        <f>IF(OR($A53="",_Engine!$D$41=0),"",INDEX(_Engine!$E111:$X111,1,(_Engine!$J$41-1)*4+3))</f>
        <v/>
      </c>
      <c r="H53" s="27">
        <f>IF(OR($A53="",_Engine!$D$42=0),"",INDEX(_Engine!$E111:$X111,1,(_Engine!$J$42-1)*4+3))</f>
        <v/>
      </c>
      <c r="I53" s="27">
        <f>IF(OR($A53="",_Engine!$D$43=0),"",INDEX(_Engine!$E111:$X111,1,(_Engine!$J$43-1)*4+3))</f>
        <v/>
      </c>
      <c r="J53" s="27">
        <f>IF(OR($A53="",_Engine!$D$44=0),"",INDEX(_Engine!$E111:$X111,1,(_Engine!$J$44-1)*4+3))</f>
        <v/>
      </c>
      <c r="K53" s="27">
        <f>IF(OR($A53="",_Engine!$D$45=0),"",INDEX(_Engine!$E111:$X111,1,(_Engine!$J$45-1)*4+3))</f>
        <v/>
      </c>
    </row>
    <row r="54">
      <c r="A54" s="25">
        <f>IF(51&lt;=_Engine!$B$36,51,"")</f>
        <v/>
      </c>
      <c r="B54" s="26">
        <f>IF($A54="","",EDATE(_Engine!$B$5,$A54-1))</f>
        <v/>
      </c>
      <c r="C54" s="27">
        <f>IF($A54="","",_Engine!$AJ112)</f>
        <v/>
      </c>
      <c r="D54" s="27">
        <f>IF($A54="","",_Engine!$AK112)</f>
        <v/>
      </c>
      <c r="E54" s="27">
        <f>IF($A54="","",_Engine!$AJ112-_Engine!$AK112)</f>
        <v/>
      </c>
      <c r="F54" s="27">
        <f>IF($A54="","",_Engine!$AI112)</f>
        <v/>
      </c>
      <c r="G54" s="27">
        <f>IF(OR($A54="",_Engine!$D$41=0),"",INDEX(_Engine!$E112:$X112,1,(_Engine!$J$41-1)*4+3))</f>
        <v/>
      </c>
      <c r="H54" s="27">
        <f>IF(OR($A54="",_Engine!$D$42=0),"",INDEX(_Engine!$E112:$X112,1,(_Engine!$J$42-1)*4+3))</f>
        <v/>
      </c>
      <c r="I54" s="27">
        <f>IF(OR($A54="",_Engine!$D$43=0),"",INDEX(_Engine!$E112:$X112,1,(_Engine!$J$43-1)*4+3))</f>
        <v/>
      </c>
      <c r="J54" s="27">
        <f>IF(OR($A54="",_Engine!$D$44=0),"",INDEX(_Engine!$E112:$X112,1,(_Engine!$J$44-1)*4+3))</f>
        <v/>
      </c>
      <c r="K54" s="27">
        <f>IF(OR($A54="",_Engine!$D$45=0),"",INDEX(_Engine!$E112:$X112,1,(_Engine!$J$45-1)*4+3))</f>
        <v/>
      </c>
    </row>
    <row r="55">
      <c r="A55" s="25">
        <f>IF(52&lt;=_Engine!$B$36,52,"")</f>
        <v/>
      </c>
      <c r="B55" s="26">
        <f>IF($A55="","",EDATE(_Engine!$B$5,$A55-1))</f>
        <v/>
      </c>
      <c r="C55" s="27">
        <f>IF($A55="","",_Engine!$AJ113)</f>
        <v/>
      </c>
      <c r="D55" s="27">
        <f>IF($A55="","",_Engine!$AK113)</f>
        <v/>
      </c>
      <c r="E55" s="27">
        <f>IF($A55="","",_Engine!$AJ113-_Engine!$AK113)</f>
        <v/>
      </c>
      <c r="F55" s="27">
        <f>IF($A55="","",_Engine!$AI113)</f>
        <v/>
      </c>
      <c r="G55" s="27">
        <f>IF(OR($A55="",_Engine!$D$41=0),"",INDEX(_Engine!$E113:$X113,1,(_Engine!$J$41-1)*4+3))</f>
        <v/>
      </c>
      <c r="H55" s="27">
        <f>IF(OR($A55="",_Engine!$D$42=0),"",INDEX(_Engine!$E113:$X113,1,(_Engine!$J$42-1)*4+3))</f>
        <v/>
      </c>
      <c r="I55" s="27">
        <f>IF(OR($A55="",_Engine!$D$43=0),"",INDEX(_Engine!$E113:$X113,1,(_Engine!$J$43-1)*4+3))</f>
        <v/>
      </c>
      <c r="J55" s="27">
        <f>IF(OR($A55="",_Engine!$D$44=0),"",INDEX(_Engine!$E113:$X113,1,(_Engine!$J$44-1)*4+3))</f>
        <v/>
      </c>
      <c r="K55" s="27">
        <f>IF(OR($A55="",_Engine!$D$45=0),"",INDEX(_Engine!$E113:$X113,1,(_Engine!$J$45-1)*4+3))</f>
        <v/>
      </c>
    </row>
    <row r="56">
      <c r="A56" s="25">
        <f>IF(53&lt;=_Engine!$B$36,53,"")</f>
        <v/>
      </c>
      <c r="B56" s="26">
        <f>IF($A56="","",EDATE(_Engine!$B$5,$A56-1))</f>
        <v/>
      </c>
      <c r="C56" s="27">
        <f>IF($A56="","",_Engine!$AJ114)</f>
        <v/>
      </c>
      <c r="D56" s="27">
        <f>IF($A56="","",_Engine!$AK114)</f>
        <v/>
      </c>
      <c r="E56" s="27">
        <f>IF($A56="","",_Engine!$AJ114-_Engine!$AK114)</f>
        <v/>
      </c>
      <c r="F56" s="27">
        <f>IF($A56="","",_Engine!$AI114)</f>
        <v/>
      </c>
      <c r="G56" s="27">
        <f>IF(OR($A56="",_Engine!$D$41=0),"",INDEX(_Engine!$E114:$X114,1,(_Engine!$J$41-1)*4+3))</f>
        <v/>
      </c>
      <c r="H56" s="27">
        <f>IF(OR($A56="",_Engine!$D$42=0),"",INDEX(_Engine!$E114:$X114,1,(_Engine!$J$42-1)*4+3))</f>
        <v/>
      </c>
      <c r="I56" s="27">
        <f>IF(OR($A56="",_Engine!$D$43=0),"",INDEX(_Engine!$E114:$X114,1,(_Engine!$J$43-1)*4+3))</f>
        <v/>
      </c>
      <c r="J56" s="27">
        <f>IF(OR($A56="",_Engine!$D$44=0),"",INDEX(_Engine!$E114:$X114,1,(_Engine!$J$44-1)*4+3))</f>
        <v/>
      </c>
      <c r="K56" s="27">
        <f>IF(OR($A56="",_Engine!$D$45=0),"",INDEX(_Engine!$E114:$X114,1,(_Engine!$J$45-1)*4+3))</f>
        <v/>
      </c>
    </row>
    <row r="57">
      <c r="A57" s="25">
        <f>IF(54&lt;=_Engine!$B$36,54,"")</f>
        <v/>
      </c>
      <c r="B57" s="26">
        <f>IF($A57="","",EDATE(_Engine!$B$5,$A57-1))</f>
        <v/>
      </c>
      <c r="C57" s="27">
        <f>IF($A57="","",_Engine!$AJ115)</f>
        <v/>
      </c>
      <c r="D57" s="27">
        <f>IF($A57="","",_Engine!$AK115)</f>
        <v/>
      </c>
      <c r="E57" s="27">
        <f>IF($A57="","",_Engine!$AJ115-_Engine!$AK115)</f>
        <v/>
      </c>
      <c r="F57" s="27">
        <f>IF($A57="","",_Engine!$AI115)</f>
        <v/>
      </c>
      <c r="G57" s="27">
        <f>IF(OR($A57="",_Engine!$D$41=0),"",INDEX(_Engine!$E115:$X115,1,(_Engine!$J$41-1)*4+3))</f>
        <v/>
      </c>
      <c r="H57" s="27">
        <f>IF(OR($A57="",_Engine!$D$42=0),"",INDEX(_Engine!$E115:$X115,1,(_Engine!$J$42-1)*4+3))</f>
        <v/>
      </c>
      <c r="I57" s="27">
        <f>IF(OR($A57="",_Engine!$D$43=0),"",INDEX(_Engine!$E115:$X115,1,(_Engine!$J$43-1)*4+3))</f>
        <v/>
      </c>
      <c r="J57" s="27">
        <f>IF(OR($A57="",_Engine!$D$44=0),"",INDEX(_Engine!$E115:$X115,1,(_Engine!$J$44-1)*4+3))</f>
        <v/>
      </c>
      <c r="K57" s="27">
        <f>IF(OR($A57="",_Engine!$D$45=0),"",INDEX(_Engine!$E115:$X115,1,(_Engine!$J$45-1)*4+3))</f>
        <v/>
      </c>
    </row>
    <row r="58">
      <c r="A58" s="25">
        <f>IF(55&lt;=_Engine!$B$36,55,"")</f>
        <v/>
      </c>
      <c r="B58" s="26">
        <f>IF($A58="","",EDATE(_Engine!$B$5,$A58-1))</f>
        <v/>
      </c>
      <c r="C58" s="27">
        <f>IF($A58="","",_Engine!$AJ116)</f>
        <v/>
      </c>
      <c r="D58" s="27">
        <f>IF($A58="","",_Engine!$AK116)</f>
        <v/>
      </c>
      <c r="E58" s="27">
        <f>IF($A58="","",_Engine!$AJ116-_Engine!$AK116)</f>
        <v/>
      </c>
      <c r="F58" s="27">
        <f>IF($A58="","",_Engine!$AI116)</f>
        <v/>
      </c>
      <c r="G58" s="27">
        <f>IF(OR($A58="",_Engine!$D$41=0),"",INDEX(_Engine!$E116:$X116,1,(_Engine!$J$41-1)*4+3))</f>
        <v/>
      </c>
      <c r="H58" s="27">
        <f>IF(OR($A58="",_Engine!$D$42=0),"",INDEX(_Engine!$E116:$X116,1,(_Engine!$J$42-1)*4+3))</f>
        <v/>
      </c>
      <c r="I58" s="27">
        <f>IF(OR($A58="",_Engine!$D$43=0),"",INDEX(_Engine!$E116:$X116,1,(_Engine!$J$43-1)*4+3))</f>
        <v/>
      </c>
      <c r="J58" s="27">
        <f>IF(OR($A58="",_Engine!$D$44=0),"",INDEX(_Engine!$E116:$X116,1,(_Engine!$J$44-1)*4+3))</f>
        <v/>
      </c>
      <c r="K58" s="27">
        <f>IF(OR($A58="",_Engine!$D$45=0),"",INDEX(_Engine!$E116:$X116,1,(_Engine!$J$45-1)*4+3))</f>
        <v/>
      </c>
    </row>
    <row r="59">
      <c r="A59" s="25">
        <f>IF(56&lt;=_Engine!$B$36,56,"")</f>
        <v/>
      </c>
      <c r="B59" s="26">
        <f>IF($A59="","",EDATE(_Engine!$B$5,$A59-1))</f>
        <v/>
      </c>
      <c r="C59" s="27">
        <f>IF($A59="","",_Engine!$AJ117)</f>
        <v/>
      </c>
      <c r="D59" s="27">
        <f>IF($A59="","",_Engine!$AK117)</f>
        <v/>
      </c>
      <c r="E59" s="27">
        <f>IF($A59="","",_Engine!$AJ117-_Engine!$AK117)</f>
        <v/>
      </c>
      <c r="F59" s="27">
        <f>IF($A59="","",_Engine!$AI117)</f>
        <v/>
      </c>
      <c r="G59" s="27">
        <f>IF(OR($A59="",_Engine!$D$41=0),"",INDEX(_Engine!$E117:$X117,1,(_Engine!$J$41-1)*4+3))</f>
        <v/>
      </c>
      <c r="H59" s="27">
        <f>IF(OR($A59="",_Engine!$D$42=0),"",INDEX(_Engine!$E117:$X117,1,(_Engine!$J$42-1)*4+3))</f>
        <v/>
      </c>
      <c r="I59" s="27">
        <f>IF(OR($A59="",_Engine!$D$43=0),"",INDEX(_Engine!$E117:$X117,1,(_Engine!$J$43-1)*4+3))</f>
        <v/>
      </c>
      <c r="J59" s="27">
        <f>IF(OR($A59="",_Engine!$D$44=0),"",INDEX(_Engine!$E117:$X117,1,(_Engine!$J$44-1)*4+3))</f>
        <v/>
      </c>
      <c r="K59" s="27">
        <f>IF(OR($A59="",_Engine!$D$45=0),"",INDEX(_Engine!$E117:$X117,1,(_Engine!$J$45-1)*4+3))</f>
        <v/>
      </c>
    </row>
    <row r="60">
      <c r="A60" s="25">
        <f>IF(57&lt;=_Engine!$B$36,57,"")</f>
        <v/>
      </c>
      <c r="B60" s="26">
        <f>IF($A60="","",EDATE(_Engine!$B$5,$A60-1))</f>
        <v/>
      </c>
      <c r="C60" s="27">
        <f>IF($A60="","",_Engine!$AJ118)</f>
        <v/>
      </c>
      <c r="D60" s="27">
        <f>IF($A60="","",_Engine!$AK118)</f>
        <v/>
      </c>
      <c r="E60" s="27">
        <f>IF($A60="","",_Engine!$AJ118-_Engine!$AK118)</f>
        <v/>
      </c>
      <c r="F60" s="27">
        <f>IF($A60="","",_Engine!$AI118)</f>
        <v/>
      </c>
      <c r="G60" s="27">
        <f>IF(OR($A60="",_Engine!$D$41=0),"",INDEX(_Engine!$E118:$X118,1,(_Engine!$J$41-1)*4+3))</f>
        <v/>
      </c>
      <c r="H60" s="27">
        <f>IF(OR($A60="",_Engine!$D$42=0),"",INDEX(_Engine!$E118:$X118,1,(_Engine!$J$42-1)*4+3))</f>
        <v/>
      </c>
      <c r="I60" s="27">
        <f>IF(OR($A60="",_Engine!$D$43=0),"",INDEX(_Engine!$E118:$X118,1,(_Engine!$J$43-1)*4+3))</f>
        <v/>
      </c>
      <c r="J60" s="27">
        <f>IF(OR($A60="",_Engine!$D$44=0),"",INDEX(_Engine!$E118:$X118,1,(_Engine!$J$44-1)*4+3))</f>
        <v/>
      </c>
      <c r="K60" s="27">
        <f>IF(OR($A60="",_Engine!$D$45=0),"",INDEX(_Engine!$E118:$X118,1,(_Engine!$J$45-1)*4+3))</f>
        <v/>
      </c>
    </row>
    <row r="61">
      <c r="A61" s="25">
        <f>IF(58&lt;=_Engine!$B$36,58,"")</f>
        <v/>
      </c>
      <c r="B61" s="26">
        <f>IF($A61="","",EDATE(_Engine!$B$5,$A61-1))</f>
        <v/>
      </c>
      <c r="C61" s="27">
        <f>IF($A61="","",_Engine!$AJ119)</f>
        <v/>
      </c>
      <c r="D61" s="27">
        <f>IF($A61="","",_Engine!$AK119)</f>
        <v/>
      </c>
      <c r="E61" s="27">
        <f>IF($A61="","",_Engine!$AJ119-_Engine!$AK119)</f>
        <v/>
      </c>
      <c r="F61" s="27">
        <f>IF($A61="","",_Engine!$AI119)</f>
        <v/>
      </c>
      <c r="G61" s="27">
        <f>IF(OR($A61="",_Engine!$D$41=0),"",INDEX(_Engine!$E119:$X119,1,(_Engine!$J$41-1)*4+3))</f>
        <v/>
      </c>
      <c r="H61" s="27">
        <f>IF(OR($A61="",_Engine!$D$42=0),"",INDEX(_Engine!$E119:$X119,1,(_Engine!$J$42-1)*4+3))</f>
        <v/>
      </c>
      <c r="I61" s="27">
        <f>IF(OR($A61="",_Engine!$D$43=0),"",INDEX(_Engine!$E119:$X119,1,(_Engine!$J$43-1)*4+3))</f>
        <v/>
      </c>
      <c r="J61" s="27">
        <f>IF(OR($A61="",_Engine!$D$44=0),"",INDEX(_Engine!$E119:$X119,1,(_Engine!$J$44-1)*4+3))</f>
        <v/>
      </c>
      <c r="K61" s="27">
        <f>IF(OR($A61="",_Engine!$D$45=0),"",INDEX(_Engine!$E119:$X119,1,(_Engine!$J$45-1)*4+3))</f>
        <v/>
      </c>
    </row>
    <row r="62">
      <c r="A62" s="25">
        <f>IF(59&lt;=_Engine!$B$36,59,"")</f>
        <v/>
      </c>
      <c r="B62" s="26">
        <f>IF($A62="","",EDATE(_Engine!$B$5,$A62-1))</f>
        <v/>
      </c>
      <c r="C62" s="27">
        <f>IF($A62="","",_Engine!$AJ120)</f>
        <v/>
      </c>
      <c r="D62" s="27">
        <f>IF($A62="","",_Engine!$AK120)</f>
        <v/>
      </c>
      <c r="E62" s="27">
        <f>IF($A62="","",_Engine!$AJ120-_Engine!$AK120)</f>
        <v/>
      </c>
      <c r="F62" s="27">
        <f>IF($A62="","",_Engine!$AI120)</f>
        <v/>
      </c>
      <c r="G62" s="27">
        <f>IF(OR($A62="",_Engine!$D$41=0),"",INDEX(_Engine!$E120:$X120,1,(_Engine!$J$41-1)*4+3))</f>
        <v/>
      </c>
      <c r="H62" s="27">
        <f>IF(OR($A62="",_Engine!$D$42=0),"",INDEX(_Engine!$E120:$X120,1,(_Engine!$J$42-1)*4+3))</f>
        <v/>
      </c>
      <c r="I62" s="27">
        <f>IF(OR($A62="",_Engine!$D$43=0),"",INDEX(_Engine!$E120:$X120,1,(_Engine!$J$43-1)*4+3))</f>
        <v/>
      </c>
      <c r="J62" s="27">
        <f>IF(OR($A62="",_Engine!$D$44=0),"",INDEX(_Engine!$E120:$X120,1,(_Engine!$J$44-1)*4+3))</f>
        <v/>
      </c>
      <c r="K62" s="27">
        <f>IF(OR($A62="",_Engine!$D$45=0),"",INDEX(_Engine!$E120:$X120,1,(_Engine!$J$45-1)*4+3))</f>
        <v/>
      </c>
    </row>
    <row r="63">
      <c r="A63" s="25">
        <f>IF(60&lt;=_Engine!$B$36,60,"")</f>
        <v/>
      </c>
      <c r="B63" s="26">
        <f>IF($A63="","",EDATE(_Engine!$B$5,$A63-1))</f>
        <v/>
      </c>
      <c r="C63" s="27">
        <f>IF($A63="","",_Engine!$AJ121)</f>
        <v/>
      </c>
      <c r="D63" s="27">
        <f>IF($A63="","",_Engine!$AK121)</f>
        <v/>
      </c>
      <c r="E63" s="27">
        <f>IF($A63="","",_Engine!$AJ121-_Engine!$AK121)</f>
        <v/>
      </c>
      <c r="F63" s="27">
        <f>IF($A63="","",_Engine!$AI121)</f>
        <v/>
      </c>
      <c r="G63" s="27">
        <f>IF(OR($A63="",_Engine!$D$41=0),"",INDEX(_Engine!$E121:$X121,1,(_Engine!$J$41-1)*4+3))</f>
        <v/>
      </c>
      <c r="H63" s="27">
        <f>IF(OR($A63="",_Engine!$D$42=0),"",INDEX(_Engine!$E121:$X121,1,(_Engine!$J$42-1)*4+3))</f>
        <v/>
      </c>
      <c r="I63" s="27">
        <f>IF(OR($A63="",_Engine!$D$43=0),"",INDEX(_Engine!$E121:$X121,1,(_Engine!$J$43-1)*4+3))</f>
        <v/>
      </c>
      <c r="J63" s="27">
        <f>IF(OR($A63="",_Engine!$D$44=0),"",INDEX(_Engine!$E121:$X121,1,(_Engine!$J$44-1)*4+3))</f>
        <v/>
      </c>
      <c r="K63" s="27">
        <f>IF(OR($A63="",_Engine!$D$45=0),"",INDEX(_Engine!$E121:$X121,1,(_Engine!$J$45-1)*4+3))</f>
        <v/>
      </c>
    </row>
    <row r="64">
      <c r="A64" s="25">
        <f>IF(61&lt;=_Engine!$B$36,61,"")</f>
        <v/>
      </c>
      <c r="B64" s="26">
        <f>IF($A64="","",EDATE(_Engine!$B$5,$A64-1))</f>
        <v/>
      </c>
      <c r="C64" s="27">
        <f>IF($A64="","",_Engine!$AJ122)</f>
        <v/>
      </c>
      <c r="D64" s="27">
        <f>IF($A64="","",_Engine!$AK122)</f>
        <v/>
      </c>
      <c r="E64" s="27">
        <f>IF($A64="","",_Engine!$AJ122-_Engine!$AK122)</f>
        <v/>
      </c>
      <c r="F64" s="27">
        <f>IF($A64="","",_Engine!$AI122)</f>
        <v/>
      </c>
      <c r="G64" s="27">
        <f>IF(OR($A64="",_Engine!$D$41=0),"",INDEX(_Engine!$E122:$X122,1,(_Engine!$J$41-1)*4+3))</f>
        <v/>
      </c>
      <c r="H64" s="27">
        <f>IF(OR($A64="",_Engine!$D$42=0),"",INDEX(_Engine!$E122:$X122,1,(_Engine!$J$42-1)*4+3))</f>
        <v/>
      </c>
      <c r="I64" s="27">
        <f>IF(OR($A64="",_Engine!$D$43=0),"",INDEX(_Engine!$E122:$X122,1,(_Engine!$J$43-1)*4+3))</f>
        <v/>
      </c>
      <c r="J64" s="27">
        <f>IF(OR($A64="",_Engine!$D$44=0),"",INDEX(_Engine!$E122:$X122,1,(_Engine!$J$44-1)*4+3))</f>
        <v/>
      </c>
      <c r="K64" s="27">
        <f>IF(OR($A64="",_Engine!$D$45=0),"",INDEX(_Engine!$E122:$X122,1,(_Engine!$J$45-1)*4+3))</f>
        <v/>
      </c>
    </row>
    <row r="65">
      <c r="A65" s="25">
        <f>IF(62&lt;=_Engine!$B$36,62,"")</f>
        <v/>
      </c>
      <c r="B65" s="26">
        <f>IF($A65="","",EDATE(_Engine!$B$5,$A65-1))</f>
        <v/>
      </c>
      <c r="C65" s="27">
        <f>IF($A65="","",_Engine!$AJ123)</f>
        <v/>
      </c>
      <c r="D65" s="27">
        <f>IF($A65="","",_Engine!$AK123)</f>
        <v/>
      </c>
      <c r="E65" s="27">
        <f>IF($A65="","",_Engine!$AJ123-_Engine!$AK123)</f>
        <v/>
      </c>
      <c r="F65" s="27">
        <f>IF($A65="","",_Engine!$AI123)</f>
        <v/>
      </c>
      <c r="G65" s="27">
        <f>IF(OR($A65="",_Engine!$D$41=0),"",INDEX(_Engine!$E123:$X123,1,(_Engine!$J$41-1)*4+3))</f>
        <v/>
      </c>
      <c r="H65" s="27">
        <f>IF(OR($A65="",_Engine!$D$42=0),"",INDEX(_Engine!$E123:$X123,1,(_Engine!$J$42-1)*4+3))</f>
        <v/>
      </c>
      <c r="I65" s="27">
        <f>IF(OR($A65="",_Engine!$D$43=0),"",INDEX(_Engine!$E123:$X123,1,(_Engine!$J$43-1)*4+3))</f>
        <v/>
      </c>
      <c r="J65" s="27">
        <f>IF(OR($A65="",_Engine!$D$44=0),"",INDEX(_Engine!$E123:$X123,1,(_Engine!$J$44-1)*4+3))</f>
        <v/>
      </c>
      <c r="K65" s="27">
        <f>IF(OR($A65="",_Engine!$D$45=0),"",INDEX(_Engine!$E123:$X123,1,(_Engine!$J$45-1)*4+3))</f>
        <v/>
      </c>
    </row>
    <row r="66">
      <c r="A66" s="25">
        <f>IF(63&lt;=_Engine!$B$36,63,"")</f>
        <v/>
      </c>
      <c r="B66" s="26">
        <f>IF($A66="","",EDATE(_Engine!$B$5,$A66-1))</f>
        <v/>
      </c>
      <c r="C66" s="27">
        <f>IF($A66="","",_Engine!$AJ124)</f>
        <v/>
      </c>
      <c r="D66" s="27">
        <f>IF($A66="","",_Engine!$AK124)</f>
        <v/>
      </c>
      <c r="E66" s="27">
        <f>IF($A66="","",_Engine!$AJ124-_Engine!$AK124)</f>
        <v/>
      </c>
      <c r="F66" s="27">
        <f>IF($A66="","",_Engine!$AI124)</f>
        <v/>
      </c>
      <c r="G66" s="27">
        <f>IF(OR($A66="",_Engine!$D$41=0),"",INDEX(_Engine!$E124:$X124,1,(_Engine!$J$41-1)*4+3))</f>
        <v/>
      </c>
      <c r="H66" s="27">
        <f>IF(OR($A66="",_Engine!$D$42=0),"",INDEX(_Engine!$E124:$X124,1,(_Engine!$J$42-1)*4+3))</f>
        <v/>
      </c>
      <c r="I66" s="27">
        <f>IF(OR($A66="",_Engine!$D$43=0),"",INDEX(_Engine!$E124:$X124,1,(_Engine!$J$43-1)*4+3))</f>
        <v/>
      </c>
      <c r="J66" s="27">
        <f>IF(OR($A66="",_Engine!$D$44=0),"",INDEX(_Engine!$E124:$X124,1,(_Engine!$J$44-1)*4+3))</f>
        <v/>
      </c>
      <c r="K66" s="27">
        <f>IF(OR($A66="",_Engine!$D$45=0),"",INDEX(_Engine!$E124:$X124,1,(_Engine!$J$45-1)*4+3))</f>
        <v/>
      </c>
    </row>
    <row r="67">
      <c r="A67" s="25">
        <f>IF(64&lt;=_Engine!$B$36,64,"")</f>
        <v/>
      </c>
      <c r="B67" s="26">
        <f>IF($A67="","",EDATE(_Engine!$B$5,$A67-1))</f>
        <v/>
      </c>
      <c r="C67" s="27">
        <f>IF($A67="","",_Engine!$AJ125)</f>
        <v/>
      </c>
      <c r="D67" s="27">
        <f>IF($A67="","",_Engine!$AK125)</f>
        <v/>
      </c>
      <c r="E67" s="27">
        <f>IF($A67="","",_Engine!$AJ125-_Engine!$AK125)</f>
        <v/>
      </c>
      <c r="F67" s="27">
        <f>IF($A67="","",_Engine!$AI125)</f>
        <v/>
      </c>
      <c r="G67" s="27">
        <f>IF(OR($A67="",_Engine!$D$41=0),"",INDEX(_Engine!$E125:$X125,1,(_Engine!$J$41-1)*4+3))</f>
        <v/>
      </c>
      <c r="H67" s="27">
        <f>IF(OR($A67="",_Engine!$D$42=0),"",INDEX(_Engine!$E125:$X125,1,(_Engine!$J$42-1)*4+3))</f>
        <v/>
      </c>
      <c r="I67" s="27">
        <f>IF(OR($A67="",_Engine!$D$43=0),"",INDEX(_Engine!$E125:$X125,1,(_Engine!$J$43-1)*4+3))</f>
        <v/>
      </c>
      <c r="J67" s="27">
        <f>IF(OR($A67="",_Engine!$D$44=0),"",INDEX(_Engine!$E125:$X125,1,(_Engine!$J$44-1)*4+3))</f>
        <v/>
      </c>
      <c r="K67" s="27">
        <f>IF(OR($A67="",_Engine!$D$45=0),"",INDEX(_Engine!$E125:$X125,1,(_Engine!$J$45-1)*4+3))</f>
        <v/>
      </c>
    </row>
    <row r="68">
      <c r="A68" s="25">
        <f>IF(65&lt;=_Engine!$B$36,65,"")</f>
        <v/>
      </c>
      <c r="B68" s="26">
        <f>IF($A68="","",EDATE(_Engine!$B$5,$A68-1))</f>
        <v/>
      </c>
      <c r="C68" s="27">
        <f>IF($A68="","",_Engine!$AJ126)</f>
        <v/>
      </c>
      <c r="D68" s="27">
        <f>IF($A68="","",_Engine!$AK126)</f>
        <v/>
      </c>
      <c r="E68" s="27">
        <f>IF($A68="","",_Engine!$AJ126-_Engine!$AK126)</f>
        <v/>
      </c>
      <c r="F68" s="27">
        <f>IF($A68="","",_Engine!$AI126)</f>
        <v/>
      </c>
      <c r="G68" s="27">
        <f>IF(OR($A68="",_Engine!$D$41=0),"",INDEX(_Engine!$E126:$X126,1,(_Engine!$J$41-1)*4+3))</f>
        <v/>
      </c>
      <c r="H68" s="27">
        <f>IF(OR($A68="",_Engine!$D$42=0),"",INDEX(_Engine!$E126:$X126,1,(_Engine!$J$42-1)*4+3))</f>
        <v/>
      </c>
      <c r="I68" s="27">
        <f>IF(OR($A68="",_Engine!$D$43=0),"",INDEX(_Engine!$E126:$X126,1,(_Engine!$J$43-1)*4+3))</f>
        <v/>
      </c>
      <c r="J68" s="27">
        <f>IF(OR($A68="",_Engine!$D$44=0),"",INDEX(_Engine!$E126:$X126,1,(_Engine!$J$44-1)*4+3))</f>
        <v/>
      </c>
      <c r="K68" s="27">
        <f>IF(OR($A68="",_Engine!$D$45=0),"",INDEX(_Engine!$E126:$X126,1,(_Engine!$J$45-1)*4+3))</f>
        <v/>
      </c>
    </row>
    <row r="69">
      <c r="A69" s="25">
        <f>IF(66&lt;=_Engine!$B$36,66,"")</f>
        <v/>
      </c>
      <c r="B69" s="26">
        <f>IF($A69="","",EDATE(_Engine!$B$5,$A69-1))</f>
        <v/>
      </c>
      <c r="C69" s="27">
        <f>IF($A69="","",_Engine!$AJ127)</f>
        <v/>
      </c>
      <c r="D69" s="27">
        <f>IF($A69="","",_Engine!$AK127)</f>
        <v/>
      </c>
      <c r="E69" s="27">
        <f>IF($A69="","",_Engine!$AJ127-_Engine!$AK127)</f>
        <v/>
      </c>
      <c r="F69" s="27">
        <f>IF($A69="","",_Engine!$AI127)</f>
        <v/>
      </c>
      <c r="G69" s="27">
        <f>IF(OR($A69="",_Engine!$D$41=0),"",INDEX(_Engine!$E127:$X127,1,(_Engine!$J$41-1)*4+3))</f>
        <v/>
      </c>
      <c r="H69" s="27">
        <f>IF(OR($A69="",_Engine!$D$42=0),"",INDEX(_Engine!$E127:$X127,1,(_Engine!$J$42-1)*4+3))</f>
        <v/>
      </c>
      <c r="I69" s="27">
        <f>IF(OR($A69="",_Engine!$D$43=0),"",INDEX(_Engine!$E127:$X127,1,(_Engine!$J$43-1)*4+3))</f>
        <v/>
      </c>
      <c r="J69" s="27">
        <f>IF(OR($A69="",_Engine!$D$44=0),"",INDEX(_Engine!$E127:$X127,1,(_Engine!$J$44-1)*4+3))</f>
        <v/>
      </c>
      <c r="K69" s="27">
        <f>IF(OR($A69="",_Engine!$D$45=0),"",INDEX(_Engine!$E127:$X127,1,(_Engine!$J$45-1)*4+3))</f>
        <v/>
      </c>
    </row>
    <row r="70">
      <c r="A70" s="25">
        <f>IF(67&lt;=_Engine!$B$36,67,"")</f>
        <v/>
      </c>
      <c r="B70" s="26">
        <f>IF($A70="","",EDATE(_Engine!$B$5,$A70-1))</f>
        <v/>
      </c>
      <c r="C70" s="27">
        <f>IF($A70="","",_Engine!$AJ128)</f>
        <v/>
      </c>
      <c r="D70" s="27">
        <f>IF($A70="","",_Engine!$AK128)</f>
        <v/>
      </c>
      <c r="E70" s="27">
        <f>IF($A70="","",_Engine!$AJ128-_Engine!$AK128)</f>
        <v/>
      </c>
      <c r="F70" s="27">
        <f>IF($A70="","",_Engine!$AI128)</f>
        <v/>
      </c>
      <c r="G70" s="27">
        <f>IF(OR($A70="",_Engine!$D$41=0),"",INDEX(_Engine!$E128:$X128,1,(_Engine!$J$41-1)*4+3))</f>
        <v/>
      </c>
      <c r="H70" s="27">
        <f>IF(OR($A70="",_Engine!$D$42=0),"",INDEX(_Engine!$E128:$X128,1,(_Engine!$J$42-1)*4+3))</f>
        <v/>
      </c>
      <c r="I70" s="27">
        <f>IF(OR($A70="",_Engine!$D$43=0),"",INDEX(_Engine!$E128:$X128,1,(_Engine!$J$43-1)*4+3))</f>
        <v/>
      </c>
      <c r="J70" s="27">
        <f>IF(OR($A70="",_Engine!$D$44=0),"",INDEX(_Engine!$E128:$X128,1,(_Engine!$J$44-1)*4+3))</f>
        <v/>
      </c>
      <c r="K70" s="27">
        <f>IF(OR($A70="",_Engine!$D$45=0),"",INDEX(_Engine!$E128:$X128,1,(_Engine!$J$45-1)*4+3))</f>
        <v/>
      </c>
    </row>
    <row r="71">
      <c r="A71" s="25">
        <f>IF(68&lt;=_Engine!$B$36,68,"")</f>
        <v/>
      </c>
      <c r="B71" s="26">
        <f>IF($A71="","",EDATE(_Engine!$B$5,$A71-1))</f>
        <v/>
      </c>
      <c r="C71" s="27">
        <f>IF($A71="","",_Engine!$AJ129)</f>
        <v/>
      </c>
      <c r="D71" s="27">
        <f>IF($A71="","",_Engine!$AK129)</f>
        <v/>
      </c>
      <c r="E71" s="27">
        <f>IF($A71="","",_Engine!$AJ129-_Engine!$AK129)</f>
        <v/>
      </c>
      <c r="F71" s="27">
        <f>IF($A71="","",_Engine!$AI129)</f>
        <v/>
      </c>
      <c r="G71" s="27">
        <f>IF(OR($A71="",_Engine!$D$41=0),"",INDEX(_Engine!$E129:$X129,1,(_Engine!$J$41-1)*4+3))</f>
        <v/>
      </c>
      <c r="H71" s="27">
        <f>IF(OR($A71="",_Engine!$D$42=0),"",INDEX(_Engine!$E129:$X129,1,(_Engine!$J$42-1)*4+3))</f>
        <v/>
      </c>
      <c r="I71" s="27">
        <f>IF(OR($A71="",_Engine!$D$43=0),"",INDEX(_Engine!$E129:$X129,1,(_Engine!$J$43-1)*4+3))</f>
        <v/>
      </c>
      <c r="J71" s="27">
        <f>IF(OR($A71="",_Engine!$D$44=0),"",INDEX(_Engine!$E129:$X129,1,(_Engine!$J$44-1)*4+3))</f>
        <v/>
      </c>
      <c r="K71" s="27">
        <f>IF(OR($A71="",_Engine!$D$45=0),"",INDEX(_Engine!$E129:$X129,1,(_Engine!$J$45-1)*4+3))</f>
        <v/>
      </c>
    </row>
    <row r="72">
      <c r="A72" s="25">
        <f>IF(69&lt;=_Engine!$B$36,69,"")</f>
        <v/>
      </c>
      <c r="B72" s="26">
        <f>IF($A72="","",EDATE(_Engine!$B$5,$A72-1))</f>
        <v/>
      </c>
      <c r="C72" s="27">
        <f>IF($A72="","",_Engine!$AJ130)</f>
        <v/>
      </c>
      <c r="D72" s="27">
        <f>IF($A72="","",_Engine!$AK130)</f>
        <v/>
      </c>
      <c r="E72" s="27">
        <f>IF($A72="","",_Engine!$AJ130-_Engine!$AK130)</f>
        <v/>
      </c>
      <c r="F72" s="27">
        <f>IF($A72="","",_Engine!$AI130)</f>
        <v/>
      </c>
      <c r="G72" s="27">
        <f>IF(OR($A72="",_Engine!$D$41=0),"",INDEX(_Engine!$E130:$X130,1,(_Engine!$J$41-1)*4+3))</f>
        <v/>
      </c>
      <c r="H72" s="27">
        <f>IF(OR($A72="",_Engine!$D$42=0),"",INDEX(_Engine!$E130:$X130,1,(_Engine!$J$42-1)*4+3))</f>
        <v/>
      </c>
      <c r="I72" s="27">
        <f>IF(OR($A72="",_Engine!$D$43=0),"",INDEX(_Engine!$E130:$X130,1,(_Engine!$J$43-1)*4+3))</f>
        <v/>
      </c>
      <c r="J72" s="27">
        <f>IF(OR($A72="",_Engine!$D$44=0),"",INDEX(_Engine!$E130:$X130,1,(_Engine!$J$44-1)*4+3))</f>
        <v/>
      </c>
      <c r="K72" s="27">
        <f>IF(OR($A72="",_Engine!$D$45=0),"",INDEX(_Engine!$E130:$X130,1,(_Engine!$J$45-1)*4+3))</f>
        <v/>
      </c>
    </row>
    <row r="73">
      <c r="A73" s="25">
        <f>IF(70&lt;=_Engine!$B$36,70,"")</f>
        <v/>
      </c>
      <c r="B73" s="26">
        <f>IF($A73="","",EDATE(_Engine!$B$5,$A73-1))</f>
        <v/>
      </c>
      <c r="C73" s="27">
        <f>IF($A73="","",_Engine!$AJ131)</f>
        <v/>
      </c>
      <c r="D73" s="27">
        <f>IF($A73="","",_Engine!$AK131)</f>
        <v/>
      </c>
      <c r="E73" s="27">
        <f>IF($A73="","",_Engine!$AJ131-_Engine!$AK131)</f>
        <v/>
      </c>
      <c r="F73" s="27">
        <f>IF($A73="","",_Engine!$AI131)</f>
        <v/>
      </c>
      <c r="G73" s="27">
        <f>IF(OR($A73="",_Engine!$D$41=0),"",INDEX(_Engine!$E131:$X131,1,(_Engine!$J$41-1)*4+3))</f>
        <v/>
      </c>
      <c r="H73" s="27">
        <f>IF(OR($A73="",_Engine!$D$42=0),"",INDEX(_Engine!$E131:$X131,1,(_Engine!$J$42-1)*4+3))</f>
        <v/>
      </c>
      <c r="I73" s="27">
        <f>IF(OR($A73="",_Engine!$D$43=0),"",INDEX(_Engine!$E131:$X131,1,(_Engine!$J$43-1)*4+3))</f>
        <v/>
      </c>
      <c r="J73" s="27">
        <f>IF(OR($A73="",_Engine!$D$44=0),"",INDEX(_Engine!$E131:$X131,1,(_Engine!$J$44-1)*4+3))</f>
        <v/>
      </c>
      <c r="K73" s="27">
        <f>IF(OR($A73="",_Engine!$D$45=0),"",INDEX(_Engine!$E131:$X131,1,(_Engine!$J$45-1)*4+3))</f>
        <v/>
      </c>
    </row>
    <row r="74">
      <c r="A74" s="25">
        <f>IF(71&lt;=_Engine!$B$36,71,"")</f>
        <v/>
      </c>
      <c r="B74" s="26">
        <f>IF($A74="","",EDATE(_Engine!$B$5,$A74-1))</f>
        <v/>
      </c>
      <c r="C74" s="27">
        <f>IF($A74="","",_Engine!$AJ132)</f>
        <v/>
      </c>
      <c r="D74" s="27">
        <f>IF($A74="","",_Engine!$AK132)</f>
        <v/>
      </c>
      <c r="E74" s="27">
        <f>IF($A74="","",_Engine!$AJ132-_Engine!$AK132)</f>
        <v/>
      </c>
      <c r="F74" s="27">
        <f>IF($A74="","",_Engine!$AI132)</f>
        <v/>
      </c>
      <c r="G74" s="27">
        <f>IF(OR($A74="",_Engine!$D$41=0),"",INDEX(_Engine!$E132:$X132,1,(_Engine!$J$41-1)*4+3))</f>
        <v/>
      </c>
      <c r="H74" s="27">
        <f>IF(OR($A74="",_Engine!$D$42=0),"",INDEX(_Engine!$E132:$X132,1,(_Engine!$J$42-1)*4+3))</f>
        <v/>
      </c>
      <c r="I74" s="27">
        <f>IF(OR($A74="",_Engine!$D$43=0),"",INDEX(_Engine!$E132:$X132,1,(_Engine!$J$43-1)*4+3))</f>
        <v/>
      </c>
      <c r="J74" s="27">
        <f>IF(OR($A74="",_Engine!$D$44=0),"",INDEX(_Engine!$E132:$X132,1,(_Engine!$J$44-1)*4+3))</f>
        <v/>
      </c>
      <c r="K74" s="27">
        <f>IF(OR($A74="",_Engine!$D$45=0),"",INDEX(_Engine!$E132:$X132,1,(_Engine!$J$45-1)*4+3))</f>
        <v/>
      </c>
    </row>
    <row r="75">
      <c r="A75" s="25">
        <f>IF(72&lt;=_Engine!$B$36,72,"")</f>
        <v/>
      </c>
      <c r="B75" s="26">
        <f>IF($A75="","",EDATE(_Engine!$B$5,$A75-1))</f>
        <v/>
      </c>
      <c r="C75" s="27">
        <f>IF($A75="","",_Engine!$AJ133)</f>
        <v/>
      </c>
      <c r="D75" s="27">
        <f>IF($A75="","",_Engine!$AK133)</f>
        <v/>
      </c>
      <c r="E75" s="27">
        <f>IF($A75="","",_Engine!$AJ133-_Engine!$AK133)</f>
        <v/>
      </c>
      <c r="F75" s="27">
        <f>IF($A75="","",_Engine!$AI133)</f>
        <v/>
      </c>
      <c r="G75" s="27">
        <f>IF(OR($A75="",_Engine!$D$41=0),"",INDEX(_Engine!$E133:$X133,1,(_Engine!$J$41-1)*4+3))</f>
        <v/>
      </c>
      <c r="H75" s="27">
        <f>IF(OR($A75="",_Engine!$D$42=0),"",INDEX(_Engine!$E133:$X133,1,(_Engine!$J$42-1)*4+3))</f>
        <v/>
      </c>
      <c r="I75" s="27">
        <f>IF(OR($A75="",_Engine!$D$43=0),"",INDEX(_Engine!$E133:$X133,1,(_Engine!$J$43-1)*4+3))</f>
        <v/>
      </c>
      <c r="J75" s="27">
        <f>IF(OR($A75="",_Engine!$D$44=0),"",INDEX(_Engine!$E133:$X133,1,(_Engine!$J$44-1)*4+3))</f>
        <v/>
      </c>
      <c r="K75" s="27">
        <f>IF(OR($A75="",_Engine!$D$45=0),"",INDEX(_Engine!$E133:$X133,1,(_Engine!$J$45-1)*4+3))</f>
        <v/>
      </c>
    </row>
    <row r="76">
      <c r="A76" s="25">
        <f>IF(73&lt;=_Engine!$B$36,73,"")</f>
        <v/>
      </c>
      <c r="B76" s="26">
        <f>IF($A76="","",EDATE(_Engine!$B$5,$A76-1))</f>
        <v/>
      </c>
      <c r="C76" s="27">
        <f>IF($A76="","",_Engine!$AJ134)</f>
        <v/>
      </c>
      <c r="D76" s="27">
        <f>IF($A76="","",_Engine!$AK134)</f>
        <v/>
      </c>
      <c r="E76" s="27">
        <f>IF($A76="","",_Engine!$AJ134-_Engine!$AK134)</f>
        <v/>
      </c>
      <c r="F76" s="27">
        <f>IF($A76="","",_Engine!$AI134)</f>
        <v/>
      </c>
      <c r="G76" s="27">
        <f>IF(OR($A76="",_Engine!$D$41=0),"",INDEX(_Engine!$E134:$X134,1,(_Engine!$J$41-1)*4+3))</f>
        <v/>
      </c>
      <c r="H76" s="27">
        <f>IF(OR($A76="",_Engine!$D$42=0),"",INDEX(_Engine!$E134:$X134,1,(_Engine!$J$42-1)*4+3))</f>
        <v/>
      </c>
      <c r="I76" s="27">
        <f>IF(OR($A76="",_Engine!$D$43=0),"",INDEX(_Engine!$E134:$X134,1,(_Engine!$J$43-1)*4+3))</f>
        <v/>
      </c>
      <c r="J76" s="27">
        <f>IF(OR($A76="",_Engine!$D$44=0),"",INDEX(_Engine!$E134:$X134,1,(_Engine!$J$44-1)*4+3))</f>
        <v/>
      </c>
      <c r="K76" s="27">
        <f>IF(OR($A76="",_Engine!$D$45=0),"",INDEX(_Engine!$E134:$X134,1,(_Engine!$J$45-1)*4+3))</f>
        <v/>
      </c>
    </row>
    <row r="77">
      <c r="A77" s="25">
        <f>IF(74&lt;=_Engine!$B$36,74,"")</f>
        <v/>
      </c>
      <c r="B77" s="26">
        <f>IF($A77="","",EDATE(_Engine!$B$5,$A77-1))</f>
        <v/>
      </c>
      <c r="C77" s="27">
        <f>IF($A77="","",_Engine!$AJ135)</f>
        <v/>
      </c>
      <c r="D77" s="27">
        <f>IF($A77="","",_Engine!$AK135)</f>
        <v/>
      </c>
      <c r="E77" s="27">
        <f>IF($A77="","",_Engine!$AJ135-_Engine!$AK135)</f>
        <v/>
      </c>
      <c r="F77" s="27">
        <f>IF($A77="","",_Engine!$AI135)</f>
        <v/>
      </c>
      <c r="G77" s="27">
        <f>IF(OR($A77="",_Engine!$D$41=0),"",INDEX(_Engine!$E135:$X135,1,(_Engine!$J$41-1)*4+3))</f>
        <v/>
      </c>
      <c r="H77" s="27">
        <f>IF(OR($A77="",_Engine!$D$42=0),"",INDEX(_Engine!$E135:$X135,1,(_Engine!$J$42-1)*4+3))</f>
        <v/>
      </c>
      <c r="I77" s="27">
        <f>IF(OR($A77="",_Engine!$D$43=0),"",INDEX(_Engine!$E135:$X135,1,(_Engine!$J$43-1)*4+3))</f>
        <v/>
      </c>
      <c r="J77" s="27">
        <f>IF(OR($A77="",_Engine!$D$44=0),"",INDEX(_Engine!$E135:$X135,1,(_Engine!$J$44-1)*4+3))</f>
        <v/>
      </c>
      <c r="K77" s="27">
        <f>IF(OR($A77="",_Engine!$D$45=0),"",INDEX(_Engine!$E135:$X135,1,(_Engine!$J$45-1)*4+3))</f>
        <v/>
      </c>
    </row>
    <row r="78">
      <c r="A78" s="25">
        <f>IF(75&lt;=_Engine!$B$36,75,"")</f>
        <v/>
      </c>
      <c r="B78" s="26">
        <f>IF($A78="","",EDATE(_Engine!$B$5,$A78-1))</f>
        <v/>
      </c>
      <c r="C78" s="27">
        <f>IF($A78="","",_Engine!$AJ136)</f>
        <v/>
      </c>
      <c r="D78" s="27">
        <f>IF($A78="","",_Engine!$AK136)</f>
        <v/>
      </c>
      <c r="E78" s="27">
        <f>IF($A78="","",_Engine!$AJ136-_Engine!$AK136)</f>
        <v/>
      </c>
      <c r="F78" s="27">
        <f>IF($A78="","",_Engine!$AI136)</f>
        <v/>
      </c>
      <c r="G78" s="27">
        <f>IF(OR($A78="",_Engine!$D$41=0),"",INDEX(_Engine!$E136:$X136,1,(_Engine!$J$41-1)*4+3))</f>
        <v/>
      </c>
      <c r="H78" s="27">
        <f>IF(OR($A78="",_Engine!$D$42=0),"",INDEX(_Engine!$E136:$X136,1,(_Engine!$J$42-1)*4+3))</f>
        <v/>
      </c>
      <c r="I78" s="27">
        <f>IF(OR($A78="",_Engine!$D$43=0),"",INDEX(_Engine!$E136:$X136,1,(_Engine!$J$43-1)*4+3))</f>
        <v/>
      </c>
      <c r="J78" s="27">
        <f>IF(OR($A78="",_Engine!$D$44=0),"",INDEX(_Engine!$E136:$X136,1,(_Engine!$J$44-1)*4+3))</f>
        <v/>
      </c>
      <c r="K78" s="27">
        <f>IF(OR($A78="",_Engine!$D$45=0),"",INDEX(_Engine!$E136:$X136,1,(_Engine!$J$45-1)*4+3))</f>
        <v/>
      </c>
    </row>
    <row r="79">
      <c r="A79" s="25">
        <f>IF(76&lt;=_Engine!$B$36,76,"")</f>
        <v/>
      </c>
      <c r="B79" s="26">
        <f>IF($A79="","",EDATE(_Engine!$B$5,$A79-1))</f>
        <v/>
      </c>
      <c r="C79" s="27">
        <f>IF($A79="","",_Engine!$AJ137)</f>
        <v/>
      </c>
      <c r="D79" s="27">
        <f>IF($A79="","",_Engine!$AK137)</f>
        <v/>
      </c>
      <c r="E79" s="27">
        <f>IF($A79="","",_Engine!$AJ137-_Engine!$AK137)</f>
        <v/>
      </c>
      <c r="F79" s="27">
        <f>IF($A79="","",_Engine!$AI137)</f>
        <v/>
      </c>
      <c r="G79" s="27">
        <f>IF(OR($A79="",_Engine!$D$41=0),"",INDEX(_Engine!$E137:$X137,1,(_Engine!$J$41-1)*4+3))</f>
        <v/>
      </c>
      <c r="H79" s="27">
        <f>IF(OR($A79="",_Engine!$D$42=0),"",INDEX(_Engine!$E137:$X137,1,(_Engine!$J$42-1)*4+3))</f>
        <v/>
      </c>
      <c r="I79" s="27">
        <f>IF(OR($A79="",_Engine!$D$43=0),"",INDEX(_Engine!$E137:$X137,1,(_Engine!$J$43-1)*4+3))</f>
        <v/>
      </c>
      <c r="J79" s="27">
        <f>IF(OR($A79="",_Engine!$D$44=0),"",INDEX(_Engine!$E137:$X137,1,(_Engine!$J$44-1)*4+3))</f>
        <v/>
      </c>
      <c r="K79" s="27">
        <f>IF(OR($A79="",_Engine!$D$45=0),"",INDEX(_Engine!$E137:$X137,1,(_Engine!$J$45-1)*4+3))</f>
        <v/>
      </c>
    </row>
    <row r="80">
      <c r="A80" s="25">
        <f>IF(77&lt;=_Engine!$B$36,77,"")</f>
        <v/>
      </c>
      <c r="B80" s="26">
        <f>IF($A80="","",EDATE(_Engine!$B$5,$A80-1))</f>
        <v/>
      </c>
      <c r="C80" s="27">
        <f>IF($A80="","",_Engine!$AJ138)</f>
        <v/>
      </c>
      <c r="D80" s="27">
        <f>IF($A80="","",_Engine!$AK138)</f>
        <v/>
      </c>
      <c r="E80" s="27">
        <f>IF($A80="","",_Engine!$AJ138-_Engine!$AK138)</f>
        <v/>
      </c>
      <c r="F80" s="27">
        <f>IF($A80="","",_Engine!$AI138)</f>
        <v/>
      </c>
      <c r="G80" s="27">
        <f>IF(OR($A80="",_Engine!$D$41=0),"",INDEX(_Engine!$E138:$X138,1,(_Engine!$J$41-1)*4+3))</f>
        <v/>
      </c>
      <c r="H80" s="27">
        <f>IF(OR($A80="",_Engine!$D$42=0),"",INDEX(_Engine!$E138:$X138,1,(_Engine!$J$42-1)*4+3))</f>
        <v/>
      </c>
      <c r="I80" s="27">
        <f>IF(OR($A80="",_Engine!$D$43=0),"",INDEX(_Engine!$E138:$X138,1,(_Engine!$J$43-1)*4+3))</f>
        <v/>
      </c>
      <c r="J80" s="27">
        <f>IF(OR($A80="",_Engine!$D$44=0),"",INDEX(_Engine!$E138:$X138,1,(_Engine!$J$44-1)*4+3))</f>
        <v/>
      </c>
      <c r="K80" s="27">
        <f>IF(OR($A80="",_Engine!$D$45=0),"",INDEX(_Engine!$E138:$X138,1,(_Engine!$J$45-1)*4+3))</f>
        <v/>
      </c>
    </row>
    <row r="81">
      <c r="A81" s="25">
        <f>IF(78&lt;=_Engine!$B$36,78,"")</f>
        <v/>
      </c>
      <c r="B81" s="26">
        <f>IF($A81="","",EDATE(_Engine!$B$5,$A81-1))</f>
        <v/>
      </c>
      <c r="C81" s="27">
        <f>IF($A81="","",_Engine!$AJ139)</f>
        <v/>
      </c>
      <c r="D81" s="27">
        <f>IF($A81="","",_Engine!$AK139)</f>
        <v/>
      </c>
      <c r="E81" s="27">
        <f>IF($A81="","",_Engine!$AJ139-_Engine!$AK139)</f>
        <v/>
      </c>
      <c r="F81" s="27">
        <f>IF($A81="","",_Engine!$AI139)</f>
        <v/>
      </c>
      <c r="G81" s="27">
        <f>IF(OR($A81="",_Engine!$D$41=0),"",INDEX(_Engine!$E139:$X139,1,(_Engine!$J$41-1)*4+3))</f>
        <v/>
      </c>
      <c r="H81" s="27">
        <f>IF(OR($A81="",_Engine!$D$42=0),"",INDEX(_Engine!$E139:$X139,1,(_Engine!$J$42-1)*4+3))</f>
        <v/>
      </c>
      <c r="I81" s="27">
        <f>IF(OR($A81="",_Engine!$D$43=0),"",INDEX(_Engine!$E139:$X139,1,(_Engine!$J$43-1)*4+3))</f>
        <v/>
      </c>
      <c r="J81" s="27">
        <f>IF(OR($A81="",_Engine!$D$44=0),"",INDEX(_Engine!$E139:$X139,1,(_Engine!$J$44-1)*4+3))</f>
        <v/>
      </c>
      <c r="K81" s="27">
        <f>IF(OR($A81="",_Engine!$D$45=0),"",INDEX(_Engine!$E139:$X139,1,(_Engine!$J$45-1)*4+3))</f>
        <v/>
      </c>
    </row>
    <row r="82">
      <c r="A82" s="25">
        <f>IF(79&lt;=_Engine!$B$36,79,"")</f>
        <v/>
      </c>
      <c r="B82" s="26">
        <f>IF($A82="","",EDATE(_Engine!$B$5,$A82-1))</f>
        <v/>
      </c>
      <c r="C82" s="27">
        <f>IF($A82="","",_Engine!$AJ140)</f>
        <v/>
      </c>
      <c r="D82" s="27">
        <f>IF($A82="","",_Engine!$AK140)</f>
        <v/>
      </c>
      <c r="E82" s="27">
        <f>IF($A82="","",_Engine!$AJ140-_Engine!$AK140)</f>
        <v/>
      </c>
      <c r="F82" s="27">
        <f>IF($A82="","",_Engine!$AI140)</f>
        <v/>
      </c>
      <c r="G82" s="27">
        <f>IF(OR($A82="",_Engine!$D$41=0),"",INDEX(_Engine!$E140:$X140,1,(_Engine!$J$41-1)*4+3))</f>
        <v/>
      </c>
      <c r="H82" s="27">
        <f>IF(OR($A82="",_Engine!$D$42=0),"",INDEX(_Engine!$E140:$X140,1,(_Engine!$J$42-1)*4+3))</f>
        <v/>
      </c>
      <c r="I82" s="27">
        <f>IF(OR($A82="",_Engine!$D$43=0),"",INDEX(_Engine!$E140:$X140,1,(_Engine!$J$43-1)*4+3))</f>
        <v/>
      </c>
      <c r="J82" s="27">
        <f>IF(OR($A82="",_Engine!$D$44=0),"",INDEX(_Engine!$E140:$X140,1,(_Engine!$J$44-1)*4+3))</f>
        <v/>
      </c>
      <c r="K82" s="27">
        <f>IF(OR($A82="",_Engine!$D$45=0),"",INDEX(_Engine!$E140:$X140,1,(_Engine!$J$45-1)*4+3))</f>
        <v/>
      </c>
    </row>
    <row r="83">
      <c r="A83" s="25">
        <f>IF(80&lt;=_Engine!$B$36,80,"")</f>
        <v/>
      </c>
      <c r="B83" s="26">
        <f>IF($A83="","",EDATE(_Engine!$B$5,$A83-1))</f>
        <v/>
      </c>
      <c r="C83" s="27">
        <f>IF($A83="","",_Engine!$AJ141)</f>
        <v/>
      </c>
      <c r="D83" s="27">
        <f>IF($A83="","",_Engine!$AK141)</f>
        <v/>
      </c>
      <c r="E83" s="27">
        <f>IF($A83="","",_Engine!$AJ141-_Engine!$AK141)</f>
        <v/>
      </c>
      <c r="F83" s="27">
        <f>IF($A83="","",_Engine!$AI141)</f>
        <v/>
      </c>
      <c r="G83" s="27">
        <f>IF(OR($A83="",_Engine!$D$41=0),"",INDEX(_Engine!$E141:$X141,1,(_Engine!$J$41-1)*4+3))</f>
        <v/>
      </c>
      <c r="H83" s="27">
        <f>IF(OR($A83="",_Engine!$D$42=0),"",INDEX(_Engine!$E141:$X141,1,(_Engine!$J$42-1)*4+3))</f>
        <v/>
      </c>
      <c r="I83" s="27">
        <f>IF(OR($A83="",_Engine!$D$43=0),"",INDEX(_Engine!$E141:$X141,1,(_Engine!$J$43-1)*4+3))</f>
        <v/>
      </c>
      <c r="J83" s="27">
        <f>IF(OR($A83="",_Engine!$D$44=0),"",INDEX(_Engine!$E141:$X141,1,(_Engine!$J$44-1)*4+3))</f>
        <v/>
      </c>
      <c r="K83" s="27">
        <f>IF(OR($A83="",_Engine!$D$45=0),"",INDEX(_Engine!$E141:$X141,1,(_Engine!$J$45-1)*4+3))</f>
        <v/>
      </c>
    </row>
    <row r="84">
      <c r="A84" s="25">
        <f>IF(81&lt;=_Engine!$B$36,81,"")</f>
        <v/>
      </c>
      <c r="B84" s="26">
        <f>IF($A84="","",EDATE(_Engine!$B$5,$A84-1))</f>
        <v/>
      </c>
      <c r="C84" s="27">
        <f>IF($A84="","",_Engine!$AJ142)</f>
        <v/>
      </c>
      <c r="D84" s="27">
        <f>IF($A84="","",_Engine!$AK142)</f>
        <v/>
      </c>
      <c r="E84" s="27">
        <f>IF($A84="","",_Engine!$AJ142-_Engine!$AK142)</f>
        <v/>
      </c>
      <c r="F84" s="27">
        <f>IF($A84="","",_Engine!$AI142)</f>
        <v/>
      </c>
      <c r="G84" s="27">
        <f>IF(OR($A84="",_Engine!$D$41=0),"",INDEX(_Engine!$E142:$X142,1,(_Engine!$J$41-1)*4+3))</f>
        <v/>
      </c>
      <c r="H84" s="27">
        <f>IF(OR($A84="",_Engine!$D$42=0),"",INDEX(_Engine!$E142:$X142,1,(_Engine!$J$42-1)*4+3))</f>
        <v/>
      </c>
      <c r="I84" s="27">
        <f>IF(OR($A84="",_Engine!$D$43=0),"",INDEX(_Engine!$E142:$X142,1,(_Engine!$J$43-1)*4+3))</f>
        <v/>
      </c>
      <c r="J84" s="27">
        <f>IF(OR($A84="",_Engine!$D$44=0),"",INDEX(_Engine!$E142:$X142,1,(_Engine!$J$44-1)*4+3))</f>
        <v/>
      </c>
      <c r="K84" s="27">
        <f>IF(OR($A84="",_Engine!$D$45=0),"",INDEX(_Engine!$E142:$X142,1,(_Engine!$J$45-1)*4+3))</f>
        <v/>
      </c>
    </row>
    <row r="85">
      <c r="A85" s="25">
        <f>IF(82&lt;=_Engine!$B$36,82,"")</f>
        <v/>
      </c>
      <c r="B85" s="26">
        <f>IF($A85="","",EDATE(_Engine!$B$5,$A85-1))</f>
        <v/>
      </c>
      <c r="C85" s="27">
        <f>IF($A85="","",_Engine!$AJ143)</f>
        <v/>
      </c>
      <c r="D85" s="27">
        <f>IF($A85="","",_Engine!$AK143)</f>
        <v/>
      </c>
      <c r="E85" s="27">
        <f>IF($A85="","",_Engine!$AJ143-_Engine!$AK143)</f>
        <v/>
      </c>
      <c r="F85" s="27">
        <f>IF($A85="","",_Engine!$AI143)</f>
        <v/>
      </c>
      <c r="G85" s="27">
        <f>IF(OR($A85="",_Engine!$D$41=0),"",INDEX(_Engine!$E143:$X143,1,(_Engine!$J$41-1)*4+3))</f>
        <v/>
      </c>
      <c r="H85" s="27">
        <f>IF(OR($A85="",_Engine!$D$42=0),"",INDEX(_Engine!$E143:$X143,1,(_Engine!$J$42-1)*4+3))</f>
        <v/>
      </c>
      <c r="I85" s="27">
        <f>IF(OR($A85="",_Engine!$D$43=0),"",INDEX(_Engine!$E143:$X143,1,(_Engine!$J$43-1)*4+3))</f>
        <v/>
      </c>
      <c r="J85" s="27">
        <f>IF(OR($A85="",_Engine!$D$44=0),"",INDEX(_Engine!$E143:$X143,1,(_Engine!$J$44-1)*4+3))</f>
        <v/>
      </c>
      <c r="K85" s="27">
        <f>IF(OR($A85="",_Engine!$D$45=0),"",INDEX(_Engine!$E143:$X143,1,(_Engine!$J$45-1)*4+3))</f>
        <v/>
      </c>
    </row>
    <row r="86">
      <c r="A86" s="25">
        <f>IF(83&lt;=_Engine!$B$36,83,"")</f>
        <v/>
      </c>
      <c r="B86" s="26">
        <f>IF($A86="","",EDATE(_Engine!$B$5,$A86-1))</f>
        <v/>
      </c>
      <c r="C86" s="27">
        <f>IF($A86="","",_Engine!$AJ144)</f>
        <v/>
      </c>
      <c r="D86" s="27">
        <f>IF($A86="","",_Engine!$AK144)</f>
        <v/>
      </c>
      <c r="E86" s="27">
        <f>IF($A86="","",_Engine!$AJ144-_Engine!$AK144)</f>
        <v/>
      </c>
      <c r="F86" s="27">
        <f>IF($A86="","",_Engine!$AI144)</f>
        <v/>
      </c>
      <c r="G86" s="27">
        <f>IF(OR($A86="",_Engine!$D$41=0),"",INDEX(_Engine!$E144:$X144,1,(_Engine!$J$41-1)*4+3))</f>
        <v/>
      </c>
      <c r="H86" s="27">
        <f>IF(OR($A86="",_Engine!$D$42=0),"",INDEX(_Engine!$E144:$X144,1,(_Engine!$J$42-1)*4+3))</f>
        <v/>
      </c>
      <c r="I86" s="27">
        <f>IF(OR($A86="",_Engine!$D$43=0),"",INDEX(_Engine!$E144:$X144,1,(_Engine!$J$43-1)*4+3))</f>
        <v/>
      </c>
      <c r="J86" s="27">
        <f>IF(OR($A86="",_Engine!$D$44=0),"",INDEX(_Engine!$E144:$X144,1,(_Engine!$J$44-1)*4+3))</f>
        <v/>
      </c>
      <c r="K86" s="27">
        <f>IF(OR($A86="",_Engine!$D$45=0),"",INDEX(_Engine!$E144:$X144,1,(_Engine!$J$45-1)*4+3))</f>
        <v/>
      </c>
    </row>
    <row r="87">
      <c r="A87" s="25">
        <f>IF(84&lt;=_Engine!$B$36,84,"")</f>
        <v/>
      </c>
      <c r="B87" s="26">
        <f>IF($A87="","",EDATE(_Engine!$B$5,$A87-1))</f>
        <v/>
      </c>
      <c r="C87" s="27">
        <f>IF($A87="","",_Engine!$AJ145)</f>
        <v/>
      </c>
      <c r="D87" s="27">
        <f>IF($A87="","",_Engine!$AK145)</f>
        <v/>
      </c>
      <c r="E87" s="27">
        <f>IF($A87="","",_Engine!$AJ145-_Engine!$AK145)</f>
        <v/>
      </c>
      <c r="F87" s="27">
        <f>IF($A87="","",_Engine!$AI145)</f>
        <v/>
      </c>
      <c r="G87" s="27">
        <f>IF(OR($A87="",_Engine!$D$41=0),"",INDEX(_Engine!$E145:$X145,1,(_Engine!$J$41-1)*4+3))</f>
        <v/>
      </c>
      <c r="H87" s="27">
        <f>IF(OR($A87="",_Engine!$D$42=0),"",INDEX(_Engine!$E145:$X145,1,(_Engine!$J$42-1)*4+3))</f>
        <v/>
      </c>
      <c r="I87" s="27">
        <f>IF(OR($A87="",_Engine!$D$43=0),"",INDEX(_Engine!$E145:$X145,1,(_Engine!$J$43-1)*4+3))</f>
        <v/>
      </c>
      <c r="J87" s="27">
        <f>IF(OR($A87="",_Engine!$D$44=0),"",INDEX(_Engine!$E145:$X145,1,(_Engine!$J$44-1)*4+3))</f>
        <v/>
      </c>
      <c r="K87" s="27">
        <f>IF(OR($A87="",_Engine!$D$45=0),"",INDEX(_Engine!$E145:$X145,1,(_Engine!$J$45-1)*4+3))</f>
        <v/>
      </c>
    </row>
    <row r="88">
      <c r="A88" s="25">
        <f>IF(85&lt;=_Engine!$B$36,85,"")</f>
        <v/>
      </c>
      <c r="B88" s="26">
        <f>IF($A88="","",EDATE(_Engine!$B$5,$A88-1))</f>
        <v/>
      </c>
      <c r="C88" s="27">
        <f>IF($A88="","",_Engine!$AJ146)</f>
        <v/>
      </c>
      <c r="D88" s="27">
        <f>IF($A88="","",_Engine!$AK146)</f>
        <v/>
      </c>
      <c r="E88" s="27">
        <f>IF($A88="","",_Engine!$AJ146-_Engine!$AK146)</f>
        <v/>
      </c>
      <c r="F88" s="27">
        <f>IF($A88="","",_Engine!$AI146)</f>
        <v/>
      </c>
      <c r="G88" s="27">
        <f>IF(OR($A88="",_Engine!$D$41=0),"",INDEX(_Engine!$E146:$X146,1,(_Engine!$J$41-1)*4+3))</f>
        <v/>
      </c>
      <c r="H88" s="27">
        <f>IF(OR($A88="",_Engine!$D$42=0),"",INDEX(_Engine!$E146:$X146,1,(_Engine!$J$42-1)*4+3))</f>
        <v/>
      </c>
      <c r="I88" s="27">
        <f>IF(OR($A88="",_Engine!$D$43=0),"",INDEX(_Engine!$E146:$X146,1,(_Engine!$J$43-1)*4+3))</f>
        <v/>
      </c>
      <c r="J88" s="27">
        <f>IF(OR($A88="",_Engine!$D$44=0),"",INDEX(_Engine!$E146:$X146,1,(_Engine!$J$44-1)*4+3))</f>
        <v/>
      </c>
      <c r="K88" s="27">
        <f>IF(OR($A88="",_Engine!$D$45=0),"",INDEX(_Engine!$E146:$X146,1,(_Engine!$J$45-1)*4+3))</f>
        <v/>
      </c>
    </row>
    <row r="89">
      <c r="A89" s="25">
        <f>IF(86&lt;=_Engine!$B$36,86,"")</f>
        <v/>
      </c>
      <c r="B89" s="26">
        <f>IF($A89="","",EDATE(_Engine!$B$5,$A89-1))</f>
        <v/>
      </c>
      <c r="C89" s="27">
        <f>IF($A89="","",_Engine!$AJ147)</f>
        <v/>
      </c>
      <c r="D89" s="27">
        <f>IF($A89="","",_Engine!$AK147)</f>
        <v/>
      </c>
      <c r="E89" s="27">
        <f>IF($A89="","",_Engine!$AJ147-_Engine!$AK147)</f>
        <v/>
      </c>
      <c r="F89" s="27">
        <f>IF($A89="","",_Engine!$AI147)</f>
        <v/>
      </c>
      <c r="G89" s="27">
        <f>IF(OR($A89="",_Engine!$D$41=0),"",INDEX(_Engine!$E147:$X147,1,(_Engine!$J$41-1)*4+3))</f>
        <v/>
      </c>
      <c r="H89" s="27">
        <f>IF(OR($A89="",_Engine!$D$42=0),"",INDEX(_Engine!$E147:$X147,1,(_Engine!$J$42-1)*4+3))</f>
        <v/>
      </c>
      <c r="I89" s="27">
        <f>IF(OR($A89="",_Engine!$D$43=0),"",INDEX(_Engine!$E147:$X147,1,(_Engine!$J$43-1)*4+3))</f>
        <v/>
      </c>
      <c r="J89" s="27">
        <f>IF(OR($A89="",_Engine!$D$44=0),"",INDEX(_Engine!$E147:$X147,1,(_Engine!$J$44-1)*4+3))</f>
        <v/>
      </c>
      <c r="K89" s="27">
        <f>IF(OR($A89="",_Engine!$D$45=0),"",INDEX(_Engine!$E147:$X147,1,(_Engine!$J$45-1)*4+3))</f>
        <v/>
      </c>
    </row>
    <row r="90">
      <c r="A90" s="25">
        <f>IF(87&lt;=_Engine!$B$36,87,"")</f>
        <v/>
      </c>
      <c r="B90" s="26">
        <f>IF($A90="","",EDATE(_Engine!$B$5,$A90-1))</f>
        <v/>
      </c>
      <c r="C90" s="27">
        <f>IF($A90="","",_Engine!$AJ148)</f>
        <v/>
      </c>
      <c r="D90" s="27">
        <f>IF($A90="","",_Engine!$AK148)</f>
        <v/>
      </c>
      <c r="E90" s="27">
        <f>IF($A90="","",_Engine!$AJ148-_Engine!$AK148)</f>
        <v/>
      </c>
      <c r="F90" s="27">
        <f>IF($A90="","",_Engine!$AI148)</f>
        <v/>
      </c>
      <c r="G90" s="27">
        <f>IF(OR($A90="",_Engine!$D$41=0),"",INDEX(_Engine!$E148:$X148,1,(_Engine!$J$41-1)*4+3))</f>
        <v/>
      </c>
      <c r="H90" s="27">
        <f>IF(OR($A90="",_Engine!$D$42=0),"",INDEX(_Engine!$E148:$X148,1,(_Engine!$J$42-1)*4+3))</f>
        <v/>
      </c>
      <c r="I90" s="27">
        <f>IF(OR($A90="",_Engine!$D$43=0),"",INDEX(_Engine!$E148:$X148,1,(_Engine!$J$43-1)*4+3))</f>
        <v/>
      </c>
      <c r="J90" s="27">
        <f>IF(OR($A90="",_Engine!$D$44=0),"",INDEX(_Engine!$E148:$X148,1,(_Engine!$J$44-1)*4+3))</f>
        <v/>
      </c>
      <c r="K90" s="27">
        <f>IF(OR($A90="",_Engine!$D$45=0),"",INDEX(_Engine!$E148:$X148,1,(_Engine!$J$45-1)*4+3))</f>
        <v/>
      </c>
    </row>
    <row r="91">
      <c r="A91" s="25">
        <f>IF(88&lt;=_Engine!$B$36,88,"")</f>
        <v/>
      </c>
      <c r="B91" s="26">
        <f>IF($A91="","",EDATE(_Engine!$B$5,$A91-1))</f>
        <v/>
      </c>
      <c r="C91" s="27">
        <f>IF($A91="","",_Engine!$AJ149)</f>
        <v/>
      </c>
      <c r="D91" s="27">
        <f>IF($A91="","",_Engine!$AK149)</f>
        <v/>
      </c>
      <c r="E91" s="27">
        <f>IF($A91="","",_Engine!$AJ149-_Engine!$AK149)</f>
        <v/>
      </c>
      <c r="F91" s="27">
        <f>IF($A91="","",_Engine!$AI149)</f>
        <v/>
      </c>
      <c r="G91" s="27">
        <f>IF(OR($A91="",_Engine!$D$41=0),"",INDEX(_Engine!$E149:$X149,1,(_Engine!$J$41-1)*4+3))</f>
        <v/>
      </c>
      <c r="H91" s="27">
        <f>IF(OR($A91="",_Engine!$D$42=0),"",INDEX(_Engine!$E149:$X149,1,(_Engine!$J$42-1)*4+3))</f>
        <v/>
      </c>
      <c r="I91" s="27">
        <f>IF(OR($A91="",_Engine!$D$43=0),"",INDEX(_Engine!$E149:$X149,1,(_Engine!$J$43-1)*4+3))</f>
        <v/>
      </c>
      <c r="J91" s="27">
        <f>IF(OR($A91="",_Engine!$D$44=0),"",INDEX(_Engine!$E149:$X149,1,(_Engine!$J$44-1)*4+3))</f>
        <v/>
      </c>
      <c r="K91" s="27">
        <f>IF(OR($A91="",_Engine!$D$45=0),"",INDEX(_Engine!$E149:$X149,1,(_Engine!$J$45-1)*4+3))</f>
        <v/>
      </c>
    </row>
    <row r="92">
      <c r="A92" s="25">
        <f>IF(89&lt;=_Engine!$B$36,89,"")</f>
        <v/>
      </c>
      <c r="B92" s="26">
        <f>IF($A92="","",EDATE(_Engine!$B$5,$A92-1))</f>
        <v/>
      </c>
      <c r="C92" s="27">
        <f>IF($A92="","",_Engine!$AJ150)</f>
        <v/>
      </c>
      <c r="D92" s="27">
        <f>IF($A92="","",_Engine!$AK150)</f>
        <v/>
      </c>
      <c r="E92" s="27">
        <f>IF($A92="","",_Engine!$AJ150-_Engine!$AK150)</f>
        <v/>
      </c>
      <c r="F92" s="27">
        <f>IF($A92="","",_Engine!$AI150)</f>
        <v/>
      </c>
      <c r="G92" s="27">
        <f>IF(OR($A92="",_Engine!$D$41=0),"",INDEX(_Engine!$E150:$X150,1,(_Engine!$J$41-1)*4+3))</f>
        <v/>
      </c>
      <c r="H92" s="27">
        <f>IF(OR($A92="",_Engine!$D$42=0),"",INDEX(_Engine!$E150:$X150,1,(_Engine!$J$42-1)*4+3))</f>
        <v/>
      </c>
      <c r="I92" s="27">
        <f>IF(OR($A92="",_Engine!$D$43=0),"",INDEX(_Engine!$E150:$X150,1,(_Engine!$J$43-1)*4+3))</f>
        <v/>
      </c>
      <c r="J92" s="27">
        <f>IF(OR($A92="",_Engine!$D$44=0),"",INDEX(_Engine!$E150:$X150,1,(_Engine!$J$44-1)*4+3))</f>
        <v/>
      </c>
      <c r="K92" s="27">
        <f>IF(OR($A92="",_Engine!$D$45=0),"",INDEX(_Engine!$E150:$X150,1,(_Engine!$J$45-1)*4+3))</f>
        <v/>
      </c>
    </row>
    <row r="93">
      <c r="A93" s="25">
        <f>IF(90&lt;=_Engine!$B$36,90,"")</f>
        <v/>
      </c>
      <c r="B93" s="26">
        <f>IF($A93="","",EDATE(_Engine!$B$5,$A93-1))</f>
        <v/>
      </c>
      <c r="C93" s="27">
        <f>IF($A93="","",_Engine!$AJ151)</f>
        <v/>
      </c>
      <c r="D93" s="27">
        <f>IF($A93="","",_Engine!$AK151)</f>
        <v/>
      </c>
      <c r="E93" s="27">
        <f>IF($A93="","",_Engine!$AJ151-_Engine!$AK151)</f>
        <v/>
      </c>
      <c r="F93" s="27">
        <f>IF($A93="","",_Engine!$AI151)</f>
        <v/>
      </c>
      <c r="G93" s="27">
        <f>IF(OR($A93="",_Engine!$D$41=0),"",INDEX(_Engine!$E151:$X151,1,(_Engine!$J$41-1)*4+3))</f>
        <v/>
      </c>
      <c r="H93" s="27">
        <f>IF(OR($A93="",_Engine!$D$42=0),"",INDEX(_Engine!$E151:$X151,1,(_Engine!$J$42-1)*4+3))</f>
        <v/>
      </c>
      <c r="I93" s="27">
        <f>IF(OR($A93="",_Engine!$D$43=0),"",INDEX(_Engine!$E151:$X151,1,(_Engine!$J$43-1)*4+3))</f>
        <v/>
      </c>
      <c r="J93" s="27">
        <f>IF(OR($A93="",_Engine!$D$44=0),"",INDEX(_Engine!$E151:$X151,1,(_Engine!$J$44-1)*4+3))</f>
        <v/>
      </c>
      <c r="K93" s="27">
        <f>IF(OR($A93="",_Engine!$D$45=0),"",INDEX(_Engine!$E151:$X151,1,(_Engine!$J$45-1)*4+3))</f>
        <v/>
      </c>
    </row>
    <row r="94">
      <c r="A94" s="25">
        <f>IF(91&lt;=_Engine!$B$36,91,"")</f>
        <v/>
      </c>
      <c r="B94" s="26">
        <f>IF($A94="","",EDATE(_Engine!$B$5,$A94-1))</f>
        <v/>
      </c>
      <c r="C94" s="27">
        <f>IF($A94="","",_Engine!$AJ152)</f>
        <v/>
      </c>
      <c r="D94" s="27">
        <f>IF($A94="","",_Engine!$AK152)</f>
        <v/>
      </c>
      <c r="E94" s="27">
        <f>IF($A94="","",_Engine!$AJ152-_Engine!$AK152)</f>
        <v/>
      </c>
      <c r="F94" s="27">
        <f>IF($A94="","",_Engine!$AI152)</f>
        <v/>
      </c>
      <c r="G94" s="27">
        <f>IF(OR($A94="",_Engine!$D$41=0),"",INDEX(_Engine!$E152:$X152,1,(_Engine!$J$41-1)*4+3))</f>
        <v/>
      </c>
      <c r="H94" s="27">
        <f>IF(OR($A94="",_Engine!$D$42=0),"",INDEX(_Engine!$E152:$X152,1,(_Engine!$J$42-1)*4+3))</f>
        <v/>
      </c>
      <c r="I94" s="27">
        <f>IF(OR($A94="",_Engine!$D$43=0),"",INDEX(_Engine!$E152:$X152,1,(_Engine!$J$43-1)*4+3))</f>
        <v/>
      </c>
      <c r="J94" s="27">
        <f>IF(OR($A94="",_Engine!$D$44=0),"",INDEX(_Engine!$E152:$X152,1,(_Engine!$J$44-1)*4+3))</f>
        <v/>
      </c>
      <c r="K94" s="27">
        <f>IF(OR($A94="",_Engine!$D$45=0),"",INDEX(_Engine!$E152:$X152,1,(_Engine!$J$45-1)*4+3))</f>
        <v/>
      </c>
    </row>
    <row r="95">
      <c r="A95" s="25">
        <f>IF(92&lt;=_Engine!$B$36,92,"")</f>
        <v/>
      </c>
      <c r="B95" s="26">
        <f>IF($A95="","",EDATE(_Engine!$B$5,$A95-1))</f>
        <v/>
      </c>
      <c r="C95" s="27">
        <f>IF($A95="","",_Engine!$AJ153)</f>
        <v/>
      </c>
      <c r="D95" s="27">
        <f>IF($A95="","",_Engine!$AK153)</f>
        <v/>
      </c>
      <c r="E95" s="27">
        <f>IF($A95="","",_Engine!$AJ153-_Engine!$AK153)</f>
        <v/>
      </c>
      <c r="F95" s="27">
        <f>IF($A95="","",_Engine!$AI153)</f>
        <v/>
      </c>
      <c r="G95" s="27">
        <f>IF(OR($A95="",_Engine!$D$41=0),"",INDEX(_Engine!$E153:$X153,1,(_Engine!$J$41-1)*4+3))</f>
        <v/>
      </c>
      <c r="H95" s="27">
        <f>IF(OR($A95="",_Engine!$D$42=0),"",INDEX(_Engine!$E153:$X153,1,(_Engine!$J$42-1)*4+3))</f>
        <v/>
      </c>
      <c r="I95" s="27">
        <f>IF(OR($A95="",_Engine!$D$43=0),"",INDEX(_Engine!$E153:$X153,1,(_Engine!$J$43-1)*4+3))</f>
        <v/>
      </c>
      <c r="J95" s="27">
        <f>IF(OR($A95="",_Engine!$D$44=0),"",INDEX(_Engine!$E153:$X153,1,(_Engine!$J$44-1)*4+3))</f>
        <v/>
      </c>
      <c r="K95" s="27">
        <f>IF(OR($A95="",_Engine!$D$45=0),"",INDEX(_Engine!$E153:$X153,1,(_Engine!$J$45-1)*4+3))</f>
        <v/>
      </c>
    </row>
    <row r="96">
      <c r="A96" s="25">
        <f>IF(93&lt;=_Engine!$B$36,93,"")</f>
        <v/>
      </c>
      <c r="B96" s="26">
        <f>IF($A96="","",EDATE(_Engine!$B$5,$A96-1))</f>
        <v/>
      </c>
      <c r="C96" s="27">
        <f>IF($A96="","",_Engine!$AJ154)</f>
        <v/>
      </c>
      <c r="D96" s="27">
        <f>IF($A96="","",_Engine!$AK154)</f>
        <v/>
      </c>
      <c r="E96" s="27">
        <f>IF($A96="","",_Engine!$AJ154-_Engine!$AK154)</f>
        <v/>
      </c>
      <c r="F96" s="27">
        <f>IF($A96="","",_Engine!$AI154)</f>
        <v/>
      </c>
      <c r="G96" s="27">
        <f>IF(OR($A96="",_Engine!$D$41=0),"",INDEX(_Engine!$E154:$X154,1,(_Engine!$J$41-1)*4+3))</f>
        <v/>
      </c>
      <c r="H96" s="27">
        <f>IF(OR($A96="",_Engine!$D$42=0),"",INDEX(_Engine!$E154:$X154,1,(_Engine!$J$42-1)*4+3))</f>
        <v/>
      </c>
      <c r="I96" s="27">
        <f>IF(OR($A96="",_Engine!$D$43=0),"",INDEX(_Engine!$E154:$X154,1,(_Engine!$J$43-1)*4+3))</f>
        <v/>
      </c>
      <c r="J96" s="27">
        <f>IF(OR($A96="",_Engine!$D$44=0),"",INDEX(_Engine!$E154:$X154,1,(_Engine!$J$44-1)*4+3))</f>
        <v/>
      </c>
      <c r="K96" s="27">
        <f>IF(OR($A96="",_Engine!$D$45=0),"",INDEX(_Engine!$E154:$X154,1,(_Engine!$J$45-1)*4+3))</f>
        <v/>
      </c>
    </row>
    <row r="97">
      <c r="A97" s="25">
        <f>IF(94&lt;=_Engine!$B$36,94,"")</f>
        <v/>
      </c>
      <c r="B97" s="26">
        <f>IF($A97="","",EDATE(_Engine!$B$5,$A97-1))</f>
        <v/>
      </c>
      <c r="C97" s="27">
        <f>IF($A97="","",_Engine!$AJ155)</f>
        <v/>
      </c>
      <c r="D97" s="27">
        <f>IF($A97="","",_Engine!$AK155)</f>
        <v/>
      </c>
      <c r="E97" s="27">
        <f>IF($A97="","",_Engine!$AJ155-_Engine!$AK155)</f>
        <v/>
      </c>
      <c r="F97" s="27">
        <f>IF($A97="","",_Engine!$AI155)</f>
        <v/>
      </c>
      <c r="G97" s="27">
        <f>IF(OR($A97="",_Engine!$D$41=0),"",INDEX(_Engine!$E155:$X155,1,(_Engine!$J$41-1)*4+3))</f>
        <v/>
      </c>
      <c r="H97" s="27">
        <f>IF(OR($A97="",_Engine!$D$42=0),"",INDEX(_Engine!$E155:$X155,1,(_Engine!$J$42-1)*4+3))</f>
        <v/>
      </c>
      <c r="I97" s="27">
        <f>IF(OR($A97="",_Engine!$D$43=0),"",INDEX(_Engine!$E155:$X155,1,(_Engine!$J$43-1)*4+3))</f>
        <v/>
      </c>
      <c r="J97" s="27">
        <f>IF(OR($A97="",_Engine!$D$44=0),"",INDEX(_Engine!$E155:$X155,1,(_Engine!$J$44-1)*4+3))</f>
        <v/>
      </c>
      <c r="K97" s="27">
        <f>IF(OR($A97="",_Engine!$D$45=0),"",INDEX(_Engine!$E155:$X155,1,(_Engine!$J$45-1)*4+3))</f>
        <v/>
      </c>
    </row>
    <row r="98">
      <c r="A98" s="25">
        <f>IF(95&lt;=_Engine!$B$36,95,"")</f>
        <v/>
      </c>
      <c r="B98" s="26">
        <f>IF($A98="","",EDATE(_Engine!$B$5,$A98-1))</f>
        <v/>
      </c>
      <c r="C98" s="27">
        <f>IF($A98="","",_Engine!$AJ156)</f>
        <v/>
      </c>
      <c r="D98" s="27">
        <f>IF($A98="","",_Engine!$AK156)</f>
        <v/>
      </c>
      <c r="E98" s="27">
        <f>IF($A98="","",_Engine!$AJ156-_Engine!$AK156)</f>
        <v/>
      </c>
      <c r="F98" s="27">
        <f>IF($A98="","",_Engine!$AI156)</f>
        <v/>
      </c>
      <c r="G98" s="27">
        <f>IF(OR($A98="",_Engine!$D$41=0),"",INDEX(_Engine!$E156:$X156,1,(_Engine!$J$41-1)*4+3))</f>
        <v/>
      </c>
      <c r="H98" s="27">
        <f>IF(OR($A98="",_Engine!$D$42=0),"",INDEX(_Engine!$E156:$X156,1,(_Engine!$J$42-1)*4+3))</f>
        <v/>
      </c>
      <c r="I98" s="27">
        <f>IF(OR($A98="",_Engine!$D$43=0),"",INDEX(_Engine!$E156:$X156,1,(_Engine!$J$43-1)*4+3))</f>
        <v/>
      </c>
      <c r="J98" s="27">
        <f>IF(OR($A98="",_Engine!$D$44=0),"",INDEX(_Engine!$E156:$X156,1,(_Engine!$J$44-1)*4+3))</f>
        <v/>
      </c>
      <c r="K98" s="27">
        <f>IF(OR($A98="",_Engine!$D$45=0),"",INDEX(_Engine!$E156:$X156,1,(_Engine!$J$45-1)*4+3))</f>
        <v/>
      </c>
    </row>
    <row r="99">
      <c r="A99" s="25">
        <f>IF(96&lt;=_Engine!$B$36,96,"")</f>
        <v/>
      </c>
      <c r="B99" s="26">
        <f>IF($A99="","",EDATE(_Engine!$B$5,$A99-1))</f>
        <v/>
      </c>
      <c r="C99" s="27">
        <f>IF($A99="","",_Engine!$AJ157)</f>
        <v/>
      </c>
      <c r="D99" s="27">
        <f>IF($A99="","",_Engine!$AK157)</f>
        <v/>
      </c>
      <c r="E99" s="27">
        <f>IF($A99="","",_Engine!$AJ157-_Engine!$AK157)</f>
        <v/>
      </c>
      <c r="F99" s="27">
        <f>IF($A99="","",_Engine!$AI157)</f>
        <v/>
      </c>
      <c r="G99" s="27">
        <f>IF(OR($A99="",_Engine!$D$41=0),"",INDEX(_Engine!$E157:$X157,1,(_Engine!$J$41-1)*4+3))</f>
        <v/>
      </c>
      <c r="H99" s="27">
        <f>IF(OR($A99="",_Engine!$D$42=0),"",INDEX(_Engine!$E157:$X157,1,(_Engine!$J$42-1)*4+3))</f>
        <v/>
      </c>
      <c r="I99" s="27">
        <f>IF(OR($A99="",_Engine!$D$43=0),"",INDEX(_Engine!$E157:$X157,1,(_Engine!$J$43-1)*4+3))</f>
        <v/>
      </c>
      <c r="J99" s="27">
        <f>IF(OR($A99="",_Engine!$D$44=0),"",INDEX(_Engine!$E157:$X157,1,(_Engine!$J$44-1)*4+3))</f>
        <v/>
      </c>
      <c r="K99" s="27">
        <f>IF(OR($A99="",_Engine!$D$45=0),"",INDEX(_Engine!$E157:$X157,1,(_Engine!$J$45-1)*4+3))</f>
        <v/>
      </c>
    </row>
    <row r="100">
      <c r="A100" s="25">
        <f>IF(97&lt;=_Engine!$B$36,97,"")</f>
        <v/>
      </c>
      <c r="B100" s="26">
        <f>IF($A100="","",EDATE(_Engine!$B$5,$A100-1))</f>
        <v/>
      </c>
      <c r="C100" s="27">
        <f>IF($A100="","",_Engine!$AJ158)</f>
        <v/>
      </c>
      <c r="D100" s="27">
        <f>IF($A100="","",_Engine!$AK158)</f>
        <v/>
      </c>
      <c r="E100" s="27">
        <f>IF($A100="","",_Engine!$AJ158-_Engine!$AK158)</f>
        <v/>
      </c>
      <c r="F100" s="27">
        <f>IF($A100="","",_Engine!$AI158)</f>
        <v/>
      </c>
      <c r="G100" s="27">
        <f>IF(OR($A100="",_Engine!$D$41=0),"",INDEX(_Engine!$E158:$X158,1,(_Engine!$J$41-1)*4+3))</f>
        <v/>
      </c>
      <c r="H100" s="27">
        <f>IF(OR($A100="",_Engine!$D$42=0),"",INDEX(_Engine!$E158:$X158,1,(_Engine!$J$42-1)*4+3))</f>
        <v/>
      </c>
      <c r="I100" s="27">
        <f>IF(OR($A100="",_Engine!$D$43=0),"",INDEX(_Engine!$E158:$X158,1,(_Engine!$J$43-1)*4+3))</f>
        <v/>
      </c>
      <c r="J100" s="27">
        <f>IF(OR($A100="",_Engine!$D$44=0),"",INDEX(_Engine!$E158:$X158,1,(_Engine!$J$44-1)*4+3))</f>
        <v/>
      </c>
      <c r="K100" s="27">
        <f>IF(OR($A100="",_Engine!$D$45=0),"",INDEX(_Engine!$E158:$X158,1,(_Engine!$J$45-1)*4+3))</f>
        <v/>
      </c>
    </row>
    <row r="101">
      <c r="A101" s="25">
        <f>IF(98&lt;=_Engine!$B$36,98,"")</f>
        <v/>
      </c>
      <c r="B101" s="26">
        <f>IF($A101="","",EDATE(_Engine!$B$5,$A101-1))</f>
        <v/>
      </c>
      <c r="C101" s="27">
        <f>IF($A101="","",_Engine!$AJ159)</f>
        <v/>
      </c>
      <c r="D101" s="27">
        <f>IF($A101="","",_Engine!$AK159)</f>
        <v/>
      </c>
      <c r="E101" s="27">
        <f>IF($A101="","",_Engine!$AJ159-_Engine!$AK159)</f>
        <v/>
      </c>
      <c r="F101" s="27">
        <f>IF($A101="","",_Engine!$AI159)</f>
        <v/>
      </c>
      <c r="G101" s="27">
        <f>IF(OR($A101="",_Engine!$D$41=0),"",INDEX(_Engine!$E159:$X159,1,(_Engine!$J$41-1)*4+3))</f>
        <v/>
      </c>
      <c r="H101" s="27">
        <f>IF(OR($A101="",_Engine!$D$42=0),"",INDEX(_Engine!$E159:$X159,1,(_Engine!$J$42-1)*4+3))</f>
        <v/>
      </c>
      <c r="I101" s="27">
        <f>IF(OR($A101="",_Engine!$D$43=0),"",INDEX(_Engine!$E159:$X159,1,(_Engine!$J$43-1)*4+3))</f>
        <v/>
      </c>
      <c r="J101" s="27">
        <f>IF(OR($A101="",_Engine!$D$44=0),"",INDEX(_Engine!$E159:$X159,1,(_Engine!$J$44-1)*4+3))</f>
        <v/>
      </c>
      <c r="K101" s="27">
        <f>IF(OR($A101="",_Engine!$D$45=0),"",INDEX(_Engine!$E159:$X159,1,(_Engine!$J$45-1)*4+3))</f>
        <v/>
      </c>
    </row>
    <row r="102">
      <c r="A102" s="25">
        <f>IF(99&lt;=_Engine!$B$36,99,"")</f>
        <v/>
      </c>
      <c r="B102" s="26">
        <f>IF($A102="","",EDATE(_Engine!$B$5,$A102-1))</f>
        <v/>
      </c>
      <c r="C102" s="27">
        <f>IF($A102="","",_Engine!$AJ160)</f>
        <v/>
      </c>
      <c r="D102" s="27">
        <f>IF($A102="","",_Engine!$AK160)</f>
        <v/>
      </c>
      <c r="E102" s="27">
        <f>IF($A102="","",_Engine!$AJ160-_Engine!$AK160)</f>
        <v/>
      </c>
      <c r="F102" s="27">
        <f>IF($A102="","",_Engine!$AI160)</f>
        <v/>
      </c>
      <c r="G102" s="27">
        <f>IF(OR($A102="",_Engine!$D$41=0),"",INDEX(_Engine!$E160:$X160,1,(_Engine!$J$41-1)*4+3))</f>
        <v/>
      </c>
      <c r="H102" s="27">
        <f>IF(OR($A102="",_Engine!$D$42=0),"",INDEX(_Engine!$E160:$X160,1,(_Engine!$J$42-1)*4+3))</f>
        <v/>
      </c>
      <c r="I102" s="27">
        <f>IF(OR($A102="",_Engine!$D$43=0),"",INDEX(_Engine!$E160:$X160,1,(_Engine!$J$43-1)*4+3))</f>
        <v/>
      </c>
      <c r="J102" s="27">
        <f>IF(OR($A102="",_Engine!$D$44=0),"",INDEX(_Engine!$E160:$X160,1,(_Engine!$J$44-1)*4+3))</f>
        <v/>
      </c>
      <c r="K102" s="27">
        <f>IF(OR($A102="",_Engine!$D$45=0),"",INDEX(_Engine!$E160:$X160,1,(_Engine!$J$45-1)*4+3))</f>
        <v/>
      </c>
    </row>
    <row r="103">
      <c r="A103" s="25">
        <f>IF(100&lt;=_Engine!$B$36,100,"")</f>
        <v/>
      </c>
      <c r="B103" s="26">
        <f>IF($A103="","",EDATE(_Engine!$B$5,$A103-1))</f>
        <v/>
      </c>
      <c r="C103" s="27">
        <f>IF($A103="","",_Engine!$AJ161)</f>
        <v/>
      </c>
      <c r="D103" s="27">
        <f>IF($A103="","",_Engine!$AK161)</f>
        <v/>
      </c>
      <c r="E103" s="27">
        <f>IF($A103="","",_Engine!$AJ161-_Engine!$AK161)</f>
        <v/>
      </c>
      <c r="F103" s="27">
        <f>IF($A103="","",_Engine!$AI161)</f>
        <v/>
      </c>
      <c r="G103" s="27">
        <f>IF(OR($A103="",_Engine!$D$41=0),"",INDEX(_Engine!$E161:$X161,1,(_Engine!$J$41-1)*4+3))</f>
        <v/>
      </c>
      <c r="H103" s="27">
        <f>IF(OR($A103="",_Engine!$D$42=0),"",INDEX(_Engine!$E161:$X161,1,(_Engine!$J$42-1)*4+3))</f>
        <v/>
      </c>
      <c r="I103" s="27">
        <f>IF(OR($A103="",_Engine!$D$43=0),"",INDEX(_Engine!$E161:$X161,1,(_Engine!$J$43-1)*4+3))</f>
        <v/>
      </c>
      <c r="J103" s="27">
        <f>IF(OR($A103="",_Engine!$D$44=0),"",INDEX(_Engine!$E161:$X161,1,(_Engine!$J$44-1)*4+3))</f>
        <v/>
      </c>
      <c r="K103" s="27">
        <f>IF(OR($A103="",_Engine!$D$45=0),"",INDEX(_Engine!$E161:$X161,1,(_Engine!$J$45-1)*4+3))</f>
        <v/>
      </c>
    </row>
    <row r="104">
      <c r="A104" s="25">
        <f>IF(101&lt;=_Engine!$B$36,101,"")</f>
        <v/>
      </c>
      <c r="B104" s="26">
        <f>IF($A104="","",EDATE(_Engine!$B$5,$A104-1))</f>
        <v/>
      </c>
      <c r="C104" s="27">
        <f>IF($A104="","",_Engine!$AJ162)</f>
        <v/>
      </c>
      <c r="D104" s="27">
        <f>IF($A104="","",_Engine!$AK162)</f>
        <v/>
      </c>
      <c r="E104" s="27">
        <f>IF($A104="","",_Engine!$AJ162-_Engine!$AK162)</f>
        <v/>
      </c>
      <c r="F104" s="27">
        <f>IF($A104="","",_Engine!$AI162)</f>
        <v/>
      </c>
      <c r="G104" s="27">
        <f>IF(OR($A104="",_Engine!$D$41=0),"",INDEX(_Engine!$E162:$X162,1,(_Engine!$J$41-1)*4+3))</f>
        <v/>
      </c>
      <c r="H104" s="27">
        <f>IF(OR($A104="",_Engine!$D$42=0),"",INDEX(_Engine!$E162:$X162,1,(_Engine!$J$42-1)*4+3))</f>
        <v/>
      </c>
      <c r="I104" s="27">
        <f>IF(OR($A104="",_Engine!$D$43=0),"",INDEX(_Engine!$E162:$X162,1,(_Engine!$J$43-1)*4+3))</f>
        <v/>
      </c>
      <c r="J104" s="27">
        <f>IF(OR($A104="",_Engine!$D$44=0),"",INDEX(_Engine!$E162:$X162,1,(_Engine!$J$44-1)*4+3))</f>
        <v/>
      </c>
      <c r="K104" s="27">
        <f>IF(OR($A104="",_Engine!$D$45=0),"",INDEX(_Engine!$E162:$X162,1,(_Engine!$J$45-1)*4+3))</f>
        <v/>
      </c>
    </row>
    <row r="105">
      <c r="A105" s="25">
        <f>IF(102&lt;=_Engine!$B$36,102,"")</f>
        <v/>
      </c>
      <c r="B105" s="26">
        <f>IF($A105="","",EDATE(_Engine!$B$5,$A105-1))</f>
        <v/>
      </c>
      <c r="C105" s="27">
        <f>IF($A105="","",_Engine!$AJ163)</f>
        <v/>
      </c>
      <c r="D105" s="27">
        <f>IF($A105="","",_Engine!$AK163)</f>
        <v/>
      </c>
      <c r="E105" s="27">
        <f>IF($A105="","",_Engine!$AJ163-_Engine!$AK163)</f>
        <v/>
      </c>
      <c r="F105" s="27">
        <f>IF($A105="","",_Engine!$AI163)</f>
        <v/>
      </c>
      <c r="G105" s="27">
        <f>IF(OR($A105="",_Engine!$D$41=0),"",INDEX(_Engine!$E163:$X163,1,(_Engine!$J$41-1)*4+3))</f>
        <v/>
      </c>
      <c r="H105" s="27">
        <f>IF(OR($A105="",_Engine!$D$42=0),"",INDEX(_Engine!$E163:$X163,1,(_Engine!$J$42-1)*4+3))</f>
        <v/>
      </c>
      <c r="I105" s="27">
        <f>IF(OR($A105="",_Engine!$D$43=0),"",INDEX(_Engine!$E163:$X163,1,(_Engine!$J$43-1)*4+3))</f>
        <v/>
      </c>
      <c r="J105" s="27">
        <f>IF(OR($A105="",_Engine!$D$44=0),"",INDEX(_Engine!$E163:$X163,1,(_Engine!$J$44-1)*4+3))</f>
        <v/>
      </c>
      <c r="K105" s="27">
        <f>IF(OR($A105="",_Engine!$D$45=0),"",INDEX(_Engine!$E163:$X163,1,(_Engine!$J$45-1)*4+3))</f>
        <v/>
      </c>
    </row>
    <row r="106">
      <c r="A106" s="25">
        <f>IF(103&lt;=_Engine!$B$36,103,"")</f>
        <v/>
      </c>
      <c r="B106" s="26">
        <f>IF($A106="","",EDATE(_Engine!$B$5,$A106-1))</f>
        <v/>
      </c>
      <c r="C106" s="27">
        <f>IF($A106="","",_Engine!$AJ164)</f>
        <v/>
      </c>
      <c r="D106" s="27">
        <f>IF($A106="","",_Engine!$AK164)</f>
        <v/>
      </c>
      <c r="E106" s="27">
        <f>IF($A106="","",_Engine!$AJ164-_Engine!$AK164)</f>
        <v/>
      </c>
      <c r="F106" s="27">
        <f>IF($A106="","",_Engine!$AI164)</f>
        <v/>
      </c>
      <c r="G106" s="27">
        <f>IF(OR($A106="",_Engine!$D$41=0),"",INDEX(_Engine!$E164:$X164,1,(_Engine!$J$41-1)*4+3))</f>
        <v/>
      </c>
      <c r="H106" s="27">
        <f>IF(OR($A106="",_Engine!$D$42=0),"",INDEX(_Engine!$E164:$X164,1,(_Engine!$J$42-1)*4+3))</f>
        <v/>
      </c>
      <c r="I106" s="27">
        <f>IF(OR($A106="",_Engine!$D$43=0),"",INDEX(_Engine!$E164:$X164,1,(_Engine!$J$43-1)*4+3))</f>
        <v/>
      </c>
      <c r="J106" s="27">
        <f>IF(OR($A106="",_Engine!$D$44=0),"",INDEX(_Engine!$E164:$X164,1,(_Engine!$J$44-1)*4+3))</f>
        <v/>
      </c>
      <c r="K106" s="27">
        <f>IF(OR($A106="",_Engine!$D$45=0),"",INDEX(_Engine!$E164:$X164,1,(_Engine!$J$45-1)*4+3))</f>
        <v/>
      </c>
    </row>
    <row r="107">
      <c r="A107" s="25">
        <f>IF(104&lt;=_Engine!$B$36,104,"")</f>
        <v/>
      </c>
      <c r="B107" s="26">
        <f>IF($A107="","",EDATE(_Engine!$B$5,$A107-1))</f>
        <v/>
      </c>
      <c r="C107" s="27">
        <f>IF($A107="","",_Engine!$AJ165)</f>
        <v/>
      </c>
      <c r="D107" s="27">
        <f>IF($A107="","",_Engine!$AK165)</f>
        <v/>
      </c>
      <c r="E107" s="27">
        <f>IF($A107="","",_Engine!$AJ165-_Engine!$AK165)</f>
        <v/>
      </c>
      <c r="F107" s="27">
        <f>IF($A107="","",_Engine!$AI165)</f>
        <v/>
      </c>
      <c r="G107" s="27">
        <f>IF(OR($A107="",_Engine!$D$41=0),"",INDEX(_Engine!$E165:$X165,1,(_Engine!$J$41-1)*4+3))</f>
        <v/>
      </c>
      <c r="H107" s="27">
        <f>IF(OR($A107="",_Engine!$D$42=0),"",INDEX(_Engine!$E165:$X165,1,(_Engine!$J$42-1)*4+3))</f>
        <v/>
      </c>
      <c r="I107" s="27">
        <f>IF(OR($A107="",_Engine!$D$43=0),"",INDEX(_Engine!$E165:$X165,1,(_Engine!$J$43-1)*4+3))</f>
        <v/>
      </c>
      <c r="J107" s="27">
        <f>IF(OR($A107="",_Engine!$D$44=0),"",INDEX(_Engine!$E165:$X165,1,(_Engine!$J$44-1)*4+3))</f>
        <v/>
      </c>
      <c r="K107" s="27">
        <f>IF(OR($A107="",_Engine!$D$45=0),"",INDEX(_Engine!$E165:$X165,1,(_Engine!$J$45-1)*4+3))</f>
        <v/>
      </c>
    </row>
    <row r="108">
      <c r="A108" s="25">
        <f>IF(105&lt;=_Engine!$B$36,105,"")</f>
        <v/>
      </c>
      <c r="B108" s="26">
        <f>IF($A108="","",EDATE(_Engine!$B$5,$A108-1))</f>
        <v/>
      </c>
      <c r="C108" s="27">
        <f>IF($A108="","",_Engine!$AJ166)</f>
        <v/>
      </c>
      <c r="D108" s="27">
        <f>IF($A108="","",_Engine!$AK166)</f>
        <v/>
      </c>
      <c r="E108" s="27">
        <f>IF($A108="","",_Engine!$AJ166-_Engine!$AK166)</f>
        <v/>
      </c>
      <c r="F108" s="27">
        <f>IF($A108="","",_Engine!$AI166)</f>
        <v/>
      </c>
      <c r="G108" s="27">
        <f>IF(OR($A108="",_Engine!$D$41=0),"",INDEX(_Engine!$E166:$X166,1,(_Engine!$J$41-1)*4+3))</f>
        <v/>
      </c>
      <c r="H108" s="27">
        <f>IF(OR($A108="",_Engine!$D$42=0),"",INDEX(_Engine!$E166:$X166,1,(_Engine!$J$42-1)*4+3))</f>
        <v/>
      </c>
      <c r="I108" s="27">
        <f>IF(OR($A108="",_Engine!$D$43=0),"",INDEX(_Engine!$E166:$X166,1,(_Engine!$J$43-1)*4+3))</f>
        <v/>
      </c>
      <c r="J108" s="27">
        <f>IF(OR($A108="",_Engine!$D$44=0),"",INDEX(_Engine!$E166:$X166,1,(_Engine!$J$44-1)*4+3))</f>
        <v/>
      </c>
      <c r="K108" s="27">
        <f>IF(OR($A108="",_Engine!$D$45=0),"",INDEX(_Engine!$E166:$X166,1,(_Engine!$J$45-1)*4+3))</f>
        <v/>
      </c>
    </row>
    <row r="109">
      <c r="A109" s="25">
        <f>IF(106&lt;=_Engine!$B$36,106,"")</f>
        <v/>
      </c>
      <c r="B109" s="26">
        <f>IF($A109="","",EDATE(_Engine!$B$5,$A109-1))</f>
        <v/>
      </c>
      <c r="C109" s="27">
        <f>IF($A109="","",_Engine!$AJ167)</f>
        <v/>
      </c>
      <c r="D109" s="27">
        <f>IF($A109="","",_Engine!$AK167)</f>
        <v/>
      </c>
      <c r="E109" s="27">
        <f>IF($A109="","",_Engine!$AJ167-_Engine!$AK167)</f>
        <v/>
      </c>
      <c r="F109" s="27">
        <f>IF($A109="","",_Engine!$AI167)</f>
        <v/>
      </c>
      <c r="G109" s="27">
        <f>IF(OR($A109="",_Engine!$D$41=0),"",INDEX(_Engine!$E167:$X167,1,(_Engine!$J$41-1)*4+3))</f>
        <v/>
      </c>
      <c r="H109" s="27">
        <f>IF(OR($A109="",_Engine!$D$42=0),"",INDEX(_Engine!$E167:$X167,1,(_Engine!$J$42-1)*4+3))</f>
        <v/>
      </c>
      <c r="I109" s="27">
        <f>IF(OR($A109="",_Engine!$D$43=0),"",INDEX(_Engine!$E167:$X167,1,(_Engine!$J$43-1)*4+3))</f>
        <v/>
      </c>
      <c r="J109" s="27">
        <f>IF(OR($A109="",_Engine!$D$44=0),"",INDEX(_Engine!$E167:$X167,1,(_Engine!$J$44-1)*4+3))</f>
        <v/>
      </c>
      <c r="K109" s="27">
        <f>IF(OR($A109="",_Engine!$D$45=0),"",INDEX(_Engine!$E167:$X167,1,(_Engine!$J$45-1)*4+3))</f>
        <v/>
      </c>
    </row>
    <row r="110">
      <c r="A110" s="25">
        <f>IF(107&lt;=_Engine!$B$36,107,"")</f>
        <v/>
      </c>
      <c r="B110" s="26">
        <f>IF($A110="","",EDATE(_Engine!$B$5,$A110-1))</f>
        <v/>
      </c>
      <c r="C110" s="27">
        <f>IF($A110="","",_Engine!$AJ168)</f>
        <v/>
      </c>
      <c r="D110" s="27">
        <f>IF($A110="","",_Engine!$AK168)</f>
        <v/>
      </c>
      <c r="E110" s="27">
        <f>IF($A110="","",_Engine!$AJ168-_Engine!$AK168)</f>
        <v/>
      </c>
      <c r="F110" s="27">
        <f>IF($A110="","",_Engine!$AI168)</f>
        <v/>
      </c>
      <c r="G110" s="27">
        <f>IF(OR($A110="",_Engine!$D$41=0),"",INDEX(_Engine!$E168:$X168,1,(_Engine!$J$41-1)*4+3))</f>
        <v/>
      </c>
      <c r="H110" s="27">
        <f>IF(OR($A110="",_Engine!$D$42=0),"",INDEX(_Engine!$E168:$X168,1,(_Engine!$J$42-1)*4+3))</f>
        <v/>
      </c>
      <c r="I110" s="27">
        <f>IF(OR($A110="",_Engine!$D$43=0),"",INDEX(_Engine!$E168:$X168,1,(_Engine!$J$43-1)*4+3))</f>
        <v/>
      </c>
      <c r="J110" s="27">
        <f>IF(OR($A110="",_Engine!$D$44=0),"",INDEX(_Engine!$E168:$X168,1,(_Engine!$J$44-1)*4+3))</f>
        <v/>
      </c>
      <c r="K110" s="27">
        <f>IF(OR($A110="",_Engine!$D$45=0),"",INDEX(_Engine!$E168:$X168,1,(_Engine!$J$45-1)*4+3))</f>
        <v/>
      </c>
    </row>
    <row r="111">
      <c r="A111" s="25">
        <f>IF(108&lt;=_Engine!$B$36,108,"")</f>
        <v/>
      </c>
      <c r="B111" s="26">
        <f>IF($A111="","",EDATE(_Engine!$B$5,$A111-1))</f>
        <v/>
      </c>
      <c r="C111" s="27">
        <f>IF($A111="","",_Engine!$AJ169)</f>
        <v/>
      </c>
      <c r="D111" s="27">
        <f>IF($A111="","",_Engine!$AK169)</f>
        <v/>
      </c>
      <c r="E111" s="27">
        <f>IF($A111="","",_Engine!$AJ169-_Engine!$AK169)</f>
        <v/>
      </c>
      <c r="F111" s="27">
        <f>IF($A111="","",_Engine!$AI169)</f>
        <v/>
      </c>
      <c r="G111" s="27">
        <f>IF(OR($A111="",_Engine!$D$41=0),"",INDEX(_Engine!$E169:$X169,1,(_Engine!$J$41-1)*4+3))</f>
        <v/>
      </c>
      <c r="H111" s="27">
        <f>IF(OR($A111="",_Engine!$D$42=0),"",INDEX(_Engine!$E169:$X169,1,(_Engine!$J$42-1)*4+3))</f>
        <v/>
      </c>
      <c r="I111" s="27">
        <f>IF(OR($A111="",_Engine!$D$43=0),"",INDEX(_Engine!$E169:$X169,1,(_Engine!$J$43-1)*4+3))</f>
        <v/>
      </c>
      <c r="J111" s="27">
        <f>IF(OR($A111="",_Engine!$D$44=0),"",INDEX(_Engine!$E169:$X169,1,(_Engine!$J$44-1)*4+3))</f>
        <v/>
      </c>
      <c r="K111" s="27">
        <f>IF(OR($A111="",_Engine!$D$45=0),"",INDEX(_Engine!$E169:$X169,1,(_Engine!$J$45-1)*4+3))</f>
        <v/>
      </c>
    </row>
    <row r="112">
      <c r="A112" s="25">
        <f>IF(109&lt;=_Engine!$B$36,109,"")</f>
        <v/>
      </c>
      <c r="B112" s="26">
        <f>IF($A112="","",EDATE(_Engine!$B$5,$A112-1))</f>
        <v/>
      </c>
      <c r="C112" s="27">
        <f>IF($A112="","",_Engine!$AJ170)</f>
        <v/>
      </c>
      <c r="D112" s="27">
        <f>IF($A112="","",_Engine!$AK170)</f>
        <v/>
      </c>
      <c r="E112" s="27">
        <f>IF($A112="","",_Engine!$AJ170-_Engine!$AK170)</f>
        <v/>
      </c>
      <c r="F112" s="27">
        <f>IF($A112="","",_Engine!$AI170)</f>
        <v/>
      </c>
      <c r="G112" s="27">
        <f>IF(OR($A112="",_Engine!$D$41=0),"",INDEX(_Engine!$E170:$X170,1,(_Engine!$J$41-1)*4+3))</f>
        <v/>
      </c>
      <c r="H112" s="27">
        <f>IF(OR($A112="",_Engine!$D$42=0),"",INDEX(_Engine!$E170:$X170,1,(_Engine!$J$42-1)*4+3))</f>
        <v/>
      </c>
      <c r="I112" s="27">
        <f>IF(OR($A112="",_Engine!$D$43=0),"",INDEX(_Engine!$E170:$X170,1,(_Engine!$J$43-1)*4+3))</f>
        <v/>
      </c>
      <c r="J112" s="27">
        <f>IF(OR($A112="",_Engine!$D$44=0),"",INDEX(_Engine!$E170:$X170,1,(_Engine!$J$44-1)*4+3))</f>
        <v/>
      </c>
      <c r="K112" s="27">
        <f>IF(OR($A112="",_Engine!$D$45=0),"",INDEX(_Engine!$E170:$X170,1,(_Engine!$J$45-1)*4+3))</f>
        <v/>
      </c>
    </row>
    <row r="113">
      <c r="A113" s="25">
        <f>IF(110&lt;=_Engine!$B$36,110,"")</f>
        <v/>
      </c>
      <c r="B113" s="26">
        <f>IF($A113="","",EDATE(_Engine!$B$5,$A113-1))</f>
        <v/>
      </c>
      <c r="C113" s="27">
        <f>IF($A113="","",_Engine!$AJ171)</f>
        <v/>
      </c>
      <c r="D113" s="27">
        <f>IF($A113="","",_Engine!$AK171)</f>
        <v/>
      </c>
      <c r="E113" s="27">
        <f>IF($A113="","",_Engine!$AJ171-_Engine!$AK171)</f>
        <v/>
      </c>
      <c r="F113" s="27">
        <f>IF($A113="","",_Engine!$AI171)</f>
        <v/>
      </c>
      <c r="G113" s="27">
        <f>IF(OR($A113="",_Engine!$D$41=0),"",INDEX(_Engine!$E171:$X171,1,(_Engine!$J$41-1)*4+3))</f>
        <v/>
      </c>
      <c r="H113" s="27">
        <f>IF(OR($A113="",_Engine!$D$42=0),"",INDEX(_Engine!$E171:$X171,1,(_Engine!$J$42-1)*4+3))</f>
        <v/>
      </c>
      <c r="I113" s="27">
        <f>IF(OR($A113="",_Engine!$D$43=0),"",INDEX(_Engine!$E171:$X171,1,(_Engine!$J$43-1)*4+3))</f>
        <v/>
      </c>
      <c r="J113" s="27">
        <f>IF(OR($A113="",_Engine!$D$44=0),"",INDEX(_Engine!$E171:$X171,1,(_Engine!$J$44-1)*4+3))</f>
        <v/>
      </c>
      <c r="K113" s="27">
        <f>IF(OR($A113="",_Engine!$D$45=0),"",INDEX(_Engine!$E171:$X171,1,(_Engine!$J$45-1)*4+3))</f>
        <v/>
      </c>
    </row>
    <row r="114">
      <c r="A114" s="25">
        <f>IF(111&lt;=_Engine!$B$36,111,"")</f>
        <v/>
      </c>
      <c r="B114" s="26">
        <f>IF($A114="","",EDATE(_Engine!$B$5,$A114-1))</f>
        <v/>
      </c>
      <c r="C114" s="27">
        <f>IF($A114="","",_Engine!$AJ172)</f>
        <v/>
      </c>
      <c r="D114" s="27">
        <f>IF($A114="","",_Engine!$AK172)</f>
        <v/>
      </c>
      <c r="E114" s="27">
        <f>IF($A114="","",_Engine!$AJ172-_Engine!$AK172)</f>
        <v/>
      </c>
      <c r="F114" s="27">
        <f>IF($A114="","",_Engine!$AI172)</f>
        <v/>
      </c>
      <c r="G114" s="27">
        <f>IF(OR($A114="",_Engine!$D$41=0),"",INDEX(_Engine!$E172:$X172,1,(_Engine!$J$41-1)*4+3))</f>
        <v/>
      </c>
      <c r="H114" s="27">
        <f>IF(OR($A114="",_Engine!$D$42=0),"",INDEX(_Engine!$E172:$X172,1,(_Engine!$J$42-1)*4+3))</f>
        <v/>
      </c>
      <c r="I114" s="27">
        <f>IF(OR($A114="",_Engine!$D$43=0),"",INDEX(_Engine!$E172:$X172,1,(_Engine!$J$43-1)*4+3))</f>
        <v/>
      </c>
      <c r="J114" s="27">
        <f>IF(OR($A114="",_Engine!$D$44=0),"",INDEX(_Engine!$E172:$X172,1,(_Engine!$J$44-1)*4+3))</f>
        <v/>
      </c>
      <c r="K114" s="27">
        <f>IF(OR($A114="",_Engine!$D$45=0),"",INDEX(_Engine!$E172:$X172,1,(_Engine!$J$45-1)*4+3))</f>
        <v/>
      </c>
    </row>
    <row r="115">
      <c r="A115" s="25">
        <f>IF(112&lt;=_Engine!$B$36,112,"")</f>
        <v/>
      </c>
      <c r="B115" s="26">
        <f>IF($A115="","",EDATE(_Engine!$B$5,$A115-1))</f>
        <v/>
      </c>
      <c r="C115" s="27">
        <f>IF($A115="","",_Engine!$AJ173)</f>
        <v/>
      </c>
      <c r="D115" s="27">
        <f>IF($A115="","",_Engine!$AK173)</f>
        <v/>
      </c>
      <c r="E115" s="27">
        <f>IF($A115="","",_Engine!$AJ173-_Engine!$AK173)</f>
        <v/>
      </c>
      <c r="F115" s="27">
        <f>IF($A115="","",_Engine!$AI173)</f>
        <v/>
      </c>
      <c r="G115" s="27">
        <f>IF(OR($A115="",_Engine!$D$41=0),"",INDEX(_Engine!$E173:$X173,1,(_Engine!$J$41-1)*4+3))</f>
        <v/>
      </c>
      <c r="H115" s="27">
        <f>IF(OR($A115="",_Engine!$D$42=0),"",INDEX(_Engine!$E173:$X173,1,(_Engine!$J$42-1)*4+3))</f>
        <v/>
      </c>
      <c r="I115" s="27">
        <f>IF(OR($A115="",_Engine!$D$43=0),"",INDEX(_Engine!$E173:$X173,1,(_Engine!$J$43-1)*4+3))</f>
        <v/>
      </c>
      <c r="J115" s="27">
        <f>IF(OR($A115="",_Engine!$D$44=0),"",INDEX(_Engine!$E173:$X173,1,(_Engine!$J$44-1)*4+3))</f>
        <v/>
      </c>
      <c r="K115" s="27">
        <f>IF(OR($A115="",_Engine!$D$45=0),"",INDEX(_Engine!$E173:$X173,1,(_Engine!$J$45-1)*4+3))</f>
        <v/>
      </c>
    </row>
    <row r="116">
      <c r="A116" s="25">
        <f>IF(113&lt;=_Engine!$B$36,113,"")</f>
        <v/>
      </c>
      <c r="B116" s="26">
        <f>IF($A116="","",EDATE(_Engine!$B$5,$A116-1))</f>
        <v/>
      </c>
      <c r="C116" s="27">
        <f>IF($A116="","",_Engine!$AJ174)</f>
        <v/>
      </c>
      <c r="D116" s="27">
        <f>IF($A116="","",_Engine!$AK174)</f>
        <v/>
      </c>
      <c r="E116" s="27">
        <f>IF($A116="","",_Engine!$AJ174-_Engine!$AK174)</f>
        <v/>
      </c>
      <c r="F116" s="27">
        <f>IF($A116="","",_Engine!$AI174)</f>
        <v/>
      </c>
      <c r="G116" s="27">
        <f>IF(OR($A116="",_Engine!$D$41=0),"",INDEX(_Engine!$E174:$X174,1,(_Engine!$J$41-1)*4+3))</f>
        <v/>
      </c>
      <c r="H116" s="27">
        <f>IF(OR($A116="",_Engine!$D$42=0),"",INDEX(_Engine!$E174:$X174,1,(_Engine!$J$42-1)*4+3))</f>
        <v/>
      </c>
      <c r="I116" s="27">
        <f>IF(OR($A116="",_Engine!$D$43=0),"",INDEX(_Engine!$E174:$X174,1,(_Engine!$J$43-1)*4+3))</f>
        <v/>
      </c>
      <c r="J116" s="27">
        <f>IF(OR($A116="",_Engine!$D$44=0),"",INDEX(_Engine!$E174:$X174,1,(_Engine!$J$44-1)*4+3))</f>
        <v/>
      </c>
      <c r="K116" s="27">
        <f>IF(OR($A116="",_Engine!$D$45=0),"",INDEX(_Engine!$E174:$X174,1,(_Engine!$J$45-1)*4+3))</f>
        <v/>
      </c>
    </row>
    <row r="117">
      <c r="A117" s="25">
        <f>IF(114&lt;=_Engine!$B$36,114,"")</f>
        <v/>
      </c>
      <c r="B117" s="26">
        <f>IF($A117="","",EDATE(_Engine!$B$5,$A117-1))</f>
        <v/>
      </c>
      <c r="C117" s="27">
        <f>IF($A117="","",_Engine!$AJ175)</f>
        <v/>
      </c>
      <c r="D117" s="27">
        <f>IF($A117="","",_Engine!$AK175)</f>
        <v/>
      </c>
      <c r="E117" s="27">
        <f>IF($A117="","",_Engine!$AJ175-_Engine!$AK175)</f>
        <v/>
      </c>
      <c r="F117" s="27">
        <f>IF($A117="","",_Engine!$AI175)</f>
        <v/>
      </c>
      <c r="G117" s="27">
        <f>IF(OR($A117="",_Engine!$D$41=0),"",INDEX(_Engine!$E175:$X175,1,(_Engine!$J$41-1)*4+3))</f>
        <v/>
      </c>
      <c r="H117" s="27">
        <f>IF(OR($A117="",_Engine!$D$42=0),"",INDEX(_Engine!$E175:$X175,1,(_Engine!$J$42-1)*4+3))</f>
        <v/>
      </c>
      <c r="I117" s="27">
        <f>IF(OR($A117="",_Engine!$D$43=0),"",INDEX(_Engine!$E175:$X175,1,(_Engine!$J$43-1)*4+3))</f>
        <v/>
      </c>
      <c r="J117" s="27">
        <f>IF(OR($A117="",_Engine!$D$44=0),"",INDEX(_Engine!$E175:$X175,1,(_Engine!$J$44-1)*4+3))</f>
        <v/>
      </c>
      <c r="K117" s="27">
        <f>IF(OR($A117="",_Engine!$D$45=0),"",INDEX(_Engine!$E175:$X175,1,(_Engine!$J$45-1)*4+3))</f>
        <v/>
      </c>
    </row>
    <row r="118">
      <c r="A118" s="25">
        <f>IF(115&lt;=_Engine!$B$36,115,"")</f>
        <v/>
      </c>
      <c r="B118" s="26">
        <f>IF($A118="","",EDATE(_Engine!$B$5,$A118-1))</f>
        <v/>
      </c>
      <c r="C118" s="27">
        <f>IF($A118="","",_Engine!$AJ176)</f>
        <v/>
      </c>
      <c r="D118" s="27">
        <f>IF($A118="","",_Engine!$AK176)</f>
        <v/>
      </c>
      <c r="E118" s="27">
        <f>IF($A118="","",_Engine!$AJ176-_Engine!$AK176)</f>
        <v/>
      </c>
      <c r="F118" s="27">
        <f>IF($A118="","",_Engine!$AI176)</f>
        <v/>
      </c>
      <c r="G118" s="27">
        <f>IF(OR($A118="",_Engine!$D$41=0),"",INDEX(_Engine!$E176:$X176,1,(_Engine!$J$41-1)*4+3))</f>
        <v/>
      </c>
      <c r="H118" s="27">
        <f>IF(OR($A118="",_Engine!$D$42=0),"",INDEX(_Engine!$E176:$X176,1,(_Engine!$J$42-1)*4+3))</f>
        <v/>
      </c>
      <c r="I118" s="27">
        <f>IF(OR($A118="",_Engine!$D$43=0),"",INDEX(_Engine!$E176:$X176,1,(_Engine!$J$43-1)*4+3))</f>
        <v/>
      </c>
      <c r="J118" s="27">
        <f>IF(OR($A118="",_Engine!$D$44=0),"",INDEX(_Engine!$E176:$X176,1,(_Engine!$J$44-1)*4+3))</f>
        <v/>
      </c>
      <c r="K118" s="27">
        <f>IF(OR($A118="",_Engine!$D$45=0),"",INDEX(_Engine!$E176:$X176,1,(_Engine!$J$45-1)*4+3))</f>
        <v/>
      </c>
    </row>
    <row r="119">
      <c r="A119" s="25">
        <f>IF(116&lt;=_Engine!$B$36,116,"")</f>
        <v/>
      </c>
      <c r="B119" s="26">
        <f>IF($A119="","",EDATE(_Engine!$B$5,$A119-1))</f>
        <v/>
      </c>
      <c r="C119" s="27">
        <f>IF($A119="","",_Engine!$AJ177)</f>
        <v/>
      </c>
      <c r="D119" s="27">
        <f>IF($A119="","",_Engine!$AK177)</f>
        <v/>
      </c>
      <c r="E119" s="27">
        <f>IF($A119="","",_Engine!$AJ177-_Engine!$AK177)</f>
        <v/>
      </c>
      <c r="F119" s="27">
        <f>IF($A119="","",_Engine!$AI177)</f>
        <v/>
      </c>
      <c r="G119" s="27">
        <f>IF(OR($A119="",_Engine!$D$41=0),"",INDEX(_Engine!$E177:$X177,1,(_Engine!$J$41-1)*4+3))</f>
        <v/>
      </c>
      <c r="H119" s="27">
        <f>IF(OR($A119="",_Engine!$D$42=0),"",INDEX(_Engine!$E177:$X177,1,(_Engine!$J$42-1)*4+3))</f>
        <v/>
      </c>
      <c r="I119" s="27">
        <f>IF(OR($A119="",_Engine!$D$43=0),"",INDEX(_Engine!$E177:$X177,1,(_Engine!$J$43-1)*4+3))</f>
        <v/>
      </c>
      <c r="J119" s="27">
        <f>IF(OR($A119="",_Engine!$D$44=0),"",INDEX(_Engine!$E177:$X177,1,(_Engine!$J$44-1)*4+3))</f>
        <v/>
      </c>
      <c r="K119" s="27">
        <f>IF(OR($A119="",_Engine!$D$45=0),"",INDEX(_Engine!$E177:$X177,1,(_Engine!$J$45-1)*4+3))</f>
        <v/>
      </c>
    </row>
    <row r="120">
      <c r="A120" s="25">
        <f>IF(117&lt;=_Engine!$B$36,117,"")</f>
        <v/>
      </c>
      <c r="B120" s="26">
        <f>IF($A120="","",EDATE(_Engine!$B$5,$A120-1))</f>
        <v/>
      </c>
      <c r="C120" s="27">
        <f>IF($A120="","",_Engine!$AJ178)</f>
        <v/>
      </c>
      <c r="D120" s="27">
        <f>IF($A120="","",_Engine!$AK178)</f>
        <v/>
      </c>
      <c r="E120" s="27">
        <f>IF($A120="","",_Engine!$AJ178-_Engine!$AK178)</f>
        <v/>
      </c>
      <c r="F120" s="27">
        <f>IF($A120="","",_Engine!$AI178)</f>
        <v/>
      </c>
      <c r="G120" s="27">
        <f>IF(OR($A120="",_Engine!$D$41=0),"",INDEX(_Engine!$E178:$X178,1,(_Engine!$J$41-1)*4+3))</f>
        <v/>
      </c>
      <c r="H120" s="27">
        <f>IF(OR($A120="",_Engine!$D$42=0),"",INDEX(_Engine!$E178:$X178,1,(_Engine!$J$42-1)*4+3))</f>
        <v/>
      </c>
      <c r="I120" s="27">
        <f>IF(OR($A120="",_Engine!$D$43=0),"",INDEX(_Engine!$E178:$X178,1,(_Engine!$J$43-1)*4+3))</f>
        <v/>
      </c>
      <c r="J120" s="27">
        <f>IF(OR($A120="",_Engine!$D$44=0),"",INDEX(_Engine!$E178:$X178,1,(_Engine!$J$44-1)*4+3))</f>
        <v/>
      </c>
      <c r="K120" s="27">
        <f>IF(OR($A120="",_Engine!$D$45=0),"",INDEX(_Engine!$E178:$X178,1,(_Engine!$J$45-1)*4+3))</f>
        <v/>
      </c>
    </row>
    <row r="121">
      <c r="A121" s="25">
        <f>IF(118&lt;=_Engine!$B$36,118,"")</f>
        <v/>
      </c>
      <c r="B121" s="26">
        <f>IF($A121="","",EDATE(_Engine!$B$5,$A121-1))</f>
        <v/>
      </c>
      <c r="C121" s="27">
        <f>IF($A121="","",_Engine!$AJ179)</f>
        <v/>
      </c>
      <c r="D121" s="27">
        <f>IF($A121="","",_Engine!$AK179)</f>
        <v/>
      </c>
      <c r="E121" s="27">
        <f>IF($A121="","",_Engine!$AJ179-_Engine!$AK179)</f>
        <v/>
      </c>
      <c r="F121" s="27">
        <f>IF($A121="","",_Engine!$AI179)</f>
        <v/>
      </c>
      <c r="G121" s="27">
        <f>IF(OR($A121="",_Engine!$D$41=0),"",INDEX(_Engine!$E179:$X179,1,(_Engine!$J$41-1)*4+3))</f>
        <v/>
      </c>
      <c r="H121" s="27">
        <f>IF(OR($A121="",_Engine!$D$42=0),"",INDEX(_Engine!$E179:$X179,1,(_Engine!$J$42-1)*4+3))</f>
        <v/>
      </c>
      <c r="I121" s="27">
        <f>IF(OR($A121="",_Engine!$D$43=0),"",INDEX(_Engine!$E179:$X179,1,(_Engine!$J$43-1)*4+3))</f>
        <v/>
      </c>
      <c r="J121" s="27">
        <f>IF(OR($A121="",_Engine!$D$44=0),"",INDEX(_Engine!$E179:$X179,1,(_Engine!$J$44-1)*4+3))</f>
        <v/>
      </c>
      <c r="K121" s="27">
        <f>IF(OR($A121="",_Engine!$D$45=0),"",INDEX(_Engine!$E179:$X179,1,(_Engine!$J$45-1)*4+3))</f>
        <v/>
      </c>
    </row>
    <row r="122">
      <c r="A122" s="25">
        <f>IF(119&lt;=_Engine!$B$36,119,"")</f>
        <v/>
      </c>
      <c r="B122" s="26">
        <f>IF($A122="","",EDATE(_Engine!$B$5,$A122-1))</f>
        <v/>
      </c>
      <c r="C122" s="27">
        <f>IF($A122="","",_Engine!$AJ180)</f>
        <v/>
      </c>
      <c r="D122" s="27">
        <f>IF($A122="","",_Engine!$AK180)</f>
        <v/>
      </c>
      <c r="E122" s="27">
        <f>IF($A122="","",_Engine!$AJ180-_Engine!$AK180)</f>
        <v/>
      </c>
      <c r="F122" s="27">
        <f>IF($A122="","",_Engine!$AI180)</f>
        <v/>
      </c>
      <c r="G122" s="27">
        <f>IF(OR($A122="",_Engine!$D$41=0),"",INDEX(_Engine!$E180:$X180,1,(_Engine!$J$41-1)*4+3))</f>
        <v/>
      </c>
      <c r="H122" s="27">
        <f>IF(OR($A122="",_Engine!$D$42=0),"",INDEX(_Engine!$E180:$X180,1,(_Engine!$J$42-1)*4+3))</f>
        <v/>
      </c>
      <c r="I122" s="27">
        <f>IF(OR($A122="",_Engine!$D$43=0),"",INDEX(_Engine!$E180:$X180,1,(_Engine!$J$43-1)*4+3))</f>
        <v/>
      </c>
      <c r="J122" s="27">
        <f>IF(OR($A122="",_Engine!$D$44=0),"",INDEX(_Engine!$E180:$X180,1,(_Engine!$J$44-1)*4+3))</f>
        <v/>
      </c>
      <c r="K122" s="27">
        <f>IF(OR($A122="",_Engine!$D$45=0),"",INDEX(_Engine!$E180:$X180,1,(_Engine!$J$45-1)*4+3))</f>
        <v/>
      </c>
    </row>
    <row r="123">
      <c r="A123" s="25">
        <f>IF(120&lt;=_Engine!$B$36,120,"")</f>
        <v/>
      </c>
      <c r="B123" s="26">
        <f>IF($A123="","",EDATE(_Engine!$B$5,$A123-1))</f>
        <v/>
      </c>
      <c r="C123" s="27">
        <f>IF($A123="","",_Engine!$AJ181)</f>
        <v/>
      </c>
      <c r="D123" s="27">
        <f>IF($A123="","",_Engine!$AK181)</f>
        <v/>
      </c>
      <c r="E123" s="27">
        <f>IF($A123="","",_Engine!$AJ181-_Engine!$AK181)</f>
        <v/>
      </c>
      <c r="F123" s="27">
        <f>IF($A123="","",_Engine!$AI181)</f>
        <v/>
      </c>
      <c r="G123" s="27">
        <f>IF(OR($A123="",_Engine!$D$41=0),"",INDEX(_Engine!$E181:$X181,1,(_Engine!$J$41-1)*4+3))</f>
        <v/>
      </c>
      <c r="H123" s="27">
        <f>IF(OR($A123="",_Engine!$D$42=0),"",INDEX(_Engine!$E181:$X181,1,(_Engine!$J$42-1)*4+3))</f>
        <v/>
      </c>
      <c r="I123" s="27">
        <f>IF(OR($A123="",_Engine!$D$43=0),"",INDEX(_Engine!$E181:$X181,1,(_Engine!$J$43-1)*4+3))</f>
        <v/>
      </c>
      <c r="J123" s="27">
        <f>IF(OR($A123="",_Engine!$D$44=0),"",INDEX(_Engine!$E181:$X181,1,(_Engine!$J$44-1)*4+3))</f>
        <v/>
      </c>
      <c r="K123" s="27">
        <f>IF(OR($A123="",_Engine!$D$45=0),"",INDEX(_Engine!$E181:$X181,1,(_Engine!$J$45-1)*4+3))</f>
        <v/>
      </c>
    </row>
    <row r="124">
      <c r="A124" s="25">
        <f>IF(121&lt;=_Engine!$B$36,121,"")</f>
        <v/>
      </c>
      <c r="B124" s="26">
        <f>IF($A124="","",EDATE(_Engine!$B$5,$A124-1))</f>
        <v/>
      </c>
      <c r="C124" s="27">
        <f>IF($A124="","",_Engine!$AJ182)</f>
        <v/>
      </c>
      <c r="D124" s="27">
        <f>IF($A124="","",_Engine!$AK182)</f>
        <v/>
      </c>
      <c r="E124" s="27">
        <f>IF($A124="","",_Engine!$AJ182-_Engine!$AK182)</f>
        <v/>
      </c>
      <c r="F124" s="27">
        <f>IF($A124="","",_Engine!$AI182)</f>
        <v/>
      </c>
      <c r="G124" s="27">
        <f>IF(OR($A124="",_Engine!$D$41=0),"",INDEX(_Engine!$E182:$X182,1,(_Engine!$J$41-1)*4+3))</f>
        <v/>
      </c>
      <c r="H124" s="27">
        <f>IF(OR($A124="",_Engine!$D$42=0),"",INDEX(_Engine!$E182:$X182,1,(_Engine!$J$42-1)*4+3))</f>
        <v/>
      </c>
      <c r="I124" s="27">
        <f>IF(OR($A124="",_Engine!$D$43=0),"",INDEX(_Engine!$E182:$X182,1,(_Engine!$J$43-1)*4+3))</f>
        <v/>
      </c>
      <c r="J124" s="27">
        <f>IF(OR($A124="",_Engine!$D$44=0),"",INDEX(_Engine!$E182:$X182,1,(_Engine!$J$44-1)*4+3))</f>
        <v/>
      </c>
      <c r="K124" s="27">
        <f>IF(OR($A124="",_Engine!$D$45=0),"",INDEX(_Engine!$E182:$X182,1,(_Engine!$J$45-1)*4+3))</f>
        <v/>
      </c>
    </row>
    <row r="125">
      <c r="A125" s="25">
        <f>IF(122&lt;=_Engine!$B$36,122,"")</f>
        <v/>
      </c>
      <c r="B125" s="26">
        <f>IF($A125="","",EDATE(_Engine!$B$5,$A125-1))</f>
        <v/>
      </c>
      <c r="C125" s="27">
        <f>IF($A125="","",_Engine!$AJ183)</f>
        <v/>
      </c>
      <c r="D125" s="27">
        <f>IF($A125="","",_Engine!$AK183)</f>
        <v/>
      </c>
      <c r="E125" s="27">
        <f>IF($A125="","",_Engine!$AJ183-_Engine!$AK183)</f>
        <v/>
      </c>
      <c r="F125" s="27">
        <f>IF($A125="","",_Engine!$AI183)</f>
        <v/>
      </c>
      <c r="G125" s="27">
        <f>IF(OR($A125="",_Engine!$D$41=0),"",INDEX(_Engine!$E183:$X183,1,(_Engine!$J$41-1)*4+3))</f>
        <v/>
      </c>
      <c r="H125" s="27">
        <f>IF(OR($A125="",_Engine!$D$42=0),"",INDEX(_Engine!$E183:$X183,1,(_Engine!$J$42-1)*4+3))</f>
        <v/>
      </c>
      <c r="I125" s="27">
        <f>IF(OR($A125="",_Engine!$D$43=0),"",INDEX(_Engine!$E183:$X183,1,(_Engine!$J$43-1)*4+3))</f>
        <v/>
      </c>
      <c r="J125" s="27">
        <f>IF(OR($A125="",_Engine!$D$44=0),"",INDEX(_Engine!$E183:$X183,1,(_Engine!$J$44-1)*4+3))</f>
        <v/>
      </c>
      <c r="K125" s="27">
        <f>IF(OR($A125="",_Engine!$D$45=0),"",INDEX(_Engine!$E183:$X183,1,(_Engine!$J$45-1)*4+3))</f>
        <v/>
      </c>
    </row>
    <row r="126">
      <c r="A126" s="25">
        <f>IF(123&lt;=_Engine!$B$36,123,"")</f>
        <v/>
      </c>
      <c r="B126" s="26">
        <f>IF($A126="","",EDATE(_Engine!$B$5,$A126-1))</f>
        <v/>
      </c>
      <c r="C126" s="27">
        <f>IF($A126="","",_Engine!$AJ184)</f>
        <v/>
      </c>
      <c r="D126" s="27">
        <f>IF($A126="","",_Engine!$AK184)</f>
        <v/>
      </c>
      <c r="E126" s="27">
        <f>IF($A126="","",_Engine!$AJ184-_Engine!$AK184)</f>
        <v/>
      </c>
      <c r="F126" s="27">
        <f>IF($A126="","",_Engine!$AI184)</f>
        <v/>
      </c>
      <c r="G126" s="27">
        <f>IF(OR($A126="",_Engine!$D$41=0),"",INDEX(_Engine!$E184:$X184,1,(_Engine!$J$41-1)*4+3))</f>
        <v/>
      </c>
      <c r="H126" s="27">
        <f>IF(OR($A126="",_Engine!$D$42=0),"",INDEX(_Engine!$E184:$X184,1,(_Engine!$J$42-1)*4+3))</f>
        <v/>
      </c>
      <c r="I126" s="27">
        <f>IF(OR($A126="",_Engine!$D$43=0),"",INDEX(_Engine!$E184:$X184,1,(_Engine!$J$43-1)*4+3))</f>
        <v/>
      </c>
      <c r="J126" s="27">
        <f>IF(OR($A126="",_Engine!$D$44=0),"",INDEX(_Engine!$E184:$X184,1,(_Engine!$J$44-1)*4+3))</f>
        <v/>
      </c>
      <c r="K126" s="27">
        <f>IF(OR($A126="",_Engine!$D$45=0),"",INDEX(_Engine!$E184:$X184,1,(_Engine!$J$45-1)*4+3))</f>
        <v/>
      </c>
    </row>
    <row r="127">
      <c r="A127" s="25">
        <f>IF(124&lt;=_Engine!$B$36,124,"")</f>
        <v/>
      </c>
      <c r="B127" s="26">
        <f>IF($A127="","",EDATE(_Engine!$B$5,$A127-1))</f>
        <v/>
      </c>
      <c r="C127" s="27">
        <f>IF($A127="","",_Engine!$AJ185)</f>
        <v/>
      </c>
      <c r="D127" s="27">
        <f>IF($A127="","",_Engine!$AK185)</f>
        <v/>
      </c>
      <c r="E127" s="27">
        <f>IF($A127="","",_Engine!$AJ185-_Engine!$AK185)</f>
        <v/>
      </c>
      <c r="F127" s="27">
        <f>IF($A127="","",_Engine!$AI185)</f>
        <v/>
      </c>
      <c r="G127" s="27">
        <f>IF(OR($A127="",_Engine!$D$41=0),"",INDEX(_Engine!$E185:$X185,1,(_Engine!$J$41-1)*4+3))</f>
        <v/>
      </c>
      <c r="H127" s="27">
        <f>IF(OR($A127="",_Engine!$D$42=0),"",INDEX(_Engine!$E185:$X185,1,(_Engine!$J$42-1)*4+3))</f>
        <v/>
      </c>
      <c r="I127" s="27">
        <f>IF(OR($A127="",_Engine!$D$43=0),"",INDEX(_Engine!$E185:$X185,1,(_Engine!$J$43-1)*4+3))</f>
        <v/>
      </c>
      <c r="J127" s="27">
        <f>IF(OR($A127="",_Engine!$D$44=0),"",INDEX(_Engine!$E185:$X185,1,(_Engine!$J$44-1)*4+3))</f>
        <v/>
      </c>
      <c r="K127" s="27">
        <f>IF(OR($A127="",_Engine!$D$45=0),"",INDEX(_Engine!$E185:$X185,1,(_Engine!$J$45-1)*4+3))</f>
        <v/>
      </c>
    </row>
    <row r="128">
      <c r="A128" s="25">
        <f>IF(125&lt;=_Engine!$B$36,125,"")</f>
        <v/>
      </c>
      <c r="B128" s="26">
        <f>IF($A128="","",EDATE(_Engine!$B$5,$A128-1))</f>
        <v/>
      </c>
      <c r="C128" s="27">
        <f>IF($A128="","",_Engine!$AJ186)</f>
        <v/>
      </c>
      <c r="D128" s="27">
        <f>IF($A128="","",_Engine!$AK186)</f>
        <v/>
      </c>
      <c r="E128" s="27">
        <f>IF($A128="","",_Engine!$AJ186-_Engine!$AK186)</f>
        <v/>
      </c>
      <c r="F128" s="27">
        <f>IF($A128="","",_Engine!$AI186)</f>
        <v/>
      </c>
      <c r="G128" s="27">
        <f>IF(OR($A128="",_Engine!$D$41=0),"",INDEX(_Engine!$E186:$X186,1,(_Engine!$J$41-1)*4+3))</f>
        <v/>
      </c>
      <c r="H128" s="27">
        <f>IF(OR($A128="",_Engine!$D$42=0),"",INDEX(_Engine!$E186:$X186,1,(_Engine!$J$42-1)*4+3))</f>
        <v/>
      </c>
      <c r="I128" s="27">
        <f>IF(OR($A128="",_Engine!$D$43=0),"",INDEX(_Engine!$E186:$X186,1,(_Engine!$J$43-1)*4+3))</f>
        <v/>
      </c>
      <c r="J128" s="27">
        <f>IF(OR($A128="",_Engine!$D$44=0),"",INDEX(_Engine!$E186:$X186,1,(_Engine!$J$44-1)*4+3))</f>
        <v/>
      </c>
      <c r="K128" s="27">
        <f>IF(OR($A128="",_Engine!$D$45=0),"",INDEX(_Engine!$E186:$X186,1,(_Engine!$J$45-1)*4+3))</f>
        <v/>
      </c>
    </row>
    <row r="129">
      <c r="A129" s="25">
        <f>IF(126&lt;=_Engine!$B$36,126,"")</f>
        <v/>
      </c>
      <c r="B129" s="26">
        <f>IF($A129="","",EDATE(_Engine!$B$5,$A129-1))</f>
        <v/>
      </c>
      <c r="C129" s="27">
        <f>IF($A129="","",_Engine!$AJ187)</f>
        <v/>
      </c>
      <c r="D129" s="27">
        <f>IF($A129="","",_Engine!$AK187)</f>
        <v/>
      </c>
      <c r="E129" s="27">
        <f>IF($A129="","",_Engine!$AJ187-_Engine!$AK187)</f>
        <v/>
      </c>
      <c r="F129" s="27">
        <f>IF($A129="","",_Engine!$AI187)</f>
        <v/>
      </c>
      <c r="G129" s="27">
        <f>IF(OR($A129="",_Engine!$D$41=0),"",INDEX(_Engine!$E187:$X187,1,(_Engine!$J$41-1)*4+3))</f>
        <v/>
      </c>
      <c r="H129" s="27">
        <f>IF(OR($A129="",_Engine!$D$42=0),"",INDEX(_Engine!$E187:$X187,1,(_Engine!$J$42-1)*4+3))</f>
        <v/>
      </c>
      <c r="I129" s="27">
        <f>IF(OR($A129="",_Engine!$D$43=0),"",INDEX(_Engine!$E187:$X187,1,(_Engine!$J$43-1)*4+3))</f>
        <v/>
      </c>
      <c r="J129" s="27">
        <f>IF(OR($A129="",_Engine!$D$44=0),"",INDEX(_Engine!$E187:$X187,1,(_Engine!$J$44-1)*4+3))</f>
        <v/>
      </c>
      <c r="K129" s="27">
        <f>IF(OR($A129="",_Engine!$D$45=0),"",INDEX(_Engine!$E187:$X187,1,(_Engine!$J$45-1)*4+3))</f>
        <v/>
      </c>
    </row>
    <row r="130">
      <c r="A130" s="25">
        <f>IF(127&lt;=_Engine!$B$36,127,"")</f>
        <v/>
      </c>
      <c r="B130" s="26">
        <f>IF($A130="","",EDATE(_Engine!$B$5,$A130-1))</f>
        <v/>
      </c>
      <c r="C130" s="27">
        <f>IF($A130="","",_Engine!$AJ188)</f>
        <v/>
      </c>
      <c r="D130" s="27">
        <f>IF($A130="","",_Engine!$AK188)</f>
        <v/>
      </c>
      <c r="E130" s="27">
        <f>IF($A130="","",_Engine!$AJ188-_Engine!$AK188)</f>
        <v/>
      </c>
      <c r="F130" s="27">
        <f>IF($A130="","",_Engine!$AI188)</f>
        <v/>
      </c>
      <c r="G130" s="27">
        <f>IF(OR($A130="",_Engine!$D$41=0),"",INDEX(_Engine!$E188:$X188,1,(_Engine!$J$41-1)*4+3))</f>
        <v/>
      </c>
      <c r="H130" s="27">
        <f>IF(OR($A130="",_Engine!$D$42=0),"",INDEX(_Engine!$E188:$X188,1,(_Engine!$J$42-1)*4+3))</f>
        <v/>
      </c>
      <c r="I130" s="27">
        <f>IF(OR($A130="",_Engine!$D$43=0),"",INDEX(_Engine!$E188:$X188,1,(_Engine!$J$43-1)*4+3))</f>
        <v/>
      </c>
      <c r="J130" s="27">
        <f>IF(OR($A130="",_Engine!$D$44=0),"",INDEX(_Engine!$E188:$X188,1,(_Engine!$J$44-1)*4+3))</f>
        <v/>
      </c>
      <c r="K130" s="27">
        <f>IF(OR($A130="",_Engine!$D$45=0),"",INDEX(_Engine!$E188:$X188,1,(_Engine!$J$45-1)*4+3))</f>
        <v/>
      </c>
    </row>
    <row r="131">
      <c r="A131" s="25">
        <f>IF(128&lt;=_Engine!$B$36,128,"")</f>
        <v/>
      </c>
      <c r="B131" s="26">
        <f>IF($A131="","",EDATE(_Engine!$B$5,$A131-1))</f>
        <v/>
      </c>
      <c r="C131" s="27">
        <f>IF($A131="","",_Engine!$AJ189)</f>
        <v/>
      </c>
      <c r="D131" s="27">
        <f>IF($A131="","",_Engine!$AK189)</f>
        <v/>
      </c>
      <c r="E131" s="27">
        <f>IF($A131="","",_Engine!$AJ189-_Engine!$AK189)</f>
        <v/>
      </c>
      <c r="F131" s="27">
        <f>IF($A131="","",_Engine!$AI189)</f>
        <v/>
      </c>
      <c r="G131" s="27">
        <f>IF(OR($A131="",_Engine!$D$41=0),"",INDEX(_Engine!$E189:$X189,1,(_Engine!$J$41-1)*4+3))</f>
        <v/>
      </c>
      <c r="H131" s="27">
        <f>IF(OR($A131="",_Engine!$D$42=0),"",INDEX(_Engine!$E189:$X189,1,(_Engine!$J$42-1)*4+3))</f>
        <v/>
      </c>
      <c r="I131" s="27">
        <f>IF(OR($A131="",_Engine!$D$43=0),"",INDEX(_Engine!$E189:$X189,1,(_Engine!$J$43-1)*4+3))</f>
        <v/>
      </c>
      <c r="J131" s="27">
        <f>IF(OR($A131="",_Engine!$D$44=0),"",INDEX(_Engine!$E189:$X189,1,(_Engine!$J$44-1)*4+3))</f>
        <v/>
      </c>
      <c r="K131" s="27">
        <f>IF(OR($A131="",_Engine!$D$45=0),"",INDEX(_Engine!$E189:$X189,1,(_Engine!$J$45-1)*4+3))</f>
        <v/>
      </c>
    </row>
    <row r="132">
      <c r="A132" s="25">
        <f>IF(129&lt;=_Engine!$B$36,129,"")</f>
        <v/>
      </c>
      <c r="B132" s="26">
        <f>IF($A132="","",EDATE(_Engine!$B$5,$A132-1))</f>
        <v/>
      </c>
      <c r="C132" s="27">
        <f>IF($A132="","",_Engine!$AJ190)</f>
        <v/>
      </c>
      <c r="D132" s="27">
        <f>IF($A132="","",_Engine!$AK190)</f>
        <v/>
      </c>
      <c r="E132" s="27">
        <f>IF($A132="","",_Engine!$AJ190-_Engine!$AK190)</f>
        <v/>
      </c>
      <c r="F132" s="27">
        <f>IF($A132="","",_Engine!$AI190)</f>
        <v/>
      </c>
      <c r="G132" s="27">
        <f>IF(OR($A132="",_Engine!$D$41=0),"",INDEX(_Engine!$E190:$X190,1,(_Engine!$J$41-1)*4+3))</f>
        <v/>
      </c>
      <c r="H132" s="27">
        <f>IF(OR($A132="",_Engine!$D$42=0),"",INDEX(_Engine!$E190:$X190,1,(_Engine!$J$42-1)*4+3))</f>
        <v/>
      </c>
      <c r="I132" s="27">
        <f>IF(OR($A132="",_Engine!$D$43=0),"",INDEX(_Engine!$E190:$X190,1,(_Engine!$J$43-1)*4+3))</f>
        <v/>
      </c>
      <c r="J132" s="27">
        <f>IF(OR($A132="",_Engine!$D$44=0),"",INDEX(_Engine!$E190:$X190,1,(_Engine!$J$44-1)*4+3))</f>
        <v/>
      </c>
      <c r="K132" s="27">
        <f>IF(OR($A132="",_Engine!$D$45=0),"",INDEX(_Engine!$E190:$X190,1,(_Engine!$J$45-1)*4+3))</f>
        <v/>
      </c>
    </row>
    <row r="133">
      <c r="A133" s="25">
        <f>IF(130&lt;=_Engine!$B$36,130,"")</f>
        <v/>
      </c>
      <c r="B133" s="26">
        <f>IF($A133="","",EDATE(_Engine!$B$5,$A133-1))</f>
        <v/>
      </c>
      <c r="C133" s="27">
        <f>IF($A133="","",_Engine!$AJ191)</f>
        <v/>
      </c>
      <c r="D133" s="27">
        <f>IF($A133="","",_Engine!$AK191)</f>
        <v/>
      </c>
      <c r="E133" s="27">
        <f>IF($A133="","",_Engine!$AJ191-_Engine!$AK191)</f>
        <v/>
      </c>
      <c r="F133" s="27">
        <f>IF($A133="","",_Engine!$AI191)</f>
        <v/>
      </c>
      <c r="G133" s="27">
        <f>IF(OR($A133="",_Engine!$D$41=0),"",INDEX(_Engine!$E191:$X191,1,(_Engine!$J$41-1)*4+3))</f>
        <v/>
      </c>
      <c r="H133" s="27">
        <f>IF(OR($A133="",_Engine!$D$42=0),"",INDEX(_Engine!$E191:$X191,1,(_Engine!$J$42-1)*4+3))</f>
        <v/>
      </c>
      <c r="I133" s="27">
        <f>IF(OR($A133="",_Engine!$D$43=0),"",INDEX(_Engine!$E191:$X191,1,(_Engine!$J$43-1)*4+3))</f>
        <v/>
      </c>
      <c r="J133" s="27">
        <f>IF(OR($A133="",_Engine!$D$44=0),"",INDEX(_Engine!$E191:$X191,1,(_Engine!$J$44-1)*4+3))</f>
        <v/>
      </c>
      <c r="K133" s="27">
        <f>IF(OR($A133="",_Engine!$D$45=0),"",INDEX(_Engine!$E191:$X191,1,(_Engine!$J$45-1)*4+3))</f>
        <v/>
      </c>
    </row>
    <row r="134">
      <c r="A134" s="25">
        <f>IF(131&lt;=_Engine!$B$36,131,"")</f>
        <v/>
      </c>
      <c r="B134" s="26">
        <f>IF($A134="","",EDATE(_Engine!$B$5,$A134-1))</f>
        <v/>
      </c>
      <c r="C134" s="27">
        <f>IF($A134="","",_Engine!$AJ192)</f>
        <v/>
      </c>
      <c r="D134" s="27">
        <f>IF($A134="","",_Engine!$AK192)</f>
        <v/>
      </c>
      <c r="E134" s="27">
        <f>IF($A134="","",_Engine!$AJ192-_Engine!$AK192)</f>
        <v/>
      </c>
      <c r="F134" s="27">
        <f>IF($A134="","",_Engine!$AI192)</f>
        <v/>
      </c>
      <c r="G134" s="27">
        <f>IF(OR($A134="",_Engine!$D$41=0),"",INDEX(_Engine!$E192:$X192,1,(_Engine!$J$41-1)*4+3))</f>
        <v/>
      </c>
      <c r="H134" s="27">
        <f>IF(OR($A134="",_Engine!$D$42=0),"",INDEX(_Engine!$E192:$X192,1,(_Engine!$J$42-1)*4+3))</f>
        <v/>
      </c>
      <c r="I134" s="27">
        <f>IF(OR($A134="",_Engine!$D$43=0),"",INDEX(_Engine!$E192:$X192,1,(_Engine!$J$43-1)*4+3))</f>
        <v/>
      </c>
      <c r="J134" s="27">
        <f>IF(OR($A134="",_Engine!$D$44=0),"",INDEX(_Engine!$E192:$X192,1,(_Engine!$J$44-1)*4+3))</f>
        <v/>
      </c>
      <c r="K134" s="27">
        <f>IF(OR($A134="",_Engine!$D$45=0),"",INDEX(_Engine!$E192:$X192,1,(_Engine!$J$45-1)*4+3))</f>
        <v/>
      </c>
    </row>
    <row r="135">
      <c r="A135" s="25">
        <f>IF(132&lt;=_Engine!$B$36,132,"")</f>
        <v/>
      </c>
      <c r="B135" s="26">
        <f>IF($A135="","",EDATE(_Engine!$B$5,$A135-1))</f>
        <v/>
      </c>
      <c r="C135" s="27">
        <f>IF($A135="","",_Engine!$AJ193)</f>
        <v/>
      </c>
      <c r="D135" s="27">
        <f>IF($A135="","",_Engine!$AK193)</f>
        <v/>
      </c>
      <c r="E135" s="27">
        <f>IF($A135="","",_Engine!$AJ193-_Engine!$AK193)</f>
        <v/>
      </c>
      <c r="F135" s="27">
        <f>IF($A135="","",_Engine!$AI193)</f>
        <v/>
      </c>
      <c r="G135" s="27">
        <f>IF(OR($A135="",_Engine!$D$41=0),"",INDEX(_Engine!$E193:$X193,1,(_Engine!$J$41-1)*4+3))</f>
        <v/>
      </c>
      <c r="H135" s="27">
        <f>IF(OR($A135="",_Engine!$D$42=0),"",INDEX(_Engine!$E193:$X193,1,(_Engine!$J$42-1)*4+3))</f>
        <v/>
      </c>
      <c r="I135" s="27">
        <f>IF(OR($A135="",_Engine!$D$43=0),"",INDEX(_Engine!$E193:$X193,1,(_Engine!$J$43-1)*4+3))</f>
        <v/>
      </c>
      <c r="J135" s="27">
        <f>IF(OR($A135="",_Engine!$D$44=0),"",INDEX(_Engine!$E193:$X193,1,(_Engine!$J$44-1)*4+3))</f>
        <v/>
      </c>
      <c r="K135" s="27">
        <f>IF(OR($A135="",_Engine!$D$45=0),"",INDEX(_Engine!$E193:$X193,1,(_Engine!$J$45-1)*4+3))</f>
        <v/>
      </c>
    </row>
    <row r="136">
      <c r="A136" s="25">
        <f>IF(133&lt;=_Engine!$B$36,133,"")</f>
        <v/>
      </c>
      <c r="B136" s="26">
        <f>IF($A136="","",EDATE(_Engine!$B$5,$A136-1))</f>
        <v/>
      </c>
      <c r="C136" s="27">
        <f>IF($A136="","",_Engine!$AJ194)</f>
        <v/>
      </c>
      <c r="D136" s="27">
        <f>IF($A136="","",_Engine!$AK194)</f>
        <v/>
      </c>
      <c r="E136" s="27">
        <f>IF($A136="","",_Engine!$AJ194-_Engine!$AK194)</f>
        <v/>
      </c>
      <c r="F136" s="27">
        <f>IF($A136="","",_Engine!$AI194)</f>
        <v/>
      </c>
      <c r="G136" s="27">
        <f>IF(OR($A136="",_Engine!$D$41=0),"",INDEX(_Engine!$E194:$X194,1,(_Engine!$J$41-1)*4+3))</f>
        <v/>
      </c>
      <c r="H136" s="27">
        <f>IF(OR($A136="",_Engine!$D$42=0),"",INDEX(_Engine!$E194:$X194,1,(_Engine!$J$42-1)*4+3))</f>
        <v/>
      </c>
      <c r="I136" s="27">
        <f>IF(OR($A136="",_Engine!$D$43=0),"",INDEX(_Engine!$E194:$X194,1,(_Engine!$J$43-1)*4+3))</f>
        <v/>
      </c>
      <c r="J136" s="27">
        <f>IF(OR($A136="",_Engine!$D$44=0),"",INDEX(_Engine!$E194:$X194,1,(_Engine!$J$44-1)*4+3))</f>
        <v/>
      </c>
      <c r="K136" s="27">
        <f>IF(OR($A136="",_Engine!$D$45=0),"",INDEX(_Engine!$E194:$X194,1,(_Engine!$J$45-1)*4+3))</f>
        <v/>
      </c>
    </row>
    <row r="137">
      <c r="A137" s="25">
        <f>IF(134&lt;=_Engine!$B$36,134,"")</f>
        <v/>
      </c>
      <c r="B137" s="26">
        <f>IF($A137="","",EDATE(_Engine!$B$5,$A137-1))</f>
        <v/>
      </c>
      <c r="C137" s="27">
        <f>IF($A137="","",_Engine!$AJ195)</f>
        <v/>
      </c>
      <c r="D137" s="27">
        <f>IF($A137="","",_Engine!$AK195)</f>
        <v/>
      </c>
      <c r="E137" s="27">
        <f>IF($A137="","",_Engine!$AJ195-_Engine!$AK195)</f>
        <v/>
      </c>
      <c r="F137" s="27">
        <f>IF($A137="","",_Engine!$AI195)</f>
        <v/>
      </c>
      <c r="G137" s="27">
        <f>IF(OR($A137="",_Engine!$D$41=0),"",INDEX(_Engine!$E195:$X195,1,(_Engine!$J$41-1)*4+3))</f>
        <v/>
      </c>
      <c r="H137" s="27">
        <f>IF(OR($A137="",_Engine!$D$42=0),"",INDEX(_Engine!$E195:$X195,1,(_Engine!$J$42-1)*4+3))</f>
        <v/>
      </c>
      <c r="I137" s="27">
        <f>IF(OR($A137="",_Engine!$D$43=0),"",INDEX(_Engine!$E195:$X195,1,(_Engine!$J$43-1)*4+3))</f>
        <v/>
      </c>
      <c r="J137" s="27">
        <f>IF(OR($A137="",_Engine!$D$44=0),"",INDEX(_Engine!$E195:$X195,1,(_Engine!$J$44-1)*4+3))</f>
        <v/>
      </c>
      <c r="K137" s="27">
        <f>IF(OR($A137="",_Engine!$D$45=0),"",INDEX(_Engine!$E195:$X195,1,(_Engine!$J$45-1)*4+3))</f>
        <v/>
      </c>
    </row>
    <row r="138">
      <c r="A138" s="25">
        <f>IF(135&lt;=_Engine!$B$36,135,"")</f>
        <v/>
      </c>
      <c r="B138" s="26">
        <f>IF($A138="","",EDATE(_Engine!$B$5,$A138-1))</f>
        <v/>
      </c>
      <c r="C138" s="27">
        <f>IF($A138="","",_Engine!$AJ196)</f>
        <v/>
      </c>
      <c r="D138" s="27">
        <f>IF($A138="","",_Engine!$AK196)</f>
        <v/>
      </c>
      <c r="E138" s="27">
        <f>IF($A138="","",_Engine!$AJ196-_Engine!$AK196)</f>
        <v/>
      </c>
      <c r="F138" s="27">
        <f>IF($A138="","",_Engine!$AI196)</f>
        <v/>
      </c>
      <c r="G138" s="27">
        <f>IF(OR($A138="",_Engine!$D$41=0),"",INDEX(_Engine!$E196:$X196,1,(_Engine!$J$41-1)*4+3))</f>
        <v/>
      </c>
      <c r="H138" s="27">
        <f>IF(OR($A138="",_Engine!$D$42=0),"",INDEX(_Engine!$E196:$X196,1,(_Engine!$J$42-1)*4+3))</f>
        <v/>
      </c>
      <c r="I138" s="27">
        <f>IF(OR($A138="",_Engine!$D$43=0),"",INDEX(_Engine!$E196:$X196,1,(_Engine!$J$43-1)*4+3))</f>
        <v/>
      </c>
      <c r="J138" s="27">
        <f>IF(OR($A138="",_Engine!$D$44=0),"",INDEX(_Engine!$E196:$X196,1,(_Engine!$J$44-1)*4+3))</f>
        <v/>
      </c>
      <c r="K138" s="27">
        <f>IF(OR($A138="",_Engine!$D$45=0),"",INDEX(_Engine!$E196:$X196,1,(_Engine!$J$45-1)*4+3))</f>
        <v/>
      </c>
    </row>
    <row r="139">
      <c r="A139" s="25">
        <f>IF(136&lt;=_Engine!$B$36,136,"")</f>
        <v/>
      </c>
      <c r="B139" s="26">
        <f>IF($A139="","",EDATE(_Engine!$B$5,$A139-1))</f>
        <v/>
      </c>
      <c r="C139" s="27">
        <f>IF($A139="","",_Engine!$AJ197)</f>
        <v/>
      </c>
      <c r="D139" s="27">
        <f>IF($A139="","",_Engine!$AK197)</f>
        <v/>
      </c>
      <c r="E139" s="27">
        <f>IF($A139="","",_Engine!$AJ197-_Engine!$AK197)</f>
        <v/>
      </c>
      <c r="F139" s="27">
        <f>IF($A139="","",_Engine!$AI197)</f>
        <v/>
      </c>
      <c r="G139" s="27">
        <f>IF(OR($A139="",_Engine!$D$41=0),"",INDEX(_Engine!$E197:$X197,1,(_Engine!$J$41-1)*4+3))</f>
        <v/>
      </c>
      <c r="H139" s="27">
        <f>IF(OR($A139="",_Engine!$D$42=0),"",INDEX(_Engine!$E197:$X197,1,(_Engine!$J$42-1)*4+3))</f>
        <v/>
      </c>
      <c r="I139" s="27">
        <f>IF(OR($A139="",_Engine!$D$43=0),"",INDEX(_Engine!$E197:$X197,1,(_Engine!$J$43-1)*4+3))</f>
        <v/>
      </c>
      <c r="J139" s="27">
        <f>IF(OR($A139="",_Engine!$D$44=0),"",INDEX(_Engine!$E197:$X197,1,(_Engine!$J$44-1)*4+3))</f>
        <v/>
      </c>
      <c r="K139" s="27">
        <f>IF(OR($A139="",_Engine!$D$45=0),"",INDEX(_Engine!$E197:$X197,1,(_Engine!$J$45-1)*4+3))</f>
        <v/>
      </c>
    </row>
    <row r="140">
      <c r="A140" s="25">
        <f>IF(137&lt;=_Engine!$B$36,137,"")</f>
        <v/>
      </c>
      <c r="B140" s="26">
        <f>IF($A140="","",EDATE(_Engine!$B$5,$A140-1))</f>
        <v/>
      </c>
      <c r="C140" s="27">
        <f>IF($A140="","",_Engine!$AJ198)</f>
        <v/>
      </c>
      <c r="D140" s="27">
        <f>IF($A140="","",_Engine!$AK198)</f>
        <v/>
      </c>
      <c r="E140" s="27">
        <f>IF($A140="","",_Engine!$AJ198-_Engine!$AK198)</f>
        <v/>
      </c>
      <c r="F140" s="27">
        <f>IF($A140="","",_Engine!$AI198)</f>
        <v/>
      </c>
      <c r="G140" s="27">
        <f>IF(OR($A140="",_Engine!$D$41=0),"",INDEX(_Engine!$E198:$X198,1,(_Engine!$J$41-1)*4+3))</f>
        <v/>
      </c>
      <c r="H140" s="27">
        <f>IF(OR($A140="",_Engine!$D$42=0),"",INDEX(_Engine!$E198:$X198,1,(_Engine!$J$42-1)*4+3))</f>
        <v/>
      </c>
      <c r="I140" s="27">
        <f>IF(OR($A140="",_Engine!$D$43=0),"",INDEX(_Engine!$E198:$X198,1,(_Engine!$J$43-1)*4+3))</f>
        <v/>
      </c>
      <c r="J140" s="27">
        <f>IF(OR($A140="",_Engine!$D$44=0),"",INDEX(_Engine!$E198:$X198,1,(_Engine!$J$44-1)*4+3))</f>
        <v/>
      </c>
      <c r="K140" s="27">
        <f>IF(OR($A140="",_Engine!$D$45=0),"",INDEX(_Engine!$E198:$X198,1,(_Engine!$J$45-1)*4+3))</f>
        <v/>
      </c>
    </row>
    <row r="141">
      <c r="A141" s="25">
        <f>IF(138&lt;=_Engine!$B$36,138,"")</f>
        <v/>
      </c>
      <c r="B141" s="26">
        <f>IF($A141="","",EDATE(_Engine!$B$5,$A141-1))</f>
        <v/>
      </c>
      <c r="C141" s="27">
        <f>IF($A141="","",_Engine!$AJ199)</f>
        <v/>
      </c>
      <c r="D141" s="27">
        <f>IF($A141="","",_Engine!$AK199)</f>
        <v/>
      </c>
      <c r="E141" s="27">
        <f>IF($A141="","",_Engine!$AJ199-_Engine!$AK199)</f>
        <v/>
      </c>
      <c r="F141" s="27">
        <f>IF($A141="","",_Engine!$AI199)</f>
        <v/>
      </c>
      <c r="G141" s="27">
        <f>IF(OR($A141="",_Engine!$D$41=0),"",INDEX(_Engine!$E199:$X199,1,(_Engine!$J$41-1)*4+3))</f>
        <v/>
      </c>
      <c r="H141" s="27">
        <f>IF(OR($A141="",_Engine!$D$42=0),"",INDEX(_Engine!$E199:$X199,1,(_Engine!$J$42-1)*4+3))</f>
        <v/>
      </c>
      <c r="I141" s="27">
        <f>IF(OR($A141="",_Engine!$D$43=0),"",INDEX(_Engine!$E199:$X199,1,(_Engine!$J$43-1)*4+3))</f>
        <v/>
      </c>
      <c r="J141" s="27">
        <f>IF(OR($A141="",_Engine!$D$44=0),"",INDEX(_Engine!$E199:$X199,1,(_Engine!$J$44-1)*4+3))</f>
        <v/>
      </c>
      <c r="K141" s="27">
        <f>IF(OR($A141="",_Engine!$D$45=0),"",INDEX(_Engine!$E199:$X199,1,(_Engine!$J$45-1)*4+3))</f>
        <v/>
      </c>
    </row>
    <row r="142">
      <c r="A142" s="25">
        <f>IF(139&lt;=_Engine!$B$36,139,"")</f>
        <v/>
      </c>
      <c r="B142" s="26">
        <f>IF($A142="","",EDATE(_Engine!$B$5,$A142-1))</f>
        <v/>
      </c>
      <c r="C142" s="27">
        <f>IF($A142="","",_Engine!$AJ200)</f>
        <v/>
      </c>
      <c r="D142" s="27">
        <f>IF($A142="","",_Engine!$AK200)</f>
        <v/>
      </c>
      <c r="E142" s="27">
        <f>IF($A142="","",_Engine!$AJ200-_Engine!$AK200)</f>
        <v/>
      </c>
      <c r="F142" s="27">
        <f>IF($A142="","",_Engine!$AI200)</f>
        <v/>
      </c>
      <c r="G142" s="27">
        <f>IF(OR($A142="",_Engine!$D$41=0),"",INDEX(_Engine!$E200:$X200,1,(_Engine!$J$41-1)*4+3))</f>
        <v/>
      </c>
      <c r="H142" s="27">
        <f>IF(OR($A142="",_Engine!$D$42=0),"",INDEX(_Engine!$E200:$X200,1,(_Engine!$J$42-1)*4+3))</f>
        <v/>
      </c>
      <c r="I142" s="27">
        <f>IF(OR($A142="",_Engine!$D$43=0),"",INDEX(_Engine!$E200:$X200,1,(_Engine!$J$43-1)*4+3))</f>
        <v/>
      </c>
      <c r="J142" s="27">
        <f>IF(OR($A142="",_Engine!$D$44=0),"",INDEX(_Engine!$E200:$X200,1,(_Engine!$J$44-1)*4+3))</f>
        <v/>
      </c>
      <c r="K142" s="27">
        <f>IF(OR($A142="",_Engine!$D$45=0),"",INDEX(_Engine!$E200:$X200,1,(_Engine!$J$45-1)*4+3))</f>
        <v/>
      </c>
    </row>
    <row r="143">
      <c r="A143" s="25">
        <f>IF(140&lt;=_Engine!$B$36,140,"")</f>
        <v/>
      </c>
      <c r="B143" s="26">
        <f>IF($A143="","",EDATE(_Engine!$B$5,$A143-1))</f>
        <v/>
      </c>
      <c r="C143" s="27">
        <f>IF($A143="","",_Engine!$AJ201)</f>
        <v/>
      </c>
      <c r="D143" s="27">
        <f>IF($A143="","",_Engine!$AK201)</f>
        <v/>
      </c>
      <c r="E143" s="27">
        <f>IF($A143="","",_Engine!$AJ201-_Engine!$AK201)</f>
        <v/>
      </c>
      <c r="F143" s="27">
        <f>IF($A143="","",_Engine!$AI201)</f>
        <v/>
      </c>
      <c r="G143" s="27">
        <f>IF(OR($A143="",_Engine!$D$41=0),"",INDEX(_Engine!$E201:$X201,1,(_Engine!$J$41-1)*4+3))</f>
        <v/>
      </c>
      <c r="H143" s="27">
        <f>IF(OR($A143="",_Engine!$D$42=0),"",INDEX(_Engine!$E201:$X201,1,(_Engine!$J$42-1)*4+3))</f>
        <v/>
      </c>
      <c r="I143" s="27">
        <f>IF(OR($A143="",_Engine!$D$43=0),"",INDEX(_Engine!$E201:$X201,1,(_Engine!$J$43-1)*4+3))</f>
        <v/>
      </c>
      <c r="J143" s="27">
        <f>IF(OR($A143="",_Engine!$D$44=0),"",INDEX(_Engine!$E201:$X201,1,(_Engine!$J$44-1)*4+3))</f>
        <v/>
      </c>
      <c r="K143" s="27">
        <f>IF(OR($A143="",_Engine!$D$45=0),"",INDEX(_Engine!$E201:$X201,1,(_Engine!$J$45-1)*4+3))</f>
        <v/>
      </c>
    </row>
    <row r="144">
      <c r="A144" s="25">
        <f>IF(141&lt;=_Engine!$B$36,141,"")</f>
        <v/>
      </c>
      <c r="B144" s="26">
        <f>IF($A144="","",EDATE(_Engine!$B$5,$A144-1))</f>
        <v/>
      </c>
      <c r="C144" s="27">
        <f>IF($A144="","",_Engine!$AJ202)</f>
        <v/>
      </c>
      <c r="D144" s="27">
        <f>IF($A144="","",_Engine!$AK202)</f>
        <v/>
      </c>
      <c r="E144" s="27">
        <f>IF($A144="","",_Engine!$AJ202-_Engine!$AK202)</f>
        <v/>
      </c>
      <c r="F144" s="27">
        <f>IF($A144="","",_Engine!$AI202)</f>
        <v/>
      </c>
      <c r="G144" s="27">
        <f>IF(OR($A144="",_Engine!$D$41=0),"",INDEX(_Engine!$E202:$X202,1,(_Engine!$J$41-1)*4+3))</f>
        <v/>
      </c>
      <c r="H144" s="27">
        <f>IF(OR($A144="",_Engine!$D$42=0),"",INDEX(_Engine!$E202:$X202,1,(_Engine!$J$42-1)*4+3))</f>
        <v/>
      </c>
      <c r="I144" s="27">
        <f>IF(OR($A144="",_Engine!$D$43=0),"",INDEX(_Engine!$E202:$X202,1,(_Engine!$J$43-1)*4+3))</f>
        <v/>
      </c>
      <c r="J144" s="27">
        <f>IF(OR($A144="",_Engine!$D$44=0),"",INDEX(_Engine!$E202:$X202,1,(_Engine!$J$44-1)*4+3))</f>
        <v/>
      </c>
      <c r="K144" s="27">
        <f>IF(OR($A144="",_Engine!$D$45=0),"",INDEX(_Engine!$E202:$X202,1,(_Engine!$J$45-1)*4+3))</f>
        <v/>
      </c>
    </row>
    <row r="145">
      <c r="A145" s="25">
        <f>IF(142&lt;=_Engine!$B$36,142,"")</f>
        <v/>
      </c>
      <c r="B145" s="26">
        <f>IF($A145="","",EDATE(_Engine!$B$5,$A145-1))</f>
        <v/>
      </c>
      <c r="C145" s="27">
        <f>IF($A145="","",_Engine!$AJ203)</f>
        <v/>
      </c>
      <c r="D145" s="27">
        <f>IF($A145="","",_Engine!$AK203)</f>
        <v/>
      </c>
      <c r="E145" s="27">
        <f>IF($A145="","",_Engine!$AJ203-_Engine!$AK203)</f>
        <v/>
      </c>
      <c r="F145" s="27">
        <f>IF($A145="","",_Engine!$AI203)</f>
        <v/>
      </c>
      <c r="G145" s="27">
        <f>IF(OR($A145="",_Engine!$D$41=0),"",INDEX(_Engine!$E203:$X203,1,(_Engine!$J$41-1)*4+3))</f>
        <v/>
      </c>
      <c r="H145" s="27">
        <f>IF(OR($A145="",_Engine!$D$42=0),"",INDEX(_Engine!$E203:$X203,1,(_Engine!$J$42-1)*4+3))</f>
        <v/>
      </c>
      <c r="I145" s="27">
        <f>IF(OR($A145="",_Engine!$D$43=0),"",INDEX(_Engine!$E203:$X203,1,(_Engine!$J$43-1)*4+3))</f>
        <v/>
      </c>
      <c r="J145" s="27">
        <f>IF(OR($A145="",_Engine!$D$44=0),"",INDEX(_Engine!$E203:$X203,1,(_Engine!$J$44-1)*4+3))</f>
        <v/>
      </c>
      <c r="K145" s="27">
        <f>IF(OR($A145="",_Engine!$D$45=0),"",INDEX(_Engine!$E203:$X203,1,(_Engine!$J$45-1)*4+3))</f>
        <v/>
      </c>
    </row>
    <row r="146">
      <c r="A146" s="25">
        <f>IF(143&lt;=_Engine!$B$36,143,"")</f>
        <v/>
      </c>
      <c r="B146" s="26">
        <f>IF($A146="","",EDATE(_Engine!$B$5,$A146-1))</f>
        <v/>
      </c>
      <c r="C146" s="27">
        <f>IF($A146="","",_Engine!$AJ204)</f>
        <v/>
      </c>
      <c r="D146" s="27">
        <f>IF($A146="","",_Engine!$AK204)</f>
        <v/>
      </c>
      <c r="E146" s="27">
        <f>IF($A146="","",_Engine!$AJ204-_Engine!$AK204)</f>
        <v/>
      </c>
      <c r="F146" s="27">
        <f>IF($A146="","",_Engine!$AI204)</f>
        <v/>
      </c>
      <c r="G146" s="27">
        <f>IF(OR($A146="",_Engine!$D$41=0),"",INDEX(_Engine!$E204:$X204,1,(_Engine!$J$41-1)*4+3))</f>
        <v/>
      </c>
      <c r="H146" s="27">
        <f>IF(OR($A146="",_Engine!$D$42=0),"",INDEX(_Engine!$E204:$X204,1,(_Engine!$J$42-1)*4+3))</f>
        <v/>
      </c>
      <c r="I146" s="27">
        <f>IF(OR($A146="",_Engine!$D$43=0),"",INDEX(_Engine!$E204:$X204,1,(_Engine!$J$43-1)*4+3))</f>
        <v/>
      </c>
      <c r="J146" s="27">
        <f>IF(OR($A146="",_Engine!$D$44=0),"",INDEX(_Engine!$E204:$X204,1,(_Engine!$J$44-1)*4+3))</f>
        <v/>
      </c>
      <c r="K146" s="27">
        <f>IF(OR($A146="",_Engine!$D$45=0),"",INDEX(_Engine!$E204:$X204,1,(_Engine!$J$45-1)*4+3))</f>
        <v/>
      </c>
    </row>
    <row r="147">
      <c r="A147" s="25">
        <f>IF(144&lt;=_Engine!$B$36,144,"")</f>
        <v/>
      </c>
      <c r="B147" s="26">
        <f>IF($A147="","",EDATE(_Engine!$B$5,$A147-1))</f>
        <v/>
      </c>
      <c r="C147" s="27">
        <f>IF($A147="","",_Engine!$AJ205)</f>
        <v/>
      </c>
      <c r="D147" s="27">
        <f>IF($A147="","",_Engine!$AK205)</f>
        <v/>
      </c>
      <c r="E147" s="27">
        <f>IF($A147="","",_Engine!$AJ205-_Engine!$AK205)</f>
        <v/>
      </c>
      <c r="F147" s="27">
        <f>IF($A147="","",_Engine!$AI205)</f>
        <v/>
      </c>
      <c r="G147" s="27">
        <f>IF(OR($A147="",_Engine!$D$41=0),"",INDEX(_Engine!$E205:$X205,1,(_Engine!$J$41-1)*4+3))</f>
        <v/>
      </c>
      <c r="H147" s="27">
        <f>IF(OR($A147="",_Engine!$D$42=0),"",INDEX(_Engine!$E205:$X205,1,(_Engine!$J$42-1)*4+3))</f>
        <v/>
      </c>
      <c r="I147" s="27">
        <f>IF(OR($A147="",_Engine!$D$43=0),"",INDEX(_Engine!$E205:$X205,1,(_Engine!$J$43-1)*4+3))</f>
        <v/>
      </c>
      <c r="J147" s="27">
        <f>IF(OR($A147="",_Engine!$D$44=0),"",INDEX(_Engine!$E205:$X205,1,(_Engine!$J$44-1)*4+3))</f>
        <v/>
      </c>
      <c r="K147" s="27">
        <f>IF(OR($A147="",_Engine!$D$45=0),"",INDEX(_Engine!$E205:$X205,1,(_Engine!$J$45-1)*4+3))</f>
        <v/>
      </c>
    </row>
    <row r="148">
      <c r="A148" s="25">
        <f>IF(145&lt;=_Engine!$B$36,145,"")</f>
        <v/>
      </c>
      <c r="B148" s="26">
        <f>IF($A148="","",EDATE(_Engine!$B$5,$A148-1))</f>
        <v/>
      </c>
      <c r="C148" s="27">
        <f>IF($A148="","",_Engine!$AJ206)</f>
        <v/>
      </c>
      <c r="D148" s="27">
        <f>IF($A148="","",_Engine!$AK206)</f>
        <v/>
      </c>
      <c r="E148" s="27">
        <f>IF($A148="","",_Engine!$AJ206-_Engine!$AK206)</f>
        <v/>
      </c>
      <c r="F148" s="27">
        <f>IF($A148="","",_Engine!$AI206)</f>
        <v/>
      </c>
      <c r="G148" s="27">
        <f>IF(OR($A148="",_Engine!$D$41=0),"",INDEX(_Engine!$E206:$X206,1,(_Engine!$J$41-1)*4+3))</f>
        <v/>
      </c>
      <c r="H148" s="27">
        <f>IF(OR($A148="",_Engine!$D$42=0),"",INDEX(_Engine!$E206:$X206,1,(_Engine!$J$42-1)*4+3))</f>
        <v/>
      </c>
      <c r="I148" s="27">
        <f>IF(OR($A148="",_Engine!$D$43=0),"",INDEX(_Engine!$E206:$X206,1,(_Engine!$J$43-1)*4+3))</f>
        <v/>
      </c>
      <c r="J148" s="27">
        <f>IF(OR($A148="",_Engine!$D$44=0),"",INDEX(_Engine!$E206:$X206,1,(_Engine!$J$44-1)*4+3))</f>
        <v/>
      </c>
      <c r="K148" s="27">
        <f>IF(OR($A148="",_Engine!$D$45=0),"",INDEX(_Engine!$E206:$X206,1,(_Engine!$J$45-1)*4+3))</f>
        <v/>
      </c>
    </row>
    <row r="149">
      <c r="A149" s="25">
        <f>IF(146&lt;=_Engine!$B$36,146,"")</f>
        <v/>
      </c>
      <c r="B149" s="26">
        <f>IF($A149="","",EDATE(_Engine!$B$5,$A149-1))</f>
        <v/>
      </c>
      <c r="C149" s="27">
        <f>IF($A149="","",_Engine!$AJ207)</f>
        <v/>
      </c>
      <c r="D149" s="27">
        <f>IF($A149="","",_Engine!$AK207)</f>
        <v/>
      </c>
      <c r="E149" s="27">
        <f>IF($A149="","",_Engine!$AJ207-_Engine!$AK207)</f>
        <v/>
      </c>
      <c r="F149" s="27">
        <f>IF($A149="","",_Engine!$AI207)</f>
        <v/>
      </c>
      <c r="G149" s="27">
        <f>IF(OR($A149="",_Engine!$D$41=0),"",INDEX(_Engine!$E207:$X207,1,(_Engine!$J$41-1)*4+3))</f>
        <v/>
      </c>
      <c r="H149" s="27">
        <f>IF(OR($A149="",_Engine!$D$42=0),"",INDEX(_Engine!$E207:$X207,1,(_Engine!$J$42-1)*4+3))</f>
        <v/>
      </c>
      <c r="I149" s="27">
        <f>IF(OR($A149="",_Engine!$D$43=0),"",INDEX(_Engine!$E207:$X207,1,(_Engine!$J$43-1)*4+3))</f>
        <v/>
      </c>
      <c r="J149" s="27">
        <f>IF(OR($A149="",_Engine!$D$44=0),"",INDEX(_Engine!$E207:$X207,1,(_Engine!$J$44-1)*4+3))</f>
        <v/>
      </c>
      <c r="K149" s="27">
        <f>IF(OR($A149="",_Engine!$D$45=0),"",INDEX(_Engine!$E207:$X207,1,(_Engine!$J$45-1)*4+3))</f>
        <v/>
      </c>
    </row>
    <row r="150">
      <c r="A150" s="25">
        <f>IF(147&lt;=_Engine!$B$36,147,"")</f>
        <v/>
      </c>
      <c r="B150" s="26">
        <f>IF($A150="","",EDATE(_Engine!$B$5,$A150-1))</f>
        <v/>
      </c>
      <c r="C150" s="27">
        <f>IF($A150="","",_Engine!$AJ208)</f>
        <v/>
      </c>
      <c r="D150" s="27">
        <f>IF($A150="","",_Engine!$AK208)</f>
        <v/>
      </c>
      <c r="E150" s="27">
        <f>IF($A150="","",_Engine!$AJ208-_Engine!$AK208)</f>
        <v/>
      </c>
      <c r="F150" s="27">
        <f>IF($A150="","",_Engine!$AI208)</f>
        <v/>
      </c>
      <c r="G150" s="27">
        <f>IF(OR($A150="",_Engine!$D$41=0),"",INDEX(_Engine!$E208:$X208,1,(_Engine!$J$41-1)*4+3))</f>
        <v/>
      </c>
      <c r="H150" s="27">
        <f>IF(OR($A150="",_Engine!$D$42=0),"",INDEX(_Engine!$E208:$X208,1,(_Engine!$J$42-1)*4+3))</f>
        <v/>
      </c>
      <c r="I150" s="27">
        <f>IF(OR($A150="",_Engine!$D$43=0),"",INDEX(_Engine!$E208:$X208,1,(_Engine!$J$43-1)*4+3))</f>
        <v/>
      </c>
      <c r="J150" s="27">
        <f>IF(OR($A150="",_Engine!$D$44=0),"",INDEX(_Engine!$E208:$X208,1,(_Engine!$J$44-1)*4+3))</f>
        <v/>
      </c>
      <c r="K150" s="27">
        <f>IF(OR($A150="",_Engine!$D$45=0),"",INDEX(_Engine!$E208:$X208,1,(_Engine!$J$45-1)*4+3))</f>
        <v/>
      </c>
    </row>
    <row r="151">
      <c r="A151" s="25">
        <f>IF(148&lt;=_Engine!$B$36,148,"")</f>
        <v/>
      </c>
      <c r="B151" s="26">
        <f>IF($A151="","",EDATE(_Engine!$B$5,$A151-1))</f>
        <v/>
      </c>
      <c r="C151" s="27">
        <f>IF($A151="","",_Engine!$AJ209)</f>
        <v/>
      </c>
      <c r="D151" s="27">
        <f>IF($A151="","",_Engine!$AK209)</f>
        <v/>
      </c>
      <c r="E151" s="27">
        <f>IF($A151="","",_Engine!$AJ209-_Engine!$AK209)</f>
        <v/>
      </c>
      <c r="F151" s="27">
        <f>IF($A151="","",_Engine!$AI209)</f>
        <v/>
      </c>
      <c r="G151" s="27">
        <f>IF(OR($A151="",_Engine!$D$41=0),"",INDEX(_Engine!$E209:$X209,1,(_Engine!$J$41-1)*4+3))</f>
        <v/>
      </c>
      <c r="H151" s="27">
        <f>IF(OR($A151="",_Engine!$D$42=0),"",INDEX(_Engine!$E209:$X209,1,(_Engine!$J$42-1)*4+3))</f>
        <v/>
      </c>
      <c r="I151" s="27">
        <f>IF(OR($A151="",_Engine!$D$43=0),"",INDEX(_Engine!$E209:$X209,1,(_Engine!$J$43-1)*4+3))</f>
        <v/>
      </c>
      <c r="J151" s="27">
        <f>IF(OR($A151="",_Engine!$D$44=0),"",INDEX(_Engine!$E209:$X209,1,(_Engine!$J$44-1)*4+3))</f>
        <v/>
      </c>
      <c r="K151" s="27">
        <f>IF(OR($A151="",_Engine!$D$45=0),"",INDEX(_Engine!$E209:$X209,1,(_Engine!$J$45-1)*4+3))</f>
        <v/>
      </c>
    </row>
    <row r="152">
      <c r="A152" s="25">
        <f>IF(149&lt;=_Engine!$B$36,149,"")</f>
        <v/>
      </c>
      <c r="B152" s="26">
        <f>IF($A152="","",EDATE(_Engine!$B$5,$A152-1))</f>
        <v/>
      </c>
      <c r="C152" s="27">
        <f>IF($A152="","",_Engine!$AJ210)</f>
        <v/>
      </c>
      <c r="D152" s="27">
        <f>IF($A152="","",_Engine!$AK210)</f>
        <v/>
      </c>
      <c r="E152" s="27">
        <f>IF($A152="","",_Engine!$AJ210-_Engine!$AK210)</f>
        <v/>
      </c>
      <c r="F152" s="27">
        <f>IF($A152="","",_Engine!$AI210)</f>
        <v/>
      </c>
      <c r="G152" s="27">
        <f>IF(OR($A152="",_Engine!$D$41=0),"",INDEX(_Engine!$E210:$X210,1,(_Engine!$J$41-1)*4+3))</f>
        <v/>
      </c>
      <c r="H152" s="27">
        <f>IF(OR($A152="",_Engine!$D$42=0),"",INDEX(_Engine!$E210:$X210,1,(_Engine!$J$42-1)*4+3))</f>
        <v/>
      </c>
      <c r="I152" s="27">
        <f>IF(OR($A152="",_Engine!$D$43=0),"",INDEX(_Engine!$E210:$X210,1,(_Engine!$J$43-1)*4+3))</f>
        <v/>
      </c>
      <c r="J152" s="27">
        <f>IF(OR($A152="",_Engine!$D$44=0),"",INDEX(_Engine!$E210:$X210,1,(_Engine!$J$44-1)*4+3))</f>
        <v/>
      </c>
      <c r="K152" s="27">
        <f>IF(OR($A152="",_Engine!$D$45=0),"",INDEX(_Engine!$E210:$X210,1,(_Engine!$J$45-1)*4+3))</f>
        <v/>
      </c>
    </row>
    <row r="153">
      <c r="A153" s="25">
        <f>IF(150&lt;=_Engine!$B$36,150,"")</f>
        <v/>
      </c>
      <c r="B153" s="26">
        <f>IF($A153="","",EDATE(_Engine!$B$5,$A153-1))</f>
        <v/>
      </c>
      <c r="C153" s="27">
        <f>IF($A153="","",_Engine!$AJ211)</f>
        <v/>
      </c>
      <c r="D153" s="27">
        <f>IF($A153="","",_Engine!$AK211)</f>
        <v/>
      </c>
      <c r="E153" s="27">
        <f>IF($A153="","",_Engine!$AJ211-_Engine!$AK211)</f>
        <v/>
      </c>
      <c r="F153" s="27">
        <f>IF($A153="","",_Engine!$AI211)</f>
        <v/>
      </c>
      <c r="G153" s="27">
        <f>IF(OR($A153="",_Engine!$D$41=0),"",INDEX(_Engine!$E211:$X211,1,(_Engine!$J$41-1)*4+3))</f>
        <v/>
      </c>
      <c r="H153" s="27">
        <f>IF(OR($A153="",_Engine!$D$42=0),"",INDEX(_Engine!$E211:$X211,1,(_Engine!$J$42-1)*4+3))</f>
        <v/>
      </c>
      <c r="I153" s="27">
        <f>IF(OR($A153="",_Engine!$D$43=0),"",INDEX(_Engine!$E211:$X211,1,(_Engine!$J$43-1)*4+3))</f>
        <v/>
      </c>
      <c r="J153" s="27">
        <f>IF(OR($A153="",_Engine!$D$44=0),"",INDEX(_Engine!$E211:$X211,1,(_Engine!$J$44-1)*4+3))</f>
        <v/>
      </c>
      <c r="K153" s="27">
        <f>IF(OR($A153="",_Engine!$D$45=0),"",INDEX(_Engine!$E211:$X211,1,(_Engine!$J$45-1)*4+3))</f>
        <v/>
      </c>
    </row>
    <row r="154">
      <c r="A154" s="25">
        <f>IF(151&lt;=_Engine!$B$36,151,"")</f>
        <v/>
      </c>
      <c r="B154" s="26">
        <f>IF($A154="","",EDATE(_Engine!$B$5,$A154-1))</f>
        <v/>
      </c>
      <c r="C154" s="27">
        <f>IF($A154="","",_Engine!$AJ212)</f>
        <v/>
      </c>
      <c r="D154" s="27">
        <f>IF($A154="","",_Engine!$AK212)</f>
        <v/>
      </c>
      <c r="E154" s="27">
        <f>IF($A154="","",_Engine!$AJ212-_Engine!$AK212)</f>
        <v/>
      </c>
      <c r="F154" s="27">
        <f>IF($A154="","",_Engine!$AI212)</f>
        <v/>
      </c>
      <c r="G154" s="27">
        <f>IF(OR($A154="",_Engine!$D$41=0),"",INDEX(_Engine!$E212:$X212,1,(_Engine!$J$41-1)*4+3))</f>
        <v/>
      </c>
      <c r="H154" s="27">
        <f>IF(OR($A154="",_Engine!$D$42=0),"",INDEX(_Engine!$E212:$X212,1,(_Engine!$J$42-1)*4+3))</f>
        <v/>
      </c>
      <c r="I154" s="27">
        <f>IF(OR($A154="",_Engine!$D$43=0),"",INDEX(_Engine!$E212:$X212,1,(_Engine!$J$43-1)*4+3))</f>
        <v/>
      </c>
      <c r="J154" s="27">
        <f>IF(OR($A154="",_Engine!$D$44=0),"",INDEX(_Engine!$E212:$X212,1,(_Engine!$J$44-1)*4+3))</f>
        <v/>
      </c>
      <c r="K154" s="27">
        <f>IF(OR($A154="",_Engine!$D$45=0),"",INDEX(_Engine!$E212:$X212,1,(_Engine!$J$45-1)*4+3))</f>
        <v/>
      </c>
    </row>
    <row r="155">
      <c r="A155" s="25">
        <f>IF(152&lt;=_Engine!$B$36,152,"")</f>
        <v/>
      </c>
      <c r="B155" s="26">
        <f>IF($A155="","",EDATE(_Engine!$B$5,$A155-1))</f>
        <v/>
      </c>
      <c r="C155" s="27">
        <f>IF($A155="","",_Engine!$AJ213)</f>
        <v/>
      </c>
      <c r="D155" s="27">
        <f>IF($A155="","",_Engine!$AK213)</f>
        <v/>
      </c>
      <c r="E155" s="27">
        <f>IF($A155="","",_Engine!$AJ213-_Engine!$AK213)</f>
        <v/>
      </c>
      <c r="F155" s="27">
        <f>IF($A155="","",_Engine!$AI213)</f>
        <v/>
      </c>
      <c r="G155" s="27">
        <f>IF(OR($A155="",_Engine!$D$41=0),"",INDEX(_Engine!$E213:$X213,1,(_Engine!$J$41-1)*4+3))</f>
        <v/>
      </c>
      <c r="H155" s="27">
        <f>IF(OR($A155="",_Engine!$D$42=0),"",INDEX(_Engine!$E213:$X213,1,(_Engine!$J$42-1)*4+3))</f>
        <v/>
      </c>
      <c r="I155" s="27">
        <f>IF(OR($A155="",_Engine!$D$43=0),"",INDEX(_Engine!$E213:$X213,1,(_Engine!$J$43-1)*4+3))</f>
        <v/>
      </c>
      <c r="J155" s="27">
        <f>IF(OR($A155="",_Engine!$D$44=0),"",INDEX(_Engine!$E213:$X213,1,(_Engine!$J$44-1)*4+3))</f>
        <v/>
      </c>
      <c r="K155" s="27">
        <f>IF(OR($A155="",_Engine!$D$45=0),"",INDEX(_Engine!$E213:$X213,1,(_Engine!$J$45-1)*4+3))</f>
        <v/>
      </c>
    </row>
    <row r="156">
      <c r="A156" s="25">
        <f>IF(153&lt;=_Engine!$B$36,153,"")</f>
        <v/>
      </c>
      <c r="B156" s="26">
        <f>IF($A156="","",EDATE(_Engine!$B$5,$A156-1))</f>
        <v/>
      </c>
      <c r="C156" s="27">
        <f>IF($A156="","",_Engine!$AJ214)</f>
        <v/>
      </c>
      <c r="D156" s="27">
        <f>IF($A156="","",_Engine!$AK214)</f>
        <v/>
      </c>
      <c r="E156" s="27">
        <f>IF($A156="","",_Engine!$AJ214-_Engine!$AK214)</f>
        <v/>
      </c>
      <c r="F156" s="27">
        <f>IF($A156="","",_Engine!$AI214)</f>
        <v/>
      </c>
      <c r="G156" s="27">
        <f>IF(OR($A156="",_Engine!$D$41=0),"",INDEX(_Engine!$E214:$X214,1,(_Engine!$J$41-1)*4+3))</f>
        <v/>
      </c>
      <c r="H156" s="27">
        <f>IF(OR($A156="",_Engine!$D$42=0),"",INDEX(_Engine!$E214:$X214,1,(_Engine!$J$42-1)*4+3))</f>
        <v/>
      </c>
      <c r="I156" s="27">
        <f>IF(OR($A156="",_Engine!$D$43=0),"",INDEX(_Engine!$E214:$X214,1,(_Engine!$J$43-1)*4+3))</f>
        <v/>
      </c>
      <c r="J156" s="27">
        <f>IF(OR($A156="",_Engine!$D$44=0),"",INDEX(_Engine!$E214:$X214,1,(_Engine!$J$44-1)*4+3))</f>
        <v/>
      </c>
      <c r="K156" s="27">
        <f>IF(OR($A156="",_Engine!$D$45=0),"",INDEX(_Engine!$E214:$X214,1,(_Engine!$J$45-1)*4+3))</f>
        <v/>
      </c>
    </row>
    <row r="157">
      <c r="A157" s="25">
        <f>IF(154&lt;=_Engine!$B$36,154,"")</f>
        <v/>
      </c>
      <c r="B157" s="26">
        <f>IF($A157="","",EDATE(_Engine!$B$5,$A157-1))</f>
        <v/>
      </c>
      <c r="C157" s="27">
        <f>IF($A157="","",_Engine!$AJ215)</f>
        <v/>
      </c>
      <c r="D157" s="27">
        <f>IF($A157="","",_Engine!$AK215)</f>
        <v/>
      </c>
      <c r="E157" s="27">
        <f>IF($A157="","",_Engine!$AJ215-_Engine!$AK215)</f>
        <v/>
      </c>
      <c r="F157" s="27">
        <f>IF($A157="","",_Engine!$AI215)</f>
        <v/>
      </c>
      <c r="G157" s="27">
        <f>IF(OR($A157="",_Engine!$D$41=0),"",INDEX(_Engine!$E215:$X215,1,(_Engine!$J$41-1)*4+3))</f>
        <v/>
      </c>
      <c r="H157" s="27">
        <f>IF(OR($A157="",_Engine!$D$42=0),"",INDEX(_Engine!$E215:$X215,1,(_Engine!$J$42-1)*4+3))</f>
        <v/>
      </c>
      <c r="I157" s="27">
        <f>IF(OR($A157="",_Engine!$D$43=0),"",INDEX(_Engine!$E215:$X215,1,(_Engine!$J$43-1)*4+3))</f>
        <v/>
      </c>
      <c r="J157" s="27">
        <f>IF(OR($A157="",_Engine!$D$44=0),"",INDEX(_Engine!$E215:$X215,1,(_Engine!$J$44-1)*4+3))</f>
        <v/>
      </c>
      <c r="K157" s="27">
        <f>IF(OR($A157="",_Engine!$D$45=0),"",INDEX(_Engine!$E215:$X215,1,(_Engine!$J$45-1)*4+3))</f>
        <v/>
      </c>
    </row>
    <row r="158">
      <c r="A158" s="25">
        <f>IF(155&lt;=_Engine!$B$36,155,"")</f>
        <v/>
      </c>
      <c r="B158" s="26">
        <f>IF($A158="","",EDATE(_Engine!$B$5,$A158-1))</f>
        <v/>
      </c>
      <c r="C158" s="27">
        <f>IF($A158="","",_Engine!$AJ216)</f>
        <v/>
      </c>
      <c r="D158" s="27">
        <f>IF($A158="","",_Engine!$AK216)</f>
        <v/>
      </c>
      <c r="E158" s="27">
        <f>IF($A158="","",_Engine!$AJ216-_Engine!$AK216)</f>
        <v/>
      </c>
      <c r="F158" s="27">
        <f>IF($A158="","",_Engine!$AI216)</f>
        <v/>
      </c>
      <c r="G158" s="27">
        <f>IF(OR($A158="",_Engine!$D$41=0),"",INDEX(_Engine!$E216:$X216,1,(_Engine!$J$41-1)*4+3))</f>
        <v/>
      </c>
      <c r="H158" s="27">
        <f>IF(OR($A158="",_Engine!$D$42=0),"",INDEX(_Engine!$E216:$X216,1,(_Engine!$J$42-1)*4+3))</f>
        <v/>
      </c>
      <c r="I158" s="27">
        <f>IF(OR($A158="",_Engine!$D$43=0),"",INDEX(_Engine!$E216:$X216,1,(_Engine!$J$43-1)*4+3))</f>
        <v/>
      </c>
      <c r="J158" s="27">
        <f>IF(OR($A158="",_Engine!$D$44=0),"",INDEX(_Engine!$E216:$X216,1,(_Engine!$J$44-1)*4+3))</f>
        <v/>
      </c>
      <c r="K158" s="27">
        <f>IF(OR($A158="",_Engine!$D$45=0),"",INDEX(_Engine!$E216:$X216,1,(_Engine!$J$45-1)*4+3))</f>
        <v/>
      </c>
    </row>
    <row r="159">
      <c r="A159" s="25">
        <f>IF(156&lt;=_Engine!$B$36,156,"")</f>
        <v/>
      </c>
      <c r="B159" s="26">
        <f>IF($A159="","",EDATE(_Engine!$B$5,$A159-1))</f>
        <v/>
      </c>
      <c r="C159" s="27">
        <f>IF($A159="","",_Engine!$AJ217)</f>
        <v/>
      </c>
      <c r="D159" s="27">
        <f>IF($A159="","",_Engine!$AK217)</f>
        <v/>
      </c>
      <c r="E159" s="27">
        <f>IF($A159="","",_Engine!$AJ217-_Engine!$AK217)</f>
        <v/>
      </c>
      <c r="F159" s="27">
        <f>IF($A159="","",_Engine!$AI217)</f>
        <v/>
      </c>
      <c r="G159" s="27">
        <f>IF(OR($A159="",_Engine!$D$41=0),"",INDEX(_Engine!$E217:$X217,1,(_Engine!$J$41-1)*4+3))</f>
        <v/>
      </c>
      <c r="H159" s="27">
        <f>IF(OR($A159="",_Engine!$D$42=0),"",INDEX(_Engine!$E217:$X217,1,(_Engine!$J$42-1)*4+3))</f>
        <v/>
      </c>
      <c r="I159" s="27">
        <f>IF(OR($A159="",_Engine!$D$43=0),"",INDEX(_Engine!$E217:$X217,1,(_Engine!$J$43-1)*4+3))</f>
        <v/>
      </c>
      <c r="J159" s="27">
        <f>IF(OR($A159="",_Engine!$D$44=0),"",INDEX(_Engine!$E217:$X217,1,(_Engine!$J$44-1)*4+3))</f>
        <v/>
      </c>
      <c r="K159" s="27">
        <f>IF(OR($A159="",_Engine!$D$45=0),"",INDEX(_Engine!$E217:$X217,1,(_Engine!$J$45-1)*4+3))</f>
        <v/>
      </c>
    </row>
    <row r="160">
      <c r="A160" s="25">
        <f>IF(157&lt;=_Engine!$B$36,157,"")</f>
        <v/>
      </c>
      <c r="B160" s="26">
        <f>IF($A160="","",EDATE(_Engine!$B$5,$A160-1))</f>
        <v/>
      </c>
      <c r="C160" s="27">
        <f>IF($A160="","",_Engine!$AJ218)</f>
        <v/>
      </c>
      <c r="D160" s="27">
        <f>IF($A160="","",_Engine!$AK218)</f>
        <v/>
      </c>
      <c r="E160" s="27">
        <f>IF($A160="","",_Engine!$AJ218-_Engine!$AK218)</f>
        <v/>
      </c>
      <c r="F160" s="27">
        <f>IF($A160="","",_Engine!$AI218)</f>
        <v/>
      </c>
      <c r="G160" s="27">
        <f>IF(OR($A160="",_Engine!$D$41=0),"",INDEX(_Engine!$E218:$X218,1,(_Engine!$J$41-1)*4+3))</f>
        <v/>
      </c>
      <c r="H160" s="27">
        <f>IF(OR($A160="",_Engine!$D$42=0),"",INDEX(_Engine!$E218:$X218,1,(_Engine!$J$42-1)*4+3))</f>
        <v/>
      </c>
      <c r="I160" s="27">
        <f>IF(OR($A160="",_Engine!$D$43=0),"",INDEX(_Engine!$E218:$X218,1,(_Engine!$J$43-1)*4+3))</f>
        <v/>
      </c>
      <c r="J160" s="27">
        <f>IF(OR($A160="",_Engine!$D$44=0),"",INDEX(_Engine!$E218:$X218,1,(_Engine!$J$44-1)*4+3))</f>
        <v/>
      </c>
      <c r="K160" s="27">
        <f>IF(OR($A160="",_Engine!$D$45=0),"",INDEX(_Engine!$E218:$X218,1,(_Engine!$J$45-1)*4+3))</f>
        <v/>
      </c>
    </row>
    <row r="161">
      <c r="A161" s="25">
        <f>IF(158&lt;=_Engine!$B$36,158,"")</f>
        <v/>
      </c>
      <c r="B161" s="26">
        <f>IF($A161="","",EDATE(_Engine!$B$5,$A161-1))</f>
        <v/>
      </c>
      <c r="C161" s="27">
        <f>IF($A161="","",_Engine!$AJ219)</f>
        <v/>
      </c>
      <c r="D161" s="27">
        <f>IF($A161="","",_Engine!$AK219)</f>
        <v/>
      </c>
      <c r="E161" s="27">
        <f>IF($A161="","",_Engine!$AJ219-_Engine!$AK219)</f>
        <v/>
      </c>
      <c r="F161" s="27">
        <f>IF($A161="","",_Engine!$AI219)</f>
        <v/>
      </c>
      <c r="G161" s="27">
        <f>IF(OR($A161="",_Engine!$D$41=0),"",INDEX(_Engine!$E219:$X219,1,(_Engine!$J$41-1)*4+3))</f>
        <v/>
      </c>
      <c r="H161" s="27">
        <f>IF(OR($A161="",_Engine!$D$42=0),"",INDEX(_Engine!$E219:$X219,1,(_Engine!$J$42-1)*4+3))</f>
        <v/>
      </c>
      <c r="I161" s="27">
        <f>IF(OR($A161="",_Engine!$D$43=0),"",INDEX(_Engine!$E219:$X219,1,(_Engine!$J$43-1)*4+3))</f>
        <v/>
      </c>
      <c r="J161" s="27">
        <f>IF(OR($A161="",_Engine!$D$44=0),"",INDEX(_Engine!$E219:$X219,1,(_Engine!$J$44-1)*4+3))</f>
        <v/>
      </c>
      <c r="K161" s="27">
        <f>IF(OR($A161="",_Engine!$D$45=0),"",INDEX(_Engine!$E219:$X219,1,(_Engine!$J$45-1)*4+3))</f>
        <v/>
      </c>
    </row>
    <row r="162">
      <c r="A162" s="25">
        <f>IF(159&lt;=_Engine!$B$36,159,"")</f>
        <v/>
      </c>
      <c r="B162" s="26">
        <f>IF($A162="","",EDATE(_Engine!$B$5,$A162-1))</f>
        <v/>
      </c>
      <c r="C162" s="27">
        <f>IF($A162="","",_Engine!$AJ220)</f>
        <v/>
      </c>
      <c r="D162" s="27">
        <f>IF($A162="","",_Engine!$AK220)</f>
        <v/>
      </c>
      <c r="E162" s="27">
        <f>IF($A162="","",_Engine!$AJ220-_Engine!$AK220)</f>
        <v/>
      </c>
      <c r="F162" s="27">
        <f>IF($A162="","",_Engine!$AI220)</f>
        <v/>
      </c>
      <c r="G162" s="27">
        <f>IF(OR($A162="",_Engine!$D$41=0),"",INDEX(_Engine!$E220:$X220,1,(_Engine!$J$41-1)*4+3))</f>
        <v/>
      </c>
      <c r="H162" s="27">
        <f>IF(OR($A162="",_Engine!$D$42=0),"",INDEX(_Engine!$E220:$X220,1,(_Engine!$J$42-1)*4+3))</f>
        <v/>
      </c>
      <c r="I162" s="27">
        <f>IF(OR($A162="",_Engine!$D$43=0),"",INDEX(_Engine!$E220:$X220,1,(_Engine!$J$43-1)*4+3))</f>
        <v/>
      </c>
      <c r="J162" s="27">
        <f>IF(OR($A162="",_Engine!$D$44=0),"",INDEX(_Engine!$E220:$X220,1,(_Engine!$J$44-1)*4+3))</f>
        <v/>
      </c>
      <c r="K162" s="27">
        <f>IF(OR($A162="",_Engine!$D$45=0),"",INDEX(_Engine!$E220:$X220,1,(_Engine!$J$45-1)*4+3))</f>
        <v/>
      </c>
    </row>
    <row r="163">
      <c r="A163" s="25">
        <f>IF(160&lt;=_Engine!$B$36,160,"")</f>
        <v/>
      </c>
      <c r="B163" s="26">
        <f>IF($A163="","",EDATE(_Engine!$B$5,$A163-1))</f>
        <v/>
      </c>
      <c r="C163" s="27">
        <f>IF($A163="","",_Engine!$AJ221)</f>
        <v/>
      </c>
      <c r="D163" s="27">
        <f>IF($A163="","",_Engine!$AK221)</f>
        <v/>
      </c>
      <c r="E163" s="27">
        <f>IF($A163="","",_Engine!$AJ221-_Engine!$AK221)</f>
        <v/>
      </c>
      <c r="F163" s="27">
        <f>IF($A163="","",_Engine!$AI221)</f>
        <v/>
      </c>
      <c r="G163" s="27">
        <f>IF(OR($A163="",_Engine!$D$41=0),"",INDEX(_Engine!$E221:$X221,1,(_Engine!$J$41-1)*4+3))</f>
        <v/>
      </c>
      <c r="H163" s="27">
        <f>IF(OR($A163="",_Engine!$D$42=0),"",INDEX(_Engine!$E221:$X221,1,(_Engine!$J$42-1)*4+3))</f>
        <v/>
      </c>
      <c r="I163" s="27">
        <f>IF(OR($A163="",_Engine!$D$43=0),"",INDEX(_Engine!$E221:$X221,1,(_Engine!$J$43-1)*4+3))</f>
        <v/>
      </c>
      <c r="J163" s="27">
        <f>IF(OR($A163="",_Engine!$D$44=0),"",INDEX(_Engine!$E221:$X221,1,(_Engine!$J$44-1)*4+3))</f>
        <v/>
      </c>
      <c r="K163" s="27">
        <f>IF(OR($A163="",_Engine!$D$45=0),"",INDEX(_Engine!$E221:$X221,1,(_Engine!$J$45-1)*4+3))</f>
        <v/>
      </c>
    </row>
    <row r="164">
      <c r="A164" s="25">
        <f>IF(161&lt;=_Engine!$B$36,161,"")</f>
        <v/>
      </c>
      <c r="B164" s="26">
        <f>IF($A164="","",EDATE(_Engine!$B$5,$A164-1))</f>
        <v/>
      </c>
      <c r="C164" s="27">
        <f>IF($A164="","",_Engine!$AJ222)</f>
        <v/>
      </c>
      <c r="D164" s="27">
        <f>IF($A164="","",_Engine!$AK222)</f>
        <v/>
      </c>
      <c r="E164" s="27">
        <f>IF($A164="","",_Engine!$AJ222-_Engine!$AK222)</f>
        <v/>
      </c>
      <c r="F164" s="27">
        <f>IF($A164="","",_Engine!$AI222)</f>
        <v/>
      </c>
      <c r="G164" s="27">
        <f>IF(OR($A164="",_Engine!$D$41=0),"",INDEX(_Engine!$E222:$X222,1,(_Engine!$J$41-1)*4+3))</f>
        <v/>
      </c>
      <c r="H164" s="27">
        <f>IF(OR($A164="",_Engine!$D$42=0),"",INDEX(_Engine!$E222:$X222,1,(_Engine!$J$42-1)*4+3))</f>
        <v/>
      </c>
      <c r="I164" s="27">
        <f>IF(OR($A164="",_Engine!$D$43=0),"",INDEX(_Engine!$E222:$X222,1,(_Engine!$J$43-1)*4+3))</f>
        <v/>
      </c>
      <c r="J164" s="27">
        <f>IF(OR($A164="",_Engine!$D$44=0),"",INDEX(_Engine!$E222:$X222,1,(_Engine!$J$44-1)*4+3))</f>
        <v/>
      </c>
      <c r="K164" s="27">
        <f>IF(OR($A164="",_Engine!$D$45=0),"",INDEX(_Engine!$E222:$X222,1,(_Engine!$J$45-1)*4+3))</f>
        <v/>
      </c>
    </row>
    <row r="165">
      <c r="A165" s="25">
        <f>IF(162&lt;=_Engine!$B$36,162,"")</f>
        <v/>
      </c>
      <c r="B165" s="26">
        <f>IF($A165="","",EDATE(_Engine!$B$5,$A165-1))</f>
        <v/>
      </c>
      <c r="C165" s="27">
        <f>IF($A165="","",_Engine!$AJ223)</f>
        <v/>
      </c>
      <c r="D165" s="27">
        <f>IF($A165="","",_Engine!$AK223)</f>
        <v/>
      </c>
      <c r="E165" s="27">
        <f>IF($A165="","",_Engine!$AJ223-_Engine!$AK223)</f>
        <v/>
      </c>
      <c r="F165" s="27">
        <f>IF($A165="","",_Engine!$AI223)</f>
        <v/>
      </c>
      <c r="G165" s="27">
        <f>IF(OR($A165="",_Engine!$D$41=0),"",INDEX(_Engine!$E223:$X223,1,(_Engine!$J$41-1)*4+3))</f>
        <v/>
      </c>
      <c r="H165" s="27">
        <f>IF(OR($A165="",_Engine!$D$42=0),"",INDEX(_Engine!$E223:$X223,1,(_Engine!$J$42-1)*4+3))</f>
        <v/>
      </c>
      <c r="I165" s="27">
        <f>IF(OR($A165="",_Engine!$D$43=0),"",INDEX(_Engine!$E223:$X223,1,(_Engine!$J$43-1)*4+3))</f>
        <v/>
      </c>
      <c r="J165" s="27">
        <f>IF(OR($A165="",_Engine!$D$44=0),"",INDEX(_Engine!$E223:$X223,1,(_Engine!$J$44-1)*4+3))</f>
        <v/>
      </c>
      <c r="K165" s="27">
        <f>IF(OR($A165="",_Engine!$D$45=0),"",INDEX(_Engine!$E223:$X223,1,(_Engine!$J$45-1)*4+3))</f>
        <v/>
      </c>
    </row>
    <row r="166">
      <c r="A166" s="25">
        <f>IF(163&lt;=_Engine!$B$36,163,"")</f>
        <v/>
      </c>
      <c r="B166" s="26">
        <f>IF($A166="","",EDATE(_Engine!$B$5,$A166-1))</f>
        <v/>
      </c>
      <c r="C166" s="27">
        <f>IF($A166="","",_Engine!$AJ224)</f>
        <v/>
      </c>
      <c r="D166" s="27">
        <f>IF($A166="","",_Engine!$AK224)</f>
        <v/>
      </c>
      <c r="E166" s="27">
        <f>IF($A166="","",_Engine!$AJ224-_Engine!$AK224)</f>
        <v/>
      </c>
      <c r="F166" s="27">
        <f>IF($A166="","",_Engine!$AI224)</f>
        <v/>
      </c>
      <c r="G166" s="27">
        <f>IF(OR($A166="",_Engine!$D$41=0),"",INDEX(_Engine!$E224:$X224,1,(_Engine!$J$41-1)*4+3))</f>
        <v/>
      </c>
      <c r="H166" s="27">
        <f>IF(OR($A166="",_Engine!$D$42=0),"",INDEX(_Engine!$E224:$X224,1,(_Engine!$J$42-1)*4+3))</f>
        <v/>
      </c>
      <c r="I166" s="27">
        <f>IF(OR($A166="",_Engine!$D$43=0),"",INDEX(_Engine!$E224:$X224,1,(_Engine!$J$43-1)*4+3))</f>
        <v/>
      </c>
      <c r="J166" s="27">
        <f>IF(OR($A166="",_Engine!$D$44=0),"",INDEX(_Engine!$E224:$X224,1,(_Engine!$J$44-1)*4+3))</f>
        <v/>
      </c>
      <c r="K166" s="27">
        <f>IF(OR($A166="",_Engine!$D$45=0),"",INDEX(_Engine!$E224:$X224,1,(_Engine!$J$45-1)*4+3))</f>
        <v/>
      </c>
    </row>
    <row r="167">
      <c r="A167" s="25">
        <f>IF(164&lt;=_Engine!$B$36,164,"")</f>
        <v/>
      </c>
      <c r="B167" s="26">
        <f>IF($A167="","",EDATE(_Engine!$B$5,$A167-1))</f>
        <v/>
      </c>
      <c r="C167" s="27">
        <f>IF($A167="","",_Engine!$AJ225)</f>
        <v/>
      </c>
      <c r="D167" s="27">
        <f>IF($A167="","",_Engine!$AK225)</f>
        <v/>
      </c>
      <c r="E167" s="27">
        <f>IF($A167="","",_Engine!$AJ225-_Engine!$AK225)</f>
        <v/>
      </c>
      <c r="F167" s="27">
        <f>IF($A167="","",_Engine!$AI225)</f>
        <v/>
      </c>
      <c r="G167" s="27">
        <f>IF(OR($A167="",_Engine!$D$41=0),"",INDEX(_Engine!$E225:$X225,1,(_Engine!$J$41-1)*4+3))</f>
        <v/>
      </c>
      <c r="H167" s="27">
        <f>IF(OR($A167="",_Engine!$D$42=0),"",INDEX(_Engine!$E225:$X225,1,(_Engine!$J$42-1)*4+3))</f>
        <v/>
      </c>
      <c r="I167" s="27">
        <f>IF(OR($A167="",_Engine!$D$43=0),"",INDEX(_Engine!$E225:$X225,1,(_Engine!$J$43-1)*4+3))</f>
        <v/>
      </c>
      <c r="J167" s="27">
        <f>IF(OR($A167="",_Engine!$D$44=0),"",INDEX(_Engine!$E225:$X225,1,(_Engine!$J$44-1)*4+3))</f>
        <v/>
      </c>
      <c r="K167" s="27">
        <f>IF(OR($A167="",_Engine!$D$45=0),"",INDEX(_Engine!$E225:$X225,1,(_Engine!$J$45-1)*4+3))</f>
        <v/>
      </c>
    </row>
    <row r="168">
      <c r="A168" s="25">
        <f>IF(165&lt;=_Engine!$B$36,165,"")</f>
        <v/>
      </c>
      <c r="B168" s="26">
        <f>IF($A168="","",EDATE(_Engine!$B$5,$A168-1))</f>
        <v/>
      </c>
      <c r="C168" s="27">
        <f>IF($A168="","",_Engine!$AJ226)</f>
        <v/>
      </c>
      <c r="D168" s="27">
        <f>IF($A168="","",_Engine!$AK226)</f>
        <v/>
      </c>
      <c r="E168" s="27">
        <f>IF($A168="","",_Engine!$AJ226-_Engine!$AK226)</f>
        <v/>
      </c>
      <c r="F168" s="27">
        <f>IF($A168="","",_Engine!$AI226)</f>
        <v/>
      </c>
      <c r="G168" s="27">
        <f>IF(OR($A168="",_Engine!$D$41=0),"",INDEX(_Engine!$E226:$X226,1,(_Engine!$J$41-1)*4+3))</f>
        <v/>
      </c>
      <c r="H168" s="27">
        <f>IF(OR($A168="",_Engine!$D$42=0),"",INDEX(_Engine!$E226:$X226,1,(_Engine!$J$42-1)*4+3))</f>
        <v/>
      </c>
      <c r="I168" s="27">
        <f>IF(OR($A168="",_Engine!$D$43=0),"",INDEX(_Engine!$E226:$X226,1,(_Engine!$J$43-1)*4+3))</f>
        <v/>
      </c>
      <c r="J168" s="27">
        <f>IF(OR($A168="",_Engine!$D$44=0),"",INDEX(_Engine!$E226:$X226,1,(_Engine!$J$44-1)*4+3))</f>
        <v/>
      </c>
      <c r="K168" s="27">
        <f>IF(OR($A168="",_Engine!$D$45=0),"",INDEX(_Engine!$E226:$X226,1,(_Engine!$J$45-1)*4+3))</f>
        <v/>
      </c>
    </row>
    <row r="169">
      <c r="A169" s="25">
        <f>IF(166&lt;=_Engine!$B$36,166,"")</f>
        <v/>
      </c>
      <c r="B169" s="26">
        <f>IF($A169="","",EDATE(_Engine!$B$5,$A169-1))</f>
        <v/>
      </c>
      <c r="C169" s="27">
        <f>IF($A169="","",_Engine!$AJ227)</f>
        <v/>
      </c>
      <c r="D169" s="27">
        <f>IF($A169="","",_Engine!$AK227)</f>
        <v/>
      </c>
      <c r="E169" s="27">
        <f>IF($A169="","",_Engine!$AJ227-_Engine!$AK227)</f>
        <v/>
      </c>
      <c r="F169" s="27">
        <f>IF($A169="","",_Engine!$AI227)</f>
        <v/>
      </c>
      <c r="G169" s="27">
        <f>IF(OR($A169="",_Engine!$D$41=0),"",INDEX(_Engine!$E227:$X227,1,(_Engine!$J$41-1)*4+3))</f>
        <v/>
      </c>
      <c r="H169" s="27">
        <f>IF(OR($A169="",_Engine!$D$42=0),"",INDEX(_Engine!$E227:$X227,1,(_Engine!$J$42-1)*4+3))</f>
        <v/>
      </c>
      <c r="I169" s="27">
        <f>IF(OR($A169="",_Engine!$D$43=0),"",INDEX(_Engine!$E227:$X227,1,(_Engine!$J$43-1)*4+3))</f>
        <v/>
      </c>
      <c r="J169" s="27">
        <f>IF(OR($A169="",_Engine!$D$44=0),"",INDEX(_Engine!$E227:$X227,1,(_Engine!$J$44-1)*4+3))</f>
        <v/>
      </c>
      <c r="K169" s="27">
        <f>IF(OR($A169="",_Engine!$D$45=0),"",INDEX(_Engine!$E227:$X227,1,(_Engine!$J$45-1)*4+3))</f>
        <v/>
      </c>
    </row>
    <row r="170">
      <c r="A170" s="25">
        <f>IF(167&lt;=_Engine!$B$36,167,"")</f>
        <v/>
      </c>
      <c r="B170" s="26">
        <f>IF($A170="","",EDATE(_Engine!$B$5,$A170-1))</f>
        <v/>
      </c>
      <c r="C170" s="27">
        <f>IF($A170="","",_Engine!$AJ228)</f>
        <v/>
      </c>
      <c r="D170" s="27">
        <f>IF($A170="","",_Engine!$AK228)</f>
        <v/>
      </c>
      <c r="E170" s="27">
        <f>IF($A170="","",_Engine!$AJ228-_Engine!$AK228)</f>
        <v/>
      </c>
      <c r="F170" s="27">
        <f>IF($A170="","",_Engine!$AI228)</f>
        <v/>
      </c>
      <c r="G170" s="27">
        <f>IF(OR($A170="",_Engine!$D$41=0),"",INDEX(_Engine!$E228:$X228,1,(_Engine!$J$41-1)*4+3))</f>
        <v/>
      </c>
      <c r="H170" s="27">
        <f>IF(OR($A170="",_Engine!$D$42=0),"",INDEX(_Engine!$E228:$X228,1,(_Engine!$J$42-1)*4+3))</f>
        <v/>
      </c>
      <c r="I170" s="27">
        <f>IF(OR($A170="",_Engine!$D$43=0),"",INDEX(_Engine!$E228:$X228,1,(_Engine!$J$43-1)*4+3))</f>
        <v/>
      </c>
      <c r="J170" s="27">
        <f>IF(OR($A170="",_Engine!$D$44=0),"",INDEX(_Engine!$E228:$X228,1,(_Engine!$J$44-1)*4+3))</f>
        <v/>
      </c>
      <c r="K170" s="27">
        <f>IF(OR($A170="",_Engine!$D$45=0),"",INDEX(_Engine!$E228:$X228,1,(_Engine!$J$45-1)*4+3))</f>
        <v/>
      </c>
    </row>
    <row r="171">
      <c r="A171" s="25">
        <f>IF(168&lt;=_Engine!$B$36,168,"")</f>
        <v/>
      </c>
      <c r="B171" s="26">
        <f>IF($A171="","",EDATE(_Engine!$B$5,$A171-1))</f>
        <v/>
      </c>
      <c r="C171" s="27">
        <f>IF($A171="","",_Engine!$AJ229)</f>
        <v/>
      </c>
      <c r="D171" s="27">
        <f>IF($A171="","",_Engine!$AK229)</f>
        <v/>
      </c>
      <c r="E171" s="27">
        <f>IF($A171="","",_Engine!$AJ229-_Engine!$AK229)</f>
        <v/>
      </c>
      <c r="F171" s="27">
        <f>IF($A171="","",_Engine!$AI229)</f>
        <v/>
      </c>
      <c r="G171" s="27">
        <f>IF(OR($A171="",_Engine!$D$41=0),"",INDEX(_Engine!$E229:$X229,1,(_Engine!$J$41-1)*4+3))</f>
        <v/>
      </c>
      <c r="H171" s="27">
        <f>IF(OR($A171="",_Engine!$D$42=0),"",INDEX(_Engine!$E229:$X229,1,(_Engine!$J$42-1)*4+3))</f>
        <v/>
      </c>
      <c r="I171" s="27">
        <f>IF(OR($A171="",_Engine!$D$43=0),"",INDEX(_Engine!$E229:$X229,1,(_Engine!$J$43-1)*4+3))</f>
        <v/>
      </c>
      <c r="J171" s="27">
        <f>IF(OR($A171="",_Engine!$D$44=0),"",INDEX(_Engine!$E229:$X229,1,(_Engine!$J$44-1)*4+3))</f>
        <v/>
      </c>
      <c r="K171" s="27">
        <f>IF(OR($A171="",_Engine!$D$45=0),"",INDEX(_Engine!$E229:$X229,1,(_Engine!$J$45-1)*4+3))</f>
        <v/>
      </c>
    </row>
    <row r="172">
      <c r="A172" s="25">
        <f>IF(169&lt;=_Engine!$B$36,169,"")</f>
        <v/>
      </c>
      <c r="B172" s="26">
        <f>IF($A172="","",EDATE(_Engine!$B$5,$A172-1))</f>
        <v/>
      </c>
      <c r="C172" s="27">
        <f>IF($A172="","",_Engine!$AJ230)</f>
        <v/>
      </c>
      <c r="D172" s="27">
        <f>IF($A172="","",_Engine!$AK230)</f>
        <v/>
      </c>
      <c r="E172" s="27">
        <f>IF($A172="","",_Engine!$AJ230-_Engine!$AK230)</f>
        <v/>
      </c>
      <c r="F172" s="27">
        <f>IF($A172="","",_Engine!$AI230)</f>
        <v/>
      </c>
      <c r="G172" s="27">
        <f>IF(OR($A172="",_Engine!$D$41=0),"",INDEX(_Engine!$E230:$X230,1,(_Engine!$J$41-1)*4+3))</f>
        <v/>
      </c>
      <c r="H172" s="27">
        <f>IF(OR($A172="",_Engine!$D$42=0),"",INDEX(_Engine!$E230:$X230,1,(_Engine!$J$42-1)*4+3))</f>
        <v/>
      </c>
      <c r="I172" s="27">
        <f>IF(OR($A172="",_Engine!$D$43=0),"",INDEX(_Engine!$E230:$X230,1,(_Engine!$J$43-1)*4+3))</f>
        <v/>
      </c>
      <c r="J172" s="27">
        <f>IF(OR($A172="",_Engine!$D$44=0),"",INDEX(_Engine!$E230:$X230,1,(_Engine!$J$44-1)*4+3))</f>
        <v/>
      </c>
      <c r="K172" s="27">
        <f>IF(OR($A172="",_Engine!$D$45=0),"",INDEX(_Engine!$E230:$X230,1,(_Engine!$J$45-1)*4+3))</f>
        <v/>
      </c>
    </row>
    <row r="173">
      <c r="A173" s="25">
        <f>IF(170&lt;=_Engine!$B$36,170,"")</f>
        <v/>
      </c>
      <c r="B173" s="26">
        <f>IF($A173="","",EDATE(_Engine!$B$5,$A173-1))</f>
        <v/>
      </c>
      <c r="C173" s="27">
        <f>IF($A173="","",_Engine!$AJ231)</f>
        <v/>
      </c>
      <c r="D173" s="27">
        <f>IF($A173="","",_Engine!$AK231)</f>
        <v/>
      </c>
      <c r="E173" s="27">
        <f>IF($A173="","",_Engine!$AJ231-_Engine!$AK231)</f>
        <v/>
      </c>
      <c r="F173" s="27">
        <f>IF($A173="","",_Engine!$AI231)</f>
        <v/>
      </c>
      <c r="G173" s="27">
        <f>IF(OR($A173="",_Engine!$D$41=0),"",INDEX(_Engine!$E231:$X231,1,(_Engine!$J$41-1)*4+3))</f>
        <v/>
      </c>
      <c r="H173" s="27">
        <f>IF(OR($A173="",_Engine!$D$42=0),"",INDEX(_Engine!$E231:$X231,1,(_Engine!$J$42-1)*4+3))</f>
        <v/>
      </c>
      <c r="I173" s="27">
        <f>IF(OR($A173="",_Engine!$D$43=0),"",INDEX(_Engine!$E231:$X231,1,(_Engine!$J$43-1)*4+3))</f>
        <v/>
      </c>
      <c r="J173" s="27">
        <f>IF(OR($A173="",_Engine!$D$44=0),"",INDEX(_Engine!$E231:$X231,1,(_Engine!$J$44-1)*4+3))</f>
        <v/>
      </c>
      <c r="K173" s="27">
        <f>IF(OR($A173="",_Engine!$D$45=0),"",INDEX(_Engine!$E231:$X231,1,(_Engine!$J$45-1)*4+3))</f>
        <v/>
      </c>
    </row>
    <row r="174">
      <c r="A174" s="25">
        <f>IF(171&lt;=_Engine!$B$36,171,"")</f>
        <v/>
      </c>
      <c r="B174" s="26">
        <f>IF($A174="","",EDATE(_Engine!$B$5,$A174-1))</f>
        <v/>
      </c>
      <c r="C174" s="27">
        <f>IF($A174="","",_Engine!$AJ232)</f>
        <v/>
      </c>
      <c r="D174" s="27">
        <f>IF($A174="","",_Engine!$AK232)</f>
        <v/>
      </c>
      <c r="E174" s="27">
        <f>IF($A174="","",_Engine!$AJ232-_Engine!$AK232)</f>
        <v/>
      </c>
      <c r="F174" s="27">
        <f>IF($A174="","",_Engine!$AI232)</f>
        <v/>
      </c>
      <c r="G174" s="27">
        <f>IF(OR($A174="",_Engine!$D$41=0),"",INDEX(_Engine!$E232:$X232,1,(_Engine!$J$41-1)*4+3))</f>
        <v/>
      </c>
      <c r="H174" s="27">
        <f>IF(OR($A174="",_Engine!$D$42=0),"",INDEX(_Engine!$E232:$X232,1,(_Engine!$J$42-1)*4+3))</f>
        <v/>
      </c>
      <c r="I174" s="27">
        <f>IF(OR($A174="",_Engine!$D$43=0),"",INDEX(_Engine!$E232:$X232,1,(_Engine!$J$43-1)*4+3))</f>
        <v/>
      </c>
      <c r="J174" s="27">
        <f>IF(OR($A174="",_Engine!$D$44=0),"",INDEX(_Engine!$E232:$X232,1,(_Engine!$J$44-1)*4+3))</f>
        <v/>
      </c>
      <c r="K174" s="27">
        <f>IF(OR($A174="",_Engine!$D$45=0),"",INDEX(_Engine!$E232:$X232,1,(_Engine!$J$45-1)*4+3))</f>
        <v/>
      </c>
    </row>
    <row r="175">
      <c r="A175" s="25">
        <f>IF(172&lt;=_Engine!$B$36,172,"")</f>
        <v/>
      </c>
      <c r="B175" s="26">
        <f>IF($A175="","",EDATE(_Engine!$B$5,$A175-1))</f>
        <v/>
      </c>
      <c r="C175" s="27">
        <f>IF($A175="","",_Engine!$AJ233)</f>
        <v/>
      </c>
      <c r="D175" s="27">
        <f>IF($A175="","",_Engine!$AK233)</f>
        <v/>
      </c>
      <c r="E175" s="27">
        <f>IF($A175="","",_Engine!$AJ233-_Engine!$AK233)</f>
        <v/>
      </c>
      <c r="F175" s="27">
        <f>IF($A175="","",_Engine!$AI233)</f>
        <v/>
      </c>
      <c r="G175" s="27">
        <f>IF(OR($A175="",_Engine!$D$41=0),"",INDEX(_Engine!$E233:$X233,1,(_Engine!$J$41-1)*4+3))</f>
        <v/>
      </c>
      <c r="H175" s="27">
        <f>IF(OR($A175="",_Engine!$D$42=0),"",INDEX(_Engine!$E233:$X233,1,(_Engine!$J$42-1)*4+3))</f>
        <v/>
      </c>
      <c r="I175" s="27">
        <f>IF(OR($A175="",_Engine!$D$43=0),"",INDEX(_Engine!$E233:$X233,1,(_Engine!$J$43-1)*4+3))</f>
        <v/>
      </c>
      <c r="J175" s="27">
        <f>IF(OR($A175="",_Engine!$D$44=0),"",INDEX(_Engine!$E233:$X233,1,(_Engine!$J$44-1)*4+3))</f>
        <v/>
      </c>
      <c r="K175" s="27">
        <f>IF(OR($A175="",_Engine!$D$45=0),"",INDEX(_Engine!$E233:$X233,1,(_Engine!$J$45-1)*4+3))</f>
        <v/>
      </c>
    </row>
    <row r="176">
      <c r="A176" s="25">
        <f>IF(173&lt;=_Engine!$B$36,173,"")</f>
        <v/>
      </c>
      <c r="B176" s="26">
        <f>IF($A176="","",EDATE(_Engine!$B$5,$A176-1))</f>
        <v/>
      </c>
      <c r="C176" s="27">
        <f>IF($A176="","",_Engine!$AJ234)</f>
        <v/>
      </c>
      <c r="D176" s="27">
        <f>IF($A176="","",_Engine!$AK234)</f>
        <v/>
      </c>
      <c r="E176" s="27">
        <f>IF($A176="","",_Engine!$AJ234-_Engine!$AK234)</f>
        <v/>
      </c>
      <c r="F176" s="27">
        <f>IF($A176="","",_Engine!$AI234)</f>
        <v/>
      </c>
      <c r="G176" s="27">
        <f>IF(OR($A176="",_Engine!$D$41=0),"",INDEX(_Engine!$E234:$X234,1,(_Engine!$J$41-1)*4+3))</f>
        <v/>
      </c>
      <c r="H176" s="27">
        <f>IF(OR($A176="",_Engine!$D$42=0),"",INDEX(_Engine!$E234:$X234,1,(_Engine!$J$42-1)*4+3))</f>
        <v/>
      </c>
      <c r="I176" s="27">
        <f>IF(OR($A176="",_Engine!$D$43=0),"",INDEX(_Engine!$E234:$X234,1,(_Engine!$J$43-1)*4+3))</f>
        <v/>
      </c>
      <c r="J176" s="27">
        <f>IF(OR($A176="",_Engine!$D$44=0),"",INDEX(_Engine!$E234:$X234,1,(_Engine!$J$44-1)*4+3))</f>
        <v/>
      </c>
      <c r="K176" s="27">
        <f>IF(OR($A176="",_Engine!$D$45=0),"",INDEX(_Engine!$E234:$X234,1,(_Engine!$J$45-1)*4+3))</f>
        <v/>
      </c>
    </row>
    <row r="177">
      <c r="A177" s="25">
        <f>IF(174&lt;=_Engine!$B$36,174,"")</f>
        <v/>
      </c>
      <c r="B177" s="26">
        <f>IF($A177="","",EDATE(_Engine!$B$5,$A177-1))</f>
        <v/>
      </c>
      <c r="C177" s="27">
        <f>IF($A177="","",_Engine!$AJ235)</f>
        <v/>
      </c>
      <c r="D177" s="27">
        <f>IF($A177="","",_Engine!$AK235)</f>
        <v/>
      </c>
      <c r="E177" s="27">
        <f>IF($A177="","",_Engine!$AJ235-_Engine!$AK235)</f>
        <v/>
      </c>
      <c r="F177" s="27">
        <f>IF($A177="","",_Engine!$AI235)</f>
        <v/>
      </c>
      <c r="G177" s="27">
        <f>IF(OR($A177="",_Engine!$D$41=0),"",INDEX(_Engine!$E235:$X235,1,(_Engine!$J$41-1)*4+3))</f>
        <v/>
      </c>
      <c r="H177" s="27">
        <f>IF(OR($A177="",_Engine!$D$42=0),"",INDEX(_Engine!$E235:$X235,1,(_Engine!$J$42-1)*4+3))</f>
        <v/>
      </c>
      <c r="I177" s="27">
        <f>IF(OR($A177="",_Engine!$D$43=0),"",INDEX(_Engine!$E235:$X235,1,(_Engine!$J$43-1)*4+3))</f>
        <v/>
      </c>
      <c r="J177" s="27">
        <f>IF(OR($A177="",_Engine!$D$44=0),"",INDEX(_Engine!$E235:$X235,1,(_Engine!$J$44-1)*4+3))</f>
        <v/>
      </c>
      <c r="K177" s="27">
        <f>IF(OR($A177="",_Engine!$D$45=0),"",INDEX(_Engine!$E235:$X235,1,(_Engine!$J$45-1)*4+3))</f>
        <v/>
      </c>
    </row>
    <row r="178">
      <c r="A178" s="25">
        <f>IF(175&lt;=_Engine!$B$36,175,"")</f>
        <v/>
      </c>
      <c r="B178" s="26">
        <f>IF($A178="","",EDATE(_Engine!$B$5,$A178-1))</f>
        <v/>
      </c>
      <c r="C178" s="27">
        <f>IF($A178="","",_Engine!$AJ236)</f>
        <v/>
      </c>
      <c r="D178" s="27">
        <f>IF($A178="","",_Engine!$AK236)</f>
        <v/>
      </c>
      <c r="E178" s="27">
        <f>IF($A178="","",_Engine!$AJ236-_Engine!$AK236)</f>
        <v/>
      </c>
      <c r="F178" s="27">
        <f>IF($A178="","",_Engine!$AI236)</f>
        <v/>
      </c>
      <c r="G178" s="27">
        <f>IF(OR($A178="",_Engine!$D$41=0),"",INDEX(_Engine!$E236:$X236,1,(_Engine!$J$41-1)*4+3))</f>
        <v/>
      </c>
      <c r="H178" s="27">
        <f>IF(OR($A178="",_Engine!$D$42=0),"",INDEX(_Engine!$E236:$X236,1,(_Engine!$J$42-1)*4+3))</f>
        <v/>
      </c>
      <c r="I178" s="27">
        <f>IF(OR($A178="",_Engine!$D$43=0),"",INDEX(_Engine!$E236:$X236,1,(_Engine!$J$43-1)*4+3))</f>
        <v/>
      </c>
      <c r="J178" s="27">
        <f>IF(OR($A178="",_Engine!$D$44=0),"",INDEX(_Engine!$E236:$X236,1,(_Engine!$J$44-1)*4+3))</f>
        <v/>
      </c>
      <c r="K178" s="27">
        <f>IF(OR($A178="",_Engine!$D$45=0),"",INDEX(_Engine!$E236:$X236,1,(_Engine!$J$45-1)*4+3))</f>
        <v/>
      </c>
    </row>
    <row r="179">
      <c r="A179" s="25">
        <f>IF(176&lt;=_Engine!$B$36,176,"")</f>
        <v/>
      </c>
      <c r="B179" s="26">
        <f>IF($A179="","",EDATE(_Engine!$B$5,$A179-1))</f>
        <v/>
      </c>
      <c r="C179" s="27">
        <f>IF($A179="","",_Engine!$AJ237)</f>
        <v/>
      </c>
      <c r="D179" s="27">
        <f>IF($A179="","",_Engine!$AK237)</f>
        <v/>
      </c>
      <c r="E179" s="27">
        <f>IF($A179="","",_Engine!$AJ237-_Engine!$AK237)</f>
        <v/>
      </c>
      <c r="F179" s="27">
        <f>IF($A179="","",_Engine!$AI237)</f>
        <v/>
      </c>
      <c r="G179" s="27">
        <f>IF(OR($A179="",_Engine!$D$41=0),"",INDEX(_Engine!$E237:$X237,1,(_Engine!$J$41-1)*4+3))</f>
        <v/>
      </c>
      <c r="H179" s="27">
        <f>IF(OR($A179="",_Engine!$D$42=0),"",INDEX(_Engine!$E237:$X237,1,(_Engine!$J$42-1)*4+3))</f>
        <v/>
      </c>
      <c r="I179" s="27">
        <f>IF(OR($A179="",_Engine!$D$43=0),"",INDEX(_Engine!$E237:$X237,1,(_Engine!$J$43-1)*4+3))</f>
        <v/>
      </c>
      <c r="J179" s="27">
        <f>IF(OR($A179="",_Engine!$D$44=0),"",INDEX(_Engine!$E237:$X237,1,(_Engine!$J$44-1)*4+3))</f>
        <v/>
      </c>
      <c r="K179" s="27">
        <f>IF(OR($A179="",_Engine!$D$45=0),"",INDEX(_Engine!$E237:$X237,1,(_Engine!$J$45-1)*4+3))</f>
        <v/>
      </c>
    </row>
    <row r="180">
      <c r="A180" s="25">
        <f>IF(177&lt;=_Engine!$B$36,177,"")</f>
        <v/>
      </c>
      <c r="B180" s="26">
        <f>IF($A180="","",EDATE(_Engine!$B$5,$A180-1))</f>
        <v/>
      </c>
      <c r="C180" s="27">
        <f>IF($A180="","",_Engine!$AJ238)</f>
        <v/>
      </c>
      <c r="D180" s="27">
        <f>IF($A180="","",_Engine!$AK238)</f>
        <v/>
      </c>
      <c r="E180" s="27">
        <f>IF($A180="","",_Engine!$AJ238-_Engine!$AK238)</f>
        <v/>
      </c>
      <c r="F180" s="27">
        <f>IF($A180="","",_Engine!$AI238)</f>
        <v/>
      </c>
      <c r="G180" s="27">
        <f>IF(OR($A180="",_Engine!$D$41=0),"",INDEX(_Engine!$E238:$X238,1,(_Engine!$J$41-1)*4+3))</f>
        <v/>
      </c>
      <c r="H180" s="27">
        <f>IF(OR($A180="",_Engine!$D$42=0),"",INDEX(_Engine!$E238:$X238,1,(_Engine!$J$42-1)*4+3))</f>
        <v/>
      </c>
      <c r="I180" s="27">
        <f>IF(OR($A180="",_Engine!$D$43=0),"",INDEX(_Engine!$E238:$X238,1,(_Engine!$J$43-1)*4+3))</f>
        <v/>
      </c>
      <c r="J180" s="27">
        <f>IF(OR($A180="",_Engine!$D$44=0),"",INDEX(_Engine!$E238:$X238,1,(_Engine!$J$44-1)*4+3))</f>
        <v/>
      </c>
      <c r="K180" s="27">
        <f>IF(OR($A180="",_Engine!$D$45=0),"",INDEX(_Engine!$E238:$X238,1,(_Engine!$J$45-1)*4+3))</f>
        <v/>
      </c>
    </row>
    <row r="181">
      <c r="A181" s="25">
        <f>IF(178&lt;=_Engine!$B$36,178,"")</f>
        <v/>
      </c>
      <c r="B181" s="26">
        <f>IF($A181="","",EDATE(_Engine!$B$5,$A181-1))</f>
        <v/>
      </c>
      <c r="C181" s="27">
        <f>IF($A181="","",_Engine!$AJ239)</f>
        <v/>
      </c>
      <c r="D181" s="27">
        <f>IF($A181="","",_Engine!$AK239)</f>
        <v/>
      </c>
      <c r="E181" s="27">
        <f>IF($A181="","",_Engine!$AJ239-_Engine!$AK239)</f>
        <v/>
      </c>
      <c r="F181" s="27">
        <f>IF($A181="","",_Engine!$AI239)</f>
        <v/>
      </c>
      <c r="G181" s="27">
        <f>IF(OR($A181="",_Engine!$D$41=0),"",INDEX(_Engine!$E239:$X239,1,(_Engine!$J$41-1)*4+3))</f>
        <v/>
      </c>
      <c r="H181" s="27">
        <f>IF(OR($A181="",_Engine!$D$42=0),"",INDEX(_Engine!$E239:$X239,1,(_Engine!$J$42-1)*4+3))</f>
        <v/>
      </c>
      <c r="I181" s="27">
        <f>IF(OR($A181="",_Engine!$D$43=0),"",INDEX(_Engine!$E239:$X239,1,(_Engine!$J$43-1)*4+3))</f>
        <v/>
      </c>
      <c r="J181" s="27">
        <f>IF(OR($A181="",_Engine!$D$44=0),"",INDEX(_Engine!$E239:$X239,1,(_Engine!$J$44-1)*4+3))</f>
        <v/>
      </c>
      <c r="K181" s="27">
        <f>IF(OR($A181="",_Engine!$D$45=0),"",INDEX(_Engine!$E239:$X239,1,(_Engine!$J$45-1)*4+3))</f>
        <v/>
      </c>
    </row>
    <row r="182">
      <c r="A182" s="25">
        <f>IF(179&lt;=_Engine!$B$36,179,"")</f>
        <v/>
      </c>
      <c r="B182" s="26">
        <f>IF($A182="","",EDATE(_Engine!$B$5,$A182-1))</f>
        <v/>
      </c>
      <c r="C182" s="27">
        <f>IF($A182="","",_Engine!$AJ240)</f>
        <v/>
      </c>
      <c r="D182" s="27">
        <f>IF($A182="","",_Engine!$AK240)</f>
        <v/>
      </c>
      <c r="E182" s="27">
        <f>IF($A182="","",_Engine!$AJ240-_Engine!$AK240)</f>
        <v/>
      </c>
      <c r="F182" s="27">
        <f>IF($A182="","",_Engine!$AI240)</f>
        <v/>
      </c>
      <c r="G182" s="27">
        <f>IF(OR($A182="",_Engine!$D$41=0),"",INDEX(_Engine!$E240:$X240,1,(_Engine!$J$41-1)*4+3))</f>
        <v/>
      </c>
      <c r="H182" s="27">
        <f>IF(OR($A182="",_Engine!$D$42=0),"",INDEX(_Engine!$E240:$X240,1,(_Engine!$J$42-1)*4+3))</f>
        <v/>
      </c>
      <c r="I182" s="27">
        <f>IF(OR($A182="",_Engine!$D$43=0),"",INDEX(_Engine!$E240:$X240,1,(_Engine!$J$43-1)*4+3))</f>
        <v/>
      </c>
      <c r="J182" s="27">
        <f>IF(OR($A182="",_Engine!$D$44=0),"",INDEX(_Engine!$E240:$X240,1,(_Engine!$J$44-1)*4+3))</f>
        <v/>
      </c>
      <c r="K182" s="27">
        <f>IF(OR($A182="",_Engine!$D$45=0),"",INDEX(_Engine!$E240:$X240,1,(_Engine!$J$45-1)*4+3))</f>
        <v/>
      </c>
    </row>
    <row r="183">
      <c r="A183" s="25">
        <f>IF(180&lt;=_Engine!$B$36,180,"")</f>
        <v/>
      </c>
      <c r="B183" s="26">
        <f>IF($A183="","",EDATE(_Engine!$B$5,$A183-1))</f>
        <v/>
      </c>
      <c r="C183" s="27">
        <f>IF($A183="","",_Engine!$AJ241)</f>
        <v/>
      </c>
      <c r="D183" s="27">
        <f>IF($A183="","",_Engine!$AK241)</f>
        <v/>
      </c>
      <c r="E183" s="27">
        <f>IF($A183="","",_Engine!$AJ241-_Engine!$AK241)</f>
        <v/>
      </c>
      <c r="F183" s="27">
        <f>IF($A183="","",_Engine!$AI241)</f>
        <v/>
      </c>
      <c r="G183" s="27">
        <f>IF(OR($A183="",_Engine!$D$41=0),"",INDEX(_Engine!$E241:$X241,1,(_Engine!$J$41-1)*4+3))</f>
        <v/>
      </c>
      <c r="H183" s="27">
        <f>IF(OR($A183="",_Engine!$D$42=0),"",INDEX(_Engine!$E241:$X241,1,(_Engine!$J$42-1)*4+3))</f>
        <v/>
      </c>
      <c r="I183" s="27">
        <f>IF(OR($A183="",_Engine!$D$43=0),"",INDEX(_Engine!$E241:$X241,1,(_Engine!$J$43-1)*4+3))</f>
        <v/>
      </c>
      <c r="J183" s="27">
        <f>IF(OR($A183="",_Engine!$D$44=0),"",INDEX(_Engine!$E241:$X241,1,(_Engine!$J$44-1)*4+3))</f>
        <v/>
      </c>
      <c r="K183" s="27">
        <f>IF(OR($A183="",_Engine!$D$45=0),"",INDEX(_Engine!$E241:$X241,1,(_Engine!$J$45-1)*4+3))</f>
        <v/>
      </c>
    </row>
    <row r="184">
      <c r="A184" s="25">
        <f>IF(181&lt;=_Engine!$B$36,181,"")</f>
        <v/>
      </c>
      <c r="B184" s="26">
        <f>IF($A184="","",EDATE(_Engine!$B$5,$A184-1))</f>
        <v/>
      </c>
      <c r="C184" s="27">
        <f>IF($A184="","",_Engine!$AJ242)</f>
        <v/>
      </c>
      <c r="D184" s="27">
        <f>IF($A184="","",_Engine!$AK242)</f>
        <v/>
      </c>
      <c r="E184" s="27">
        <f>IF($A184="","",_Engine!$AJ242-_Engine!$AK242)</f>
        <v/>
      </c>
      <c r="F184" s="27">
        <f>IF($A184="","",_Engine!$AI242)</f>
        <v/>
      </c>
      <c r="G184" s="27">
        <f>IF(OR($A184="",_Engine!$D$41=0),"",INDEX(_Engine!$E242:$X242,1,(_Engine!$J$41-1)*4+3))</f>
        <v/>
      </c>
      <c r="H184" s="27">
        <f>IF(OR($A184="",_Engine!$D$42=0),"",INDEX(_Engine!$E242:$X242,1,(_Engine!$J$42-1)*4+3))</f>
        <v/>
      </c>
      <c r="I184" s="27">
        <f>IF(OR($A184="",_Engine!$D$43=0),"",INDEX(_Engine!$E242:$X242,1,(_Engine!$J$43-1)*4+3))</f>
        <v/>
      </c>
      <c r="J184" s="27">
        <f>IF(OR($A184="",_Engine!$D$44=0),"",INDEX(_Engine!$E242:$X242,1,(_Engine!$J$44-1)*4+3))</f>
        <v/>
      </c>
      <c r="K184" s="27">
        <f>IF(OR($A184="",_Engine!$D$45=0),"",INDEX(_Engine!$E242:$X242,1,(_Engine!$J$45-1)*4+3))</f>
        <v/>
      </c>
    </row>
    <row r="185">
      <c r="A185" s="25">
        <f>IF(182&lt;=_Engine!$B$36,182,"")</f>
        <v/>
      </c>
      <c r="B185" s="26">
        <f>IF($A185="","",EDATE(_Engine!$B$5,$A185-1))</f>
        <v/>
      </c>
      <c r="C185" s="27">
        <f>IF($A185="","",_Engine!$AJ243)</f>
        <v/>
      </c>
      <c r="D185" s="27">
        <f>IF($A185="","",_Engine!$AK243)</f>
        <v/>
      </c>
      <c r="E185" s="27">
        <f>IF($A185="","",_Engine!$AJ243-_Engine!$AK243)</f>
        <v/>
      </c>
      <c r="F185" s="27">
        <f>IF($A185="","",_Engine!$AI243)</f>
        <v/>
      </c>
      <c r="G185" s="27">
        <f>IF(OR($A185="",_Engine!$D$41=0),"",INDEX(_Engine!$E243:$X243,1,(_Engine!$J$41-1)*4+3))</f>
        <v/>
      </c>
      <c r="H185" s="27">
        <f>IF(OR($A185="",_Engine!$D$42=0),"",INDEX(_Engine!$E243:$X243,1,(_Engine!$J$42-1)*4+3))</f>
        <v/>
      </c>
      <c r="I185" s="27">
        <f>IF(OR($A185="",_Engine!$D$43=0),"",INDEX(_Engine!$E243:$X243,1,(_Engine!$J$43-1)*4+3))</f>
        <v/>
      </c>
      <c r="J185" s="27">
        <f>IF(OR($A185="",_Engine!$D$44=0),"",INDEX(_Engine!$E243:$X243,1,(_Engine!$J$44-1)*4+3))</f>
        <v/>
      </c>
      <c r="K185" s="27">
        <f>IF(OR($A185="",_Engine!$D$45=0),"",INDEX(_Engine!$E243:$X243,1,(_Engine!$J$45-1)*4+3))</f>
        <v/>
      </c>
    </row>
    <row r="186">
      <c r="A186" s="25">
        <f>IF(183&lt;=_Engine!$B$36,183,"")</f>
        <v/>
      </c>
      <c r="B186" s="26">
        <f>IF($A186="","",EDATE(_Engine!$B$5,$A186-1))</f>
        <v/>
      </c>
      <c r="C186" s="27">
        <f>IF($A186="","",_Engine!$AJ244)</f>
        <v/>
      </c>
      <c r="D186" s="27">
        <f>IF($A186="","",_Engine!$AK244)</f>
        <v/>
      </c>
      <c r="E186" s="27">
        <f>IF($A186="","",_Engine!$AJ244-_Engine!$AK244)</f>
        <v/>
      </c>
      <c r="F186" s="27">
        <f>IF($A186="","",_Engine!$AI244)</f>
        <v/>
      </c>
      <c r="G186" s="27">
        <f>IF(OR($A186="",_Engine!$D$41=0),"",INDEX(_Engine!$E244:$X244,1,(_Engine!$J$41-1)*4+3))</f>
        <v/>
      </c>
      <c r="H186" s="27">
        <f>IF(OR($A186="",_Engine!$D$42=0),"",INDEX(_Engine!$E244:$X244,1,(_Engine!$J$42-1)*4+3))</f>
        <v/>
      </c>
      <c r="I186" s="27">
        <f>IF(OR($A186="",_Engine!$D$43=0),"",INDEX(_Engine!$E244:$X244,1,(_Engine!$J$43-1)*4+3))</f>
        <v/>
      </c>
      <c r="J186" s="27">
        <f>IF(OR($A186="",_Engine!$D$44=0),"",INDEX(_Engine!$E244:$X244,1,(_Engine!$J$44-1)*4+3))</f>
        <v/>
      </c>
      <c r="K186" s="27">
        <f>IF(OR($A186="",_Engine!$D$45=0),"",INDEX(_Engine!$E244:$X244,1,(_Engine!$J$45-1)*4+3))</f>
        <v/>
      </c>
    </row>
    <row r="187">
      <c r="A187" s="25">
        <f>IF(184&lt;=_Engine!$B$36,184,"")</f>
        <v/>
      </c>
      <c r="B187" s="26">
        <f>IF($A187="","",EDATE(_Engine!$B$5,$A187-1))</f>
        <v/>
      </c>
      <c r="C187" s="27">
        <f>IF($A187="","",_Engine!$AJ245)</f>
        <v/>
      </c>
      <c r="D187" s="27">
        <f>IF($A187="","",_Engine!$AK245)</f>
        <v/>
      </c>
      <c r="E187" s="27">
        <f>IF($A187="","",_Engine!$AJ245-_Engine!$AK245)</f>
        <v/>
      </c>
      <c r="F187" s="27">
        <f>IF($A187="","",_Engine!$AI245)</f>
        <v/>
      </c>
      <c r="G187" s="27">
        <f>IF(OR($A187="",_Engine!$D$41=0),"",INDEX(_Engine!$E245:$X245,1,(_Engine!$J$41-1)*4+3))</f>
        <v/>
      </c>
      <c r="H187" s="27">
        <f>IF(OR($A187="",_Engine!$D$42=0),"",INDEX(_Engine!$E245:$X245,1,(_Engine!$J$42-1)*4+3))</f>
        <v/>
      </c>
      <c r="I187" s="27">
        <f>IF(OR($A187="",_Engine!$D$43=0),"",INDEX(_Engine!$E245:$X245,1,(_Engine!$J$43-1)*4+3))</f>
        <v/>
      </c>
      <c r="J187" s="27">
        <f>IF(OR($A187="",_Engine!$D$44=0),"",INDEX(_Engine!$E245:$X245,1,(_Engine!$J$44-1)*4+3))</f>
        <v/>
      </c>
      <c r="K187" s="27">
        <f>IF(OR($A187="",_Engine!$D$45=0),"",INDEX(_Engine!$E245:$X245,1,(_Engine!$J$45-1)*4+3))</f>
        <v/>
      </c>
    </row>
    <row r="188">
      <c r="A188" s="25">
        <f>IF(185&lt;=_Engine!$B$36,185,"")</f>
        <v/>
      </c>
      <c r="B188" s="26">
        <f>IF($A188="","",EDATE(_Engine!$B$5,$A188-1))</f>
        <v/>
      </c>
      <c r="C188" s="27">
        <f>IF($A188="","",_Engine!$AJ246)</f>
        <v/>
      </c>
      <c r="D188" s="27">
        <f>IF($A188="","",_Engine!$AK246)</f>
        <v/>
      </c>
      <c r="E188" s="27">
        <f>IF($A188="","",_Engine!$AJ246-_Engine!$AK246)</f>
        <v/>
      </c>
      <c r="F188" s="27">
        <f>IF($A188="","",_Engine!$AI246)</f>
        <v/>
      </c>
      <c r="G188" s="27">
        <f>IF(OR($A188="",_Engine!$D$41=0),"",INDEX(_Engine!$E246:$X246,1,(_Engine!$J$41-1)*4+3))</f>
        <v/>
      </c>
      <c r="H188" s="27">
        <f>IF(OR($A188="",_Engine!$D$42=0),"",INDEX(_Engine!$E246:$X246,1,(_Engine!$J$42-1)*4+3))</f>
        <v/>
      </c>
      <c r="I188" s="27">
        <f>IF(OR($A188="",_Engine!$D$43=0),"",INDEX(_Engine!$E246:$X246,1,(_Engine!$J$43-1)*4+3))</f>
        <v/>
      </c>
      <c r="J188" s="27">
        <f>IF(OR($A188="",_Engine!$D$44=0),"",INDEX(_Engine!$E246:$X246,1,(_Engine!$J$44-1)*4+3))</f>
        <v/>
      </c>
      <c r="K188" s="27">
        <f>IF(OR($A188="",_Engine!$D$45=0),"",INDEX(_Engine!$E246:$X246,1,(_Engine!$J$45-1)*4+3))</f>
        <v/>
      </c>
    </row>
    <row r="189">
      <c r="A189" s="25">
        <f>IF(186&lt;=_Engine!$B$36,186,"")</f>
        <v/>
      </c>
      <c r="B189" s="26">
        <f>IF($A189="","",EDATE(_Engine!$B$5,$A189-1))</f>
        <v/>
      </c>
      <c r="C189" s="27">
        <f>IF($A189="","",_Engine!$AJ247)</f>
        <v/>
      </c>
      <c r="D189" s="27">
        <f>IF($A189="","",_Engine!$AK247)</f>
        <v/>
      </c>
      <c r="E189" s="27">
        <f>IF($A189="","",_Engine!$AJ247-_Engine!$AK247)</f>
        <v/>
      </c>
      <c r="F189" s="27">
        <f>IF($A189="","",_Engine!$AI247)</f>
        <v/>
      </c>
      <c r="G189" s="27">
        <f>IF(OR($A189="",_Engine!$D$41=0),"",INDEX(_Engine!$E247:$X247,1,(_Engine!$J$41-1)*4+3))</f>
        <v/>
      </c>
      <c r="H189" s="27">
        <f>IF(OR($A189="",_Engine!$D$42=0),"",INDEX(_Engine!$E247:$X247,1,(_Engine!$J$42-1)*4+3))</f>
        <v/>
      </c>
      <c r="I189" s="27">
        <f>IF(OR($A189="",_Engine!$D$43=0),"",INDEX(_Engine!$E247:$X247,1,(_Engine!$J$43-1)*4+3))</f>
        <v/>
      </c>
      <c r="J189" s="27">
        <f>IF(OR($A189="",_Engine!$D$44=0),"",INDEX(_Engine!$E247:$X247,1,(_Engine!$J$44-1)*4+3))</f>
        <v/>
      </c>
      <c r="K189" s="27">
        <f>IF(OR($A189="",_Engine!$D$45=0),"",INDEX(_Engine!$E247:$X247,1,(_Engine!$J$45-1)*4+3))</f>
        <v/>
      </c>
    </row>
    <row r="190">
      <c r="A190" s="25">
        <f>IF(187&lt;=_Engine!$B$36,187,"")</f>
        <v/>
      </c>
      <c r="B190" s="26">
        <f>IF($A190="","",EDATE(_Engine!$B$5,$A190-1))</f>
        <v/>
      </c>
      <c r="C190" s="27">
        <f>IF($A190="","",_Engine!$AJ248)</f>
        <v/>
      </c>
      <c r="D190" s="27">
        <f>IF($A190="","",_Engine!$AK248)</f>
        <v/>
      </c>
      <c r="E190" s="27">
        <f>IF($A190="","",_Engine!$AJ248-_Engine!$AK248)</f>
        <v/>
      </c>
      <c r="F190" s="27">
        <f>IF($A190="","",_Engine!$AI248)</f>
        <v/>
      </c>
      <c r="G190" s="27">
        <f>IF(OR($A190="",_Engine!$D$41=0),"",INDEX(_Engine!$E248:$X248,1,(_Engine!$J$41-1)*4+3))</f>
        <v/>
      </c>
      <c r="H190" s="27">
        <f>IF(OR($A190="",_Engine!$D$42=0),"",INDEX(_Engine!$E248:$X248,1,(_Engine!$J$42-1)*4+3))</f>
        <v/>
      </c>
      <c r="I190" s="27">
        <f>IF(OR($A190="",_Engine!$D$43=0),"",INDEX(_Engine!$E248:$X248,1,(_Engine!$J$43-1)*4+3))</f>
        <v/>
      </c>
      <c r="J190" s="27">
        <f>IF(OR($A190="",_Engine!$D$44=0),"",INDEX(_Engine!$E248:$X248,1,(_Engine!$J$44-1)*4+3))</f>
        <v/>
      </c>
      <c r="K190" s="27">
        <f>IF(OR($A190="",_Engine!$D$45=0),"",INDEX(_Engine!$E248:$X248,1,(_Engine!$J$45-1)*4+3))</f>
        <v/>
      </c>
    </row>
    <row r="191">
      <c r="A191" s="25">
        <f>IF(188&lt;=_Engine!$B$36,188,"")</f>
        <v/>
      </c>
      <c r="B191" s="26">
        <f>IF($A191="","",EDATE(_Engine!$B$5,$A191-1))</f>
        <v/>
      </c>
      <c r="C191" s="27">
        <f>IF($A191="","",_Engine!$AJ249)</f>
        <v/>
      </c>
      <c r="D191" s="27">
        <f>IF($A191="","",_Engine!$AK249)</f>
        <v/>
      </c>
      <c r="E191" s="27">
        <f>IF($A191="","",_Engine!$AJ249-_Engine!$AK249)</f>
        <v/>
      </c>
      <c r="F191" s="27">
        <f>IF($A191="","",_Engine!$AI249)</f>
        <v/>
      </c>
      <c r="G191" s="27">
        <f>IF(OR($A191="",_Engine!$D$41=0),"",INDEX(_Engine!$E249:$X249,1,(_Engine!$J$41-1)*4+3))</f>
        <v/>
      </c>
      <c r="H191" s="27">
        <f>IF(OR($A191="",_Engine!$D$42=0),"",INDEX(_Engine!$E249:$X249,1,(_Engine!$J$42-1)*4+3))</f>
        <v/>
      </c>
      <c r="I191" s="27">
        <f>IF(OR($A191="",_Engine!$D$43=0),"",INDEX(_Engine!$E249:$X249,1,(_Engine!$J$43-1)*4+3))</f>
        <v/>
      </c>
      <c r="J191" s="27">
        <f>IF(OR($A191="",_Engine!$D$44=0),"",INDEX(_Engine!$E249:$X249,1,(_Engine!$J$44-1)*4+3))</f>
        <v/>
      </c>
      <c r="K191" s="27">
        <f>IF(OR($A191="",_Engine!$D$45=0),"",INDEX(_Engine!$E249:$X249,1,(_Engine!$J$45-1)*4+3))</f>
        <v/>
      </c>
    </row>
    <row r="192">
      <c r="A192" s="25">
        <f>IF(189&lt;=_Engine!$B$36,189,"")</f>
        <v/>
      </c>
      <c r="B192" s="26">
        <f>IF($A192="","",EDATE(_Engine!$B$5,$A192-1))</f>
        <v/>
      </c>
      <c r="C192" s="27">
        <f>IF($A192="","",_Engine!$AJ250)</f>
        <v/>
      </c>
      <c r="D192" s="27">
        <f>IF($A192="","",_Engine!$AK250)</f>
        <v/>
      </c>
      <c r="E192" s="27">
        <f>IF($A192="","",_Engine!$AJ250-_Engine!$AK250)</f>
        <v/>
      </c>
      <c r="F192" s="27">
        <f>IF($A192="","",_Engine!$AI250)</f>
        <v/>
      </c>
      <c r="G192" s="27">
        <f>IF(OR($A192="",_Engine!$D$41=0),"",INDEX(_Engine!$E250:$X250,1,(_Engine!$J$41-1)*4+3))</f>
        <v/>
      </c>
      <c r="H192" s="27">
        <f>IF(OR($A192="",_Engine!$D$42=0),"",INDEX(_Engine!$E250:$X250,1,(_Engine!$J$42-1)*4+3))</f>
        <v/>
      </c>
      <c r="I192" s="27">
        <f>IF(OR($A192="",_Engine!$D$43=0),"",INDEX(_Engine!$E250:$X250,1,(_Engine!$J$43-1)*4+3))</f>
        <v/>
      </c>
      <c r="J192" s="27">
        <f>IF(OR($A192="",_Engine!$D$44=0),"",INDEX(_Engine!$E250:$X250,1,(_Engine!$J$44-1)*4+3))</f>
        <v/>
      </c>
      <c r="K192" s="27">
        <f>IF(OR($A192="",_Engine!$D$45=0),"",INDEX(_Engine!$E250:$X250,1,(_Engine!$J$45-1)*4+3))</f>
        <v/>
      </c>
    </row>
    <row r="193">
      <c r="A193" s="25">
        <f>IF(190&lt;=_Engine!$B$36,190,"")</f>
        <v/>
      </c>
      <c r="B193" s="26">
        <f>IF($A193="","",EDATE(_Engine!$B$5,$A193-1))</f>
        <v/>
      </c>
      <c r="C193" s="27">
        <f>IF($A193="","",_Engine!$AJ251)</f>
        <v/>
      </c>
      <c r="D193" s="27">
        <f>IF($A193="","",_Engine!$AK251)</f>
        <v/>
      </c>
      <c r="E193" s="27">
        <f>IF($A193="","",_Engine!$AJ251-_Engine!$AK251)</f>
        <v/>
      </c>
      <c r="F193" s="27">
        <f>IF($A193="","",_Engine!$AI251)</f>
        <v/>
      </c>
      <c r="G193" s="27">
        <f>IF(OR($A193="",_Engine!$D$41=0),"",INDEX(_Engine!$E251:$X251,1,(_Engine!$J$41-1)*4+3))</f>
        <v/>
      </c>
      <c r="H193" s="27">
        <f>IF(OR($A193="",_Engine!$D$42=0),"",INDEX(_Engine!$E251:$X251,1,(_Engine!$J$42-1)*4+3))</f>
        <v/>
      </c>
      <c r="I193" s="27">
        <f>IF(OR($A193="",_Engine!$D$43=0),"",INDEX(_Engine!$E251:$X251,1,(_Engine!$J$43-1)*4+3))</f>
        <v/>
      </c>
      <c r="J193" s="27">
        <f>IF(OR($A193="",_Engine!$D$44=0),"",INDEX(_Engine!$E251:$X251,1,(_Engine!$J$44-1)*4+3))</f>
        <v/>
      </c>
      <c r="K193" s="27">
        <f>IF(OR($A193="",_Engine!$D$45=0),"",INDEX(_Engine!$E251:$X251,1,(_Engine!$J$45-1)*4+3))</f>
        <v/>
      </c>
    </row>
    <row r="194">
      <c r="A194" s="25">
        <f>IF(191&lt;=_Engine!$B$36,191,"")</f>
        <v/>
      </c>
      <c r="B194" s="26">
        <f>IF($A194="","",EDATE(_Engine!$B$5,$A194-1))</f>
        <v/>
      </c>
      <c r="C194" s="27">
        <f>IF($A194="","",_Engine!$AJ252)</f>
        <v/>
      </c>
      <c r="D194" s="27">
        <f>IF($A194="","",_Engine!$AK252)</f>
        <v/>
      </c>
      <c r="E194" s="27">
        <f>IF($A194="","",_Engine!$AJ252-_Engine!$AK252)</f>
        <v/>
      </c>
      <c r="F194" s="27">
        <f>IF($A194="","",_Engine!$AI252)</f>
        <v/>
      </c>
      <c r="G194" s="27">
        <f>IF(OR($A194="",_Engine!$D$41=0),"",INDEX(_Engine!$E252:$X252,1,(_Engine!$J$41-1)*4+3))</f>
        <v/>
      </c>
      <c r="H194" s="27">
        <f>IF(OR($A194="",_Engine!$D$42=0),"",INDEX(_Engine!$E252:$X252,1,(_Engine!$J$42-1)*4+3))</f>
        <v/>
      </c>
      <c r="I194" s="27">
        <f>IF(OR($A194="",_Engine!$D$43=0),"",INDEX(_Engine!$E252:$X252,1,(_Engine!$J$43-1)*4+3))</f>
        <v/>
      </c>
      <c r="J194" s="27">
        <f>IF(OR($A194="",_Engine!$D$44=0),"",INDEX(_Engine!$E252:$X252,1,(_Engine!$J$44-1)*4+3))</f>
        <v/>
      </c>
      <c r="K194" s="27">
        <f>IF(OR($A194="",_Engine!$D$45=0),"",INDEX(_Engine!$E252:$X252,1,(_Engine!$J$45-1)*4+3))</f>
        <v/>
      </c>
    </row>
    <row r="195">
      <c r="A195" s="25">
        <f>IF(192&lt;=_Engine!$B$36,192,"")</f>
        <v/>
      </c>
      <c r="B195" s="26">
        <f>IF($A195="","",EDATE(_Engine!$B$5,$A195-1))</f>
        <v/>
      </c>
      <c r="C195" s="27">
        <f>IF($A195="","",_Engine!$AJ253)</f>
        <v/>
      </c>
      <c r="D195" s="27">
        <f>IF($A195="","",_Engine!$AK253)</f>
        <v/>
      </c>
      <c r="E195" s="27">
        <f>IF($A195="","",_Engine!$AJ253-_Engine!$AK253)</f>
        <v/>
      </c>
      <c r="F195" s="27">
        <f>IF($A195="","",_Engine!$AI253)</f>
        <v/>
      </c>
      <c r="G195" s="27">
        <f>IF(OR($A195="",_Engine!$D$41=0),"",INDEX(_Engine!$E253:$X253,1,(_Engine!$J$41-1)*4+3))</f>
        <v/>
      </c>
      <c r="H195" s="27">
        <f>IF(OR($A195="",_Engine!$D$42=0),"",INDEX(_Engine!$E253:$X253,1,(_Engine!$J$42-1)*4+3))</f>
        <v/>
      </c>
      <c r="I195" s="27">
        <f>IF(OR($A195="",_Engine!$D$43=0),"",INDEX(_Engine!$E253:$X253,1,(_Engine!$J$43-1)*4+3))</f>
        <v/>
      </c>
      <c r="J195" s="27">
        <f>IF(OR($A195="",_Engine!$D$44=0),"",INDEX(_Engine!$E253:$X253,1,(_Engine!$J$44-1)*4+3))</f>
        <v/>
      </c>
      <c r="K195" s="27">
        <f>IF(OR($A195="",_Engine!$D$45=0),"",INDEX(_Engine!$E253:$X253,1,(_Engine!$J$45-1)*4+3))</f>
        <v/>
      </c>
    </row>
    <row r="196">
      <c r="A196" s="25">
        <f>IF(193&lt;=_Engine!$B$36,193,"")</f>
        <v/>
      </c>
      <c r="B196" s="26">
        <f>IF($A196="","",EDATE(_Engine!$B$5,$A196-1))</f>
        <v/>
      </c>
      <c r="C196" s="27">
        <f>IF($A196="","",_Engine!$AJ254)</f>
        <v/>
      </c>
      <c r="D196" s="27">
        <f>IF($A196="","",_Engine!$AK254)</f>
        <v/>
      </c>
      <c r="E196" s="27">
        <f>IF($A196="","",_Engine!$AJ254-_Engine!$AK254)</f>
        <v/>
      </c>
      <c r="F196" s="27">
        <f>IF($A196="","",_Engine!$AI254)</f>
        <v/>
      </c>
      <c r="G196" s="27">
        <f>IF(OR($A196="",_Engine!$D$41=0),"",INDEX(_Engine!$E254:$X254,1,(_Engine!$J$41-1)*4+3))</f>
        <v/>
      </c>
      <c r="H196" s="27">
        <f>IF(OR($A196="",_Engine!$D$42=0),"",INDEX(_Engine!$E254:$X254,1,(_Engine!$J$42-1)*4+3))</f>
        <v/>
      </c>
      <c r="I196" s="27">
        <f>IF(OR($A196="",_Engine!$D$43=0),"",INDEX(_Engine!$E254:$X254,1,(_Engine!$J$43-1)*4+3))</f>
        <v/>
      </c>
      <c r="J196" s="27">
        <f>IF(OR($A196="",_Engine!$D$44=0),"",INDEX(_Engine!$E254:$X254,1,(_Engine!$J$44-1)*4+3))</f>
        <v/>
      </c>
      <c r="K196" s="27">
        <f>IF(OR($A196="",_Engine!$D$45=0),"",INDEX(_Engine!$E254:$X254,1,(_Engine!$J$45-1)*4+3))</f>
        <v/>
      </c>
    </row>
    <row r="197">
      <c r="A197" s="25">
        <f>IF(194&lt;=_Engine!$B$36,194,"")</f>
        <v/>
      </c>
      <c r="B197" s="26">
        <f>IF($A197="","",EDATE(_Engine!$B$5,$A197-1))</f>
        <v/>
      </c>
      <c r="C197" s="27">
        <f>IF($A197="","",_Engine!$AJ255)</f>
        <v/>
      </c>
      <c r="D197" s="27">
        <f>IF($A197="","",_Engine!$AK255)</f>
        <v/>
      </c>
      <c r="E197" s="27">
        <f>IF($A197="","",_Engine!$AJ255-_Engine!$AK255)</f>
        <v/>
      </c>
      <c r="F197" s="27">
        <f>IF($A197="","",_Engine!$AI255)</f>
        <v/>
      </c>
      <c r="G197" s="27">
        <f>IF(OR($A197="",_Engine!$D$41=0),"",INDEX(_Engine!$E255:$X255,1,(_Engine!$J$41-1)*4+3))</f>
        <v/>
      </c>
      <c r="H197" s="27">
        <f>IF(OR($A197="",_Engine!$D$42=0),"",INDEX(_Engine!$E255:$X255,1,(_Engine!$J$42-1)*4+3))</f>
        <v/>
      </c>
      <c r="I197" s="27">
        <f>IF(OR($A197="",_Engine!$D$43=0),"",INDEX(_Engine!$E255:$X255,1,(_Engine!$J$43-1)*4+3))</f>
        <v/>
      </c>
      <c r="J197" s="27">
        <f>IF(OR($A197="",_Engine!$D$44=0),"",INDEX(_Engine!$E255:$X255,1,(_Engine!$J$44-1)*4+3))</f>
        <v/>
      </c>
      <c r="K197" s="27">
        <f>IF(OR($A197="",_Engine!$D$45=0),"",INDEX(_Engine!$E255:$X255,1,(_Engine!$J$45-1)*4+3))</f>
        <v/>
      </c>
    </row>
    <row r="198">
      <c r="A198" s="25">
        <f>IF(195&lt;=_Engine!$B$36,195,"")</f>
        <v/>
      </c>
      <c r="B198" s="26">
        <f>IF($A198="","",EDATE(_Engine!$B$5,$A198-1))</f>
        <v/>
      </c>
      <c r="C198" s="27">
        <f>IF($A198="","",_Engine!$AJ256)</f>
        <v/>
      </c>
      <c r="D198" s="27">
        <f>IF($A198="","",_Engine!$AK256)</f>
        <v/>
      </c>
      <c r="E198" s="27">
        <f>IF($A198="","",_Engine!$AJ256-_Engine!$AK256)</f>
        <v/>
      </c>
      <c r="F198" s="27">
        <f>IF($A198="","",_Engine!$AI256)</f>
        <v/>
      </c>
      <c r="G198" s="27">
        <f>IF(OR($A198="",_Engine!$D$41=0),"",INDEX(_Engine!$E256:$X256,1,(_Engine!$J$41-1)*4+3))</f>
        <v/>
      </c>
      <c r="H198" s="27">
        <f>IF(OR($A198="",_Engine!$D$42=0),"",INDEX(_Engine!$E256:$X256,1,(_Engine!$J$42-1)*4+3))</f>
        <v/>
      </c>
      <c r="I198" s="27">
        <f>IF(OR($A198="",_Engine!$D$43=0),"",INDEX(_Engine!$E256:$X256,1,(_Engine!$J$43-1)*4+3))</f>
        <v/>
      </c>
      <c r="J198" s="27">
        <f>IF(OR($A198="",_Engine!$D$44=0),"",INDEX(_Engine!$E256:$X256,1,(_Engine!$J$44-1)*4+3))</f>
        <v/>
      </c>
      <c r="K198" s="27">
        <f>IF(OR($A198="",_Engine!$D$45=0),"",INDEX(_Engine!$E256:$X256,1,(_Engine!$J$45-1)*4+3))</f>
        <v/>
      </c>
    </row>
    <row r="199">
      <c r="A199" s="25">
        <f>IF(196&lt;=_Engine!$B$36,196,"")</f>
        <v/>
      </c>
      <c r="B199" s="26">
        <f>IF($A199="","",EDATE(_Engine!$B$5,$A199-1))</f>
        <v/>
      </c>
      <c r="C199" s="27">
        <f>IF($A199="","",_Engine!$AJ257)</f>
        <v/>
      </c>
      <c r="D199" s="27">
        <f>IF($A199="","",_Engine!$AK257)</f>
        <v/>
      </c>
      <c r="E199" s="27">
        <f>IF($A199="","",_Engine!$AJ257-_Engine!$AK257)</f>
        <v/>
      </c>
      <c r="F199" s="27">
        <f>IF($A199="","",_Engine!$AI257)</f>
        <v/>
      </c>
      <c r="G199" s="27">
        <f>IF(OR($A199="",_Engine!$D$41=0),"",INDEX(_Engine!$E257:$X257,1,(_Engine!$J$41-1)*4+3))</f>
        <v/>
      </c>
      <c r="H199" s="27">
        <f>IF(OR($A199="",_Engine!$D$42=0),"",INDEX(_Engine!$E257:$X257,1,(_Engine!$J$42-1)*4+3))</f>
        <v/>
      </c>
      <c r="I199" s="27">
        <f>IF(OR($A199="",_Engine!$D$43=0),"",INDEX(_Engine!$E257:$X257,1,(_Engine!$J$43-1)*4+3))</f>
        <v/>
      </c>
      <c r="J199" s="27">
        <f>IF(OR($A199="",_Engine!$D$44=0),"",INDEX(_Engine!$E257:$X257,1,(_Engine!$J$44-1)*4+3))</f>
        <v/>
      </c>
      <c r="K199" s="27">
        <f>IF(OR($A199="",_Engine!$D$45=0),"",INDEX(_Engine!$E257:$X257,1,(_Engine!$J$45-1)*4+3))</f>
        <v/>
      </c>
    </row>
    <row r="200">
      <c r="A200" s="25">
        <f>IF(197&lt;=_Engine!$B$36,197,"")</f>
        <v/>
      </c>
      <c r="B200" s="26">
        <f>IF($A200="","",EDATE(_Engine!$B$5,$A200-1))</f>
        <v/>
      </c>
      <c r="C200" s="27">
        <f>IF($A200="","",_Engine!$AJ258)</f>
        <v/>
      </c>
      <c r="D200" s="27">
        <f>IF($A200="","",_Engine!$AK258)</f>
        <v/>
      </c>
      <c r="E200" s="27">
        <f>IF($A200="","",_Engine!$AJ258-_Engine!$AK258)</f>
        <v/>
      </c>
      <c r="F200" s="27">
        <f>IF($A200="","",_Engine!$AI258)</f>
        <v/>
      </c>
      <c r="G200" s="27">
        <f>IF(OR($A200="",_Engine!$D$41=0),"",INDEX(_Engine!$E258:$X258,1,(_Engine!$J$41-1)*4+3))</f>
        <v/>
      </c>
      <c r="H200" s="27">
        <f>IF(OR($A200="",_Engine!$D$42=0),"",INDEX(_Engine!$E258:$X258,1,(_Engine!$J$42-1)*4+3))</f>
        <v/>
      </c>
      <c r="I200" s="27">
        <f>IF(OR($A200="",_Engine!$D$43=0),"",INDEX(_Engine!$E258:$X258,1,(_Engine!$J$43-1)*4+3))</f>
        <v/>
      </c>
      <c r="J200" s="27">
        <f>IF(OR($A200="",_Engine!$D$44=0),"",INDEX(_Engine!$E258:$X258,1,(_Engine!$J$44-1)*4+3))</f>
        <v/>
      </c>
      <c r="K200" s="27">
        <f>IF(OR($A200="",_Engine!$D$45=0),"",INDEX(_Engine!$E258:$X258,1,(_Engine!$J$45-1)*4+3))</f>
        <v/>
      </c>
    </row>
    <row r="201">
      <c r="A201" s="25">
        <f>IF(198&lt;=_Engine!$B$36,198,"")</f>
        <v/>
      </c>
      <c r="B201" s="26">
        <f>IF($A201="","",EDATE(_Engine!$B$5,$A201-1))</f>
        <v/>
      </c>
      <c r="C201" s="27">
        <f>IF($A201="","",_Engine!$AJ259)</f>
        <v/>
      </c>
      <c r="D201" s="27">
        <f>IF($A201="","",_Engine!$AK259)</f>
        <v/>
      </c>
      <c r="E201" s="27">
        <f>IF($A201="","",_Engine!$AJ259-_Engine!$AK259)</f>
        <v/>
      </c>
      <c r="F201" s="27">
        <f>IF($A201="","",_Engine!$AI259)</f>
        <v/>
      </c>
      <c r="G201" s="27">
        <f>IF(OR($A201="",_Engine!$D$41=0),"",INDEX(_Engine!$E259:$X259,1,(_Engine!$J$41-1)*4+3))</f>
        <v/>
      </c>
      <c r="H201" s="27">
        <f>IF(OR($A201="",_Engine!$D$42=0),"",INDEX(_Engine!$E259:$X259,1,(_Engine!$J$42-1)*4+3))</f>
        <v/>
      </c>
      <c r="I201" s="27">
        <f>IF(OR($A201="",_Engine!$D$43=0),"",INDEX(_Engine!$E259:$X259,1,(_Engine!$J$43-1)*4+3))</f>
        <v/>
      </c>
      <c r="J201" s="27">
        <f>IF(OR($A201="",_Engine!$D$44=0),"",INDEX(_Engine!$E259:$X259,1,(_Engine!$J$44-1)*4+3))</f>
        <v/>
      </c>
      <c r="K201" s="27">
        <f>IF(OR($A201="",_Engine!$D$45=0),"",INDEX(_Engine!$E259:$X259,1,(_Engine!$J$45-1)*4+3))</f>
        <v/>
      </c>
    </row>
    <row r="202">
      <c r="A202" s="25">
        <f>IF(199&lt;=_Engine!$B$36,199,"")</f>
        <v/>
      </c>
      <c r="B202" s="26">
        <f>IF($A202="","",EDATE(_Engine!$B$5,$A202-1))</f>
        <v/>
      </c>
      <c r="C202" s="27">
        <f>IF($A202="","",_Engine!$AJ260)</f>
        <v/>
      </c>
      <c r="D202" s="27">
        <f>IF($A202="","",_Engine!$AK260)</f>
        <v/>
      </c>
      <c r="E202" s="27">
        <f>IF($A202="","",_Engine!$AJ260-_Engine!$AK260)</f>
        <v/>
      </c>
      <c r="F202" s="27">
        <f>IF($A202="","",_Engine!$AI260)</f>
        <v/>
      </c>
      <c r="G202" s="27">
        <f>IF(OR($A202="",_Engine!$D$41=0),"",INDEX(_Engine!$E260:$X260,1,(_Engine!$J$41-1)*4+3))</f>
        <v/>
      </c>
      <c r="H202" s="27">
        <f>IF(OR($A202="",_Engine!$D$42=0),"",INDEX(_Engine!$E260:$X260,1,(_Engine!$J$42-1)*4+3))</f>
        <v/>
      </c>
      <c r="I202" s="27">
        <f>IF(OR($A202="",_Engine!$D$43=0),"",INDEX(_Engine!$E260:$X260,1,(_Engine!$J$43-1)*4+3))</f>
        <v/>
      </c>
      <c r="J202" s="27">
        <f>IF(OR($A202="",_Engine!$D$44=0),"",INDEX(_Engine!$E260:$X260,1,(_Engine!$J$44-1)*4+3))</f>
        <v/>
      </c>
      <c r="K202" s="27">
        <f>IF(OR($A202="",_Engine!$D$45=0),"",INDEX(_Engine!$E260:$X260,1,(_Engine!$J$45-1)*4+3))</f>
        <v/>
      </c>
    </row>
    <row r="203">
      <c r="A203" s="25">
        <f>IF(200&lt;=_Engine!$B$36,200,"")</f>
        <v/>
      </c>
      <c r="B203" s="26">
        <f>IF($A203="","",EDATE(_Engine!$B$5,$A203-1))</f>
        <v/>
      </c>
      <c r="C203" s="27">
        <f>IF($A203="","",_Engine!$AJ261)</f>
        <v/>
      </c>
      <c r="D203" s="27">
        <f>IF($A203="","",_Engine!$AK261)</f>
        <v/>
      </c>
      <c r="E203" s="27">
        <f>IF($A203="","",_Engine!$AJ261-_Engine!$AK261)</f>
        <v/>
      </c>
      <c r="F203" s="27">
        <f>IF($A203="","",_Engine!$AI261)</f>
        <v/>
      </c>
      <c r="G203" s="27">
        <f>IF(OR($A203="",_Engine!$D$41=0),"",INDEX(_Engine!$E261:$X261,1,(_Engine!$J$41-1)*4+3))</f>
        <v/>
      </c>
      <c r="H203" s="27">
        <f>IF(OR($A203="",_Engine!$D$42=0),"",INDEX(_Engine!$E261:$X261,1,(_Engine!$J$42-1)*4+3))</f>
        <v/>
      </c>
      <c r="I203" s="27">
        <f>IF(OR($A203="",_Engine!$D$43=0),"",INDEX(_Engine!$E261:$X261,1,(_Engine!$J$43-1)*4+3))</f>
        <v/>
      </c>
      <c r="J203" s="27">
        <f>IF(OR($A203="",_Engine!$D$44=0),"",INDEX(_Engine!$E261:$X261,1,(_Engine!$J$44-1)*4+3))</f>
        <v/>
      </c>
      <c r="K203" s="27">
        <f>IF(OR($A203="",_Engine!$D$45=0),"",INDEX(_Engine!$E261:$X261,1,(_Engine!$J$45-1)*4+3))</f>
        <v/>
      </c>
    </row>
    <row r="204">
      <c r="A204" s="25">
        <f>IF(201&lt;=_Engine!$B$36,201,"")</f>
        <v/>
      </c>
      <c r="B204" s="26">
        <f>IF($A204="","",EDATE(_Engine!$B$5,$A204-1))</f>
        <v/>
      </c>
      <c r="C204" s="27">
        <f>IF($A204="","",_Engine!$AJ262)</f>
        <v/>
      </c>
      <c r="D204" s="27">
        <f>IF($A204="","",_Engine!$AK262)</f>
        <v/>
      </c>
      <c r="E204" s="27">
        <f>IF($A204="","",_Engine!$AJ262-_Engine!$AK262)</f>
        <v/>
      </c>
      <c r="F204" s="27">
        <f>IF($A204="","",_Engine!$AI262)</f>
        <v/>
      </c>
      <c r="G204" s="27">
        <f>IF(OR($A204="",_Engine!$D$41=0),"",INDEX(_Engine!$E262:$X262,1,(_Engine!$J$41-1)*4+3))</f>
        <v/>
      </c>
      <c r="H204" s="27">
        <f>IF(OR($A204="",_Engine!$D$42=0),"",INDEX(_Engine!$E262:$X262,1,(_Engine!$J$42-1)*4+3))</f>
        <v/>
      </c>
      <c r="I204" s="27">
        <f>IF(OR($A204="",_Engine!$D$43=0),"",INDEX(_Engine!$E262:$X262,1,(_Engine!$J$43-1)*4+3))</f>
        <v/>
      </c>
      <c r="J204" s="27">
        <f>IF(OR($A204="",_Engine!$D$44=0),"",INDEX(_Engine!$E262:$X262,1,(_Engine!$J$44-1)*4+3))</f>
        <v/>
      </c>
      <c r="K204" s="27">
        <f>IF(OR($A204="",_Engine!$D$45=0),"",INDEX(_Engine!$E262:$X262,1,(_Engine!$J$45-1)*4+3))</f>
        <v/>
      </c>
    </row>
    <row r="205">
      <c r="A205" s="25">
        <f>IF(202&lt;=_Engine!$B$36,202,"")</f>
        <v/>
      </c>
      <c r="B205" s="26">
        <f>IF($A205="","",EDATE(_Engine!$B$5,$A205-1))</f>
        <v/>
      </c>
      <c r="C205" s="27">
        <f>IF($A205="","",_Engine!$AJ263)</f>
        <v/>
      </c>
      <c r="D205" s="27">
        <f>IF($A205="","",_Engine!$AK263)</f>
        <v/>
      </c>
      <c r="E205" s="27">
        <f>IF($A205="","",_Engine!$AJ263-_Engine!$AK263)</f>
        <v/>
      </c>
      <c r="F205" s="27">
        <f>IF($A205="","",_Engine!$AI263)</f>
        <v/>
      </c>
      <c r="G205" s="27">
        <f>IF(OR($A205="",_Engine!$D$41=0),"",INDEX(_Engine!$E263:$X263,1,(_Engine!$J$41-1)*4+3))</f>
        <v/>
      </c>
      <c r="H205" s="27">
        <f>IF(OR($A205="",_Engine!$D$42=0),"",INDEX(_Engine!$E263:$X263,1,(_Engine!$J$42-1)*4+3))</f>
        <v/>
      </c>
      <c r="I205" s="27">
        <f>IF(OR($A205="",_Engine!$D$43=0),"",INDEX(_Engine!$E263:$X263,1,(_Engine!$J$43-1)*4+3))</f>
        <v/>
      </c>
      <c r="J205" s="27">
        <f>IF(OR($A205="",_Engine!$D$44=0),"",INDEX(_Engine!$E263:$X263,1,(_Engine!$J$44-1)*4+3))</f>
        <v/>
      </c>
      <c r="K205" s="27">
        <f>IF(OR($A205="",_Engine!$D$45=0),"",INDEX(_Engine!$E263:$X263,1,(_Engine!$J$45-1)*4+3))</f>
        <v/>
      </c>
    </row>
    <row r="206">
      <c r="A206" s="25">
        <f>IF(203&lt;=_Engine!$B$36,203,"")</f>
        <v/>
      </c>
      <c r="B206" s="26">
        <f>IF($A206="","",EDATE(_Engine!$B$5,$A206-1))</f>
        <v/>
      </c>
      <c r="C206" s="27">
        <f>IF($A206="","",_Engine!$AJ264)</f>
        <v/>
      </c>
      <c r="D206" s="27">
        <f>IF($A206="","",_Engine!$AK264)</f>
        <v/>
      </c>
      <c r="E206" s="27">
        <f>IF($A206="","",_Engine!$AJ264-_Engine!$AK264)</f>
        <v/>
      </c>
      <c r="F206" s="27">
        <f>IF($A206="","",_Engine!$AI264)</f>
        <v/>
      </c>
      <c r="G206" s="27">
        <f>IF(OR($A206="",_Engine!$D$41=0),"",INDEX(_Engine!$E264:$X264,1,(_Engine!$J$41-1)*4+3))</f>
        <v/>
      </c>
      <c r="H206" s="27">
        <f>IF(OR($A206="",_Engine!$D$42=0),"",INDEX(_Engine!$E264:$X264,1,(_Engine!$J$42-1)*4+3))</f>
        <v/>
      </c>
      <c r="I206" s="27">
        <f>IF(OR($A206="",_Engine!$D$43=0),"",INDEX(_Engine!$E264:$X264,1,(_Engine!$J$43-1)*4+3))</f>
        <v/>
      </c>
      <c r="J206" s="27">
        <f>IF(OR($A206="",_Engine!$D$44=0),"",INDEX(_Engine!$E264:$X264,1,(_Engine!$J$44-1)*4+3))</f>
        <v/>
      </c>
      <c r="K206" s="27">
        <f>IF(OR($A206="",_Engine!$D$45=0),"",INDEX(_Engine!$E264:$X264,1,(_Engine!$J$45-1)*4+3))</f>
        <v/>
      </c>
    </row>
    <row r="207">
      <c r="A207" s="25">
        <f>IF(204&lt;=_Engine!$B$36,204,"")</f>
        <v/>
      </c>
      <c r="B207" s="26">
        <f>IF($A207="","",EDATE(_Engine!$B$5,$A207-1))</f>
        <v/>
      </c>
      <c r="C207" s="27">
        <f>IF($A207="","",_Engine!$AJ265)</f>
        <v/>
      </c>
      <c r="D207" s="27">
        <f>IF($A207="","",_Engine!$AK265)</f>
        <v/>
      </c>
      <c r="E207" s="27">
        <f>IF($A207="","",_Engine!$AJ265-_Engine!$AK265)</f>
        <v/>
      </c>
      <c r="F207" s="27">
        <f>IF($A207="","",_Engine!$AI265)</f>
        <v/>
      </c>
      <c r="G207" s="27">
        <f>IF(OR($A207="",_Engine!$D$41=0),"",INDEX(_Engine!$E265:$X265,1,(_Engine!$J$41-1)*4+3))</f>
        <v/>
      </c>
      <c r="H207" s="27">
        <f>IF(OR($A207="",_Engine!$D$42=0),"",INDEX(_Engine!$E265:$X265,1,(_Engine!$J$42-1)*4+3))</f>
        <v/>
      </c>
      <c r="I207" s="27">
        <f>IF(OR($A207="",_Engine!$D$43=0),"",INDEX(_Engine!$E265:$X265,1,(_Engine!$J$43-1)*4+3))</f>
        <v/>
      </c>
      <c r="J207" s="27">
        <f>IF(OR($A207="",_Engine!$D$44=0),"",INDEX(_Engine!$E265:$X265,1,(_Engine!$J$44-1)*4+3))</f>
        <v/>
      </c>
      <c r="K207" s="27">
        <f>IF(OR($A207="",_Engine!$D$45=0),"",INDEX(_Engine!$E265:$X265,1,(_Engine!$J$45-1)*4+3))</f>
        <v/>
      </c>
    </row>
    <row r="208">
      <c r="A208" s="25">
        <f>IF(205&lt;=_Engine!$B$36,205,"")</f>
        <v/>
      </c>
      <c r="B208" s="26">
        <f>IF($A208="","",EDATE(_Engine!$B$5,$A208-1))</f>
        <v/>
      </c>
      <c r="C208" s="27">
        <f>IF($A208="","",_Engine!$AJ266)</f>
        <v/>
      </c>
      <c r="D208" s="27">
        <f>IF($A208="","",_Engine!$AK266)</f>
        <v/>
      </c>
      <c r="E208" s="27">
        <f>IF($A208="","",_Engine!$AJ266-_Engine!$AK266)</f>
        <v/>
      </c>
      <c r="F208" s="27">
        <f>IF($A208="","",_Engine!$AI266)</f>
        <v/>
      </c>
      <c r="G208" s="27">
        <f>IF(OR($A208="",_Engine!$D$41=0),"",INDEX(_Engine!$E266:$X266,1,(_Engine!$J$41-1)*4+3))</f>
        <v/>
      </c>
      <c r="H208" s="27">
        <f>IF(OR($A208="",_Engine!$D$42=0),"",INDEX(_Engine!$E266:$X266,1,(_Engine!$J$42-1)*4+3))</f>
        <v/>
      </c>
      <c r="I208" s="27">
        <f>IF(OR($A208="",_Engine!$D$43=0),"",INDEX(_Engine!$E266:$X266,1,(_Engine!$J$43-1)*4+3))</f>
        <v/>
      </c>
      <c r="J208" s="27">
        <f>IF(OR($A208="",_Engine!$D$44=0),"",INDEX(_Engine!$E266:$X266,1,(_Engine!$J$44-1)*4+3))</f>
        <v/>
      </c>
      <c r="K208" s="27">
        <f>IF(OR($A208="",_Engine!$D$45=0),"",INDEX(_Engine!$E266:$X266,1,(_Engine!$J$45-1)*4+3))</f>
        <v/>
      </c>
    </row>
    <row r="209">
      <c r="A209" s="25">
        <f>IF(206&lt;=_Engine!$B$36,206,"")</f>
        <v/>
      </c>
      <c r="B209" s="26">
        <f>IF($A209="","",EDATE(_Engine!$B$5,$A209-1))</f>
        <v/>
      </c>
      <c r="C209" s="27">
        <f>IF($A209="","",_Engine!$AJ267)</f>
        <v/>
      </c>
      <c r="D209" s="27">
        <f>IF($A209="","",_Engine!$AK267)</f>
        <v/>
      </c>
      <c r="E209" s="27">
        <f>IF($A209="","",_Engine!$AJ267-_Engine!$AK267)</f>
        <v/>
      </c>
      <c r="F209" s="27">
        <f>IF($A209="","",_Engine!$AI267)</f>
        <v/>
      </c>
      <c r="G209" s="27">
        <f>IF(OR($A209="",_Engine!$D$41=0),"",INDEX(_Engine!$E267:$X267,1,(_Engine!$J$41-1)*4+3))</f>
        <v/>
      </c>
      <c r="H209" s="27">
        <f>IF(OR($A209="",_Engine!$D$42=0),"",INDEX(_Engine!$E267:$X267,1,(_Engine!$J$42-1)*4+3))</f>
        <v/>
      </c>
      <c r="I209" s="27">
        <f>IF(OR($A209="",_Engine!$D$43=0),"",INDEX(_Engine!$E267:$X267,1,(_Engine!$J$43-1)*4+3))</f>
        <v/>
      </c>
      <c r="J209" s="27">
        <f>IF(OR($A209="",_Engine!$D$44=0),"",INDEX(_Engine!$E267:$X267,1,(_Engine!$J$44-1)*4+3))</f>
        <v/>
      </c>
      <c r="K209" s="27">
        <f>IF(OR($A209="",_Engine!$D$45=0),"",INDEX(_Engine!$E267:$X267,1,(_Engine!$J$45-1)*4+3))</f>
        <v/>
      </c>
    </row>
    <row r="210">
      <c r="A210" s="25">
        <f>IF(207&lt;=_Engine!$B$36,207,"")</f>
        <v/>
      </c>
      <c r="B210" s="26">
        <f>IF($A210="","",EDATE(_Engine!$B$5,$A210-1))</f>
        <v/>
      </c>
      <c r="C210" s="27">
        <f>IF($A210="","",_Engine!$AJ268)</f>
        <v/>
      </c>
      <c r="D210" s="27">
        <f>IF($A210="","",_Engine!$AK268)</f>
        <v/>
      </c>
      <c r="E210" s="27">
        <f>IF($A210="","",_Engine!$AJ268-_Engine!$AK268)</f>
        <v/>
      </c>
      <c r="F210" s="27">
        <f>IF($A210="","",_Engine!$AI268)</f>
        <v/>
      </c>
      <c r="G210" s="27">
        <f>IF(OR($A210="",_Engine!$D$41=0),"",INDEX(_Engine!$E268:$X268,1,(_Engine!$J$41-1)*4+3))</f>
        <v/>
      </c>
      <c r="H210" s="27">
        <f>IF(OR($A210="",_Engine!$D$42=0),"",INDEX(_Engine!$E268:$X268,1,(_Engine!$J$42-1)*4+3))</f>
        <v/>
      </c>
      <c r="I210" s="27">
        <f>IF(OR($A210="",_Engine!$D$43=0),"",INDEX(_Engine!$E268:$X268,1,(_Engine!$J$43-1)*4+3))</f>
        <v/>
      </c>
      <c r="J210" s="27">
        <f>IF(OR($A210="",_Engine!$D$44=0),"",INDEX(_Engine!$E268:$X268,1,(_Engine!$J$44-1)*4+3))</f>
        <v/>
      </c>
      <c r="K210" s="27">
        <f>IF(OR($A210="",_Engine!$D$45=0),"",INDEX(_Engine!$E268:$X268,1,(_Engine!$J$45-1)*4+3))</f>
        <v/>
      </c>
    </row>
    <row r="211">
      <c r="A211" s="25">
        <f>IF(208&lt;=_Engine!$B$36,208,"")</f>
        <v/>
      </c>
      <c r="B211" s="26">
        <f>IF($A211="","",EDATE(_Engine!$B$5,$A211-1))</f>
        <v/>
      </c>
      <c r="C211" s="27">
        <f>IF($A211="","",_Engine!$AJ269)</f>
        <v/>
      </c>
      <c r="D211" s="27">
        <f>IF($A211="","",_Engine!$AK269)</f>
        <v/>
      </c>
      <c r="E211" s="27">
        <f>IF($A211="","",_Engine!$AJ269-_Engine!$AK269)</f>
        <v/>
      </c>
      <c r="F211" s="27">
        <f>IF($A211="","",_Engine!$AI269)</f>
        <v/>
      </c>
      <c r="G211" s="27">
        <f>IF(OR($A211="",_Engine!$D$41=0),"",INDEX(_Engine!$E269:$X269,1,(_Engine!$J$41-1)*4+3))</f>
        <v/>
      </c>
      <c r="H211" s="27">
        <f>IF(OR($A211="",_Engine!$D$42=0),"",INDEX(_Engine!$E269:$X269,1,(_Engine!$J$42-1)*4+3))</f>
        <v/>
      </c>
      <c r="I211" s="27">
        <f>IF(OR($A211="",_Engine!$D$43=0),"",INDEX(_Engine!$E269:$X269,1,(_Engine!$J$43-1)*4+3))</f>
        <v/>
      </c>
      <c r="J211" s="27">
        <f>IF(OR($A211="",_Engine!$D$44=0),"",INDEX(_Engine!$E269:$X269,1,(_Engine!$J$44-1)*4+3))</f>
        <v/>
      </c>
      <c r="K211" s="27">
        <f>IF(OR($A211="",_Engine!$D$45=0),"",INDEX(_Engine!$E269:$X269,1,(_Engine!$J$45-1)*4+3))</f>
        <v/>
      </c>
    </row>
    <row r="212">
      <c r="A212" s="25">
        <f>IF(209&lt;=_Engine!$B$36,209,"")</f>
        <v/>
      </c>
      <c r="B212" s="26">
        <f>IF($A212="","",EDATE(_Engine!$B$5,$A212-1))</f>
        <v/>
      </c>
      <c r="C212" s="27">
        <f>IF($A212="","",_Engine!$AJ270)</f>
        <v/>
      </c>
      <c r="D212" s="27">
        <f>IF($A212="","",_Engine!$AK270)</f>
        <v/>
      </c>
      <c r="E212" s="27">
        <f>IF($A212="","",_Engine!$AJ270-_Engine!$AK270)</f>
        <v/>
      </c>
      <c r="F212" s="27">
        <f>IF($A212="","",_Engine!$AI270)</f>
        <v/>
      </c>
      <c r="G212" s="27">
        <f>IF(OR($A212="",_Engine!$D$41=0),"",INDEX(_Engine!$E270:$X270,1,(_Engine!$J$41-1)*4+3))</f>
        <v/>
      </c>
      <c r="H212" s="27">
        <f>IF(OR($A212="",_Engine!$D$42=0),"",INDEX(_Engine!$E270:$X270,1,(_Engine!$J$42-1)*4+3))</f>
        <v/>
      </c>
      <c r="I212" s="27">
        <f>IF(OR($A212="",_Engine!$D$43=0),"",INDEX(_Engine!$E270:$X270,1,(_Engine!$J$43-1)*4+3))</f>
        <v/>
      </c>
      <c r="J212" s="27">
        <f>IF(OR($A212="",_Engine!$D$44=0),"",INDEX(_Engine!$E270:$X270,1,(_Engine!$J$44-1)*4+3))</f>
        <v/>
      </c>
      <c r="K212" s="27">
        <f>IF(OR($A212="",_Engine!$D$45=0),"",INDEX(_Engine!$E270:$X270,1,(_Engine!$J$45-1)*4+3))</f>
        <v/>
      </c>
    </row>
    <row r="213">
      <c r="A213" s="25">
        <f>IF(210&lt;=_Engine!$B$36,210,"")</f>
        <v/>
      </c>
      <c r="B213" s="26">
        <f>IF($A213="","",EDATE(_Engine!$B$5,$A213-1))</f>
        <v/>
      </c>
      <c r="C213" s="27">
        <f>IF($A213="","",_Engine!$AJ271)</f>
        <v/>
      </c>
      <c r="D213" s="27">
        <f>IF($A213="","",_Engine!$AK271)</f>
        <v/>
      </c>
      <c r="E213" s="27">
        <f>IF($A213="","",_Engine!$AJ271-_Engine!$AK271)</f>
        <v/>
      </c>
      <c r="F213" s="27">
        <f>IF($A213="","",_Engine!$AI271)</f>
        <v/>
      </c>
      <c r="G213" s="27">
        <f>IF(OR($A213="",_Engine!$D$41=0),"",INDEX(_Engine!$E271:$X271,1,(_Engine!$J$41-1)*4+3))</f>
        <v/>
      </c>
      <c r="H213" s="27">
        <f>IF(OR($A213="",_Engine!$D$42=0),"",INDEX(_Engine!$E271:$X271,1,(_Engine!$J$42-1)*4+3))</f>
        <v/>
      </c>
      <c r="I213" s="27">
        <f>IF(OR($A213="",_Engine!$D$43=0),"",INDEX(_Engine!$E271:$X271,1,(_Engine!$J$43-1)*4+3))</f>
        <v/>
      </c>
      <c r="J213" s="27">
        <f>IF(OR($A213="",_Engine!$D$44=0),"",INDEX(_Engine!$E271:$X271,1,(_Engine!$J$44-1)*4+3))</f>
        <v/>
      </c>
      <c r="K213" s="27">
        <f>IF(OR($A213="",_Engine!$D$45=0),"",INDEX(_Engine!$E271:$X271,1,(_Engine!$J$45-1)*4+3))</f>
        <v/>
      </c>
    </row>
    <row r="214">
      <c r="A214" s="25">
        <f>IF(211&lt;=_Engine!$B$36,211,"")</f>
        <v/>
      </c>
      <c r="B214" s="26">
        <f>IF($A214="","",EDATE(_Engine!$B$5,$A214-1))</f>
        <v/>
      </c>
      <c r="C214" s="27">
        <f>IF($A214="","",_Engine!$AJ272)</f>
        <v/>
      </c>
      <c r="D214" s="27">
        <f>IF($A214="","",_Engine!$AK272)</f>
        <v/>
      </c>
      <c r="E214" s="27">
        <f>IF($A214="","",_Engine!$AJ272-_Engine!$AK272)</f>
        <v/>
      </c>
      <c r="F214" s="27">
        <f>IF($A214="","",_Engine!$AI272)</f>
        <v/>
      </c>
      <c r="G214" s="27">
        <f>IF(OR($A214="",_Engine!$D$41=0),"",INDEX(_Engine!$E272:$X272,1,(_Engine!$J$41-1)*4+3))</f>
        <v/>
      </c>
      <c r="H214" s="27">
        <f>IF(OR($A214="",_Engine!$D$42=0),"",INDEX(_Engine!$E272:$X272,1,(_Engine!$J$42-1)*4+3))</f>
        <v/>
      </c>
      <c r="I214" s="27">
        <f>IF(OR($A214="",_Engine!$D$43=0),"",INDEX(_Engine!$E272:$X272,1,(_Engine!$J$43-1)*4+3))</f>
        <v/>
      </c>
      <c r="J214" s="27">
        <f>IF(OR($A214="",_Engine!$D$44=0),"",INDEX(_Engine!$E272:$X272,1,(_Engine!$J$44-1)*4+3))</f>
        <v/>
      </c>
      <c r="K214" s="27">
        <f>IF(OR($A214="",_Engine!$D$45=0),"",INDEX(_Engine!$E272:$X272,1,(_Engine!$J$45-1)*4+3))</f>
        <v/>
      </c>
    </row>
    <row r="215">
      <c r="A215" s="25">
        <f>IF(212&lt;=_Engine!$B$36,212,"")</f>
        <v/>
      </c>
      <c r="B215" s="26">
        <f>IF($A215="","",EDATE(_Engine!$B$5,$A215-1))</f>
        <v/>
      </c>
      <c r="C215" s="27">
        <f>IF($A215="","",_Engine!$AJ273)</f>
        <v/>
      </c>
      <c r="D215" s="27">
        <f>IF($A215="","",_Engine!$AK273)</f>
        <v/>
      </c>
      <c r="E215" s="27">
        <f>IF($A215="","",_Engine!$AJ273-_Engine!$AK273)</f>
        <v/>
      </c>
      <c r="F215" s="27">
        <f>IF($A215="","",_Engine!$AI273)</f>
        <v/>
      </c>
      <c r="G215" s="27">
        <f>IF(OR($A215="",_Engine!$D$41=0),"",INDEX(_Engine!$E273:$X273,1,(_Engine!$J$41-1)*4+3))</f>
        <v/>
      </c>
      <c r="H215" s="27">
        <f>IF(OR($A215="",_Engine!$D$42=0),"",INDEX(_Engine!$E273:$X273,1,(_Engine!$J$42-1)*4+3))</f>
        <v/>
      </c>
      <c r="I215" s="27">
        <f>IF(OR($A215="",_Engine!$D$43=0),"",INDEX(_Engine!$E273:$X273,1,(_Engine!$J$43-1)*4+3))</f>
        <v/>
      </c>
      <c r="J215" s="27">
        <f>IF(OR($A215="",_Engine!$D$44=0),"",INDEX(_Engine!$E273:$X273,1,(_Engine!$J$44-1)*4+3))</f>
        <v/>
      </c>
      <c r="K215" s="27">
        <f>IF(OR($A215="",_Engine!$D$45=0),"",INDEX(_Engine!$E273:$X273,1,(_Engine!$J$45-1)*4+3))</f>
        <v/>
      </c>
    </row>
    <row r="216">
      <c r="A216" s="25">
        <f>IF(213&lt;=_Engine!$B$36,213,"")</f>
        <v/>
      </c>
      <c r="B216" s="26">
        <f>IF($A216="","",EDATE(_Engine!$B$5,$A216-1))</f>
        <v/>
      </c>
      <c r="C216" s="27">
        <f>IF($A216="","",_Engine!$AJ274)</f>
        <v/>
      </c>
      <c r="D216" s="27">
        <f>IF($A216="","",_Engine!$AK274)</f>
        <v/>
      </c>
      <c r="E216" s="27">
        <f>IF($A216="","",_Engine!$AJ274-_Engine!$AK274)</f>
        <v/>
      </c>
      <c r="F216" s="27">
        <f>IF($A216="","",_Engine!$AI274)</f>
        <v/>
      </c>
      <c r="G216" s="27">
        <f>IF(OR($A216="",_Engine!$D$41=0),"",INDEX(_Engine!$E274:$X274,1,(_Engine!$J$41-1)*4+3))</f>
        <v/>
      </c>
      <c r="H216" s="27">
        <f>IF(OR($A216="",_Engine!$D$42=0),"",INDEX(_Engine!$E274:$X274,1,(_Engine!$J$42-1)*4+3))</f>
        <v/>
      </c>
      <c r="I216" s="27">
        <f>IF(OR($A216="",_Engine!$D$43=0),"",INDEX(_Engine!$E274:$X274,1,(_Engine!$J$43-1)*4+3))</f>
        <v/>
      </c>
      <c r="J216" s="27">
        <f>IF(OR($A216="",_Engine!$D$44=0),"",INDEX(_Engine!$E274:$X274,1,(_Engine!$J$44-1)*4+3))</f>
        <v/>
      </c>
      <c r="K216" s="27">
        <f>IF(OR($A216="",_Engine!$D$45=0),"",INDEX(_Engine!$E274:$X274,1,(_Engine!$J$45-1)*4+3))</f>
        <v/>
      </c>
    </row>
    <row r="217">
      <c r="A217" s="25">
        <f>IF(214&lt;=_Engine!$B$36,214,"")</f>
        <v/>
      </c>
      <c r="B217" s="26">
        <f>IF($A217="","",EDATE(_Engine!$B$5,$A217-1))</f>
        <v/>
      </c>
      <c r="C217" s="27">
        <f>IF($A217="","",_Engine!$AJ275)</f>
        <v/>
      </c>
      <c r="D217" s="27">
        <f>IF($A217="","",_Engine!$AK275)</f>
        <v/>
      </c>
      <c r="E217" s="27">
        <f>IF($A217="","",_Engine!$AJ275-_Engine!$AK275)</f>
        <v/>
      </c>
      <c r="F217" s="27">
        <f>IF($A217="","",_Engine!$AI275)</f>
        <v/>
      </c>
      <c r="G217" s="27">
        <f>IF(OR($A217="",_Engine!$D$41=0),"",INDEX(_Engine!$E275:$X275,1,(_Engine!$J$41-1)*4+3))</f>
        <v/>
      </c>
      <c r="H217" s="27">
        <f>IF(OR($A217="",_Engine!$D$42=0),"",INDEX(_Engine!$E275:$X275,1,(_Engine!$J$42-1)*4+3))</f>
        <v/>
      </c>
      <c r="I217" s="27">
        <f>IF(OR($A217="",_Engine!$D$43=0),"",INDEX(_Engine!$E275:$X275,1,(_Engine!$J$43-1)*4+3))</f>
        <v/>
      </c>
      <c r="J217" s="27">
        <f>IF(OR($A217="",_Engine!$D$44=0),"",INDEX(_Engine!$E275:$X275,1,(_Engine!$J$44-1)*4+3))</f>
        <v/>
      </c>
      <c r="K217" s="27">
        <f>IF(OR($A217="",_Engine!$D$45=0),"",INDEX(_Engine!$E275:$X275,1,(_Engine!$J$45-1)*4+3))</f>
        <v/>
      </c>
    </row>
    <row r="218">
      <c r="A218" s="25">
        <f>IF(215&lt;=_Engine!$B$36,215,"")</f>
        <v/>
      </c>
      <c r="B218" s="26">
        <f>IF($A218="","",EDATE(_Engine!$B$5,$A218-1))</f>
        <v/>
      </c>
      <c r="C218" s="27">
        <f>IF($A218="","",_Engine!$AJ276)</f>
        <v/>
      </c>
      <c r="D218" s="27">
        <f>IF($A218="","",_Engine!$AK276)</f>
        <v/>
      </c>
      <c r="E218" s="27">
        <f>IF($A218="","",_Engine!$AJ276-_Engine!$AK276)</f>
        <v/>
      </c>
      <c r="F218" s="27">
        <f>IF($A218="","",_Engine!$AI276)</f>
        <v/>
      </c>
      <c r="G218" s="27">
        <f>IF(OR($A218="",_Engine!$D$41=0),"",INDEX(_Engine!$E276:$X276,1,(_Engine!$J$41-1)*4+3))</f>
        <v/>
      </c>
      <c r="H218" s="27">
        <f>IF(OR($A218="",_Engine!$D$42=0),"",INDEX(_Engine!$E276:$X276,1,(_Engine!$J$42-1)*4+3))</f>
        <v/>
      </c>
      <c r="I218" s="27">
        <f>IF(OR($A218="",_Engine!$D$43=0),"",INDEX(_Engine!$E276:$X276,1,(_Engine!$J$43-1)*4+3))</f>
        <v/>
      </c>
      <c r="J218" s="27">
        <f>IF(OR($A218="",_Engine!$D$44=0),"",INDEX(_Engine!$E276:$X276,1,(_Engine!$J$44-1)*4+3))</f>
        <v/>
      </c>
      <c r="K218" s="27">
        <f>IF(OR($A218="",_Engine!$D$45=0),"",INDEX(_Engine!$E276:$X276,1,(_Engine!$J$45-1)*4+3))</f>
        <v/>
      </c>
    </row>
    <row r="219">
      <c r="A219" s="25">
        <f>IF(216&lt;=_Engine!$B$36,216,"")</f>
        <v/>
      </c>
      <c r="B219" s="26">
        <f>IF($A219="","",EDATE(_Engine!$B$5,$A219-1))</f>
        <v/>
      </c>
      <c r="C219" s="27">
        <f>IF($A219="","",_Engine!$AJ277)</f>
        <v/>
      </c>
      <c r="D219" s="27">
        <f>IF($A219="","",_Engine!$AK277)</f>
        <v/>
      </c>
      <c r="E219" s="27">
        <f>IF($A219="","",_Engine!$AJ277-_Engine!$AK277)</f>
        <v/>
      </c>
      <c r="F219" s="27">
        <f>IF($A219="","",_Engine!$AI277)</f>
        <v/>
      </c>
      <c r="G219" s="27">
        <f>IF(OR($A219="",_Engine!$D$41=0),"",INDEX(_Engine!$E277:$X277,1,(_Engine!$J$41-1)*4+3))</f>
        <v/>
      </c>
      <c r="H219" s="27">
        <f>IF(OR($A219="",_Engine!$D$42=0),"",INDEX(_Engine!$E277:$X277,1,(_Engine!$J$42-1)*4+3))</f>
        <v/>
      </c>
      <c r="I219" s="27">
        <f>IF(OR($A219="",_Engine!$D$43=0),"",INDEX(_Engine!$E277:$X277,1,(_Engine!$J$43-1)*4+3))</f>
        <v/>
      </c>
      <c r="J219" s="27">
        <f>IF(OR($A219="",_Engine!$D$44=0),"",INDEX(_Engine!$E277:$X277,1,(_Engine!$J$44-1)*4+3))</f>
        <v/>
      </c>
      <c r="K219" s="27">
        <f>IF(OR($A219="",_Engine!$D$45=0),"",INDEX(_Engine!$E277:$X277,1,(_Engine!$J$45-1)*4+3))</f>
        <v/>
      </c>
    </row>
    <row r="220">
      <c r="A220" s="25">
        <f>IF(217&lt;=_Engine!$B$36,217,"")</f>
        <v/>
      </c>
      <c r="B220" s="26">
        <f>IF($A220="","",EDATE(_Engine!$B$5,$A220-1))</f>
        <v/>
      </c>
      <c r="C220" s="27">
        <f>IF($A220="","",_Engine!$AJ278)</f>
        <v/>
      </c>
      <c r="D220" s="27">
        <f>IF($A220="","",_Engine!$AK278)</f>
        <v/>
      </c>
      <c r="E220" s="27">
        <f>IF($A220="","",_Engine!$AJ278-_Engine!$AK278)</f>
        <v/>
      </c>
      <c r="F220" s="27">
        <f>IF($A220="","",_Engine!$AI278)</f>
        <v/>
      </c>
      <c r="G220" s="27">
        <f>IF(OR($A220="",_Engine!$D$41=0),"",INDEX(_Engine!$E278:$X278,1,(_Engine!$J$41-1)*4+3))</f>
        <v/>
      </c>
      <c r="H220" s="27">
        <f>IF(OR($A220="",_Engine!$D$42=0),"",INDEX(_Engine!$E278:$X278,1,(_Engine!$J$42-1)*4+3))</f>
        <v/>
      </c>
      <c r="I220" s="27">
        <f>IF(OR($A220="",_Engine!$D$43=0),"",INDEX(_Engine!$E278:$X278,1,(_Engine!$J$43-1)*4+3))</f>
        <v/>
      </c>
      <c r="J220" s="27">
        <f>IF(OR($A220="",_Engine!$D$44=0),"",INDEX(_Engine!$E278:$X278,1,(_Engine!$J$44-1)*4+3))</f>
        <v/>
      </c>
      <c r="K220" s="27">
        <f>IF(OR($A220="",_Engine!$D$45=0),"",INDEX(_Engine!$E278:$X278,1,(_Engine!$J$45-1)*4+3))</f>
        <v/>
      </c>
    </row>
    <row r="221">
      <c r="A221" s="25">
        <f>IF(218&lt;=_Engine!$B$36,218,"")</f>
        <v/>
      </c>
      <c r="B221" s="26">
        <f>IF($A221="","",EDATE(_Engine!$B$5,$A221-1))</f>
        <v/>
      </c>
      <c r="C221" s="27">
        <f>IF($A221="","",_Engine!$AJ279)</f>
        <v/>
      </c>
      <c r="D221" s="27">
        <f>IF($A221="","",_Engine!$AK279)</f>
        <v/>
      </c>
      <c r="E221" s="27">
        <f>IF($A221="","",_Engine!$AJ279-_Engine!$AK279)</f>
        <v/>
      </c>
      <c r="F221" s="27">
        <f>IF($A221="","",_Engine!$AI279)</f>
        <v/>
      </c>
      <c r="G221" s="27">
        <f>IF(OR($A221="",_Engine!$D$41=0),"",INDEX(_Engine!$E279:$X279,1,(_Engine!$J$41-1)*4+3))</f>
        <v/>
      </c>
      <c r="H221" s="27">
        <f>IF(OR($A221="",_Engine!$D$42=0),"",INDEX(_Engine!$E279:$X279,1,(_Engine!$J$42-1)*4+3))</f>
        <v/>
      </c>
      <c r="I221" s="27">
        <f>IF(OR($A221="",_Engine!$D$43=0),"",INDEX(_Engine!$E279:$X279,1,(_Engine!$J$43-1)*4+3))</f>
        <v/>
      </c>
      <c r="J221" s="27">
        <f>IF(OR($A221="",_Engine!$D$44=0),"",INDEX(_Engine!$E279:$X279,1,(_Engine!$J$44-1)*4+3))</f>
        <v/>
      </c>
      <c r="K221" s="27">
        <f>IF(OR($A221="",_Engine!$D$45=0),"",INDEX(_Engine!$E279:$X279,1,(_Engine!$J$45-1)*4+3))</f>
        <v/>
      </c>
    </row>
    <row r="222">
      <c r="A222" s="25">
        <f>IF(219&lt;=_Engine!$B$36,219,"")</f>
        <v/>
      </c>
      <c r="B222" s="26">
        <f>IF($A222="","",EDATE(_Engine!$B$5,$A222-1))</f>
        <v/>
      </c>
      <c r="C222" s="27">
        <f>IF($A222="","",_Engine!$AJ280)</f>
        <v/>
      </c>
      <c r="D222" s="27">
        <f>IF($A222="","",_Engine!$AK280)</f>
        <v/>
      </c>
      <c r="E222" s="27">
        <f>IF($A222="","",_Engine!$AJ280-_Engine!$AK280)</f>
        <v/>
      </c>
      <c r="F222" s="27">
        <f>IF($A222="","",_Engine!$AI280)</f>
        <v/>
      </c>
      <c r="G222" s="27">
        <f>IF(OR($A222="",_Engine!$D$41=0),"",INDEX(_Engine!$E280:$X280,1,(_Engine!$J$41-1)*4+3))</f>
        <v/>
      </c>
      <c r="H222" s="27">
        <f>IF(OR($A222="",_Engine!$D$42=0),"",INDEX(_Engine!$E280:$X280,1,(_Engine!$J$42-1)*4+3))</f>
        <v/>
      </c>
      <c r="I222" s="27">
        <f>IF(OR($A222="",_Engine!$D$43=0),"",INDEX(_Engine!$E280:$X280,1,(_Engine!$J$43-1)*4+3))</f>
        <v/>
      </c>
      <c r="J222" s="27">
        <f>IF(OR($A222="",_Engine!$D$44=0),"",INDEX(_Engine!$E280:$X280,1,(_Engine!$J$44-1)*4+3))</f>
        <v/>
      </c>
      <c r="K222" s="27">
        <f>IF(OR($A222="",_Engine!$D$45=0),"",INDEX(_Engine!$E280:$X280,1,(_Engine!$J$45-1)*4+3))</f>
        <v/>
      </c>
    </row>
    <row r="223">
      <c r="A223" s="25">
        <f>IF(220&lt;=_Engine!$B$36,220,"")</f>
        <v/>
      </c>
      <c r="B223" s="26">
        <f>IF($A223="","",EDATE(_Engine!$B$5,$A223-1))</f>
        <v/>
      </c>
      <c r="C223" s="27">
        <f>IF($A223="","",_Engine!$AJ281)</f>
        <v/>
      </c>
      <c r="D223" s="27">
        <f>IF($A223="","",_Engine!$AK281)</f>
        <v/>
      </c>
      <c r="E223" s="27">
        <f>IF($A223="","",_Engine!$AJ281-_Engine!$AK281)</f>
        <v/>
      </c>
      <c r="F223" s="27">
        <f>IF($A223="","",_Engine!$AI281)</f>
        <v/>
      </c>
      <c r="G223" s="27">
        <f>IF(OR($A223="",_Engine!$D$41=0),"",INDEX(_Engine!$E281:$X281,1,(_Engine!$J$41-1)*4+3))</f>
        <v/>
      </c>
      <c r="H223" s="27">
        <f>IF(OR($A223="",_Engine!$D$42=0),"",INDEX(_Engine!$E281:$X281,1,(_Engine!$J$42-1)*4+3))</f>
        <v/>
      </c>
      <c r="I223" s="27">
        <f>IF(OR($A223="",_Engine!$D$43=0),"",INDEX(_Engine!$E281:$X281,1,(_Engine!$J$43-1)*4+3))</f>
        <v/>
      </c>
      <c r="J223" s="27">
        <f>IF(OR($A223="",_Engine!$D$44=0),"",INDEX(_Engine!$E281:$X281,1,(_Engine!$J$44-1)*4+3))</f>
        <v/>
      </c>
      <c r="K223" s="27">
        <f>IF(OR($A223="",_Engine!$D$45=0),"",INDEX(_Engine!$E281:$X281,1,(_Engine!$J$45-1)*4+3))</f>
        <v/>
      </c>
    </row>
    <row r="224">
      <c r="A224" s="25">
        <f>IF(221&lt;=_Engine!$B$36,221,"")</f>
        <v/>
      </c>
      <c r="B224" s="26">
        <f>IF($A224="","",EDATE(_Engine!$B$5,$A224-1))</f>
        <v/>
      </c>
      <c r="C224" s="27">
        <f>IF($A224="","",_Engine!$AJ282)</f>
        <v/>
      </c>
      <c r="D224" s="27">
        <f>IF($A224="","",_Engine!$AK282)</f>
        <v/>
      </c>
      <c r="E224" s="27">
        <f>IF($A224="","",_Engine!$AJ282-_Engine!$AK282)</f>
        <v/>
      </c>
      <c r="F224" s="27">
        <f>IF($A224="","",_Engine!$AI282)</f>
        <v/>
      </c>
      <c r="G224" s="27">
        <f>IF(OR($A224="",_Engine!$D$41=0),"",INDEX(_Engine!$E282:$X282,1,(_Engine!$J$41-1)*4+3))</f>
        <v/>
      </c>
      <c r="H224" s="27">
        <f>IF(OR($A224="",_Engine!$D$42=0),"",INDEX(_Engine!$E282:$X282,1,(_Engine!$J$42-1)*4+3))</f>
        <v/>
      </c>
      <c r="I224" s="27">
        <f>IF(OR($A224="",_Engine!$D$43=0),"",INDEX(_Engine!$E282:$X282,1,(_Engine!$J$43-1)*4+3))</f>
        <v/>
      </c>
      <c r="J224" s="27">
        <f>IF(OR($A224="",_Engine!$D$44=0),"",INDEX(_Engine!$E282:$X282,1,(_Engine!$J$44-1)*4+3))</f>
        <v/>
      </c>
      <c r="K224" s="27">
        <f>IF(OR($A224="",_Engine!$D$45=0),"",INDEX(_Engine!$E282:$X282,1,(_Engine!$J$45-1)*4+3))</f>
        <v/>
      </c>
    </row>
    <row r="225">
      <c r="A225" s="25">
        <f>IF(222&lt;=_Engine!$B$36,222,"")</f>
        <v/>
      </c>
      <c r="B225" s="26">
        <f>IF($A225="","",EDATE(_Engine!$B$5,$A225-1))</f>
        <v/>
      </c>
      <c r="C225" s="27">
        <f>IF($A225="","",_Engine!$AJ283)</f>
        <v/>
      </c>
      <c r="D225" s="27">
        <f>IF($A225="","",_Engine!$AK283)</f>
        <v/>
      </c>
      <c r="E225" s="27">
        <f>IF($A225="","",_Engine!$AJ283-_Engine!$AK283)</f>
        <v/>
      </c>
      <c r="F225" s="27">
        <f>IF($A225="","",_Engine!$AI283)</f>
        <v/>
      </c>
      <c r="G225" s="27">
        <f>IF(OR($A225="",_Engine!$D$41=0),"",INDEX(_Engine!$E283:$X283,1,(_Engine!$J$41-1)*4+3))</f>
        <v/>
      </c>
      <c r="H225" s="27">
        <f>IF(OR($A225="",_Engine!$D$42=0),"",INDEX(_Engine!$E283:$X283,1,(_Engine!$J$42-1)*4+3))</f>
        <v/>
      </c>
      <c r="I225" s="27">
        <f>IF(OR($A225="",_Engine!$D$43=0),"",INDEX(_Engine!$E283:$X283,1,(_Engine!$J$43-1)*4+3))</f>
        <v/>
      </c>
      <c r="J225" s="27">
        <f>IF(OR($A225="",_Engine!$D$44=0),"",INDEX(_Engine!$E283:$X283,1,(_Engine!$J$44-1)*4+3))</f>
        <v/>
      </c>
      <c r="K225" s="27">
        <f>IF(OR($A225="",_Engine!$D$45=0),"",INDEX(_Engine!$E283:$X283,1,(_Engine!$J$45-1)*4+3))</f>
        <v/>
      </c>
    </row>
    <row r="226">
      <c r="A226" s="25">
        <f>IF(223&lt;=_Engine!$B$36,223,"")</f>
        <v/>
      </c>
      <c r="B226" s="26">
        <f>IF($A226="","",EDATE(_Engine!$B$5,$A226-1))</f>
        <v/>
      </c>
      <c r="C226" s="27">
        <f>IF($A226="","",_Engine!$AJ284)</f>
        <v/>
      </c>
      <c r="D226" s="27">
        <f>IF($A226="","",_Engine!$AK284)</f>
        <v/>
      </c>
      <c r="E226" s="27">
        <f>IF($A226="","",_Engine!$AJ284-_Engine!$AK284)</f>
        <v/>
      </c>
      <c r="F226" s="27">
        <f>IF($A226="","",_Engine!$AI284)</f>
        <v/>
      </c>
      <c r="G226" s="27">
        <f>IF(OR($A226="",_Engine!$D$41=0),"",INDEX(_Engine!$E284:$X284,1,(_Engine!$J$41-1)*4+3))</f>
        <v/>
      </c>
      <c r="H226" s="27">
        <f>IF(OR($A226="",_Engine!$D$42=0),"",INDEX(_Engine!$E284:$X284,1,(_Engine!$J$42-1)*4+3))</f>
        <v/>
      </c>
      <c r="I226" s="27">
        <f>IF(OR($A226="",_Engine!$D$43=0),"",INDEX(_Engine!$E284:$X284,1,(_Engine!$J$43-1)*4+3))</f>
        <v/>
      </c>
      <c r="J226" s="27">
        <f>IF(OR($A226="",_Engine!$D$44=0),"",INDEX(_Engine!$E284:$X284,1,(_Engine!$J$44-1)*4+3))</f>
        <v/>
      </c>
      <c r="K226" s="27">
        <f>IF(OR($A226="",_Engine!$D$45=0),"",INDEX(_Engine!$E284:$X284,1,(_Engine!$J$45-1)*4+3))</f>
        <v/>
      </c>
    </row>
    <row r="227">
      <c r="A227" s="25">
        <f>IF(224&lt;=_Engine!$B$36,224,"")</f>
        <v/>
      </c>
      <c r="B227" s="26">
        <f>IF($A227="","",EDATE(_Engine!$B$5,$A227-1))</f>
        <v/>
      </c>
      <c r="C227" s="27">
        <f>IF($A227="","",_Engine!$AJ285)</f>
        <v/>
      </c>
      <c r="D227" s="27">
        <f>IF($A227="","",_Engine!$AK285)</f>
        <v/>
      </c>
      <c r="E227" s="27">
        <f>IF($A227="","",_Engine!$AJ285-_Engine!$AK285)</f>
        <v/>
      </c>
      <c r="F227" s="27">
        <f>IF($A227="","",_Engine!$AI285)</f>
        <v/>
      </c>
      <c r="G227" s="27">
        <f>IF(OR($A227="",_Engine!$D$41=0),"",INDEX(_Engine!$E285:$X285,1,(_Engine!$J$41-1)*4+3))</f>
        <v/>
      </c>
      <c r="H227" s="27">
        <f>IF(OR($A227="",_Engine!$D$42=0),"",INDEX(_Engine!$E285:$X285,1,(_Engine!$J$42-1)*4+3))</f>
        <v/>
      </c>
      <c r="I227" s="27">
        <f>IF(OR($A227="",_Engine!$D$43=0),"",INDEX(_Engine!$E285:$X285,1,(_Engine!$J$43-1)*4+3))</f>
        <v/>
      </c>
      <c r="J227" s="27">
        <f>IF(OR($A227="",_Engine!$D$44=0),"",INDEX(_Engine!$E285:$X285,1,(_Engine!$J$44-1)*4+3))</f>
        <v/>
      </c>
      <c r="K227" s="27">
        <f>IF(OR($A227="",_Engine!$D$45=0),"",INDEX(_Engine!$E285:$X285,1,(_Engine!$J$45-1)*4+3))</f>
        <v/>
      </c>
    </row>
    <row r="228">
      <c r="A228" s="25">
        <f>IF(225&lt;=_Engine!$B$36,225,"")</f>
        <v/>
      </c>
      <c r="B228" s="26">
        <f>IF($A228="","",EDATE(_Engine!$B$5,$A228-1))</f>
        <v/>
      </c>
      <c r="C228" s="27">
        <f>IF($A228="","",_Engine!$AJ286)</f>
        <v/>
      </c>
      <c r="D228" s="27">
        <f>IF($A228="","",_Engine!$AK286)</f>
        <v/>
      </c>
      <c r="E228" s="27">
        <f>IF($A228="","",_Engine!$AJ286-_Engine!$AK286)</f>
        <v/>
      </c>
      <c r="F228" s="27">
        <f>IF($A228="","",_Engine!$AI286)</f>
        <v/>
      </c>
      <c r="G228" s="27">
        <f>IF(OR($A228="",_Engine!$D$41=0),"",INDEX(_Engine!$E286:$X286,1,(_Engine!$J$41-1)*4+3))</f>
        <v/>
      </c>
      <c r="H228" s="27">
        <f>IF(OR($A228="",_Engine!$D$42=0),"",INDEX(_Engine!$E286:$X286,1,(_Engine!$J$42-1)*4+3))</f>
        <v/>
      </c>
      <c r="I228" s="27">
        <f>IF(OR($A228="",_Engine!$D$43=0),"",INDEX(_Engine!$E286:$X286,1,(_Engine!$J$43-1)*4+3))</f>
        <v/>
      </c>
      <c r="J228" s="27">
        <f>IF(OR($A228="",_Engine!$D$44=0),"",INDEX(_Engine!$E286:$X286,1,(_Engine!$J$44-1)*4+3))</f>
        <v/>
      </c>
      <c r="K228" s="27">
        <f>IF(OR($A228="",_Engine!$D$45=0),"",INDEX(_Engine!$E286:$X286,1,(_Engine!$J$45-1)*4+3))</f>
        <v/>
      </c>
    </row>
    <row r="229">
      <c r="A229" s="25">
        <f>IF(226&lt;=_Engine!$B$36,226,"")</f>
        <v/>
      </c>
      <c r="B229" s="26">
        <f>IF($A229="","",EDATE(_Engine!$B$5,$A229-1))</f>
        <v/>
      </c>
      <c r="C229" s="27">
        <f>IF($A229="","",_Engine!$AJ287)</f>
        <v/>
      </c>
      <c r="D229" s="27">
        <f>IF($A229="","",_Engine!$AK287)</f>
        <v/>
      </c>
      <c r="E229" s="27">
        <f>IF($A229="","",_Engine!$AJ287-_Engine!$AK287)</f>
        <v/>
      </c>
      <c r="F229" s="27">
        <f>IF($A229="","",_Engine!$AI287)</f>
        <v/>
      </c>
      <c r="G229" s="27">
        <f>IF(OR($A229="",_Engine!$D$41=0),"",INDEX(_Engine!$E287:$X287,1,(_Engine!$J$41-1)*4+3))</f>
        <v/>
      </c>
      <c r="H229" s="27">
        <f>IF(OR($A229="",_Engine!$D$42=0),"",INDEX(_Engine!$E287:$X287,1,(_Engine!$J$42-1)*4+3))</f>
        <v/>
      </c>
      <c r="I229" s="27">
        <f>IF(OR($A229="",_Engine!$D$43=0),"",INDEX(_Engine!$E287:$X287,1,(_Engine!$J$43-1)*4+3))</f>
        <v/>
      </c>
      <c r="J229" s="27">
        <f>IF(OR($A229="",_Engine!$D$44=0),"",INDEX(_Engine!$E287:$X287,1,(_Engine!$J$44-1)*4+3))</f>
        <v/>
      </c>
      <c r="K229" s="27">
        <f>IF(OR($A229="",_Engine!$D$45=0),"",INDEX(_Engine!$E287:$X287,1,(_Engine!$J$45-1)*4+3))</f>
        <v/>
      </c>
    </row>
    <row r="230">
      <c r="A230" s="25">
        <f>IF(227&lt;=_Engine!$B$36,227,"")</f>
        <v/>
      </c>
      <c r="B230" s="26">
        <f>IF($A230="","",EDATE(_Engine!$B$5,$A230-1))</f>
        <v/>
      </c>
      <c r="C230" s="27">
        <f>IF($A230="","",_Engine!$AJ288)</f>
        <v/>
      </c>
      <c r="D230" s="27">
        <f>IF($A230="","",_Engine!$AK288)</f>
        <v/>
      </c>
      <c r="E230" s="27">
        <f>IF($A230="","",_Engine!$AJ288-_Engine!$AK288)</f>
        <v/>
      </c>
      <c r="F230" s="27">
        <f>IF($A230="","",_Engine!$AI288)</f>
        <v/>
      </c>
      <c r="G230" s="27">
        <f>IF(OR($A230="",_Engine!$D$41=0),"",INDEX(_Engine!$E288:$X288,1,(_Engine!$J$41-1)*4+3))</f>
        <v/>
      </c>
      <c r="H230" s="27">
        <f>IF(OR($A230="",_Engine!$D$42=0),"",INDEX(_Engine!$E288:$X288,1,(_Engine!$J$42-1)*4+3))</f>
        <v/>
      </c>
      <c r="I230" s="27">
        <f>IF(OR($A230="",_Engine!$D$43=0),"",INDEX(_Engine!$E288:$X288,1,(_Engine!$J$43-1)*4+3))</f>
        <v/>
      </c>
      <c r="J230" s="27">
        <f>IF(OR($A230="",_Engine!$D$44=0),"",INDEX(_Engine!$E288:$X288,1,(_Engine!$J$44-1)*4+3))</f>
        <v/>
      </c>
      <c r="K230" s="27">
        <f>IF(OR($A230="",_Engine!$D$45=0),"",INDEX(_Engine!$E288:$X288,1,(_Engine!$J$45-1)*4+3))</f>
        <v/>
      </c>
    </row>
    <row r="231">
      <c r="A231" s="25">
        <f>IF(228&lt;=_Engine!$B$36,228,"")</f>
        <v/>
      </c>
      <c r="B231" s="26">
        <f>IF($A231="","",EDATE(_Engine!$B$5,$A231-1))</f>
        <v/>
      </c>
      <c r="C231" s="27">
        <f>IF($A231="","",_Engine!$AJ289)</f>
        <v/>
      </c>
      <c r="D231" s="27">
        <f>IF($A231="","",_Engine!$AK289)</f>
        <v/>
      </c>
      <c r="E231" s="27">
        <f>IF($A231="","",_Engine!$AJ289-_Engine!$AK289)</f>
        <v/>
      </c>
      <c r="F231" s="27">
        <f>IF($A231="","",_Engine!$AI289)</f>
        <v/>
      </c>
      <c r="G231" s="27">
        <f>IF(OR($A231="",_Engine!$D$41=0),"",INDEX(_Engine!$E289:$X289,1,(_Engine!$J$41-1)*4+3))</f>
        <v/>
      </c>
      <c r="H231" s="27">
        <f>IF(OR($A231="",_Engine!$D$42=0),"",INDEX(_Engine!$E289:$X289,1,(_Engine!$J$42-1)*4+3))</f>
        <v/>
      </c>
      <c r="I231" s="27">
        <f>IF(OR($A231="",_Engine!$D$43=0),"",INDEX(_Engine!$E289:$X289,1,(_Engine!$J$43-1)*4+3))</f>
        <v/>
      </c>
      <c r="J231" s="27">
        <f>IF(OR($A231="",_Engine!$D$44=0),"",INDEX(_Engine!$E289:$X289,1,(_Engine!$J$44-1)*4+3))</f>
        <v/>
      </c>
      <c r="K231" s="27">
        <f>IF(OR($A231="",_Engine!$D$45=0),"",INDEX(_Engine!$E289:$X289,1,(_Engine!$J$45-1)*4+3))</f>
        <v/>
      </c>
    </row>
    <row r="232">
      <c r="A232" s="25">
        <f>IF(229&lt;=_Engine!$B$36,229,"")</f>
        <v/>
      </c>
      <c r="B232" s="26">
        <f>IF($A232="","",EDATE(_Engine!$B$5,$A232-1))</f>
        <v/>
      </c>
      <c r="C232" s="27">
        <f>IF($A232="","",_Engine!$AJ290)</f>
        <v/>
      </c>
      <c r="D232" s="27">
        <f>IF($A232="","",_Engine!$AK290)</f>
        <v/>
      </c>
      <c r="E232" s="27">
        <f>IF($A232="","",_Engine!$AJ290-_Engine!$AK290)</f>
        <v/>
      </c>
      <c r="F232" s="27">
        <f>IF($A232="","",_Engine!$AI290)</f>
        <v/>
      </c>
      <c r="G232" s="27">
        <f>IF(OR($A232="",_Engine!$D$41=0),"",INDEX(_Engine!$E290:$X290,1,(_Engine!$J$41-1)*4+3))</f>
        <v/>
      </c>
      <c r="H232" s="27">
        <f>IF(OR($A232="",_Engine!$D$42=0),"",INDEX(_Engine!$E290:$X290,1,(_Engine!$J$42-1)*4+3))</f>
        <v/>
      </c>
      <c r="I232" s="27">
        <f>IF(OR($A232="",_Engine!$D$43=0),"",INDEX(_Engine!$E290:$X290,1,(_Engine!$J$43-1)*4+3))</f>
        <v/>
      </c>
      <c r="J232" s="27">
        <f>IF(OR($A232="",_Engine!$D$44=0),"",INDEX(_Engine!$E290:$X290,1,(_Engine!$J$44-1)*4+3))</f>
        <v/>
      </c>
      <c r="K232" s="27">
        <f>IF(OR($A232="",_Engine!$D$45=0),"",INDEX(_Engine!$E290:$X290,1,(_Engine!$J$45-1)*4+3))</f>
        <v/>
      </c>
    </row>
    <row r="233">
      <c r="A233" s="25">
        <f>IF(230&lt;=_Engine!$B$36,230,"")</f>
        <v/>
      </c>
      <c r="B233" s="26">
        <f>IF($A233="","",EDATE(_Engine!$B$5,$A233-1))</f>
        <v/>
      </c>
      <c r="C233" s="27">
        <f>IF($A233="","",_Engine!$AJ291)</f>
        <v/>
      </c>
      <c r="D233" s="27">
        <f>IF($A233="","",_Engine!$AK291)</f>
        <v/>
      </c>
      <c r="E233" s="27">
        <f>IF($A233="","",_Engine!$AJ291-_Engine!$AK291)</f>
        <v/>
      </c>
      <c r="F233" s="27">
        <f>IF($A233="","",_Engine!$AI291)</f>
        <v/>
      </c>
      <c r="G233" s="27">
        <f>IF(OR($A233="",_Engine!$D$41=0),"",INDEX(_Engine!$E291:$X291,1,(_Engine!$J$41-1)*4+3))</f>
        <v/>
      </c>
      <c r="H233" s="27">
        <f>IF(OR($A233="",_Engine!$D$42=0),"",INDEX(_Engine!$E291:$X291,1,(_Engine!$J$42-1)*4+3))</f>
        <v/>
      </c>
      <c r="I233" s="27">
        <f>IF(OR($A233="",_Engine!$D$43=0),"",INDEX(_Engine!$E291:$X291,1,(_Engine!$J$43-1)*4+3))</f>
        <v/>
      </c>
      <c r="J233" s="27">
        <f>IF(OR($A233="",_Engine!$D$44=0),"",INDEX(_Engine!$E291:$X291,1,(_Engine!$J$44-1)*4+3))</f>
        <v/>
      </c>
      <c r="K233" s="27">
        <f>IF(OR($A233="",_Engine!$D$45=0),"",INDEX(_Engine!$E291:$X291,1,(_Engine!$J$45-1)*4+3))</f>
        <v/>
      </c>
    </row>
    <row r="234">
      <c r="A234" s="25">
        <f>IF(231&lt;=_Engine!$B$36,231,"")</f>
        <v/>
      </c>
      <c r="B234" s="26">
        <f>IF($A234="","",EDATE(_Engine!$B$5,$A234-1))</f>
        <v/>
      </c>
      <c r="C234" s="27">
        <f>IF($A234="","",_Engine!$AJ292)</f>
        <v/>
      </c>
      <c r="D234" s="27">
        <f>IF($A234="","",_Engine!$AK292)</f>
        <v/>
      </c>
      <c r="E234" s="27">
        <f>IF($A234="","",_Engine!$AJ292-_Engine!$AK292)</f>
        <v/>
      </c>
      <c r="F234" s="27">
        <f>IF($A234="","",_Engine!$AI292)</f>
        <v/>
      </c>
      <c r="G234" s="27">
        <f>IF(OR($A234="",_Engine!$D$41=0),"",INDEX(_Engine!$E292:$X292,1,(_Engine!$J$41-1)*4+3))</f>
        <v/>
      </c>
      <c r="H234" s="27">
        <f>IF(OR($A234="",_Engine!$D$42=0),"",INDEX(_Engine!$E292:$X292,1,(_Engine!$J$42-1)*4+3))</f>
        <v/>
      </c>
      <c r="I234" s="27">
        <f>IF(OR($A234="",_Engine!$D$43=0),"",INDEX(_Engine!$E292:$X292,1,(_Engine!$J$43-1)*4+3))</f>
        <v/>
      </c>
      <c r="J234" s="27">
        <f>IF(OR($A234="",_Engine!$D$44=0),"",INDEX(_Engine!$E292:$X292,1,(_Engine!$J$44-1)*4+3))</f>
        <v/>
      </c>
      <c r="K234" s="27">
        <f>IF(OR($A234="",_Engine!$D$45=0),"",INDEX(_Engine!$E292:$X292,1,(_Engine!$J$45-1)*4+3))</f>
        <v/>
      </c>
    </row>
    <row r="235">
      <c r="A235" s="25">
        <f>IF(232&lt;=_Engine!$B$36,232,"")</f>
        <v/>
      </c>
      <c r="B235" s="26">
        <f>IF($A235="","",EDATE(_Engine!$B$5,$A235-1))</f>
        <v/>
      </c>
      <c r="C235" s="27">
        <f>IF($A235="","",_Engine!$AJ293)</f>
        <v/>
      </c>
      <c r="D235" s="27">
        <f>IF($A235="","",_Engine!$AK293)</f>
        <v/>
      </c>
      <c r="E235" s="27">
        <f>IF($A235="","",_Engine!$AJ293-_Engine!$AK293)</f>
        <v/>
      </c>
      <c r="F235" s="27">
        <f>IF($A235="","",_Engine!$AI293)</f>
        <v/>
      </c>
      <c r="G235" s="27">
        <f>IF(OR($A235="",_Engine!$D$41=0),"",INDEX(_Engine!$E293:$X293,1,(_Engine!$J$41-1)*4+3))</f>
        <v/>
      </c>
      <c r="H235" s="27">
        <f>IF(OR($A235="",_Engine!$D$42=0),"",INDEX(_Engine!$E293:$X293,1,(_Engine!$J$42-1)*4+3))</f>
        <v/>
      </c>
      <c r="I235" s="27">
        <f>IF(OR($A235="",_Engine!$D$43=0),"",INDEX(_Engine!$E293:$X293,1,(_Engine!$J$43-1)*4+3))</f>
        <v/>
      </c>
      <c r="J235" s="27">
        <f>IF(OR($A235="",_Engine!$D$44=0),"",INDEX(_Engine!$E293:$X293,1,(_Engine!$J$44-1)*4+3))</f>
        <v/>
      </c>
      <c r="K235" s="27">
        <f>IF(OR($A235="",_Engine!$D$45=0),"",INDEX(_Engine!$E293:$X293,1,(_Engine!$J$45-1)*4+3))</f>
        <v/>
      </c>
    </row>
    <row r="236">
      <c r="A236" s="25">
        <f>IF(233&lt;=_Engine!$B$36,233,"")</f>
        <v/>
      </c>
      <c r="B236" s="26">
        <f>IF($A236="","",EDATE(_Engine!$B$5,$A236-1))</f>
        <v/>
      </c>
      <c r="C236" s="27">
        <f>IF($A236="","",_Engine!$AJ294)</f>
        <v/>
      </c>
      <c r="D236" s="27">
        <f>IF($A236="","",_Engine!$AK294)</f>
        <v/>
      </c>
      <c r="E236" s="27">
        <f>IF($A236="","",_Engine!$AJ294-_Engine!$AK294)</f>
        <v/>
      </c>
      <c r="F236" s="27">
        <f>IF($A236="","",_Engine!$AI294)</f>
        <v/>
      </c>
      <c r="G236" s="27">
        <f>IF(OR($A236="",_Engine!$D$41=0),"",INDEX(_Engine!$E294:$X294,1,(_Engine!$J$41-1)*4+3))</f>
        <v/>
      </c>
      <c r="H236" s="27">
        <f>IF(OR($A236="",_Engine!$D$42=0),"",INDEX(_Engine!$E294:$X294,1,(_Engine!$J$42-1)*4+3))</f>
        <v/>
      </c>
      <c r="I236" s="27">
        <f>IF(OR($A236="",_Engine!$D$43=0),"",INDEX(_Engine!$E294:$X294,1,(_Engine!$J$43-1)*4+3))</f>
        <v/>
      </c>
      <c r="J236" s="27">
        <f>IF(OR($A236="",_Engine!$D$44=0),"",INDEX(_Engine!$E294:$X294,1,(_Engine!$J$44-1)*4+3))</f>
        <v/>
      </c>
      <c r="K236" s="27">
        <f>IF(OR($A236="",_Engine!$D$45=0),"",INDEX(_Engine!$E294:$X294,1,(_Engine!$J$45-1)*4+3))</f>
        <v/>
      </c>
    </row>
    <row r="237">
      <c r="A237" s="25">
        <f>IF(234&lt;=_Engine!$B$36,234,"")</f>
        <v/>
      </c>
      <c r="B237" s="26">
        <f>IF($A237="","",EDATE(_Engine!$B$5,$A237-1))</f>
        <v/>
      </c>
      <c r="C237" s="27">
        <f>IF($A237="","",_Engine!$AJ295)</f>
        <v/>
      </c>
      <c r="D237" s="27">
        <f>IF($A237="","",_Engine!$AK295)</f>
        <v/>
      </c>
      <c r="E237" s="27">
        <f>IF($A237="","",_Engine!$AJ295-_Engine!$AK295)</f>
        <v/>
      </c>
      <c r="F237" s="27">
        <f>IF($A237="","",_Engine!$AI295)</f>
        <v/>
      </c>
      <c r="G237" s="27">
        <f>IF(OR($A237="",_Engine!$D$41=0),"",INDEX(_Engine!$E295:$X295,1,(_Engine!$J$41-1)*4+3))</f>
        <v/>
      </c>
      <c r="H237" s="27">
        <f>IF(OR($A237="",_Engine!$D$42=0),"",INDEX(_Engine!$E295:$X295,1,(_Engine!$J$42-1)*4+3))</f>
        <v/>
      </c>
      <c r="I237" s="27">
        <f>IF(OR($A237="",_Engine!$D$43=0),"",INDEX(_Engine!$E295:$X295,1,(_Engine!$J$43-1)*4+3))</f>
        <v/>
      </c>
      <c r="J237" s="27">
        <f>IF(OR($A237="",_Engine!$D$44=0),"",INDEX(_Engine!$E295:$X295,1,(_Engine!$J$44-1)*4+3))</f>
        <v/>
      </c>
      <c r="K237" s="27">
        <f>IF(OR($A237="",_Engine!$D$45=0),"",INDEX(_Engine!$E295:$X295,1,(_Engine!$J$45-1)*4+3))</f>
        <v/>
      </c>
    </row>
    <row r="238">
      <c r="A238" s="25">
        <f>IF(235&lt;=_Engine!$B$36,235,"")</f>
        <v/>
      </c>
      <c r="B238" s="26">
        <f>IF($A238="","",EDATE(_Engine!$B$5,$A238-1))</f>
        <v/>
      </c>
      <c r="C238" s="27">
        <f>IF($A238="","",_Engine!$AJ296)</f>
        <v/>
      </c>
      <c r="D238" s="27">
        <f>IF($A238="","",_Engine!$AK296)</f>
        <v/>
      </c>
      <c r="E238" s="27">
        <f>IF($A238="","",_Engine!$AJ296-_Engine!$AK296)</f>
        <v/>
      </c>
      <c r="F238" s="27">
        <f>IF($A238="","",_Engine!$AI296)</f>
        <v/>
      </c>
      <c r="G238" s="27">
        <f>IF(OR($A238="",_Engine!$D$41=0),"",INDEX(_Engine!$E296:$X296,1,(_Engine!$J$41-1)*4+3))</f>
        <v/>
      </c>
      <c r="H238" s="27">
        <f>IF(OR($A238="",_Engine!$D$42=0),"",INDEX(_Engine!$E296:$X296,1,(_Engine!$J$42-1)*4+3))</f>
        <v/>
      </c>
      <c r="I238" s="27">
        <f>IF(OR($A238="",_Engine!$D$43=0),"",INDEX(_Engine!$E296:$X296,1,(_Engine!$J$43-1)*4+3))</f>
        <v/>
      </c>
      <c r="J238" s="27">
        <f>IF(OR($A238="",_Engine!$D$44=0),"",INDEX(_Engine!$E296:$X296,1,(_Engine!$J$44-1)*4+3))</f>
        <v/>
      </c>
      <c r="K238" s="27">
        <f>IF(OR($A238="",_Engine!$D$45=0),"",INDEX(_Engine!$E296:$X296,1,(_Engine!$J$45-1)*4+3))</f>
        <v/>
      </c>
    </row>
    <row r="239">
      <c r="A239" s="25">
        <f>IF(236&lt;=_Engine!$B$36,236,"")</f>
        <v/>
      </c>
      <c r="B239" s="26">
        <f>IF($A239="","",EDATE(_Engine!$B$5,$A239-1))</f>
        <v/>
      </c>
      <c r="C239" s="27">
        <f>IF($A239="","",_Engine!$AJ297)</f>
        <v/>
      </c>
      <c r="D239" s="27">
        <f>IF($A239="","",_Engine!$AK297)</f>
        <v/>
      </c>
      <c r="E239" s="27">
        <f>IF($A239="","",_Engine!$AJ297-_Engine!$AK297)</f>
        <v/>
      </c>
      <c r="F239" s="27">
        <f>IF($A239="","",_Engine!$AI297)</f>
        <v/>
      </c>
      <c r="G239" s="27">
        <f>IF(OR($A239="",_Engine!$D$41=0),"",INDEX(_Engine!$E297:$X297,1,(_Engine!$J$41-1)*4+3))</f>
        <v/>
      </c>
      <c r="H239" s="27">
        <f>IF(OR($A239="",_Engine!$D$42=0),"",INDEX(_Engine!$E297:$X297,1,(_Engine!$J$42-1)*4+3))</f>
        <v/>
      </c>
      <c r="I239" s="27">
        <f>IF(OR($A239="",_Engine!$D$43=0),"",INDEX(_Engine!$E297:$X297,1,(_Engine!$J$43-1)*4+3))</f>
        <v/>
      </c>
      <c r="J239" s="27">
        <f>IF(OR($A239="",_Engine!$D$44=0),"",INDEX(_Engine!$E297:$X297,1,(_Engine!$J$44-1)*4+3))</f>
        <v/>
      </c>
      <c r="K239" s="27">
        <f>IF(OR($A239="",_Engine!$D$45=0),"",INDEX(_Engine!$E297:$X297,1,(_Engine!$J$45-1)*4+3))</f>
        <v/>
      </c>
    </row>
    <row r="240">
      <c r="A240" s="25">
        <f>IF(237&lt;=_Engine!$B$36,237,"")</f>
        <v/>
      </c>
      <c r="B240" s="26">
        <f>IF($A240="","",EDATE(_Engine!$B$5,$A240-1))</f>
        <v/>
      </c>
      <c r="C240" s="27">
        <f>IF($A240="","",_Engine!$AJ298)</f>
        <v/>
      </c>
      <c r="D240" s="27">
        <f>IF($A240="","",_Engine!$AK298)</f>
        <v/>
      </c>
      <c r="E240" s="27">
        <f>IF($A240="","",_Engine!$AJ298-_Engine!$AK298)</f>
        <v/>
      </c>
      <c r="F240" s="27">
        <f>IF($A240="","",_Engine!$AI298)</f>
        <v/>
      </c>
      <c r="G240" s="27">
        <f>IF(OR($A240="",_Engine!$D$41=0),"",INDEX(_Engine!$E298:$X298,1,(_Engine!$J$41-1)*4+3))</f>
        <v/>
      </c>
      <c r="H240" s="27">
        <f>IF(OR($A240="",_Engine!$D$42=0),"",INDEX(_Engine!$E298:$X298,1,(_Engine!$J$42-1)*4+3))</f>
        <v/>
      </c>
      <c r="I240" s="27">
        <f>IF(OR($A240="",_Engine!$D$43=0),"",INDEX(_Engine!$E298:$X298,1,(_Engine!$J$43-1)*4+3))</f>
        <v/>
      </c>
      <c r="J240" s="27">
        <f>IF(OR($A240="",_Engine!$D$44=0),"",INDEX(_Engine!$E298:$X298,1,(_Engine!$J$44-1)*4+3))</f>
        <v/>
      </c>
      <c r="K240" s="27">
        <f>IF(OR($A240="",_Engine!$D$45=0),"",INDEX(_Engine!$E298:$X298,1,(_Engine!$J$45-1)*4+3))</f>
        <v/>
      </c>
    </row>
    <row r="241">
      <c r="A241" s="25">
        <f>IF(238&lt;=_Engine!$B$36,238,"")</f>
        <v/>
      </c>
      <c r="B241" s="26">
        <f>IF($A241="","",EDATE(_Engine!$B$5,$A241-1))</f>
        <v/>
      </c>
      <c r="C241" s="27">
        <f>IF($A241="","",_Engine!$AJ299)</f>
        <v/>
      </c>
      <c r="D241" s="27">
        <f>IF($A241="","",_Engine!$AK299)</f>
        <v/>
      </c>
      <c r="E241" s="27">
        <f>IF($A241="","",_Engine!$AJ299-_Engine!$AK299)</f>
        <v/>
      </c>
      <c r="F241" s="27">
        <f>IF($A241="","",_Engine!$AI299)</f>
        <v/>
      </c>
      <c r="G241" s="27">
        <f>IF(OR($A241="",_Engine!$D$41=0),"",INDEX(_Engine!$E299:$X299,1,(_Engine!$J$41-1)*4+3))</f>
        <v/>
      </c>
      <c r="H241" s="27">
        <f>IF(OR($A241="",_Engine!$D$42=0),"",INDEX(_Engine!$E299:$X299,1,(_Engine!$J$42-1)*4+3))</f>
        <v/>
      </c>
      <c r="I241" s="27">
        <f>IF(OR($A241="",_Engine!$D$43=0),"",INDEX(_Engine!$E299:$X299,1,(_Engine!$J$43-1)*4+3))</f>
        <v/>
      </c>
      <c r="J241" s="27">
        <f>IF(OR($A241="",_Engine!$D$44=0),"",INDEX(_Engine!$E299:$X299,1,(_Engine!$J$44-1)*4+3))</f>
        <v/>
      </c>
      <c r="K241" s="27">
        <f>IF(OR($A241="",_Engine!$D$45=0),"",INDEX(_Engine!$E299:$X299,1,(_Engine!$J$45-1)*4+3))</f>
        <v/>
      </c>
    </row>
    <row r="242">
      <c r="A242" s="25">
        <f>IF(239&lt;=_Engine!$B$36,239,"")</f>
        <v/>
      </c>
      <c r="B242" s="26">
        <f>IF($A242="","",EDATE(_Engine!$B$5,$A242-1))</f>
        <v/>
      </c>
      <c r="C242" s="27">
        <f>IF($A242="","",_Engine!$AJ300)</f>
        <v/>
      </c>
      <c r="D242" s="27">
        <f>IF($A242="","",_Engine!$AK300)</f>
        <v/>
      </c>
      <c r="E242" s="27">
        <f>IF($A242="","",_Engine!$AJ300-_Engine!$AK300)</f>
        <v/>
      </c>
      <c r="F242" s="27">
        <f>IF($A242="","",_Engine!$AI300)</f>
        <v/>
      </c>
      <c r="G242" s="27">
        <f>IF(OR($A242="",_Engine!$D$41=0),"",INDEX(_Engine!$E300:$X300,1,(_Engine!$J$41-1)*4+3))</f>
        <v/>
      </c>
      <c r="H242" s="27">
        <f>IF(OR($A242="",_Engine!$D$42=0),"",INDEX(_Engine!$E300:$X300,1,(_Engine!$J$42-1)*4+3))</f>
        <v/>
      </c>
      <c r="I242" s="27">
        <f>IF(OR($A242="",_Engine!$D$43=0),"",INDEX(_Engine!$E300:$X300,1,(_Engine!$J$43-1)*4+3))</f>
        <v/>
      </c>
      <c r="J242" s="27">
        <f>IF(OR($A242="",_Engine!$D$44=0),"",INDEX(_Engine!$E300:$X300,1,(_Engine!$J$44-1)*4+3))</f>
        <v/>
      </c>
      <c r="K242" s="27">
        <f>IF(OR($A242="",_Engine!$D$45=0),"",INDEX(_Engine!$E300:$X300,1,(_Engine!$J$45-1)*4+3))</f>
        <v/>
      </c>
    </row>
    <row r="243">
      <c r="A243" s="25">
        <f>IF(240&lt;=_Engine!$B$36,240,"")</f>
        <v/>
      </c>
      <c r="B243" s="26">
        <f>IF($A243="","",EDATE(_Engine!$B$5,$A243-1))</f>
        <v/>
      </c>
      <c r="C243" s="27">
        <f>IF($A243="","",_Engine!$AJ301)</f>
        <v/>
      </c>
      <c r="D243" s="27">
        <f>IF($A243="","",_Engine!$AK301)</f>
        <v/>
      </c>
      <c r="E243" s="27">
        <f>IF($A243="","",_Engine!$AJ301-_Engine!$AK301)</f>
        <v/>
      </c>
      <c r="F243" s="27">
        <f>IF($A243="","",_Engine!$AI301)</f>
        <v/>
      </c>
      <c r="G243" s="27">
        <f>IF(OR($A243="",_Engine!$D$41=0),"",INDEX(_Engine!$E301:$X301,1,(_Engine!$J$41-1)*4+3))</f>
        <v/>
      </c>
      <c r="H243" s="27">
        <f>IF(OR($A243="",_Engine!$D$42=0),"",INDEX(_Engine!$E301:$X301,1,(_Engine!$J$42-1)*4+3))</f>
        <v/>
      </c>
      <c r="I243" s="27">
        <f>IF(OR($A243="",_Engine!$D$43=0),"",INDEX(_Engine!$E301:$X301,1,(_Engine!$J$43-1)*4+3))</f>
        <v/>
      </c>
      <c r="J243" s="27">
        <f>IF(OR($A243="",_Engine!$D$44=0),"",INDEX(_Engine!$E301:$X301,1,(_Engine!$J$44-1)*4+3))</f>
        <v/>
      </c>
      <c r="K243" s="27">
        <f>IF(OR($A243="",_Engine!$D$45=0),"",INDEX(_Engine!$E301:$X301,1,(_Engine!$J$45-1)*4+3))</f>
        <v/>
      </c>
    </row>
    <row r="244">
      <c r="A244" s="25">
        <f>IF(241&lt;=_Engine!$B$36,241,"")</f>
        <v/>
      </c>
      <c r="B244" s="26">
        <f>IF($A244="","",EDATE(_Engine!$B$5,$A244-1))</f>
        <v/>
      </c>
      <c r="C244" s="27">
        <f>IF($A244="","",_Engine!$AJ302)</f>
        <v/>
      </c>
      <c r="D244" s="27">
        <f>IF($A244="","",_Engine!$AK302)</f>
        <v/>
      </c>
      <c r="E244" s="27">
        <f>IF($A244="","",_Engine!$AJ302-_Engine!$AK302)</f>
        <v/>
      </c>
      <c r="F244" s="27">
        <f>IF($A244="","",_Engine!$AI302)</f>
        <v/>
      </c>
      <c r="G244" s="27">
        <f>IF(OR($A244="",_Engine!$D$41=0),"",INDEX(_Engine!$E302:$X302,1,(_Engine!$J$41-1)*4+3))</f>
        <v/>
      </c>
      <c r="H244" s="27">
        <f>IF(OR($A244="",_Engine!$D$42=0),"",INDEX(_Engine!$E302:$X302,1,(_Engine!$J$42-1)*4+3))</f>
        <v/>
      </c>
      <c r="I244" s="27">
        <f>IF(OR($A244="",_Engine!$D$43=0),"",INDEX(_Engine!$E302:$X302,1,(_Engine!$J$43-1)*4+3))</f>
        <v/>
      </c>
      <c r="J244" s="27">
        <f>IF(OR($A244="",_Engine!$D$44=0),"",INDEX(_Engine!$E302:$X302,1,(_Engine!$J$44-1)*4+3))</f>
        <v/>
      </c>
      <c r="K244" s="27">
        <f>IF(OR($A244="",_Engine!$D$45=0),"",INDEX(_Engine!$E302:$X302,1,(_Engine!$J$45-1)*4+3))</f>
        <v/>
      </c>
    </row>
    <row r="245">
      <c r="A245" s="25">
        <f>IF(242&lt;=_Engine!$B$36,242,"")</f>
        <v/>
      </c>
      <c r="B245" s="26">
        <f>IF($A245="","",EDATE(_Engine!$B$5,$A245-1))</f>
        <v/>
      </c>
      <c r="C245" s="27">
        <f>IF($A245="","",_Engine!$AJ303)</f>
        <v/>
      </c>
      <c r="D245" s="27">
        <f>IF($A245="","",_Engine!$AK303)</f>
        <v/>
      </c>
      <c r="E245" s="27">
        <f>IF($A245="","",_Engine!$AJ303-_Engine!$AK303)</f>
        <v/>
      </c>
      <c r="F245" s="27">
        <f>IF($A245="","",_Engine!$AI303)</f>
        <v/>
      </c>
      <c r="G245" s="27">
        <f>IF(OR($A245="",_Engine!$D$41=0),"",INDEX(_Engine!$E303:$X303,1,(_Engine!$J$41-1)*4+3))</f>
        <v/>
      </c>
      <c r="H245" s="27">
        <f>IF(OR($A245="",_Engine!$D$42=0),"",INDEX(_Engine!$E303:$X303,1,(_Engine!$J$42-1)*4+3))</f>
        <v/>
      </c>
      <c r="I245" s="27">
        <f>IF(OR($A245="",_Engine!$D$43=0),"",INDEX(_Engine!$E303:$X303,1,(_Engine!$J$43-1)*4+3))</f>
        <v/>
      </c>
      <c r="J245" s="27">
        <f>IF(OR($A245="",_Engine!$D$44=0),"",INDEX(_Engine!$E303:$X303,1,(_Engine!$J$44-1)*4+3))</f>
        <v/>
      </c>
      <c r="K245" s="27">
        <f>IF(OR($A245="",_Engine!$D$45=0),"",INDEX(_Engine!$E303:$X303,1,(_Engine!$J$45-1)*4+3))</f>
        <v/>
      </c>
    </row>
    <row r="246">
      <c r="A246" s="25">
        <f>IF(243&lt;=_Engine!$B$36,243,"")</f>
        <v/>
      </c>
      <c r="B246" s="26">
        <f>IF($A246="","",EDATE(_Engine!$B$5,$A246-1))</f>
        <v/>
      </c>
      <c r="C246" s="27">
        <f>IF($A246="","",_Engine!$AJ304)</f>
        <v/>
      </c>
      <c r="D246" s="27">
        <f>IF($A246="","",_Engine!$AK304)</f>
        <v/>
      </c>
      <c r="E246" s="27">
        <f>IF($A246="","",_Engine!$AJ304-_Engine!$AK304)</f>
        <v/>
      </c>
      <c r="F246" s="27">
        <f>IF($A246="","",_Engine!$AI304)</f>
        <v/>
      </c>
      <c r="G246" s="27">
        <f>IF(OR($A246="",_Engine!$D$41=0),"",INDEX(_Engine!$E304:$X304,1,(_Engine!$J$41-1)*4+3))</f>
        <v/>
      </c>
      <c r="H246" s="27">
        <f>IF(OR($A246="",_Engine!$D$42=0),"",INDEX(_Engine!$E304:$X304,1,(_Engine!$J$42-1)*4+3))</f>
        <v/>
      </c>
      <c r="I246" s="27">
        <f>IF(OR($A246="",_Engine!$D$43=0),"",INDEX(_Engine!$E304:$X304,1,(_Engine!$J$43-1)*4+3))</f>
        <v/>
      </c>
      <c r="J246" s="27">
        <f>IF(OR($A246="",_Engine!$D$44=0),"",INDEX(_Engine!$E304:$X304,1,(_Engine!$J$44-1)*4+3))</f>
        <v/>
      </c>
      <c r="K246" s="27">
        <f>IF(OR($A246="",_Engine!$D$45=0),"",INDEX(_Engine!$E304:$X304,1,(_Engine!$J$45-1)*4+3))</f>
        <v/>
      </c>
    </row>
    <row r="247">
      <c r="A247" s="25">
        <f>IF(244&lt;=_Engine!$B$36,244,"")</f>
        <v/>
      </c>
      <c r="B247" s="26">
        <f>IF($A247="","",EDATE(_Engine!$B$5,$A247-1))</f>
        <v/>
      </c>
      <c r="C247" s="27">
        <f>IF($A247="","",_Engine!$AJ305)</f>
        <v/>
      </c>
      <c r="D247" s="27">
        <f>IF($A247="","",_Engine!$AK305)</f>
        <v/>
      </c>
      <c r="E247" s="27">
        <f>IF($A247="","",_Engine!$AJ305-_Engine!$AK305)</f>
        <v/>
      </c>
      <c r="F247" s="27">
        <f>IF($A247="","",_Engine!$AI305)</f>
        <v/>
      </c>
      <c r="G247" s="27">
        <f>IF(OR($A247="",_Engine!$D$41=0),"",INDEX(_Engine!$E305:$X305,1,(_Engine!$J$41-1)*4+3))</f>
        <v/>
      </c>
      <c r="H247" s="27">
        <f>IF(OR($A247="",_Engine!$D$42=0),"",INDEX(_Engine!$E305:$X305,1,(_Engine!$J$42-1)*4+3))</f>
        <v/>
      </c>
      <c r="I247" s="27">
        <f>IF(OR($A247="",_Engine!$D$43=0),"",INDEX(_Engine!$E305:$X305,1,(_Engine!$J$43-1)*4+3))</f>
        <v/>
      </c>
      <c r="J247" s="27">
        <f>IF(OR($A247="",_Engine!$D$44=0),"",INDEX(_Engine!$E305:$X305,1,(_Engine!$J$44-1)*4+3))</f>
        <v/>
      </c>
      <c r="K247" s="27">
        <f>IF(OR($A247="",_Engine!$D$45=0),"",INDEX(_Engine!$E305:$X305,1,(_Engine!$J$45-1)*4+3))</f>
        <v/>
      </c>
    </row>
    <row r="248">
      <c r="A248" s="25">
        <f>IF(245&lt;=_Engine!$B$36,245,"")</f>
        <v/>
      </c>
      <c r="B248" s="26">
        <f>IF($A248="","",EDATE(_Engine!$B$5,$A248-1))</f>
        <v/>
      </c>
      <c r="C248" s="27">
        <f>IF($A248="","",_Engine!$AJ306)</f>
        <v/>
      </c>
      <c r="D248" s="27">
        <f>IF($A248="","",_Engine!$AK306)</f>
        <v/>
      </c>
      <c r="E248" s="27">
        <f>IF($A248="","",_Engine!$AJ306-_Engine!$AK306)</f>
        <v/>
      </c>
      <c r="F248" s="27">
        <f>IF($A248="","",_Engine!$AI306)</f>
        <v/>
      </c>
      <c r="G248" s="27">
        <f>IF(OR($A248="",_Engine!$D$41=0),"",INDEX(_Engine!$E306:$X306,1,(_Engine!$J$41-1)*4+3))</f>
        <v/>
      </c>
      <c r="H248" s="27">
        <f>IF(OR($A248="",_Engine!$D$42=0),"",INDEX(_Engine!$E306:$X306,1,(_Engine!$J$42-1)*4+3))</f>
        <v/>
      </c>
      <c r="I248" s="27">
        <f>IF(OR($A248="",_Engine!$D$43=0),"",INDEX(_Engine!$E306:$X306,1,(_Engine!$J$43-1)*4+3))</f>
        <v/>
      </c>
      <c r="J248" s="27">
        <f>IF(OR($A248="",_Engine!$D$44=0),"",INDEX(_Engine!$E306:$X306,1,(_Engine!$J$44-1)*4+3))</f>
        <v/>
      </c>
      <c r="K248" s="27">
        <f>IF(OR($A248="",_Engine!$D$45=0),"",INDEX(_Engine!$E306:$X306,1,(_Engine!$J$45-1)*4+3))</f>
        <v/>
      </c>
    </row>
    <row r="249">
      <c r="A249" s="25">
        <f>IF(246&lt;=_Engine!$B$36,246,"")</f>
        <v/>
      </c>
      <c r="B249" s="26">
        <f>IF($A249="","",EDATE(_Engine!$B$5,$A249-1))</f>
        <v/>
      </c>
      <c r="C249" s="27">
        <f>IF($A249="","",_Engine!$AJ307)</f>
        <v/>
      </c>
      <c r="D249" s="27">
        <f>IF($A249="","",_Engine!$AK307)</f>
        <v/>
      </c>
      <c r="E249" s="27">
        <f>IF($A249="","",_Engine!$AJ307-_Engine!$AK307)</f>
        <v/>
      </c>
      <c r="F249" s="27">
        <f>IF($A249="","",_Engine!$AI307)</f>
        <v/>
      </c>
      <c r="G249" s="27">
        <f>IF(OR($A249="",_Engine!$D$41=0),"",INDEX(_Engine!$E307:$X307,1,(_Engine!$J$41-1)*4+3))</f>
        <v/>
      </c>
      <c r="H249" s="27">
        <f>IF(OR($A249="",_Engine!$D$42=0),"",INDEX(_Engine!$E307:$X307,1,(_Engine!$J$42-1)*4+3))</f>
        <v/>
      </c>
      <c r="I249" s="27">
        <f>IF(OR($A249="",_Engine!$D$43=0),"",INDEX(_Engine!$E307:$X307,1,(_Engine!$J$43-1)*4+3))</f>
        <v/>
      </c>
      <c r="J249" s="27">
        <f>IF(OR($A249="",_Engine!$D$44=0),"",INDEX(_Engine!$E307:$X307,1,(_Engine!$J$44-1)*4+3))</f>
        <v/>
      </c>
      <c r="K249" s="27">
        <f>IF(OR($A249="",_Engine!$D$45=0),"",INDEX(_Engine!$E307:$X307,1,(_Engine!$J$45-1)*4+3))</f>
        <v/>
      </c>
    </row>
    <row r="250">
      <c r="A250" s="25">
        <f>IF(247&lt;=_Engine!$B$36,247,"")</f>
        <v/>
      </c>
      <c r="B250" s="26">
        <f>IF($A250="","",EDATE(_Engine!$B$5,$A250-1))</f>
        <v/>
      </c>
      <c r="C250" s="27">
        <f>IF($A250="","",_Engine!$AJ308)</f>
        <v/>
      </c>
      <c r="D250" s="27">
        <f>IF($A250="","",_Engine!$AK308)</f>
        <v/>
      </c>
      <c r="E250" s="27">
        <f>IF($A250="","",_Engine!$AJ308-_Engine!$AK308)</f>
        <v/>
      </c>
      <c r="F250" s="27">
        <f>IF($A250="","",_Engine!$AI308)</f>
        <v/>
      </c>
      <c r="G250" s="27">
        <f>IF(OR($A250="",_Engine!$D$41=0),"",INDEX(_Engine!$E308:$X308,1,(_Engine!$J$41-1)*4+3))</f>
        <v/>
      </c>
      <c r="H250" s="27">
        <f>IF(OR($A250="",_Engine!$D$42=0),"",INDEX(_Engine!$E308:$X308,1,(_Engine!$J$42-1)*4+3))</f>
        <v/>
      </c>
      <c r="I250" s="27">
        <f>IF(OR($A250="",_Engine!$D$43=0),"",INDEX(_Engine!$E308:$X308,1,(_Engine!$J$43-1)*4+3))</f>
        <v/>
      </c>
      <c r="J250" s="27">
        <f>IF(OR($A250="",_Engine!$D$44=0),"",INDEX(_Engine!$E308:$X308,1,(_Engine!$J$44-1)*4+3))</f>
        <v/>
      </c>
      <c r="K250" s="27">
        <f>IF(OR($A250="",_Engine!$D$45=0),"",INDEX(_Engine!$E308:$X308,1,(_Engine!$J$45-1)*4+3))</f>
        <v/>
      </c>
    </row>
    <row r="251">
      <c r="A251" s="25">
        <f>IF(248&lt;=_Engine!$B$36,248,"")</f>
        <v/>
      </c>
      <c r="B251" s="26">
        <f>IF($A251="","",EDATE(_Engine!$B$5,$A251-1))</f>
        <v/>
      </c>
      <c r="C251" s="27">
        <f>IF($A251="","",_Engine!$AJ309)</f>
        <v/>
      </c>
      <c r="D251" s="27">
        <f>IF($A251="","",_Engine!$AK309)</f>
        <v/>
      </c>
      <c r="E251" s="27">
        <f>IF($A251="","",_Engine!$AJ309-_Engine!$AK309)</f>
        <v/>
      </c>
      <c r="F251" s="27">
        <f>IF($A251="","",_Engine!$AI309)</f>
        <v/>
      </c>
      <c r="G251" s="27">
        <f>IF(OR($A251="",_Engine!$D$41=0),"",INDEX(_Engine!$E309:$X309,1,(_Engine!$J$41-1)*4+3))</f>
        <v/>
      </c>
      <c r="H251" s="27">
        <f>IF(OR($A251="",_Engine!$D$42=0),"",INDEX(_Engine!$E309:$X309,1,(_Engine!$J$42-1)*4+3))</f>
        <v/>
      </c>
      <c r="I251" s="27">
        <f>IF(OR($A251="",_Engine!$D$43=0),"",INDEX(_Engine!$E309:$X309,1,(_Engine!$J$43-1)*4+3))</f>
        <v/>
      </c>
      <c r="J251" s="27">
        <f>IF(OR($A251="",_Engine!$D$44=0),"",INDEX(_Engine!$E309:$X309,1,(_Engine!$J$44-1)*4+3))</f>
        <v/>
      </c>
      <c r="K251" s="27">
        <f>IF(OR($A251="",_Engine!$D$45=0),"",INDEX(_Engine!$E309:$X309,1,(_Engine!$J$45-1)*4+3))</f>
        <v/>
      </c>
    </row>
    <row r="252">
      <c r="A252" s="25">
        <f>IF(249&lt;=_Engine!$B$36,249,"")</f>
        <v/>
      </c>
      <c r="B252" s="26">
        <f>IF($A252="","",EDATE(_Engine!$B$5,$A252-1))</f>
        <v/>
      </c>
      <c r="C252" s="27">
        <f>IF($A252="","",_Engine!$AJ310)</f>
        <v/>
      </c>
      <c r="D252" s="27">
        <f>IF($A252="","",_Engine!$AK310)</f>
        <v/>
      </c>
      <c r="E252" s="27">
        <f>IF($A252="","",_Engine!$AJ310-_Engine!$AK310)</f>
        <v/>
      </c>
      <c r="F252" s="27">
        <f>IF($A252="","",_Engine!$AI310)</f>
        <v/>
      </c>
      <c r="G252" s="27">
        <f>IF(OR($A252="",_Engine!$D$41=0),"",INDEX(_Engine!$E310:$X310,1,(_Engine!$J$41-1)*4+3))</f>
        <v/>
      </c>
      <c r="H252" s="27">
        <f>IF(OR($A252="",_Engine!$D$42=0),"",INDEX(_Engine!$E310:$X310,1,(_Engine!$J$42-1)*4+3))</f>
        <v/>
      </c>
      <c r="I252" s="27">
        <f>IF(OR($A252="",_Engine!$D$43=0),"",INDEX(_Engine!$E310:$X310,1,(_Engine!$J$43-1)*4+3))</f>
        <v/>
      </c>
      <c r="J252" s="27">
        <f>IF(OR($A252="",_Engine!$D$44=0),"",INDEX(_Engine!$E310:$X310,1,(_Engine!$J$44-1)*4+3))</f>
        <v/>
      </c>
      <c r="K252" s="27">
        <f>IF(OR($A252="",_Engine!$D$45=0),"",INDEX(_Engine!$E310:$X310,1,(_Engine!$J$45-1)*4+3))</f>
        <v/>
      </c>
    </row>
    <row r="253">
      <c r="A253" s="25">
        <f>IF(250&lt;=_Engine!$B$36,250,"")</f>
        <v/>
      </c>
      <c r="B253" s="26">
        <f>IF($A253="","",EDATE(_Engine!$B$5,$A253-1))</f>
        <v/>
      </c>
      <c r="C253" s="27">
        <f>IF($A253="","",_Engine!$AJ311)</f>
        <v/>
      </c>
      <c r="D253" s="27">
        <f>IF($A253="","",_Engine!$AK311)</f>
        <v/>
      </c>
      <c r="E253" s="27">
        <f>IF($A253="","",_Engine!$AJ311-_Engine!$AK311)</f>
        <v/>
      </c>
      <c r="F253" s="27">
        <f>IF($A253="","",_Engine!$AI311)</f>
        <v/>
      </c>
      <c r="G253" s="27">
        <f>IF(OR($A253="",_Engine!$D$41=0),"",INDEX(_Engine!$E311:$X311,1,(_Engine!$J$41-1)*4+3))</f>
        <v/>
      </c>
      <c r="H253" s="27">
        <f>IF(OR($A253="",_Engine!$D$42=0),"",INDEX(_Engine!$E311:$X311,1,(_Engine!$J$42-1)*4+3))</f>
        <v/>
      </c>
      <c r="I253" s="27">
        <f>IF(OR($A253="",_Engine!$D$43=0),"",INDEX(_Engine!$E311:$X311,1,(_Engine!$J$43-1)*4+3))</f>
        <v/>
      </c>
      <c r="J253" s="27">
        <f>IF(OR($A253="",_Engine!$D$44=0),"",INDEX(_Engine!$E311:$X311,1,(_Engine!$J$44-1)*4+3))</f>
        <v/>
      </c>
      <c r="K253" s="27">
        <f>IF(OR($A253="",_Engine!$D$45=0),"",INDEX(_Engine!$E311:$X311,1,(_Engine!$J$45-1)*4+3))</f>
        <v/>
      </c>
    </row>
    <row r="254">
      <c r="A254" s="25">
        <f>IF(251&lt;=_Engine!$B$36,251,"")</f>
        <v/>
      </c>
      <c r="B254" s="26">
        <f>IF($A254="","",EDATE(_Engine!$B$5,$A254-1))</f>
        <v/>
      </c>
      <c r="C254" s="27">
        <f>IF($A254="","",_Engine!$AJ312)</f>
        <v/>
      </c>
      <c r="D254" s="27">
        <f>IF($A254="","",_Engine!$AK312)</f>
        <v/>
      </c>
      <c r="E254" s="27">
        <f>IF($A254="","",_Engine!$AJ312-_Engine!$AK312)</f>
        <v/>
      </c>
      <c r="F254" s="27">
        <f>IF($A254="","",_Engine!$AI312)</f>
        <v/>
      </c>
      <c r="G254" s="27">
        <f>IF(OR($A254="",_Engine!$D$41=0),"",INDEX(_Engine!$E312:$X312,1,(_Engine!$J$41-1)*4+3))</f>
        <v/>
      </c>
      <c r="H254" s="27">
        <f>IF(OR($A254="",_Engine!$D$42=0),"",INDEX(_Engine!$E312:$X312,1,(_Engine!$J$42-1)*4+3))</f>
        <v/>
      </c>
      <c r="I254" s="27">
        <f>IF(OR($A254="",_Engine!$D$43=0),"",INDEX(_Engine!$E312:$X312,1,(_Engine!$J$43-1)*4+3))</f>
        <v/>
      </c>
      <c r="J254" s="27">
        <f>IF(OR($A254="",_Engine!$D$44=0),"",INDEX(_Engine!$E312:$X312,1,(_Engine!$J$44-1)*4+3))</f>
        <v/>
      </c>
      <c r="K254" s="27">
        <f>IF(OR($A254="",_Engine!$D$45=0),"",INDEX(_Engine!$E312:$X312,1,(_Engine!$J$45-1)*4+3))</f>
        <v/>
      </c>
    </row>
    <row r="255">
      <c r="A255" s="25">
        <f>IF(252&lt;=_Engine!$B$36,252,"")</f>
        <v/>
      </c>
      <c r="B255" s="26">
        <f>IF($A255="","",EDATE(_Engine!$B$5,$A255-1))</f>
        <v/>
      </c>
      <c r="C255" s="27">
        <f>IF($A255="","",_Engine!$AJ313)</f>
        <v/>
      </c>
      <c r="D255" s="27">
        <f>IF($A255="","",_Engine!$AK313)</f>
        <v/>
      </c>
      <c r="E255" s="27">
        <f>IF($A255="","",_Engine!$AJ313-_Engine!$AK313)</f>
        <v/>
      </c>
      <c r="F255" s="27">
        <f>IF($A255="","",_Engine!$AI313)</f>
        <v/>
      </c>
      <c r="G255" s="27">
        <f>IF(OR($A255="",_Engine!$D$41=0),"",INDEX(_Engine!$E313:$X313,1,(_Engine!$J$41-1)*4+3))</f>
        <v/>
      </c>
      <c r="H255" s="27">
        <f>IF(OR($A255="",_Engine!$D$42=0),"",INDEX(_Engine!$E313:$X313,1,(_Engine!$J$42-1)*4+3))</f>
        <v/>
      </c>
      <c r="I255" s="27">
        <f>IF(OR($A255="",_Engine!$D$43=0),"",INDEX(_Engine!$E313:$X313,1,(_Engine!$J$43-1)*4+3))</f>
        <v/>
      </c>
      <c r="J255" s="27">
        <f>IF(OR($A255="",_Engine!$D$44=0),"",INDEX(_Engine!$E313:$X313,1,(_Engine!$J$44-1)*4+3))</f>
        <v/>
      </c>
      <c r="K255" s="27">
        <f>IF(OR($A255="",_Engine!$D$45=0),"",INDEX(_Engine!$E313:$X313,1,(_Engine!$J$45-1)*4+3))</f>
        <v/>
      </c>
    </row>
    <row r="256">
      <c r="A256" s="25">
        <f>IF(253&lt;=_Engine!$B$36,253,"")</f>
        <v/>
      </c>
      <c r="B256" s="26">
        <f>IF($A256="","",EDATE(_Engine!$B$5,$A256-1))</f>
        <v/>
      </c>
      <c r="C256" s="27">
        <f>IF($A256="","",_Engine!$AJ314)</f>
        <v/>
      </c>
      <c r="D256" s="27">
        <f>IF($A256="","",_Engine!$AK314)</f>
        <v/>
      </c>
      <c r="E256" s="27">
        <f>IF($A256="","",_Engine!$AJ314-_Engine!$AK314)</f>
        <v/>
      </c>
      <c r="F256" s="27">
        <f>IF($A256="","",_Engine!$AI314)</f>
        <v/>
      </c>
      <c r="G256" s="27">
        <f>IF(OR($A256="",_Engine!$D$41=0),"",INDEX(_Engine!$E314:$X314,1,(_Engine!$J$41-1)*4+3))</f>
        <v/>
      </c>
      <c r="H256" s="27">
        <f>IF(OR($A256="",_Engine!$D$42=0),"",INDEX(_Engine!$E314:$X314,1,(_Engine!$J$42-1)*4+3))</f>
        <v/>
      </c>
      <c r="I256" s="27">
        <f>IF(OR($A256="",_Engine!$D$43=0),"",INDEX(_Engine!$E314:$X314,1,(_Engine!$J$43-1)*4+3))</f>
        <v/>
      </c>
      <c r="J256" s="27">
        <f>IF(OR($A256="",_Engine!$D$44=0),"",INDEX(_Engine!$E314:$X314,1,(_Engine!$J$44-1)*4+3))</f>
        <v/>
      </c>
      <c r="K256" s="27">
        <f>IF(OR($A256="",_Engine!$D$45=0),"",INDEX(_Engine!$E314:$X314,1,(_Engine!$J$45-1)*4+3))</f>
        <v/>
      </c>
    </row>
    <row r="257">
      <c r="A257" s="25">
        <f>IF(254&lt;=_Engine!$B$36,254,"")</f>
        <v/>
      </c>
      <c r="B257" s="26">
        <f>IF($A257="","",EDATE(_Engine!$B$5,$A257-1))</f>
        <v/>
      </c>
      <c r="C257" s="27">
        <f>IF($A257="","",_Engine!$AJ315)</f>
        <v/>
      </c>
      <c r="D257" s="27">
        <f>IF($A257="","",_Engine!$AK315)</f>
        <v/>
      </c>
      <c r="E257" s="27">
        <f>IF($A257="","",_Engine!$AJ315-_Engine!$AK315)</f>
        <v/>
      </c>
      <c r="F257" s="27">
        <f>IF($A257="","",_Engine!$AI315)</f>
        <v/>
      </c>
      <c r="G257" s="27">
        <f>IF(OR($A257="",_Engine!$D$41=0),"",INDEX(_Engine!$E315:$X315,1,(_Engine!$J$41-1)*4+3))</f>
        <v/>
      </c>
      <c r="H257" s="27">
        <f>IF(OR($A257="",_Engine!$D$42=0),"",INDEX(_Engine!$E315:$X315,1,(_Engine!$J$42-1)*4+3))</f>
        <v/>
      </c>
      <c r="I257" s="27">
        <f>IF(OR($A257="",_Engine!$D$43=0),"",INDEX(_Engine!$E315:$X315,1,(_Engine!$J$43-1)*4+3))</f>
        <v/>
      </c>
      <c r="J257" s="27">
        <f>IF(OR($A257="",_Engine!$D$44=0),"",INDEX(_Engine!$E315:$X315,1,(_Engine!$J$44-1)*4+3))</f>
        <v/>
      </c>
      <c r="K257" s="27">
        <f>IF(OR($A257="",_Engine!$D$45=0),"",INDEX(_Engine!$E315:$X315,1,(_Engine!$J$45-1)*4+3))</f>
        <v/>
      </c>
    </row>
    <row r="258">
      <c r="A258" s="25">
        <f>IF(255&lt;=_Engine!$B$36,255,"")</f>
        <v/>
      </c>
      <c r="B258" s="26">
        <f>IF($A258="","",EDATE(_Engine!$B$5,$A258-1))</f>
        <v/>
      </c>
      <c r="C258" s="27">
        <f>IF($A258="","",_Engine!$AJ316)</f>
        <v/>
      </c>
      <c r="D258" s="27">
        <f>IF($A258="","",_Engine!$AK316)</f>
        <v/>
      </c>
      <c r="E258" s="27">
        <f>IF($A258="","",_Engine!$AJ316-_Engine!$AK316)</f>
        <v/>
      </c>
      <c r="F258" s="27">
        <f>IF($A258="","",_Engine!$AI316)</f>
        <v/>
      </c>
      <c r="G258" s="27">
        <f>IF(OR($A258="",_Engine!$D$41=0),"",INDEX(_Engine!$E316:$X316,1,(_Engine!$J$41-1)*4+3))</f>
        <v/>
      </c>
      <c r="H258" s="27">
        <f>IF(OR($A258="",_Engine!$D$42=0),"",INDEX(_Engine!$E316:$X316,1,(_Engine!$J$42-1)*4+3))</f>
        <v/>
      </c>
      <c r="I258" s="27">
        <f>IF(OR($A258="",_Engine!$D$43=0),"",INDEX(_Engine!$E316:$X316,1,(_Engine!$J$43-1)*4+3))</f>
        <v/>
      </c>
      <c r="J258" s="27">
        <f>IF(OR($A258="",_Engine!$D$44=0),"",INDEX(_Engine!$E316:$X316,1,(_Engine!$J$44-1)*4+3))</f>
        <v/>
      </c>
      <c r="K258" s="27">
        <f>IF(OR($A258="",_Engine!$D$45=0),"",INDEX(_Engine!$E316:$X316,1,(_Engine!$J$45-1)*4+3))</f>
        <v/>
      </c>
    </row>
    <row r="259">
      <c r="A259" s="25">
        <f>IF(256&lt;=_Engine!$B$36,256,"")</f>
        <v/>
      </c>
      <c r="B259" s="26">
        <f>IF($A259="","",EDATE(_Engine!$B$5,$A259-1))</f>
        <v/>
      </c>
      <c r="C259" s="27">
        <f>IF($A259="","",_Engine!$AJ317)</f>
        <v/>
      </c>
      <c r="D259" s="27">
        <f>IF($A259="","",_Engine!$AK317)</f>
        <v/>
      </c>
      <c r="E259" s="27">
        <f>IF($A259="","",_Engine!$AJ317-_Engine!$AK317)</f>
        <v/>
      </c>
      <c r="F259" s="27">
        <f>IF($A259="","",_Engine!$AI317)</f>
        <v/>
      </c>
      <c r="G259" s="27">
        <f>IF(OR($A259="",_Engine!$D$41=0),"",INDEX(_Engine!$E317:$X317,1,(_Engine!$J$41-1)*4+3))</f>
        <v/>
      </c>
      <c r="H259" s="27">
        <f>IF(OR($A259="",_Engine!$D$42=0),"",INDEX(_Engine!$E317:$X317,1,(_Engine!$J$42-1)*4+3))</f>
        <v/>
      </c>
      <c r="I259" s="27">
        <f>IF(OR($A259="",_Engine!$D$43=0),"",INDEX(_Engine!$E317:$X317,1,(_Engine!$J$43-1)*4+3))</f>
        <v/>
      </c>
      <c r="J259" s="27">
        <f>IF(OR($A259="",_Engine!$D$44=0),"",INDEX(_Engine!$E317:$X317,1,(_Engine!$J$44-1)*4+3))</f>
        <v/>
      </c>
      <c r="K259" s="27">
        <f>IF(OR($A259="",_Engine!$D$45=0),"",INDEX(_Engine!$E317:$X317,1,(_Engine!$J$45-1)*4+3))</f>
        <v/>
      </c>
    </row>
    <row r="260">
      <c r="A260" s="25">
        <f>IF(257&lt;=_Engine!$B$36,257,"")</f>
        <v/>
      </c>
      <c r="B260" s="26">
        <f>IF($A260="","",EDATE(_Engine!$B$5,$A260-1))</f>
        <v/>
      </c>
      <c r="C260" s="27">
        <f>IF($A260="","",_Engine!$AJ318)</f>
        <v/>
      </c>
      <c r="D260" s="27">
        <f>IF($A260="","",_Engine!$AK318)</f>
        <v/>
      </c>
      <c r="E260" s="27">
        <f>IF($A260="","",_Engine!$AJ318-_Engine!$AK318)</f>
        <v/>
      </c>
      <c r="F260" s="27">
        <f>IF($A260="","",_Engine!$AI318)</f>
        <v/>
      </c>
      <c r="G260" s="27">
        <f>IF(OR($A260="",_Engine!$D$41=0),"",INDEX(_Engine!$E318:$X318,1,(_Engine!$J$41-1)*4+3))</f>
        <v/>
      </c>
      <c r="H260" s="27">
        <f>IF(OR($A260="",_Engine!$D$42=0),"",INDEX(_Engine!$E318:$X318,1,(_Engine!$J$42-1)*4+3))</f>
        <v/>
      </c>
      <c r="I260" s="27">
        <f>IF(OR($A260="",_Engine!$D$43=0),"",INDEX(_Engine!$E318:$X318,1,(_Engine!$J$43-1)*4+3))</f>
        <v/>
      </c>
      <c r="J260" s="27">
        <f>IF(OR($A260="",_Engine!$D$44=0),"",INDEX(_Engine!$E318:$X318,1,(_Engine!$J$44-1)*4+3))</f>
        <v/>
      </c>
      <c r="K260" s="27">
        <f>IF(OR($A260="",_Engine!$D$45=0),"",INDEX(_Engine!$E318:$X318,1,(_Engine!$J$45-1)*4+3))</f>
        <v/>
      </c>
    </row>
    <row r="261">
      <c r="A261" s="25">
        <f>IF(258&lt;=_Engine!$B$36,258,"")</f>
        <v/>
      </c>
      <c r="B261" s="26">
        <f>IF($A261="","",EDATE(_Engine!$B$5,$A261-1))</f>
        <v/>
      </c>
      <c r="C261" s="27">
        <f>IF($A261="","",_Engine!$AJ319)</f>
        <v/>
      </c>
      <c r="D261" s="27">
        <f>IF($A261="","",_Engine!$AK319)</f>
        <v/>
      </c>
      <c r="E261" s="27">
        <f>IF($A261="","",_Engine!$AJ319-_Engine!$AK319)</f>
        <v/>
      </c>
      <c r="F261" s="27">
        <f>IF($A261="","",_Engine!$AI319)</f>
        <v/>
      </c>
      <c r="G261" s="27">
        <f>IF(OR($A261="",_Engine!$D$41=0),"",INDEX(_Engine!$E319:$X319,1,(_Engine!$J$41-1)*4+3))</f>
        <v/>
      </c>
      <c r="H261" s="27">
        <f>IF(OR($A261="",_Engine!$D$42=0),"",INDEX(_Engine!$E319:$X319,1,(_Engine!$J$42-1)*4+3))</f>
        <v/>
      </c>
      <c r="I261" s="27">
        <f>IF(OR($A261="",_Engine!$D$43=0),"",INDEX(_Engine!$E319:$X319,1,(_Engine!$J$43-1)*4+3))</f>
        <v/>
      </c>
      <c r="J261" s="27">
        <f>IF(OR($A261="",_Engine!$D$44=0),"",INDEX(_Engine!$E319:$X319,1,(_Engine!$J$44-1)*4+3))</f>
        <v/>
      </c>
      <c r="K261" s="27">
        <f>IF(OR($A261="",_Engine!$D$45=0),"",INDEX(_Engine!$E319:$X319,1,(_Engine!$J$45-1)*4+3))</f>
        <v/>
      </c>
    </row>
    <row r="262">
      <c r="A262" s="25">
        <f>IF(259&lt;=_Engine!$B$36,259,"")</f>
        <v/>
      </c>
      <c r="B262" s="26">
        <f>IF($A262="","",EDATE(_Engine!$B$5,$A262-1))</f>
        <v/>
      </c>
      <c r="C262" s="27">
        <f>IF($A262="","",_Engine!$AJ320)</f>
        <v/>
      </c>
      <c r="D262" s="27">
        <f>IF($A262="","",_Engine!$AK320)</f>
        <v/>
      </c>
      <c r="E262" s="27">
        <f>IF($A262="","",_Engine!$AJ320-_Engine!$AK320)</f>
        <v/>
      </c>
      <c r="F262" s="27">
        <f>IF($A262="","",_Engine!$AI320)</f>
        <v/>
      </c>
      <c r="G262" s="27">
        <f>IF(OR($A262="",_Engine!$D$41=0),"",INDEX(_Engine!$E320:$X320,1,(_Engine!$J$41-1)*4+3))</f>
        <v/>
      </c>
      <c r="H262" s="27">
        <f>IF(OR($A262="",_Engine!$D$42=0),"",INDEX(_Engine!$E320:$X320,1,(_Engine!$J$42-1)*4+3))</f>
        <v/>
      </c>
      <c r="I262" s="27">
        <f>IF(OR($A262="",_Engine!$D$43=0),"",INDEX(_Engine!$E320:$X320,1,(_Engine!$J$43-1)*4+3))</f>
        <v/>
      </c>
      <c r="J262" s="27">
        <f>IF(OR($A262="",_Engine!$D$44=0),"",INDEX(_Engine!$E320:$X320,1,(_Engine!$J$44-1)*4+3))</f>
        <v/>
      </c>
      <c r="K262" s="27">
        <f>IF(OR($A262="",_Engine!$D$45=0),"",INDEX(_Engine!$E320:$X320,1,(_Engine!$J$45-1)*4+3))</f>
        <v/>
      </c>
    </row>
    <row r="263">
      <c r="A263" s="25">
        <f>IF(260&lt;=_Engine!$B$36,260,"")</f>
        <v/>
      </c>
      <c r="B263" s="26">
        <f>IF($A263="","",EDATE(_Engine!$B$5,$A263-1))</f>
        <v/>
      </c>
      <c r="C263" s="27">
        <f>IF($A263="","",_Engine!$AJ321)</f>
        <v/>
      </c>
      <c r="D263" s="27">
        <f>IF($A263="","",_Engine!$AK321)</f>
        <v/>
      </c>
      <c r="E263" s="27">
        <f>IF($A263="","",_Engine!$AJ321-_Engine!$AK321)</f>
        <v/>
      </c>
      <c r="F263" s="27">
        <f>IF($A263="","",_Engine!$AI321)</f>
        <v/>
      </c>
      <c r="G263" s="27">
        <f>IF(OR($A263="",_Engine!$D$41=0),"",INDEX(_Engine!$E321:$X321,1,(_Engine!$J$41-1)*4+3))</f>
        <v/>
      </c>
      <c r="H263" s="27">
        <f>IF(OR($A263="",_Engine!$D$42=0),"",INDEX(_Engine!$E321:$X321,1,(_Engine!$J$42-1)*4+3))</f>
        <v/>
      </c>
      <c r="I263" s="27">
        <f>IF(OR($A263="",_Engine!$D$43=0),"",INDEX(_Engine!$E321:$X321,1,(_Engine!$J$43-1)*4+3))</f>
        <v/>
      </c>
      <c r="J263" s="27">
        <f>IF(OR($A263="",_Engine!$D$44=0),"",INDEX(_Engine!$E321:$X321,1,(_Engine!$J$44-1)*4+3))</f>
        <v/>
      </c>
      <c r="K263" s="27">
        <f>IF(OR($A263="",_Engine!$D$45=0),"",INDEX(_Engine!$E321:$X321,1,(_Engine!$J$45-1)*4+3))</f>
        <v/>
      </c>
    </row>
    <row r="264">
      <c r="A264" s="25">
        <f>IF(261&lt;=_Engine!$B$36,261,"")</f>
        <v/>
      </c>
      <c r="B264" s="26">
        <f>IF($A264="","",EDATE(_Engine!$B$5,$A264-1))</f>
        <v/>
      </c>
      <c r="C264" s="27">
        <f>IF($A264="","",_Engine!$AJ322)</f>
        <v/>
      </c>
      <c r="D264" s="27">
        <f>IF($A264="","",_Engine!$AK322)</f>
        <v/>
      </c>
      <c r="E264" s="27">
        <f>IF($A264="","",_Engine!$AJ322-_Engine!$AK322)</f>
        <v/>
      </c>
      <c r="F264" s="27">
        <f>IF($A264="","",_Engine!$AI322)</f>
        <v/>
      </c>
      <c r="G264" s="27">
        <f>IF(OR($A264="",_Engine!$D$41=0),"",INDEX(_Engine!$E322:$X322,1,(_Engine!$J$41-1)*4+3))</f>
        <v/>
      </c>
      <c r="H264" s="27">
        <f>IF(OR($A264="",_Engine!$D$42=0),"",INDEX(_Engine!$E322:$X322,1,(_Engine!$J$42-1)*4+3))</f>
        <v/>
      </c>
      <c r="I264" s="27">
        <f>IF(OR($A264="",_Engine!$D$43=0),"",INDEX(_Engine!$E322:$X322,1,(_Engine!$J$43-1)*4+3))</f>
        <v/>
      </c>
      <c r="J264" s="27">
        <f>IF(OR($A264="",_Engine!$D$44=0),"",INDEX(_Engine!$E322:$X322,1,(_Engine!$J$44-1)*4+3))</f>
        <v/>
      </c>
      <c r="K264" s="27">
        <f>IF(OR($A264="",_Engine!$D$45=0),"",INDEX(_Engine!$E322:$X322,1,(_Engine!$J$45-1)*4+3))</f>
        <v/>
      </c>
    </row>
    <row r="265">
      <c r="A265" s="25">
        <f>IF(262&lt;=_Engine!$B$36,262,"")</f>
        <v/>
      </c>
      <c r="B265" s="26">
        <f>IF($A265="","",EDATE(_Engine!$B$5,$A265-1))</f>
        <v/>
      </c>
      <c r="C265" s="27">
        <f>IF($A265="","",_Engine!$AJ323)</f>
        <v/>
      </c>
      <c r="D265" s="27">
        <f>IF($A265="","",_Engine!$AK323)</f>
        <v/>
      </c>
      <c r="E265" s="27">
        <f>IF($A265="","",_Engine!$AJ323-_Engine!$AK323)</f>
        <v/>
      </c>
      <c r="F265" s="27">
        <f>IF($A265="","",_Engine!$AI323)</f>
        <v/>
      </c>
      <c r="G265" s="27">
        <f>IF(OR($A265="",_Engine!$D$41=0),"",INDEX(_Engine!$E323:$X323,1,(_Engine!$J$41-1)*4+3))</f>
        <v/>
      </c>
      <c r="H265" s="27">
        <f>IF(OR($A265="",_Engine!$D$42=0),"",INDEX(_Engine!$E323:$X323,1,(_Engine!$J$42-1)*4+3))</f>
        <v/>
      </c>
      <c r="I265" s="27">
        <f>IF(OR($A265="",_Engine!$D$43=0),"",INDEX(_Engine!$E323:$X323,1,(_Engine!$J$43-1)*4+3))</f>
        <v/>
      </c>
      <c r="J265" s="27">
        <f>IF(OR($A265="",_Engine!$D$44=0),"",INDEX(_Engine!$E323:$X323,1,(_Engine!$J$44-1)*4+3))</f>
        <v/>
      </c>
      <c r="K265" s="27">
        <f>IF(OR($A265="",_Engine!$D$45=0),"",INDEX(_Engine!$E323:$X323,1,(_Engine!$J$45-1)*4+3))</f>
        <v/>
      </c>
    </row>
    <row r="266">
      <c r="A266" s="25">
        <f>IF(263&lt;=_Engine!$B$36,263,"")</f>
        <v/>
      </c>
      <c r="B266" s="26">
        <f>IF($A266="","",EDATE(_Engine!$B$5,$A266-1))</f>
        <v/>
      </c>
      <c r="C266" s="27">
        <f>IF($A266="","",_Engine!$AJ324)</f>
        <v/>
      </c>
      <c r="D266" s="27">
        <f>IF($A266="","",_Engine!$AK324)</f>
        <v/>
      </c>
      <c r="E266" s="27">
        <f>IF($A266="","",_Engine!$AJ324-_Engine!$AK324)</f>
        <v/>
      </c>
      <c r="F266" s="27">
        <f>IF($A266="","",_Engine!$AI324)</f>
        <v/>
      </c>
      <c r="G266" s="27">
        <f>IF(OR($A266="",_Engine!$D$41=0),"",INDEX(_Engine!$E324:$X324,1,(_Engine!$J$41-1)*4+3))</f>
        <v/>
      </c>
      <c r="H266" s="27">
        <f>IF(OR($A266="",_Engine!$D$42=0),"",INDEX(_Engine!$E324:$X324,1,(_Engine!$J$42-1)*4+3))</f>
        <v/>
      </c>
      <c r="I266" s="27">
        <f>IF(OR($A266="",_Engine!$D$43=0),"",INDEX(_Engine!$E324:$X324,1,(_Engine!$J$43-1)*4+3))</f>
        <v/>
      </c>
      <c r="J266" s="27">
        <f>IF(OR($A266="",_Engine!$D$44=0),"",INDEX(_Engine!$E324:$X324,1,(_Engine!$J$44-1)*4+3))</f>
        <v/>
      </c>
      <c r="K266" s="27">
        <f>IF(OR($A266="",_Engine!$D$45=0),"",INDEX(_Engine!$E324:$X324,1,(_Engine!$J$45-1)*4+3))</f>
        <v/>
      </c>
    </row>
    <row r="267">
      <c r="A267" s="25">
        <f>IF(264&lt;=_Engine!$B$36,264,"")</f>
        <v/>
      </c>
      <c r="B267" s="26">
        <f>IF($A267="","",EDATE(_Engine!$B$5,$A267-1))</f>
        <v/>
      </c>
      <c r="C267" s="27">
        <f>IF($A267="","",_Engine!$AJ325)</f>
        <v/>
      </c>
      <c r="D267" s="27">
        <f>IF($A267="","",_Engine!$AK325)</f>
        <v/>
      </c>
      <c r="E267" s="27">
        <f>IF($A267="","",_Engine!$AJ325-_Engine!$AK325)</f>
        <v/>
      </c>
      <c r="F267" s="27">
        <f>IF($A267="","",_Engine!$AI325)</f>
        <v/>
      </c>
      <c r="G267" s="27">
        <f>IF(OR($A267="",_Engine!$D$41=0),"",INDEX(_Engine!$E325:$X325,1,(_Engine!$J$41-1)*4+3))</f>
        <v/>
      </c>
      <c r="H267" s="27">
        <f>IF(OR($A267="",_Engine!$D$42=0),"",INDEX(_Engine!$E325:$X325,1,(_Engine!$J$42-1)*4+3))</f>
        <v/>
      </c>
      <c r="I267" s="27">
        <f>IF(OR($A267="",_Engine!$D$43=0),"",INDEX(_Engine!$E325:$X325,1,(_Engine!$J$43-1)*4+3))</f>
        <v/>
      </c>
      <c r="J267" s="27">
        <f>IF(OR($A267="",_Engine!$D$44=0),"",INDEX(_Engine!$E325:$X325,1,(_Engine!$J$44-1)*4+3))</f>
        <v/>
      </c>
      <c r="K267" s="27">
        <f>IF(OR($A267="",_Engine!$D$45=0),"",INDEX(_Engine!$E325:$X325,1,(_Engine!$J$45-1)*4+3))</f>
        <v/>
      </c>
    </row>
    <row r="268">
      <c r="A268" s="25">
        <f>IF(265&lt;=_Engine!$B$36,265,"")</f>
        <v/>
      </c>
      <c r="B268" s="26">
        <f>IF($A268="","",EDATE(_Engine!$B$5,$A268-1))</f>
        <v/>
      </c>
      <c r="C268" s="27">
        <f>IF($A268="","",_Engine!$AJ326)</f>
        <v/>
      </c>
      <c r="D268" s="27">
        <f>IF($A268="","",_Engine!$AK326)</f>
        <v/>
      </c>
      <c r="E268" s="27">
        <f>IF($A268="","",_Engine!$AJ326-_Engine!$AK326)</f>
        <v/>
      </c>
      <c r="F268" s="27">
        <f>IF($A268="","",_Engine!$AI326)</f>
        <v/>
      </c>
      <c r="G268" s="27">
        <f>IF(OR($A268="",_Engine!$D$41=0),"",INDEX(_Engine!$E326:$X326,1,(_Engine!$J$41-1)*4+3))</f>
        <v/>
      </c>
      <c r="H268" s="27">
        <f>IF(OR($A268="",_Engine!$D$42=0),"",INDEX(_Engine!$E326:$X326,1,(_Engine!$J$42-1)*4+3))</f>
        <v/>
      </c>
      <c r="I268" s="27">
        <f>IF(OR($A268="",_Engine!$D$43=0),"",INDEX(_Engine!$E326:$X326,1,(_Engine!$J$43-1)*4+3))</f>
        <v/>
      </c>
      <c r="J268" s="27">
        <f>IF(OR($A268="",_Engine!$D$44=0),"",INDEX(_Engine!$E326:$X326,1,(_Engine!$J$44-1)*4+3))</f>
        <v/>
      </c>
      <c r="K268" s="27">
        <f>IF(OR($A268="",_Engine!$D$45=0),"",INDEX(_Engine!$E326:$X326,1,(_Engine!$J$45-1)*4+3))</f>
        <v/>
      </c>
    </row>
    <row r="269">
      <c r="A269" s="25">
        <f>IF(266&lt;=_Engine!$B$36,266,"")</f>
        <v/>
      </c>
      <c r="B269" s="26">
        <f>IF($A269="","",EDATE(_Engine!$B$5,$A269-1))</f>
        <v/>
      </c>
      <c r="C269" s="27">
        <f>IF($A269="","",_Engine!$AJ327)</f>
        <v/>
      </c>
      <c r="D269" s="27">
        <f>IF($A269="","",_Engine!$AK327)</f>
        <v/>
      </c>
      <c r="E269" s="27">
        <f>IF($A269="","",_Engine!$AJ327-_Engine!$AK327)</f>
        <v/>
      </c>
      <c r="F269" s="27">
        <f>IF($A269="","",_Engine!$AI327)</f>
        <v/>
      </c>
      <c r="G269" s="27">
        <f>IF(OR($A269="",_Engine!$D$41=0),"",INDEX(_Engine!$E327:$X327,1,(_Engine!$J$41-1)*4+3))</f>
        <v/>
      </c>
      <c r="H269" s="27">
        <f>IF(OR($A269="",_Engine!$D$42=0),"",INDEX(_Engine!$E327:$X327,1,(_Engine!$J$42-1)*4+3))</f>
        <v/>
      </c>
      <c r="I269" s="27">
        <f>IF(OR($A269="",_Engine!$D$43=0),"",INDEX(_Engine!$E327:$X327,1,(_Engine!$J$43-1)*4+3))</f>
        <v/>
      </c>
      <c r="J269" s="27">
        <f>IF(OR($A269="",_Engine!$D$44=0),"",INDEX(_Engine!$E327:$X327,1,(_Engine!$J$44-1)*4+3))</f>
        <v/>
      </c>
      <c r="K269" s="27">
        <f>IF(OR($A269="",_Engine!$D$45=0),"",INDEX(_Engine!$E327:$X327,1,(_Engine!$J$45-1)*4+3))</f>
        <v/>
      </c>
    </row>
    <row r="270">
      <c r="A270" s="25">
        <f>IF(267&lt;=_Engine!$B$36,267,"")</f>
        <v/>
      </c>
      <c r="B270" s="26">
        <f>IF($A270="","",EDATE(_Engine!$B$5,$A270-1))</f>
        <v/>
      </c>
      <c r="C270" s="27">
        <f>IF($A270="","",_Engine!$AJ328)</f>
        <v/>
      </c>
      <c r="D270" s="27">
        <f>IF($A270="","",_Engine!$AK328)</f>
        <v/>
      </c>
      <c r="E270" s="27">
        <f>IF($A270="","",_Engine!$AJ328-_Engine!$AK328)</f>
        <v/>
      </c>
      <c r="F270" s="27">
        <f>IF($A270="","",_Engine!$AI328)</f>
        <v/>
      </c>
      <c r="G270" s="27">
        <f>IF(OR($A270="",_Engine!$D$41=0),"",INDEX(_Engine!$E328:$X328,1,(_Engine!$J$41-1)*4+3))</f>
        <v/>
      </c>
      <c r="H270" s="27">
        <f>IF(OR($A270="",_Engine!$D$42=0),"",INDEX(_Engine!$E328:$X328,1,(_Engine!$J$42-1)*4+3))</f>
        <v/>
      </c>
      <c r="I270" s="27">
        <f>IF(OR($A270="",_Engine!$D$43=0),"",INDEX(_Engine!$E328:$X328,1,(_Engine!$J$43-1)*4+3))</f>
        <v/>
      </c>
      <c r="J270" s="27">
        <f>IF(OR($A270="",_Engine!$D$44=0),"",INDEX(_Engine!$E328:$X328,1,(_Engine!$J$44-1)*4+3))</f>
        <v/>
      </c>
      <c r="K270" s="27">
        <f>IF(OR($A270="",_Engine!$D$45=0),"",INDEX(_Engine!$E328:$X328,1,(_Engine!$J$45-1)*4+3))</f>
        <v/>
      </c>
    </row>
    <row r="271">
      <c r="A271" s="25">
        <f>IF(268&lt;=_Engine!$B$36,268,"")</f>
        <v/>
      </c>
      <c r="B271" s="26">
        <f>IF($A271="","",EDATE(_Engine!$B$5,$A271-1))</f>
        <v/>
      </c>
      <c r="C271" s="27">
        <f>IF($A271="","",_Engine!$AJ329)</f>
        <v/>
      </c>
      <c r="D271" s="27">
        <f>IF($A271="","",_Engine!$AK329)</f>
        <v/>
      </c>
      <c r="E271" s="27">
        <f>IF($A271="","",_Engine!$AJ329-_Engine!$AK329)</f>
        <v/>
      </c>
      <c r="F271" s="27">
        <f>IF($A271="","",_Engine!$AI329)</f>
        <v/>
      </c>
      <c r="G271" s="27">
        <f>IF(OR($A271="",_Engine!$D$41=0),"",INDEX(_Engine!$E329:$X329,1,(_Engine!$J$41-1)*4+3))</f>
        <v/>
      </c>
      <c r="H271" s="27">
        <f>IF(OR($A271="",_Engine!$D$42=0),"",INDEX(_Engine!$E329:$X329,1,(_Engine!$J$42-1)*4+3))</f>
        <v/>
      </c>
      <c r="I271" s="27">
        <f>IF(OR($A271="",_Engine!$D$43=0),"",INDEX(_Engine!$E329:$X329,1,(_Engine!$J$43-1)*4+3))</f>
        <v/>
      </c>
      <c r="J271" s="27">
        <f>IF(OR($A271="",_Engine!$D$44=0),"",INDEX(_Engine!$E329:$X329,1,(_Engine!$J$44-1)*4+3))</f>
        <v/>
      </c>
      <c r="K271" s="27">
        <f>IF(OR($A271="",_Engine!$D$45=0),"",INDEX(_Engine!$E329:$X329,1,(_Engine!$J$45-1)*4+3))</f>
        <v/>
      </c>
    </row>
    <row r="272">
      <c r="A272" s="25">
        <f>IF(269&lt;=_Engine!$B$36,269,"")</f>
        <v/>
      </c>
      <c r="B272" s="26">
        <f>IF($A272="","",EDATE(_Engine!$B$5,$A272-1))</f>
        <v/>
      </c>
      <c r="C272" s="27">
        <f>IF($A272="","",_Engine!$AJ330)</f>
        <v/>
      </c>
      <c r="D272" s="27">
        <f>IF($A272="","",_Engine!$AK330)</f>
        <v/>
      </c>
      <c r="E272" s="27">
        <f>IF($A272="","",_Engine!$AJ330-_Engine!$AK330)</f>
        <v/>
      </c>
      <c r="F272" s="27">
        <f>IF($A272="","",_Engine!$AI330)</f>
        <v/>
      </c>
      <c r="G272" s="27">
        <f>IF(OR($A272="",_Engine!$D$41=0),"",INDEX(_Engine!$E330:$X330,1,(_Engine!$J$41-1)*4+3))</f>
        <v/>
      </c>
      <c r="H272" s="27">
        <f>IF(OR($A272="",_Engine!$D$42=0),"",INDEX(_Engine!$E330:$X330,1,(_Engine!$J$42-1)*4+3))</f>
        <v/>
      </c>
      <c r="I272" s="27">
        <f>IF(OR($A272="",_Engine!$D$43=0),"",INDEX(_Engine!$E330:$X330,1,(_Engine!$J$43-1)*4+3))</f>
        <v/>
      </c>
      <c r="J272" s="27">
        <f>IF(OR($A272="",_Engine!$D$44=0),"",INDEX(_Engine!$E330:$X330,1,(_Engine!$J$44-1)*4+3))</f>
        <v/>
      </c>
      <c r="K272" s="27">
        <f>IF(OR($A272="",_Engine!$D$45=0),"",INDEX(_Engine!$E330:$X330,1,(_Engine!$J$45-1)*4+3))</f>
        <v/>
      </c>
    </row>
    <row r="273">
      <c r="A273" s="25">
        <f>IF(270&lt;=_Engine!$B$36,270,"")</f>
        <v/>
      </c>
      <c r="B273" s="26">
        <f>IF($A273="","",EDATE(_Engine!$B$5,$A273-1))</f>
        <v/>
      </c>
      <c r="C273" s="27">
        <f>IF($A273="","",_Engine!$AJ331)</f>
        <v/>
      </c>
      <c r="D273" s="27">
        <f>IF($A273="","",_Engine!$AK331)</f>
        <v/>
      </c>
      <c r="E273" s="27">
        <f>IF($A273="","",_Engine!$AJ331-_Engine!$AK331)</f>
        <v/>
      </c>
      <c r="F273" s="27">
        <f>IF($A273="","",_Engine!$AI331)</f>
        <v/>
      </c>
      <c r="G273" s="27">
        <f>IF(OR($A273="",_Engine!$D$41=0),"",INDEX(_Engine!$E331:$X331,1,(_Engine!$J$41-1)*4+3))</f>
        <v/>
      </c>
      <c r="H273" s="27">
        <f>IF(OR($A273="",_Engine!$D$42=0),"",INDEX(_Engine!$E331:$X331,1,(_Engine!$J$42-1)*4+3))</f>
        <v/>
      </c>
      <c r="I273" s="27">
        <f>IF(OR($A273="",_Engine!$D$43=0),"",INDEX(_Engine!$E331:$X331,1,(_Engine!$J$43-1)*4+3))</f>
        <v/>
      </c>
      <c r="J273" s="27">
        <f>IF(OR($A273="",_Engine!$D$44=0),"",INDEX(_Engine!$E331:$X331,1,(_Engine!$J$44-1)*4+3))</f>
        <v/>
      </c>
      <c r="K273" s="27">
        <f>IF(OR($A273="",_Engine!$D$45=0),"",INDEX(_Engine!$E331:$X331,1,(_Engine!$J$45-1)*4+3))</f>
        <v/>
      </c>
    </row>
    <row r="274">
      <c r="A274" s="25">
        <f>IF(271&lt;=_Engine!$B$36,271,"")</f>
        <v/>
      </c>
      <c r="B274" s="26">
        <f>IF($A274="","",EDATE(_Engine!$B$5,$A274-1))</f>
        <v/>
      </c>
      <c r="C274" s="27">
        <f>IF($A274="","",_Engine!$AJ332)</f>
        <v/>
      </c>
      <c r="D274" s="27">
        <f>IF($A274="","",_Engine!$AK332)</f>
        <v/>
      </c>
      <c r="E274" s="27">
        <f>IF($A274="","",_Engine!$AJ332-_Engine!$AK332)</f>
        <v/>
      </c>
      <c r="F274" s="27">
        <f>IF($A274="","",_Engine!$AI332)</f>
        <v/>
      </c>
      <c r="G274" s="27">
        <f>IF(OR($A274="",_Engine!$D$41=0),"",INDEX(_Engine!$E332:$X332,1,(_Engine!$J$41-1)*4+3))</f>
        <v/>
      </c>
      <c r="H274" s="27">
        <f>IF(OR($A274="",_Engine!$D$42=0),"",INDEX(_Engine!$E332:$X332,1,(_Engine!$J$42-1)*4+3))</f>
        <v/>
      </c>
      <c r="I274" s="27">
        <f>IF(OR($A274="",_Engine!$D$43=0),"",INDEX(_Engine!$E332:$X332,1,(_Engine!$J$43-1)*4+3))</f>
        <v/>
      </c>
      <c r="J274" s="27">
        <f>IF(OR($A274="",_Engine!$D$44=0),"",INDEX(_Engine!$E332:$X332,1,(_Engine!$J$44-1)*4+3))</f>
        <v/>
      </c>
      <c r="K274" s="27">
        <f>IF(OR($A274="",_Engine!$D$45=0),"",INDEX(_Engine!$E332:$X332,1,(_Engine!$J$45-1)*4+3))</f>
        <v/>
      </c>
    </row>
    <row r="275">
      <c r="A275" s="25">
        <f>IF(272&lt;=_Engine!$B$36,272,"")</f>
        <v/>
      </c>
      <c r="B275" s="26">
        <f>IF($A275="","",EDATE(_Engine!$B$5,$A275-1))</f>
        <v/>
      </c>
      <c r="C275" s="27">
        <f>IF($A275="","",_Engine!$AJ333)</f>
        <v/>
      </c>
      <c r="D275" s="27">
        <f>IF($A275="","",_Engine!$AK333)</f>
        <v/>
      </c>
      <c r="E275" s="27">
        <f>IF($A275="","",_Engine!$AJ333-_Engine!$AK333)</f>
        <v/>
      </c>
      <c r="F275" s="27">
        <f>IF($A275="","",_Engine!$AI333)</f>
        <v/>
      </c>
      <c r="G275" s="27">
        <f>IF(OR($A275="",_Engine!$D$41=0),"",INDEX(_Engine!$E333:$X333,1,(_Engine!$J$41-1)*4+3))</f>
        <v/>
      </c>
      <c r="H275" s="27">
        <f>IF(OR($A275="",_Engine!$D$42=0),"",INDEX(_Engine!$E333:$X333,1,(_Engine!$J$42-1)*4+3))</f>
        <v/>
      </c>
      <c r="I275" s="27">
        <f>IF(OR($A275="",_Engine!$D$43=0),"",INDEX(_Engine!$E333:$X333,1,(_Engine!$J$43-1)*4+3))</f>
        <v/>
      </c>
      <c r="J275" s="27">
        <f>IF(OR($A275="",_Engine!$D$44=0),"",INDEX(_Engine!$E333:$X333,1,(_Engine!$J$44-1)*4+3))</f>
        <v/>
      </c>
      <c r="K275" s="27">
        <f>IF(OR($A275="",_Engine!$D$45=0),"",INDEX(_Engine!$E333:$X333,1,(_Engine!$J$45-1)*4+3))</f>
        <v/>
      </c>
    </row>
    <row r="276">
      <c r="A276" s="25">
        <f>IF(273&lt;=_Engine!$B$36,273,"")</f>
        <v/>
      </c>
      <c r="B276" s="26">
        <f>IF($A276="","",EDATE(_Engine!$B$5,$A276-1))</f>
        <v/>
      </c>
      <c r="C276" s="27">
        <f>IF($A276="","",_Engine!$AJ334)</f>
        <v/>
      </c>
      <c r="D276" s="27">
        <f>IF($A276="","",_Engine!$AK334)</f>
        <v/>
      </c>
      <c r="E276" s="27">
        <f>IF($A276="","",_Engine!$AJ334-_Engine!$AK334)</f>
        <v/>
      </c>
      <c r="F276" s="27">
        <f>IF($A276="","",_Engine!$AI334)</f>
        <v/>
      </c>
      <c r="G276" s="27">
        <f>IF(OR($A276="",_Engine!$D$41=0),"",INDEX(_Engine!$E334:$X334,1,(_Engine!$J$41-1)*4+3))</f>
        <v/>
      </c>
      <c r="H276" s="27">
        <f>IF(OR($A276="",_Engine!$D$42=0),"",INDEX(_Engine!$E334:$X334,1,(_Engine!$J$42-1)*4+3))</f>
        <v/>
      </c>
      <c r="I276" s="27">
        <f>IF(OR($A276="",_Engine!$D$43=0),"",INDEX(_Engine!$E334:$X334,1,(_Engine!$J$43-1)*4+3))</f>
        <v/>
      </c>
      <c r="J276" s="27">
        <f>IF(OR($A276="",_Engine!$D$44=0),"",INDEX(_Engine!$E334:$X334,1,(_Engine!$J$44-1)*4+3))</f>
        <v/>
      </c>
      <c r="K276" s="27">
        <f>IF(OR($A276="",_Engine!$D$45=0),"",INDEX(_Engine!$E334:$X334,1,(_Engine!$J$45-1)*4+3))</f>
        <v/>
      </c>
    </row>
    <row r="277">
      <c r="A277" s="25">
        <f>IF(274&lt;=_Engine!$B$36,274,"")</f>
        <v/>
      </c>
      <c r="B277" s="26">
        <f>IF($A277="","",EDATE(_Engine!$B$5,$A277-1))</f>
        <v/>
      </c>
      <c r="C277" s="27">
        <f>IF($A277="","",_Engine!$AJ335)</f>
        <v/>
      </c>
      <c r="D277" s="27">
        <f>IF($A277="","",_Engine!$AK335)</f>
        <v/>
      </c>
      <c r="E277" s="27">
        <f>IF($A277="","",_Engine!$AJ335-_Engine!$AK335)</f>
        <v/>
      </c>
      <c r="F277" s="27">
        <f>IF($A277="","",_Engine!$AI335)</f>
        <v/>
      </c>
      <c r="G277" s="27">
        <f>IF(OR($A277="",_Engine!$D$41=0),"",INDEX(_Engine!$E335:$X335,1,(_Engine!$J$41-1)*4+3))</f>
        <v/>
      </c>
      <c r="H277" s="27">
        <f>IF(OR($A277="",_Engine!$D$42=0),"",INDEX(_Engine!$E335:$X335,1,(_Engine!$J$42-1)*4+3))</f>
        <v/>
      </c>
      <c r="I277" s="27">
        <f>IF(OR($A277="",_Engine!$D$43=0),"",INDEX(_Engine!$E335:$X335,1,(_Engine!$J$43-1)*4+3))</f>
        <v/>
      </c>
      <c r="J277" s="27">
        <f>IF(OR($A277="",_Engine!$D$44=0),"",INDEX(_Engine!$E335:$X335,1,(_Engine!$J$44-1)*4+3))</f>
        <v/>
      </c>
      <c r="K277" s="27">
        <f>IF(OR($A277="",_Engine!$D$45=0),"",INDEX(_Engine!$E335:$X335,1,(_Engine!$J$45-1)*4+3))</f>
        <v/>
      </c>
    </row>
    <row r="278">
      <c r="A278" s="25">
        <f>IF(275&lt;=_Engine!$B$36,275,"")</f>
        <v/>
      </c>
      <c r="B278" s="26">
        <f>IF($A278="","",EDATE(_Engine!$B$5,$A278-1))</f>
        <v/>
      </c>
      <c r="C278" s="27">
        <f>IF($A278="","",_Engine!$AJ336)</f>
        <v/>
      </c>
      <c r="D278" s="27">
        <f>IF($A278="","",_Engine!$AK336)</f>
        <v/>
      </c>
      <c r="E278" s="27">
        <f>IF($A278="","",_Engine!$AJ336-_Engine!$AK336)</f>
        <v/>
      </c>
      <c r="F278" s="27">
        <f>IF($A278="","",_Engine!$AI336)</f>
        <v/>
      </c>
      <c r="G278" s="27">
        <f>IF(OR($A278="",_Engine!$D$41=0),"",INDEX(_Engine!$E336:$X336,1,(_Engine!$J$41-1)*4+3))</f>
        <v/>
      </c>
      <c r="H278" s="27">
        <f>IF(OR($A278="",_Engine!$D$42=0),"",INDEX(_Engine!$E336:$X336,1,(_Engine!$J$42-1)*4+3))</f>
        <v/>
      </c>
      <c r="I278" s="27">
        <f>IF(OR($A278="",_Engine!$D$43=0),"",INDEX(_Engine!$E336:$X336,1,(_Engine!$J$43-1)*4+3))</f>
        <v/>
      </c>
      <c r="J278" s="27">
        <f>IF(OR($A278="",_Engine!$D$44=0),"",INDEX(_Engine!$E336:$X336,1,(_Engine!$J$44-1)*4+3))</f>
        <v/>
      </c>
      <c r="K278" s="27">
        <f>IF(OR($A278="",_Engine!$D$45=0),"",INDEX(_Engine!$E336:$X336,1,(_Engine!$J$45-1)*4+3))</f>
        <v/>
      </c>
    </row>
    <row r="279">
      <c r="A279" s="25">
        <f>IF(276&lt;=_Engine!$B$36,276,"")</f>
        <v/>
      </c>
      <c r="B279" s="26">
        <f>IF($A279="","",EDATE(_Engine!$B$5,$A279-1))</f>
        <v/>
      </c>
      <c r="C279" s="27">
        <f>IF($A279="","",_Engine!$AJ337)</f>
        <v/>
      </c>
      <c r="D279" s="27">
        <f>IF($A279="","",_Engine!$AK337)</f>
        <v/>
      </c>
      <c r="E279" s="27">
        <f>IF($A279="","",_Engine!$AJ337-_Engine!$AK337)</f>
        <v/>
      </c>
      <c r="F279" s="27">
        <f>IF($A279="","",_Engine!$AI337)</f>
        <v/>
      </c>
      <c r="G279" s="27">
        <f>IF(OR($A279="",_Engine!$D$41=0),"",INDEX(_Engine!$E337:$X337,1,(_Engine!$J$41-1)*4+3))</f>
        <v/>
      </c>
      <c r="H279" s="27">
        <f>IF(OR($A279="",_Engine!$D$42=0),"",INDEX(_Engine!$E337:$X337,1,(_Engine!$J$42-1)*4+3))</f>
        <v/>
      </c>
      <c r="I279" s="27">
        <f>IF(OR($A279="",_Engine!$D$43=0),"",INDEX(_Engine!$E337:$X337,1,(_Engine!$J$43-1)*4+3))</f>
        <v/>
      </c>
      <c r="J279" s="27">
        <f>IF(OR($A279="",_Engine!$D$44=0),"",INDEX(_Engine!$E337:$X337,1,(_Engine!$J$44-1)*4+3))</f>
        <v/>
      </c>
      <c r="K279" s="27">
        <f>IF(OR($A279="",_Engine!$D$45=0),"",INDEX(_Engine!$E337:$X337,1,(_Engine!$J$45-1)*4+3))</f>
        <v/>
      </c>
    </row>
    <row r="280">
      <c r="A280" s="25">
        <f>IF(277&lt;=_Engine!$B$36,277,"")</f>
        <v/>
      </c>
      <c r="B280" s="26">
        <f>IF($A280="","",EDATE(_Engine!$B$5,$A280-1))</f>
        <v/>
      </c>
      <c r="C280" s="27">
        <f>IF($A280="","",_Engine!$AJ338)</f>
        <v/>
      </c>
      <c r="D280" s="27">
        <f>IF($A280="","",_Engine!$AK338)</f>
        <v/>
      </c>
      <c r="E280" s="27">
        <f>IF($A280="","",_Engine!$AJ338-_Engine!$AK338)</f>
        <v/>
      </c>
      <c r="F280" s="27">
        <f>IF($A280="","",_Engine!$AI338)</f>
        <v/>
      </c>
      <c r="G280" s="27">
        <f>IF(OR($A280="",_Engine!$D$41=0),"",INDEX(_Engine!$E338:$X338,1,(_Engine!$J$41-1)*4+3))</f>
        <v/>
      </c>
      <c r="H280" s="27">
        <f>IF(OR($A280="",_Engine!$D$42=0),"",INDEX(_Engine!$E338:$X338,1,(_Engine!$J$42-1)*4+3))</f>
        <v/>
      </c>
      <c r="I280" s="27">
        <f>IF(OR($A280="",_Engine!$D$43=0),"",INDEX(_Engine!$E338:$X338,1,(_Engine!$J$43-1)*4+3))</f>
        <v/>
      </c>
      <c r="J280" s="27">
        <f>IF(OR($A280="",_Engine!$D$44=0),"",INDEX(_Engine!$E338:$X338,1,(_Engine!$J$44-1)*4+3))</f>
        <v/>
      </c>
      <c r="K280" s="27">
        <f>IF(OR($A280="",_Engine!$D$45=0),"",INDEX(_Engine!$E338:$X338,1,(_Engine!$J$45-1)*4+3))</f>
        <v/>
      </c>
    </row>
    <row r="281">
      <c r="A281" s="25">
        <f>IF(278&lt;=_Engine!$B$36,278,"")</f>
        <v/>
      </c>
      <c r="B281" s="26">
        <f>IF($A281="","",EDATE(_Engine!$B$5,$A281-1))</f>
        <v/>
      </c>
      <c r="C281" s="27">
        <f>IF($A281="","",_Engine!$AJ339)</f>
        <v/>
      </c>
      <c r="D281" s="27">
        <f>IF($A281="","",_Engine!$AK339)</f>
        <v/>
      </c>
      <c r="E281" s="27">
        <f>IF($A281="","",_Engine!$AJ339-_Engine!$AK339)</f>
        <v/>
      </c>
      <c r="F281" s="27">
        <f>IF($A281="","",_Engine!$AI339)</f>
        <v/>
      </c>
      <c r="G281" s="27">
        <f>IF(OR($A281="",_Engine!$D$41=0),"",INDEX(_Engine!$E339:$X339,1,(_Engine!$J$41-1)*4+3))</f>
        <v/>
      </c>
      <c r="H281" s="27">
        <f>IF(OR($A281="",_Engine!$D$42=0),"",INDEX(_Engine!$E339:$X339,1,(_Engine!$J$42-1)*4+3))</f>
        <v/>
      </c>
      <c r="I281" s="27">
        <f>IF(OR($A281="",_Engine!$D$43=0),"",INDEX(_Engine!$E339:$X339,1,(_Engine!$J$43-1)*4+3))</f>
        <v/>
      </c>
      <c r="J281" s="27">
        <f>IF(OR($A281="",_Engine!$D$44=0),"",INDEX(_Engine!$E339:$X339,1,(_Engine!$J$44-1)*4+3))</f>
        <v/>
      </c>
      <c r="K281" s="27">
        <f>IF(OR($A281="",_Engine!$D$45=0),"",INDEX(_Engine!$E339:$X339,1,(_Engine!$J$45-1)*4+3))</f>
        <v/>
      </c>
    </row>
    <row r="282">
      <c r="A282" s="25">
        <f>IF(279&lt;=_Engine!$B$36,279,"")</f>
        <v/>
      </c>
      <c r="B282" s="26">
        <f>IF($A282="","",EDATE(_Engine!$B$5,$A282-1))</f>
        <v/>
      </c>
      <c r="C282" s="27">
        <f>IF($A282="","",_Engine!$AJ340)</f>
        <v/>
      </c>
      <c r="D282" s="27">
        <f>IF($A282="","",_Engine!$AK340)</f>
        <v/>
      </c>
      <c r="E282" s="27">
        <f>IF($A282="","",_Engine!$AJ340-_Engine!$AK340)</f>
        <v/>
      </c>
      <c r="F282" s="27">
        <f>IF($A282="","",_Engine!$AI340)</f>
        <v/>
      </c>
      <c r="G282" s="27">
        <f>IF(OR($A282="",_Engine!$D$41=0),"",INDEX(_Engine!$E340:$X340,1,(_Engine!$J$41-1)*4+3))</f>
        <v/>
      </c>
      <c r="H282" s="27">
        <f>IF(OR($A282="",_Engine!$D$42=0),"",INDEX(_Engine!$E340:$X340,1,(_Engine!$J$42-1)*4+3))</f>
        <v/>
      </c>
      <c r="I282" s="27">
        <f>IF(OR($A282="",_Engine!$D$43=0),"",INDEX(_Engine!$E340:$X340,1,(_Engine!$J$43-1)*4+3))</f>
        <v/>
      </c>
      <c r="J282" s="27">
        <f>IF(OR($A282="",_Engine!$D$44=0),"",INDEX(_Engine!$E340:$X340,1,(_Engine!$J$44-1)*4+3))</f>
        <v/>
      </c>
      <c r="K282" s="27">
        <f>IF(OR($A282="",_Engine!$D$45=0),"",INDEX(_Engine!$E340:$X340,1,(_Engine!$J$45-1)*4+3))</f>
        <v/>
      </c>
    </row>
    <row r="283">
      <c r="A283" s="25">
        <f>IF(280&lt;=_Engine!$B$36,280,"")</f>
        <v/>
      </c>
      <c r="B283" s="26">
        <f>IF($A283="","",EDATE(_Engine!$B$5,$A283-1))</f>
        <v/>
      </c>
      <c r="C283" s="27">
        <f>IF($A283="","",_Engine!$AJ341)</f>
        <v/>
      </c>
      <c r="D283" s="27">
        <f>IF($A283="","",_Engine!$AK341)</f>
        <v/>
      </c>
      <c r="E283" s="27">
        <f>IF($A283="","",_Engine!$AJ341-_Engine!$AK341)</f>
        <v/>
      </c>
      <c r="F283" s="27">
        <f>IF($A283="","",_Engine!$AI341)</f>
        <v/>
      </c>
      <c r="G283" s="27">
        <f>IF(OR($A283="",_Engine!$D$41=0),"",INDEX(_Engine!$E341:$X341,1,(_Engine!$J$41-1)*4+3))</f>
        <v/>
      </c>
      <c r="H283" s="27">
        <f>IF(OR($A283="",_Engine!$D$42=0),"",INDEX(_Engine!$E341:$X341,1,(_Engine!$J$42-1)*4+3))</f>
        <v/>
      </c>
      <c r="I283" s="27">
        <f>IF(OR($A283="",_Engine!$D$43=0),"",INDEX(_Engine!$E341:$X341,1,(_Engine!$J$43-1)*4+3))</f>
        <v/>
      </c>
      <c r="J283" s="27">
        <f>IF(OR($A283="",_Engine!$D$44=0),"",INDEX(_Engine!$E341:$X341,1,(_Engine!$J$44-1)*4+3))</f>
        <v/>
      </c>
      <c r="K283" s="27">
        <f>IF(OR($A283="",_Engine!$D$45=0),"",INDEX(_Engine!$E341:$X341,1,(_Engine!$J$45-1)*4+3))</f>
        <v/>
      </c>
    </row>
    <row r="284">
      <c r="A284" s="25">
        <f>IF(281&lt;=_Engine!$B$36,281,"")</f>
        <v/>
      </c>
      <c r="B284" s="26">
        <f>IF($A284="","",EDATE(_Engine!$B$5,$A284-1))</f>
        <v/>
      </c>
      <c r="C284" s="27">
        <f>IF($A284="","",_Engine!$AJ342)</f>
        <v/>
      </c>
      <c r="D284" s="27">
        <f>IF($A284="","",_Engine!$AK342)</f>
        <v/>
      </c>
      <c r="E284" s="27">
        <f>IF($A284="","",_Engine!$AJ342-_Engine!$AK342)</f>
        <v/>
      </c>
      <c r="F284" s="27">
        <f>IF($A284="","",_Engine!$AI342)</f>
        <v/>
      </c>
      <c r="G284" s="27">
        <f>IF(OR($A284="",_Engine!$D$41=0),"",INDEX(_Engine!$E342:$X342,1,(_Engine!$J$41-1)*4+3))</f>
        <v/>
      </c>
      <c r="H284" s="27">
        <f>IF(OR($A284="",_Engine!$D$42=0),"",INDEX(_Engine!$E342:$X342,1,(_Engine!$J$42-1)*4+3))</f>
        <v/>
      </c>
      <c r="I284" s="27">
        <f>IF(OR($A284="",_Engine!$D$43=0),"",INDEX(_Engine!$E342:$X342,1,(_Engine!$J$43-1)*4+3))</f>
        <v/>
      </c>
      <c r="J284" s="27">
        <f>IF(OR($A284="",_Engine!$D$44=0),"",INDEX(_Engine!$E342:$X342,1,(_Engine!$J$44-1)*4+3))</f>
        <v/>
      </c>
      <c r="K284" s="27">
        <f>IF(OR($A284="",_Engine!$D$45=0),"",INDEX(_Engine!$E342:$X342,1,(_Engine!$J$45-1)*4+3))</f>
        <v/>
      </c>
    </row>
    <row r="285">
      <c r="A285" s="25">
        <f>IF(282&lt;=_Engine!$B$36,282,"")</f>
        <v/>
      </c>
      <c r="B285" s="26">
        <f>IF($A285="","",EDATE(_Engine!$B$5,$A285-1))</f>
        <v/>
      </c>
      <c r="C285" s="27">
        <f>IF($A285="","",_Engine!$AJ343)</f>
        <v/>
      </c>
      <c r="D285" s="27">
        <f>IF($A285="","",_Engine!$AK343)</f>
        <v/>
      </c>
      <c r="E285" s="27">
        <f>IF($A285="","",_Engine!$AJ343-_Engine!$AK343)</f>
        <v/>
      </c>
      <c r="F285" s="27">
        <f>IF($A285="","",_Engine!$AI343)</f>
        <v/>
      </c>
      <c r="G285" s="27">
        <f>IF(OR($A285="",_Engine!$D$41=0),"",INDEX(_Engine!$E343:$X343,1,(_Engine!$J$41-1)*4+3))</f>
        <v/>
      </c>
      <c r="H285" s="27">
        <f>IF(OR($A285="",_Engine!$D$42=0),"",INDEX(_Engine!$E343:$X343,1,(_Engine!$J$42-1)*4+3))</f>
        <v/>
      </c>
      <c r="I285" s="27">
        <f>IF(OR($A285="",_Engine!$D$43=0),"",INDEX(_Engine!$E343:$X343,1,(_Engine!$J$43-1)*4+3))</f>
        <v/>
      </c>
      <c r="J285" s="27">
        <f>IF(OR($A285="",_Engine!$D$44=0),"",INDEX(_Engine!$E343:$X343,1,(_Engine!$J$44-1)*4+3))</f>
        <v/>
      </c>
      <c r="K285" s="27">
        <f>IF(OR($A285="",_Engine!$D$45=0),"",INDEX(_Engine!$E343:$X343,1,(_Engine!$J$45-1)*4+3))</f>
        <v/>
      </c>
    </row>
    <row r="286">
      <c r="A286" s="25">
        <f>IF(283&lt;=_Engine!$B$36,283,"")</f>
        <v/>
      </c>
      <c r="B286" s="26">
        <f>IF($A286="","",EDATE(_Engine!$B$5,$A286-1))</f>
        <v/>
      </c>
      <c r="C286" s="27">
        <f>IF($A286="","",_Engine!$AJ344)</f>
        <v/>
      </c>
      <c r="D286" s="27">
        <f>IF($A286="","",_Engine!$AK344)</f>
        <v/>
      </c>
      <c r="E286" s="27">
        <f>IF($A286="","",_Engine!$AJ344-_Engine!$AK344)</f>
        <v/>
      </c>
      <c r="F286" s="27">
        <f>IF($A286="","",_Engine!$AI344)</f>
        <v/>
      </c>
      <c r="G286" s="27">
        <f>IF(OR($A286="",_Engine!$D$41=0),"",INDEX(_Engine!$E344:$X344,1,(_Engine!$J$41-1)*4+3))</f>
        <v/>
      </c>
      <c r="H286" s="27">
        <f>IF(OR($A286="",_Engine!$D$42=0),"",INDEX(_Engine!$E344:$X344,1,(_Engine!$J$42-1)*4+3))</f>
        <v/>
      </c>
      <c r="I286" s="27">
        <f>IF(OR($A286="",_Engine!$D$43=0),"",INDEX(_Engine!$E344:$X344,1,(_Engine!$J$43-1)*4+3))</f>
        <v/>
      </c>
      <c r="J286" s="27">
        <f>IF(OR($A286="",_Engine!$D$44=0),"",INDEX(_Engine!$E344:$X344,1,(_Engine!$J$44-1)*4+3))</f>
        <v/>
      </c>
      <c r="K286" s="27">
        <f>IF(OR($A286="",_Engine!$D$45=0),"",INDEX(_Engine!$E344:$X344,1,(_Engine!$J$45-1)*4+3))</f>
        <v/>
      </c>
    </row>
    <row r="287">
      <c r="A287" s="25">
        <f>IF(284&lt;=_Engine!$B$36,284,"")</f>
        <v/>
      </c>
      <c r="B287" s="26">
        <f>IF($A287="","",EDATE(_Engine!$B$5,$A287-1))</f>
        <v/>
      </c>
      <c r="C287" s="27">
        <f>IF($A287="","",_Engine!$AJ345)</f>
        <v/>
      </c>
      <c r="D287" s="27">
        <f>IF($A287="","",_Engine!$AK345)</f>
        <v/>
      </c>
      <c r="E287" s="27">
        <f>IF($A287="","",_Engine!$AJ345-_Engine!$AK345)</f>
        <v/>
      </c>
      <c r="F287" s="27">
        <f>IF($A287="","",_Engine!$AI345)</f>
        <v/>
      </c>
      <c r="G287" s="27">
        <f>IF(OR($A287="",_Engine!$D$41=0),"",INDEX(_Engine!$E345:$X345,1,(_Engine!$J$41-1)*4+3))</f>
        <v/>
      </c>
      <c r="H287" s="27">
        <f>IF(OR($A287="",_Engine!$D$42=0),"",INDEX(_Engine!$E345:$X345,1,(_Engine!$J$42-1)*4+3))</f>
        <v/>
      </c>
      <c r="I287" s="27">
        <f>IF(OR($A287="",_Engine!$D$43=0),"",INDEX(_Engine!$E345:$X345,1,(_Engine!$J$43-1)*4+3))</f>
        <v/>
      </c>
      <c r="J287" s="27">
        <f>IF(OR($A287="",_Engine!$D$44=0),"",INDEX(_Engine!$E345:$X345,1,(_Engine!$J$44-1)*4+3))</f>
        <v/>
      </c>
      <c r="K287" s="27">
        <f>IF(OR($A287="",_Engine!$D$45=0),"",INDEX(_Engine!$E345:$X345,1,(_Engine!$J$45-1)*4+3))</f>
        <v/>
      </c>
    </row>
    <row r="288">
      <c r="A288" s="25">
        <f>IF(285&lt;=_Engine!$B$36,285,"")</f>
        <v/>
      </c>
      <c r="B288" s="26">
        <f>IF($A288="","",EDATE(_Engine!$B$5,$A288-1))</f>
        <v/>
      </c>
      <c r="C288" s="27">
        <f>IF($A288="","",_Engine!$AJ346)</f>
        <v/>
      </c>
      <c r="D288" s="27">
        <f>IF($A288="","",_Engine!$AK346)</f>
        <v/>
      </c>
      <c r="E288" s="27">
        <f>IF($A288="","",_Engine!$AJ346-_Engine!$AK346)</f>
        <v/>
      </c>
      <c r="F288" s="27">
        <f>IF($A288="","",_Engine!$AI346)</f>
        <v/>
      </c>
      <c r="G288" s="27">
        <f>IF(OR($A288="",_Engine!$D$41=0),"",INDEX(_Engine!$E346:$X346,1,(_Engine!$J$41-1)*4+3))</f>
        <v/>
      </c>
      <c r="H288" s="27">
        <f>IF(OR($A288="",_Engine!$D$42=0),"",INDEX(_Engine!$E346:$X346,1,(_Engine!$J$42-1)*4+3))</f>
        <v/>
      </c>
      <c r="I288" s="27">
        <f>IF(OR($A288="",_Engine!$D$43=0),"",INDEX(_Engine!$E346:$X346,1,(_Engine!$J$43-1)*4+3))</f>
        <v/>
      </c>
      <c r="J288" s="27">
        <f>IF(OR($A288="",_Engine!$D$44=0),"",INDEX(_Engine!$E346:$X346,1,(_Engine!$J$44-1)*4+3))</f>
        <v/>
      </c>
      <c r="K288" s="27">
        <f>IF(OR($A288="",_Engine!$D$45=0),"",INDEX(_Engine!$E346:$X346,1,(_Engine!$J$45-1)*4+3))</f>
        <v/>
      </c>
    </row>
    <row r="289">
      <c r="A289" s="25">
        <f>IF(286&lt;=_Engine!$B$36,286,"")</f>
        <v/>
      </c>
      <c r="B289" s="26">
        <f>IF($A289="","",EDATE(_Engine!$B$5,$A289-1))</f>
        <v/>
      </c>
      <c r="C289" s="27">
        <f>IF($A289="","",_Engine!$AJ347)</f>
        <v/>
      </c>
      <c r="D289" s="27">
        <f>IF($A289="","",_Engine!$AK347)</f>
        <v/>
      </c>
      <c r="E289" s="27">
        <f>IF($A289="","",_Engine!$AJ347-_Engine!$AK347)</f>
        <v/>
      </c>
      <c r="F289" s="27">
        <f>IF($A289="","",_Engine!$AI347)</f>
        <v/>
      </c>
      <c r="G289" s="27">
        <f>IF(OR($A289="",_Engine!$D$41=0),"",INDEX(_Engine!$E347:$X347,1,(_Engine!$J$41-1)*4+3))</f>
        <v/>
      </c>
      <c r="H289" s="27">
        <f>IF(OR($A289="",_Engine!$D$42=0),"",INDEX(_Engine!$E347:$X347,1,(_Engine!$J$42-1)*4+3))</f>
        <v/>
      </c>
      <c r="I289" s="27">
        <f>IF(OR($A289="",_Engine!$D$43=0),"",INDEX(_Engine!$E347:$X347,1,(_Engine!$J$43-1)*4+3))</f>
        <v/>
      </c>
      <c r="J289" s="27">
        <f>IF(OR($A289="",_Engine!$D$44=0),"",INDEX(_Engine!$E347:$X347,1,(_Engine!$J$44-1)*4+3))</f>
        <v/>
      </c>
      <c r="K289" s="27">
        <f>IF(OR($A289="",_Engine!$D$45=0),"",INDEX(_Engine!$E347:$X347,1,(_Engine!$J$45-1)*4+3))</f>
        <v/>
      </c>
    </row>
    <row r="290">
      <c r="A290" s="25">
        <f>IF(287&lt;=_Engine!$B$36,287,"")</f>
        <v/>
      </c>
      <c r="B290" s="26">
        <f>IF($A290="","",EDATE(_Engine!$B$5,$A290-1))</f>
        <v/>
      </c>
      <c r="C290" s="27">
        <f>IF($A290="","",_Engine!$AJ348)</f>
        <v/>
      </c>
      <c r="D290" s="27">
        <f>IF($A290="","",_Engine!$AK348)</f>
        <v/>
      </c>
      <c r="E290" s="27">
        <f>IF($A290="","",_Engine!$AJ348-_Engine!$AK348)</f>
        <v/>
      </c>
      <c r="F290" s="27">
        <f>IF($A290="","",_Engine!$AI348)</f>
        <v/>
      </c>
      <c r="G290" s="27">
        <f>IF(OR($A290="",_Engine!$D$41=0),"",INDEX(_Engine!$E348:$X348,1,(_Engine!$J$41-1)*4+3))</f>
        <v/>
      </c>
      <c r="H290" s="27">
        <f>IF(OR($A290="",_Engine!$D$42=0),"",INDEX(_Engine!$E348:$X348,1,(_Engine!$J$42-1)*4+3))</f>
        <v/>
      </c>
      <c r="I290" s="27">
        <f>IF(OR($A290="",_Engine!$D$43=0),"",INDEX(_Engine!$E348:$X348,1,(_Engine!$J$43-1)*4+3))</f>
        <v/>
      </c>
      <c r="J290" s="27">
        <f>IF(OR($A290="",_Engine!$D$44=0),"",INDEX(_Engine!$E348:$X348,1,(_Engine!$J$44-1)*4+3))</f>
        <v/>
      </c>
      <c r="K290" s="27">
        <f>IF(OR($A290="",_Engine!$D$45=0),"",INDEX(_Engine!$E348:$X348,1,(_Engine!$J$45-1)*4+3))</f>
        <v/>
      </c>
    </row>
    <row r="291">
      <c r="A291" s="25">
        <f>IF(288&lt;=_Engine!$B$36,288,"")</f>
        <v/>
      </c>
      <c r="B291" s="26">
        <f>IF($A291="","",EDATE(_Engine!$B$5,$A291-1))</f>
        <v/>
      </c>
      <c r="C291" s="27">
        <f>IF($A291="","",_Engine!$AJ349)</f>
        <v/>
      </c>
      <c r="D291" s="27">
        <f>IF($A291="","",_Engine!$AK349)</f>
        <v/>
      </c>
      <c r="E291" s="27">
        <f>IF($A291="","",_Engine!$AJ349-_Engine!$AK349)</f>
        <v/>
      </c>
      <c r="F291" s="27">
        <f>IF($A291="","",_Engine!$AI349)</f>
        <v/>
      </c>
      <c r="G291" s="27">
        <f>IF(OR($A291="",_Engine!$D$41=0),"",INDEX(_Engine!$E349:$X349,1,(_Engine!$J$41-1)*4+3))</f>
        <v/>
      </c>
      <c r="H291" s="27">
        <f>IF(OR($A291="",_Engine!$D$42=0),"",INDEX(_Engine!$E349:$X349,1,(_Engine!$J$42-1)*4+3))</f>
        <v/>
      </c>
      <c r="I291" s="27">
        <f>IF(OR($A291="",_Engine!$D$43=0),"",INDEX(_Engine!$E349:$X349,1,(_Engine!$J$43-1)*4+3))</f>
        <v/>
      </c>
      <c r="J291" s="27">
        <f>IF(OR($A291="",_Engine!$D$44=0),"",INDEX(_Engine!$E349:$X349,1,(_Engine!$J$44-1)*4+3))</f>
        <v/>
      </c>
      <c r="K291" s="27">
        <f>IF(OR($A291="",_Engine!$D$45=0),"",INDEX(_Engine!$E349:$X349,1,(_Engine!$J$45-1)*4+3))</f>
        <v/>
      </c>
    </row>
    <row r="292">
      <c r="A292" s="25">
        <f>IF(289&lt;=_Engine!$B$36,289,"")</f>
        <v/>
      </c>
      <c r="B292" s="26">
        <f>IF($A292="","",EDATE(_Engine!$B$5,$A292-1))</f>
        <v/>
      </c>
      <c r="C292" s="27">
        <f>IF($A292="","",_Engine!$AJ350)</f>
        <v/>
      </c>
      <c r="D292" s="27">
        <f>IF($A292="","",_Engine!$AK350)</f>
        <v/>
      </c>
      <c r="E292" s="27">
        <f>IF($A292="","",_Engine!$AJ350-_Engine!$AK350)</f>
        <v/>
      </c>
      <c r="F292" s="27">
        <f>IF($A292="","",_Engine!$AI350)</f>
        <v/>
      </c>
      <c r="G292" s="27">
        <f>IF(OR($A292="",_Engine!$D$41=0),"",INDEX(_Engine!$E350:$X350,1,(_Engine!$J$41-1)*4+3))</f>
        <v/>
      </c>
      <c r="H292" s="27">
        <f>IF(OR($A292="",_Engine!$D$42=0),"",INDEX(_Engine!$E350:$X350,1,(_Engine!$J$42-1)*4+3))</f>
        <v/>
      </c>
      <c r="I292" s="27">
        <f>IF(OR($A292="",_Engine!$D$43=0),"",INDEX(_Engine!$E350:$X350,1,(_Engine!$J$43-1)*4+3))</f>
        <v/>
      </c>
      <c r="J292" s="27">
        <f>IF(OR($A292="",_Engine!$D$44=0),"",INDEX(_Engine!$E350:$X350,1,(_Engine!$J$44-1)*4+3))</f>
        <v/>
      </c>
      <c r="K292" s="27">
        <f>IF(OR($A292="",_Engine!$D$45=0),"",INDEX(_Engine!$E350:$X350,1,(_Engine!$J$45-1)*4+3))</f>
        <v/>
      </c>
    </row>
    <row r="293">
      <c r="A293" s="25">
        <f>IF(290&lt;=_Engine!$B$36,290,"")</f>
        <v/>
      </c>
      <c r="B293" s="26">
        <f>IF($A293="","",EDATE(_Engine!$B$5,$A293-1))</f>
        <v/>
      </c>
      <c r="C293" s="27">
        <f>IF($A293="","",_Engine!$AJ351)</f>
        <v/>
      </c>
      <c r="D293" s="27">
        <f>IF($A293="","",_Engine!$AK351)</f>
        <v/>
      </c>
      <c r="E293" s="27">
        <f>IF($A293="","",_Engine!$AJ351-_Engine!$AK351)</f>
        <v/>
      </c>
      <c r="F293" s="27">
        <f>IF($A293="","",_Engine!$AI351)</f>
        <v/>
      </c>
      <c r="G293" s="27">
        <f>IF(OR($A293="",_Engine!$D$41=0),"",INDEX(_Engine!$E351:$X351,1,(_Engine!$J$41-1)*4+3))</f>
        <v/>
      </c>
      <c r="H293" s="27">
        <f>IF(OR($A293="",_Engine!$D$42=0),"",INDEX(_Engine!$E351:$X351,1,(_Engine!$J$42-1)*4+3))</f>
        <v/>
      </c>
      <c r="I293" s="27">
        <f>IF(OR($A293="",_Engine!$D$43=0),"",INDEX(_Engine!$E351:$X351,1,(_Engine!$J$43-1)*4+3))</f>
        <v/>
      </c>
      <c r="J293" s="27">
        <f>IF(OR($A293="",_Engine!$D$44=0),"",INDEX(_Engine!$E351:$X351,1,(_Engine!$J$44-1)*4+3))</f>
        <v/>
      </c>
      <c r="K293" s="27">
        <f>IF(OR($A293="",_Engine!$D$45=0),"",INDEX(_Engine!$E351:$X351,1,(_Engine!$J$45-1)*4+3))</f>
        <v/>
      </c>
    </row>
    <row r="294">
      <c r="A294" s="25">
        <f>IF(291&lt;=_Engine!$B$36,291,"")</f>
        <v/>
      </c>
      <c r="B294" s="26">
        <f>IF($A294="","",EDATE(_Engine!$B$5,$A294-1))</f>
        <v/>
      </c>
      <c r="C294" s="27">
        <f>IF($A294="","",_Engine!$AJ352)</f>
        <v/>
      </c>
      <c r="D294" s="27">
        <f>IF($A294="","",_Engine!$AK352)</f>
        <v/>
      </c>
      <c r="E294" s="27">
        <f>IF($A294="","",_Engine!$AJ352-_Engine!$AK352)</f>
        <v/>
      </c>
      <c r="F294" s="27">
        <f>IF($A294="","",_Engine!$AI352)</f>
        <v/>
      </c>
      <c r="G294" s="27">
        <f>IF(OR($A294="",_Engine!$D$41=0),"",INDEX(_Engine!$E352:$X352,1,(_Engine!$J$41-1)*4+3))</f>
        <v/>
      </c>
      <c r="H294" s="27">
        <f>IF(OR($A294="",_Engine!$D$42=0),"",INDEX(_Engine!$E352:$X352,1,(_Engine!$J$42-1)*4+3))</f>
        <v/>
      </c>
      <c r="I294" s="27">
        <f>IF(OR($A294="",_Engine!$D$43=0),"",INDEX(_Engine!$E352:$X352,1,(_Engine!$J$43-1)*4+3))</f>
        <v/>
      </c>
      <c r="J294" s="27">
        <f>IF(OR($A294="",_Engine!$D$44=0),"",INDEX(_Engine!$E352:$X352,1,(_Engine!$J$44-1)*4+3))</f>
        <v/>
      </c>
      <c r="K294" s="27">
        <f>IF(OR($A294="",_Engine!$D$45=0),"",INDEX(_Engine!$E352:$X352,1,(_Engine!$J$45-1)*4+3))</f>
        <v/>
      </c>
    </row>
    <row r="295">
      <c r="A295" s="25">
        <f>IF(292&lt;=_Engine!$B$36,292,"")</f>
        <v/>
      </c>
      <c r="B295" s="26">
        <f>IF($A295="","",EDATE(_Engine!$B$5,$A295-1))</f>
        <v/>
      </c>
      <c r="C295" s="27">
        <f>IF($A295="","",_Engine!$AJ353)</f>
        <v/>
      </c>
      <c r="D295" s="27">
        <f>IF($A295="","",_Engine!$AK353)</f>
        <v/>
      </c>
      <c r="E295" s="27">
        <f>IF($A295="","",_Engine!$AJ353-_Engine!$AK353)</f>
        <v/>
      </c>
      <c r="F295" s="27">
        <f>IF($A295="","",_Engine!$AI353)</f>
        <v/>
      </c>
      <c r="G295" s="27">
        <f>IF(OR($A295="",_Engine!$D$41=0),"",INDEX(_Engine!$E353:$X353,1,(_Engine!$J$41-1)*4+3))</f>
        <v/>
      </c>
      <c r="H295" s="27">
        <f>IF(OR($A295="",_Engine!$D$42=0),"",INDEX(_Engine!$E353:$X353,1,(_Engine!$J$42-1)*4+3))</f>
        <v/>
      </c>
      <c r="I295" s="27">
        <f>IF(OR($A295="",_Engine!$D$43=0),"",INDEX(_Engine!$E353:$X353,1,(_Engine!$J$43-1)*4+3))</f>
        <v/>
      </c>
      <c r="J295" s="27">
        <f>IF(OR($A295="",_Engine!$D$44=0),"",INDEX(_Engine!$E353:$X353,1,(_Engine!$J$44-1)*4+3))</f>
        <v/>
      </c>
      <c r="K295" s="27">
        <f>IF(OR($A295="",_Engine!$D$45=0),"",INDEX(_Engine!$E353:$X353,1,(_Engine!$J$45-1)*4+3))</f>
        <v/>
      </c>
    </row>
    <row r="296">
      <c r="A296" s="25">
        <f>IF(293&lt;=_Engine!$B$36,293,"")</f>
        <v/>
      </c>
      <c r="B296" s="26">
        <f>IF($A296="","",EDATE(_Engine!$B$5,$A296-1))</f>
        <v/>
      </c>
      <c r="C296" s="27">
        <f>IF($A296="","",_Engine!$AJ354)</f>
        <v/>
      </c>
      <c r="D296" s="27">
        <f>IF($A296="","",_Engine!$AK354)</f>
        <v/>
      </c>
      <c r="E296" s="27">
        <f>IF($A296="","",_Engine!$AJ354-_Engine!$AK354)</f>
        <v/>
      </c>
      <c r="F296" s="27">
        <f>IF($A296="","",_Engine!$AI354)</f>
        <v/>
      </c>
      <c r="G296" s="27">
        <f>IF(OR($A296="",_Engine!$D$41=0),"",INDEX(_Engine!$E354:$X354,1,(_Engine!$J$41-1)*4+3))</f>
        <v/>
      </c>
      <c r="H296" s="27">
        <f>IF(OR($A296="",_Engine!$D$42=0),"",INDEX(_Engine!$E354:$X354,1,(_Engine!$J$42-1)*4+3))</f>
        <v/>
      </c>
      <c r="I296" s="27">
        <f>IF(OR($A296="",_Engine!$D$43=0),"",INDEX(_Engine!$E354:$X354,1,(_Engine!$J$43-1)*4+3))</f>
        <v/>
      </c>
      <c r="J296" s="27">
        <f>IF(OR($A296="",_Engine!$D$44=0),"",INDEX(_Engine!$E354:$X354,1,(_Engine!$J$44-1)*4+3))</f>
        <v/>
      </c>
      <c r="K296" s="27">
        <f>IF(OR($A296="",_Engine!$D$45=0),"",INDEX(_Engine!$E354:$X354,1,(_Engine!$J$45-1)*4+3))</f>
        <v/>
      </c>
    </row>
    <row r="297">
      <c r="A297" s="25">
        <f>IF(294&lt;=_Engine!$B$36,294,"")</f>
        <v/>
      </c>
      <c r="B297" s="26">
        <f>IF($A297="","",EDATE(_Engine!$B$5,$A297-1))</f>
        <v/>
      </c>
      <c r="C297" s="27">
        <f>IF($A297="","",_Engine!$AJ355)</f>
        <v/>
      </c>
      <c r="D297" s="27">
        <f>IF($A297="","",_Engine!$AK355)</f>
        <v/>
      </c>
      <c r="E297" s="27">
        <f>IF($A297="","",_Engine!$AJ355-_Engine!$AK355)</f>
        <v/>
      </c>
      <c r="F297" s="27">
        <f>IF($A297="","",_Engine!$AI355)</f>
        <v/>
      </c>
      <c r="G297" s="27">
        <f>IF(OR($A297="",_Engine!$D$41=0),"",INDEX(_Engine!$E355:$X355,1,(_Engine!$J$41-1)*4+3))</f>
        <v/>
      </c>
      <c r="H297" s="27">
        <f>IF(OR($A297="",_Engine!$D$42=0),"",INDEX(_Engine!$E355:$X355,1,(_Engine!$J$42-1)*4+3))</f>
        <v/>
      </c>
      <c r="I297" s="27">
        <f>IF(OR($A297="",_Engine!$D$43=0),"",INDEX(_Engine!$E355:$X355,1,(_Engine!$J$43-1)*4+3))</f>
        <v/>
      </c>
      <c r="J297" s="27">
        <f>IF(OR($A297="",_Engine!$D$44=0),"",INDEX(_Engine!$E355:$X355,1,(_Engine!$J$44-1)*4+3))</f>
        <v/>
      </c>
      <c r="K297" s="27">
        <f>IF(OR($A297="",_Engine!$D$45=0),"",INDEX(_Engine!$E355:$X355,1,(_Engine!$J$45-1)*4+3))</f>
        <v/>
      </c>
    </row>
    <row r="298">
      <c r="A298" s="25">
        <f>IF(295&lt;=_Engine!$B$36,295,"")</f>
        <v/>
      </c>
      <c r="B298" s="26">
        <f>IF($A298="","",EDATE(_Engine!$B$5,$A298-1))</f>
        <v/>
      </c>
      <c r="C298" s="27">
        <f>IF($A298="","",_Engine!$AJ356)</f>
        <v/>
      </c>
      <c r="D298" s="27">
        <f>IF($A298="","",_Engine!$AK356)</f>
        <v/>
      </c>
      <c r="E298" s="27">
        <f>IF($A298="","",_Engine!$AJ356-_Engine!$AK356)</f>
        <v/>
      </c>
      <c r="F298" s="27">
        <f>IF($A298="","",_Engine!$AI356)</f>
        <v/>
      </c>
      <c r="G298" s="27">
        <f>IF(OR($A298="",_Engine!$D$41=0),"",INDEX(_Engine!$E356:$X356,1,(_Engine!$J$41-1)*4+3))</f>
        <v/>
      </c>
      <c r="H298" s="27">
        <f>IF(OR($A298="",_Engine!$D$42=0),"",INDEX(_Engine!$E356:$X356,1,(_Engine!$J$42-1)*4+3))</f>
        <v/>
      </c>
      <c r="I298" s="27">
        <f>IF(OR($A298="",_Engine!$D$43=0),"",INDEX(_Engine!$E356:$X356,1,(_Engine!$J$43-1)*4+3))</f>
        <v/>
      </c>
      <c r="J298" s="27">
        <f>IF(OR($A298="",_Engine!$D$44=0),"",INDEX(_Engine!$E356:$X356,1,(_Engine!$J$44-1)*4+3))</f>
        <v/>
      </c>
      <c r="K298" s="27">
        <f>IF(OR($A298="",_Engine!$D$45=0),"",INDEX(_Engine!$E356:$X356,1,(_Engine!$J$45-1)*4+3))</f>
        <v/>
      </c>
    </row>
    <row r="299">
      <c r="A299" s="25">
        <f>IF(296&lt;=_Engine!$B$36,296,"")</f>
        <v/>
      </c>
      <c r="B299" s="26">
        <f>IF($A299="","",EDATE(_Engine!$B$5,$A299-1))</f>
        <v/>
      </c>
      <c r="C299" s="27">
        <f>IF($A299="","",_Engine!$AJ357)</f>
        <v/>
      </c>
      <c r="D299" s="27">
        <f>IF($A299="","",_Engine!$AK357)</f>
        <v/>
      </c>
      <c r="E299" s="27">
        <f>IF($A299="","",_Engine!$AJ357-_Engine!$AK357)</f>
        <v/>
      </c>
      <c r="F299" s="27">
        <f>IF($A299="","",_Engine!$AI357)</f>
        <v/>
      </c>
      <c r="G299" s="27">
        <f>IF(OR($A299="",_Engine!$D$41=0),"",INDEX(_Engine!$E357:$X357,1,(_Engine!$J$41-1)*4+3))</f>
        <v/>
      </c>
      <c r="H299" s="27">
        <f>IF(OR($A299="",_Engine!$D$42=0),"",INDEX(_Engine!$E357:$X357,1,(_Engine!$J$42-1)*4+3))</f>
        <v/>
      </c>
      <c r="I299" s="27">
        <f>IF(OR($A299="",_Engine!$D$43=0),"",INDEX(_Engine!$E357:$X357,1,(_Engine!$J$43-1)*4+3))</f>
        <v/>
      </c>
      <c r="J299" s="27">
        <f>IF(OR($A299="",_Engine!$D$44=0),"",INDEX(_Engine!$E357:$X357,1,(_Engine!$J$44-1)*4+3))</f>
        <v/>
      </c>
      <c r="K299" s="27">
        <f>IF(OR($A299="",_Engine!$D$45=0),"",INDEX(_Engine!$E357:$X357,1,(_Engine!$J$45-1)*4+3))</f>
        <v/>
      </c>
    </row>
    <row r="300">
      <c r="A300" s="25">
        <f>IF(297&lt;=_Engine!$B$36,297,"")</f>
        <v/>
      </c>
      <c r="B300" s="26">
        <f>IF($A300="","",EDATE(_Engine!$B$5,$A300-1))</f>
        <v/>
      </c>
      <c r="C300" s="27">
        <f>IF($A300="","",_Engine!$AJ358)</f>
        <v/>
      </c>
      <c r="D300" s="27">
        <f>IF($A300="","",_Engine!$AK358)</f>
        <v/>
      </c>
      <c r="E300" s="27">
        <f>IF($A300="","",_Engine!$AJ358-_Engine!$AK358)</f>
        <v/>
      </c>
      <c r="F300" s="27">
        <f>IF($A300="","",_Engine!$AI358)</f>
        <v/>
      </c>
      <c r="G300" s="27">
        <f>IF(OR($A300="",_Engine!$D$41=0),"",INDEX(_Engine!$E358:$X358,1,(_Engine!$J$41-1)*4+3))</f>
        <v/>
      </c>
      <c r="H300" s="27">
        <f>IF(OR($A300="",_Engine!$D$42=0),"",INDEX(_Engine!$E358:$X358,1,(_Engine!$J$42-1)*4+3))</f>
        <v/>
      </c>
      <c r="I300" s="27">
        <f>IF(OR($A300="",_Engine!$D$43=0),"",INDEX(_Engine!$E358:$X358,1,(_Engine!$J$43-1)*4+3))</f>
        <v/>
      </c>
      <c r="J300" s="27">
        <f>IF(OR($A300="",_Engine!$D$44=0),"",INDEX(_Engine!$E358:$X358,1,(_Engine!$J$44-1)*4+3))</f>
        <v/>
      </c>
      <c r="K300" s="27">
        <f>IF(OR($A300="",_Engine!$D$45=0),"",INDEX(_Engine!$E358:$X358,1,(_Engine!$J$45-1)*4+3))</f>
        <v/>
      </c>
    </row>
    <row r="301">
      <c r="A301" s="25">
        <f>IF(298&lt;=_Engine!$B$36,298,"")</f>
        <v/>
      </c>
      <c r="B301" s="26">
        <f>IF($A301="","",EDATE(_Engine!$B$5,$A301-1))</f>
        <v/>
      </c>
      <c r="C301" s="27">
        <f>IF($A301="","",_Engine!$AJ359)</f>
        <v/>
      </c>
      <c r="D301" s="27">
        <f>IF($A301="","",_Engine!$AK359)</f>
        <v/>
      </c>
      <c r="E301" s="27">
        <f>IF($A301="","",_Engine!$AJ359-_Engine!$AK359)</f>
        <v/>
      </c>
      <c r="F301" s="27">
        <f>IF($A301="","",_Engine!$AI359)</f>
        <v/>
      </c>
      <c r="G301" s="27">
        <f>IF(OR($A301="",_Engine!$D$41=0),"",INDEX(_Engine!$E359:$X359,1,(_Engine!$J$41-1)*4+3))</f>
        <v/>
      </c>
      <c r="H301" s="27">
        <f>IF(OR($A301="",_Engine!$D$42=0),"",INDEX(_Engine!$E359:$X359,1,(_Engine!$J$42-1)*4+3))</f>
        <v/>
      </c>
      <c r="I301" s="27">
        <f>IF(OR($A301="",_Engine!$D$43=0),"",INDEX(_Engine!$E359:$X359,1,(_Engine!$J$43-1)*4+3))</f>
        <v/>
      </c>
      <c r="J301" s="27">
        <f>IF(OR($A301="",_Engine!$D$44=0),"",INDEX(_Engine!$E359:$X359,1,(_Engine!$J$44-1)*4+3))</f>
        <v/>
      </c>
      <c r="K301" s="27">
        <f>IF(OR($A301="",_Engine!$D$45=0),"",INDEX(_Engine!$E359:$X359,1,(_Engine!$J$45-1)*4+3))</f>
        <v/>
      </c>
    </row>
    <row r="302">
      <c r="A302" s="25">
        <f>IF(299&lt;=_Engine!$B$36,299,"")</f>
        <v/>
      </c>
      <c r="B302" s="26">
        <f>IF($A302="","",EDATE(_Engine!$B$5,$A302-1))</f>
        <v/>
      </c>
      <c r="C302" s="27">
        <f>IF($A302="","",_Engine!$AJ360)</f>
        <v/>
      </c>
      <c r="D302" s="27">
        <f>IF($A302="","",_Engine!$AK360)</f>
        <v/>
      </c>
      <c r="E302" s="27">
        <f>IF($A302="","",_Engine!$AJ360-_Engine!$AK360)</f>
        <v/>
      </c>
      <c r="F302" s="27">
        <f>IF($A302="","",_Engine!$AI360)</f>
        <v/>
      </c>
      <c r="G302" s="27">
        <f>IF(OR($A302="",_Engine!$D$41=0),"",INDEX(_Engine!$E360:$X360,1,(_Engine!$J$41-1)*4+3))</f>
        <v/>
      </c>
      <c r="H302" s="27">
        <f>IF(OR($A302="",_Engine!$D$42=0),"",INDEX(_Engine!$E360:$X360,1,(_Engine!$J$42-1)*4+3))</f>
        <v/>
      </c>
      <c r="I302" s="27">
        <f>IF(OR($A302="",_Engine!$D$43=0),"",INDEX(_Engine!$E360:$X360,1,(_Engine!$J$43-1)*4+3))</f>
        <v/>
      </c>
      <c r="J302" s="27">
        <f>IF(OR($A302="",_Engine!$D$44=0),"",INDEX(_Engine!$E360:$X360,1,(_Engine!$J$44-1)*4+3))</f>
        <v/>
      </c>
      <c r="K302" s="27">
        <f>IF(OR($A302="",_Engine!$D$45=0),"",INDEX(_Engine!$E360:$X360,1,(_Engine!$J$45-1)*4+3))</f>
        <v/>
      </c>
    </row>
    <row r="303">
      <c r="A303" s="25">
        <f>IF(300&lt;=_Engine!$B$36,300,"")</f>
        <v/>
      </c>
      <c r="B303" s="26">
        <f>IF($A303="","",EDATE(_Engine!$B$5,$A303-1))</f>
        <v/>
      </c>
      <c r="C303" s="27">
        <f>IF($A303="","",_Engine!$AJ361)</f>
        <v/>
      </c>
      <c r="D303" s="27">
        <f>IF($A303="","",_Engine!$AK361)</f>
        <v/>
      </c>
      <c r="E303" s="27">
        <f>IF($A303="","",_Engine!$AJ361-_Engine!$AK361)</f>
        <v/>
      </c>
      <c r="F303" s="27">
        <f>IF($A303="","",_Engine!$AI361)</f>
        <v/>
      </c>
      <c r="G303" s="27">
        <f>IF(OR($A303="",_Engine!$D$41=0),"",INDEX(_Engine!$E361:$X361,1,(_Engine!$J$41-1)*4+3))</f>
        <v/>
      </c>
      <c r="H303" s="27">
        <f>IF(OR($A303="",_Engine!$D$42=0),"",INDEX(_Engine!$E361:$X361,1,(_Engine!$J$42-1)*4+3))</f>
        <v/>
      </c>
      <c r="I303" s="27">
        <f>IF(OR($A303="",_Engine!$D$43=0),"",INDEX(_Engine!$E361:$X361,1,(_Engine!$J$43-1)*4+3))</f>
        <v/>
      </c>
      <c r="J303" s="27">
        <f>IF(OR($A303="",_Engine!$D$44=0),"",INDEX(_Engine!$E361:$X361,1,(_Engine!$J$44-1)*4+3))</f>
        <v/>
      </c>
      <c r="K303" s="27">
        <f>IF(OR($A303="",_Engine!$D$45=0),"",INDEX(_Engine!$E361:$X361,1,(_Engine!$J$45-1)*4+3))</f>
        <v/>
      </c>
    </row>
    <row r="304">
      <c r="A304" s="25">
        <f>IF(301&lt;=_Engine!$B$36,301,"")</f>
        <v/>
      </c>
      <c r="B304" s="26">
        <f>IF($A304="","",EDATE(_Engine!$B$5,$A304-1))</f>
        <v/>
      </c>
      <c r="C304" s="27">
        <f>IF($A304="","",_Engine!$AJ362)</f>
        <v/>
      </c>
      <c r="D304" s="27">
        <f>IF($A304="","",_Engine!$AK362)</f>
        <v/>
      </c>
      <c r="E304" s="27">
        <f>IF($A304="","",_Engine!$AJ362-_Engine!$AK362)</f>
        <v/>
      </c>
      <c r="F304" s="27">
        <f>IF($A304="","",_Engine!$AI362)</f>
        <v/>
      </c>
      <c r="G304" s="27">
        <f>IF(OR($A304="",_Engine!$D$41=0),"",INDEX(_Engine!$E362:$X362,1,(_Engine!$J$41-1)*4+3))</f>
        <v/>
      </c>
      <c r="H304" s="27">
        <f>IF(OR($A304="",_Engine!$D$42=0),"",INDEX(_Engine!$E362:$X362,1,(_Engine!$J$42-1)*4+3))</f>
        <v/>
      </c>
      <c r="I304" s="27">
        <f>IF(OR($A304="",_Engine!$D$43=0),"",INDEX(_Engine!$E362:$X362,1,(_Engine!$J$43-1)*4+3))</f>
        <v/>
      </c>
      <c r="J304" s="27">
        <f>IF(OR($A304="",_Engine!$D$44=0),"",INDEX(_Engine!$E362:$X362,1,(_Engine!$J$44-1)*4+3))</f>
        <v/>
      </c>
      <c r="K304" s="27">
        <f>IF(OR($A304="",_Engine!$D$45=0),"",INDEX(_Engine!$E362:$X362,1,(_Engine!$J$45-1)*4+3))</f>
        <v/>
      </c>
    </row>
    <row r="305">
      <c r="A305" s="25">
        <f>IF(302&lt;=_Engine!$B$36,302,"")</f>
        <v/>
      </c>
      <c r="B305" s="26">
        <f>IF($A305="","",EDATE(_Engine!$B$5,$A305-1))</f>
        <v/>
      </c>
      <c r="C305" s="27">
        <f>IF($A305="","",_Engine!$AJ363)</f>
        <v/>
      </c>
      <c r="D305" s="27">
        <f>IF($A305="","",_Engine!$AK363)</f>
        <v/>
      </c>
      <c r="E305" s="27">
        <f>IF($A305="","",_Engine!$AJ363-_Engine!$AK363)</f>
        <v/>
      </c>
      <c r="F305" s="27">
        <f>IF($A305="","",_Engine!$AI363)</f>
        <v/>
      </c>
      <c r="G305" s="27">
        <f>IF(OR($A305="",_Engine!$D$41=0),"",INDEX(_Engine!$E363:$X363,1,(_Engine!$J$41-1)*4+3))</f>
        <v/>
      </c>
      <c r="H305" s="27">
        <f>IF(OR($A305="",_Engine!$D$42=0),"",INDEX(_Engine!$E363:$X363,1,(_Engine!$J$42-1)*4+3))</f>
        <v/>
      </c>
      <c r="I305" s="27">
        <f>IF(OR($A305="",_Engine!$D$43=0),"",INDEX(_Engine!$E363:$X363,1,(_Engine!$J$43-1)*4+3))</f>
        <v/>
      </c>
      <c r="J305" s="27">
        <f>IF(OR($A305="",_Engine!$D$44=0),"",INDEX(_Engine!$E363:$X363,1,(_Engine!$J$44-1)*4+3))</f>
        <v/>
      </c>
      <c r="K305" s="27">
        <f>IF(OR($A305="",_Engine!$D$45=0),"",INDEX(_Engine!$E363:$X363,1,(_Engine!$J$45-1)*4+3))</f>
        <v/>
      </c>
    </row>
    <row r="306">
      <c r="A306" s="25">
        <f>IF(303&lt;=_Engine!$B$36,303,"")</f>
        <v/>
      </c>
      <c r="B306" s="26">
        <f>IF($A306="","",EDATE(_Engine!$B$5,$A306-1))</f>
        <v/>
      </c>
      <c r="C306" s="27">
        <f>IF($A306="","",_Engine!$AJ364)</f>
        <v/>
      </c>
      <c r="D306" s="27">
        <f>IF($A306="","",_Engine!$AK364)</f>
        <v/>
      </c>
      <c r="E306" s="27">
        <f>IF($A306="","",_Engine!$AJ364-_Engine!$AK364)</f>
        <v/>
      </c>
      <c r="F306" s="27">
        <f>IF($A306="","",_Engine!$AI364)</f>
        <v/>
      </c>
      <c r="G306" s="27">
        <f>IF(OR($A306="",_Engine!$D$41=0),"",INDEX(_Engine!$E364:$X364,1,(_Engine!$J$41-1)*4+3))</f>
        <v/>
      </c>
      <c r="H306" s="27">
        <f>IF(OR($A306="",_Engine!$D$42=0),"",INDEX(_Engine!$E364:$X364,1,(_Engine!$J$42-1)*4+3))</f>
        <v/>
      </c>
      <c r="I306" s="27">
        <f>IF(OR($A306="",_Engine!$D$43=0),"",INDEX(_Engine!$E364:$X364,1,(_Engine!$J$43-1)*4+3))</f>
        <v/>
      </c>
      <c r="J306" s="27">
        <f>IF(OR($A306="",_Engine!$D$44=0),"",INDEX(_Engine!$E364:$X364,1,(_Engine!$J$44-1)*4+3))</f>
        <v/>
      </c>
      <c r="K306" s="27">
        <f>IF(OR($A306="",_Engine!$D$45=0),"",INDEX(_Engine!$E364:$X364,1,(_Engine!$J$45-1)*4+3))</f>
        <v/>
      </c>
    </row>
    <row r="307">
      <c r="A307" s="25">
        <f>IF(304&lt;=_Engine!$B$36,304,"")</f>
        <v/>
      </c>
      <c r="B307" s="26">
        <f>IF($A307="","",EDATE(_Engine!$B$5,$A307-1))</f>
        <v/>
      </c>
      <c r="C307" s="27">
        <f>IF($A307="","",_Engine!$AJ365)</f>
        <v/>
      </c>
      <c r="D307" s="27">
        <f>IF($A307="","",_Engine!$AK365)</f>
        <v/>
      </c>
      <c r="E307" s="27">
        <f>IF($A307="","",_Engine!$AJ365-_Engine!$AK365)</f>
        <v/>
      </c>
      <c r="F307" s="27">
        <f>IF($A307="","",_Engine!$AI365)</f>
        <v/>
      </c>
      <c r="G307" s="27">
        <f>IF(OR($A307="",_Engine!$D$41=0),"",INDEX(_Engine!$E365:$X365,1,(_Engine!$J$41-1)*4+3))</f>
        <v/>
      </c>
      <c r="H307" s="27">
        <f>IF(OR($A307="",_Engine!$D$42=0),"",INDEX(_Engine!$E365:$X365,1,(_Engine!$J$42-1)*4+3))</f>
        <v/>
      </c>
      <c r="I307" s="27">
        <f>IF(OR($A307="",_Engine!$D$43=0),"",INDEX(_Engine!$E365:$X365,1,(_Engine!$J$43-1)*4+3))</f>
        <v/>
      </c>
      <c r="J307" s="27">
        <f>IF(OR($A307="",_Engine!$D$44=0),"",INDEX(_Engine!$E365:$X365,1,(_Engine!$J$44-1)*4+3))</f>
        <v/>
      </c>
      <c r="K307" s="27">
        <f>IF(OR($A307="",_Engine!$D$45=0),"",INDEX(_Engine!$E365:$X365,1,(_Engine!$J$45-1)*4+3))</f>
        <v/>
      </c>
    </row>
    <row r="308">
      <c r="A308" s="25">
        <f>IF(305&lt;=_Engine!$B$36,305,"")</f>
        <v/>
      </c>
      <c r="B308" s="26">
        <f>IF($A308="","",EDATE(_Engine!$B$5,$A308-1))</f>
        <v/>
      </c>
      <c r="C308" s="27">
        <f>IF($A308="","",_Engine!$AJ366)</f>
        <v/>
      </c>
      <c r="D308" s="27">
        <f>IF($A308="","",_Engine!$AK366)</f>
        <v/>
      </c>
      <c r="E308" s="27">
        <f>IF($A308="","",_Engine!$AJ366-_Engine!$AK366)</f>
        <v/>
      </c>
      <c r="F308" s="27">
        <f>IF($A308="","",_Engine!$AI366)</f>
        <v/>
      </c>
      <c r="G308" s="27">
        <f>IF(OR($A308="",_Engine!$D$41=0),"",INDEX(_Engine!$E366:$X366,1,(_Engine!$J$41-1)*4+3))</f>
        <v/>
      </c>
      <c r="H308" s="27">
        <f>IF(OR($A308="",_Engine!$D$42=0),"",INDEX(_Engine!$E366:$X366,1,(_Engine!$J$42-1)*4+3))</f>
        <v/>
      </c>
      <c r="I308" s="27">
        <f>IF(OR($A308="",_Engine!$D$43=0),"",INDEX(_Engine!$E366:$X366,1,(_Engine!$J$43-1)*4+3))</f>
        <v/>
      </c>
      <c r="J308" s="27">
        <f>IF(OR($A308="",_Engine!$D$44=0),"",INDEX(_Engine!$E366:$X366,1,(_Engine!$J$44-1)*4+3))</f>
        <v/>
      </c>
      <c r="K308" s="27">
        <f>IF(OR($A308="",_Engine!$D$45=0),"",INDEX(_Engine!$E366:$X366,1,(_Engine!$J$45-1)*4+3))</f>
        <v/>
      </c>
    </row>
    <row r="309">
      <c r="A309" s="25">
        <f>IF(306&lt;=_Engine!$B$36,306,"")</f>
        <v/>
      </c>
      <c r="B309" s="26">
        <f>IF($A309="","",EDATE(_Engine!$B$5,$A309-1))</f>
        <v/>
      </c>
      <c r="C309" s="27">
        <f>IF($A309="","",_Engine!$AJ367)</f>
        <v/>
      </c>
      <c r="D309" s="27">
        <f>IF($A309="","",_Engine!$AK367)</f>
        <v/>
      </c>
      <c r="E309" s="27">
        <f>IF($A309="","",_Engine!$AJ367-_Engine!$AK367)</f>
        <v/>
      </c>
      <c r="F309" s="27">
        <f>IF($A309="","",_Engine!$AI367)</f>
        <v/>
      </c>
      <c r="G309" s="27">
        <f>IF(OR($A309="",_Engine!$D$41=0),"",INDEX(_Engine!$E367:$X367,1,(_Engine!$J$41-1)*4+3))</f>
        <v/>
      </c>
      <c r="H309" s="27">
        <f>IF(OR($A309="",_Engine!$D$42=0),"",INDEX(_Engine!$E367:$X367,1,(_Engine!$J$42-1)*4+3))</f>
        <v/>
      </c>
      <c r="I309" s="27">
        <f>IF(OR($A309="",_Engine!$D$43=0),"",INDEX(_Engine!$E367:$X367,1,(_Engine!$J$43-1)*4+3))</f>
        <v/>
      </c>
      <c r="J309" s="27">
        <f>IF(OR($A309="",_Engine!$D$44=0),"",INDEX(_Engine!$E367:$X367,1,(_Engine!$J$44-1)*4+3))</f>
        <v/>
      </c>
      <c r="K309" s="27">
        <f>IF(OR($A309="",_Engine!$D$45=0),"",INDEX(_Engine!$E367:$X367,1,(_Engine!$J$45-1)*4+3))</f>
        <v/>
      </c>
    </row>
    <row r="310">
      <c r="A310" s="25">
        <f>IF(307&lt;=_Engine!$B$36,307,"")</f>
        <v/>
      </c>
      <c r="B310" s="26">
        <f>IF($A310="","",EDATE(_Engine!$B$5,$A310-1))</f>
        <v/>
      </c>
      <c r="C310" s="27">
        <f>IF($A310="","",_Engine!$AJ368)</f>
        <v/>
      </c>
      <c r="D310" s="27">
        <f>IF($A310="","",_Engine!$AK368)</f>
        <v/>
      </c>
      <c r="E310" s="27">
        <f>IF($A310="","",_Engine!$AJ368-_Engine!$AK368)</f>
        <v/>
      </c>
      <c r="F310" s="27">
        <f>IF($A310="","",_Engine!$AI368)</f>
        <v/>
      </c>
      <c r="G310" s="27">
        <f>IF(OR($A310="",_Engine!$D$41=0),"",INDEX(_Engine!$E368:$X368,1,(_Engine!$J$41-1)*4+3))</f>
        <v/>
      </c>
      <c r="H310" s="27">
        <f>IF(OR($A310="",_Engine!$D$42=0),"",INDEX(_Engine!$E368:$X368,1,(_Engine!$J$42-1)*4+3))</f>
        <v/>
      </c>
      <c r="I310" s="27">
        <f>IF(OR($A310="",_Engine!$D$43=0),"",INDEX(_Engine!$E368:$X368,1,(_Engine!$J$43-1)*4+3))</f>
        <v/>
      </c>
      <c r="J310" s="27">
        <f>IF(OR($A310="",_Engine!$D$44=0),"",INDEX(_Engine!$E368:$X368,1,(_Engine!$J$44-1)*4+3))</f>
        <v/>
      </c>
      <c r="K310" s="27">
        <f>IF(OR($A310="",_Engine!$D$45=0),"",INDEX(_Engine!$E368:$X368,1,(_Engine!$J$45-1)*4+3))</f>
        <v/>
      </c>
    </row>
    <row r="311">
      <c r="A311" s="25">
        <f>IF(308&lt;=_Engine!$B$36,308,"")</f>
        <v/>
      </c>
      <c r="B311" s="26">
        <f>IF($A311="","",EDATE(_Engine!$B$5,$A311-1))</f>
        <v/>
      </c>
      <c r="C311" s="27">
        <f>IF($A311="","",_Engine!$AJ369)</f>
        <v/>
      </c>
      <c r="D311" s="27">
        <f>IF($A311="","",_Engine!$AK369)</f>
        <v/>
      </c>
      <c r="E311" s="27">
        <f>IF($A311="","",_Engine!$AJ369-_Engine!$AK369)</f>
        <v/>
      </c>
      <c r="F311" s="27">
        <f>IF($A311="","",_Engine!$AI369)</f>
        <v/>
      </c>
      <c r="G311" s="27">
        <f>IF(OR($A311="",_Engine!$D$41=0),"",INDEX(_Engine!$E369:$X369,1,(_Engine!$J$41-1)*4+3))</f>
        <v/>
      </c>
      <c r="H311" s="27">
        <f>IF(OR($A311="",_Engine!$D$42=0),"",INDEX(_Engine!$E369:$X369,1,(_Engine!$J$42-1)*4+3))</f>
        <v/>
      </c>
      <c r="I311" s="27">
        <f>IF(OR($A311="",_Engine!$D$43=0),"",INDEX(_Engine!$E369:$X369,1,(_Engine!$J$43-1)*4+3))</f>
        <v/>
      </c>
      <c r="J311" s="27">
        <f>IF(OR($A311="",_Engine!$D$44=0),"",INDEX(_Engine!$E369:$X369,1,(_Engine!$J$44-1)*4+3))</f>
        <v/>
      </c>
      <c r="K311" s="27">
        <f>IF(OR($A311="",_Engine!$D$45=0),"",INDEX(_Engine!$E369:$X369,1,(_Engine!$J$45-1)*4+3))</f>
        <v/>
      </c>
    </row>
    <row r="312">
      <c r="A312" s="25">
        <f>IF(309&lt;=_Engine!$B$36,309,"")</f>
        <v/>
      </c>
      <c r="B312" s="26">
        <f>IF($A312="","",EDATE(_Engine!$B$5,$A312-1))</f>
        <v/>
      </c>
      <c r="C312" s="27">
        <f>IF($A312="","",_Engine!$AJ370)</f>
        <v/>
      </c>
      <c r="D312" s="27">
        <f>IF($A312="","",_Engine!$AK370)</f>
        <v/>
      </c>
      <c r="E312" s="27">
        <f>IF($A312="","",_Engine!$AJ370-_Engine!$AK370)</f>
        <v/>
      </c>
      <c r="F312" s="27">
        <f>IF($A312="","",_Engine!$AI370)</f>
        <v/>
      </c>
      <c r="G312" s="27">
        <f>IF(OR($A312="",_Engine!$D$41=0),"",INDEX(_Engine!$E370:$X370,1,(_Engine!$J$41-1)*4+3))</f>
        <v/>
      </c>
      <c r="H312" s="27">
        <f>IF(OR($A312="",_Engine!$D$42=0),"",INDEX(_Engine!$E370:$X370,1,(_Engine!$J$42-1)*4+3))</f>
        <v/>
      </c>
      <c r="I312" s="27">
        <f>IF(OR($A312="",_Engine!$D$43=0),"",INDEX(_Engine!$E370:$X370,1,(_Engine!$J$43-1)*4+3))</f>
        <v/>
      </c>
      <c r="J312" s="27">
        <f>IF(OR($A312="",_Engine!$D$44=0),"",INDEX(_Engine!$E370:$X370,1,(_Engine!$J$44-1)*4+3))</f>
        <v/>
      </c>
      <c r="K312" s="27">
        <f>IF(OR($A312="",_Engine!$D$45=0),"",INDEX(_Engine!$E370:$X370,1,(_Engine!$J$45-1)*4+3))</f>
        <v/>
      </c>
    </row>
    <row r="313">
      <c r="A313" s="25">
        <f>IF(310&lt;=_Engine!$B$36,310,"")</f>
        <v/>
      </c>
      <c r="B313" s="26">
        <f>IF($A313="","",EDATE(_Engine!$B$5,$A313-1))</f>
        <v/>
      </c>
      <c r="C313" s="27">
        <f>IF($A313="","",_Engine!$AJ371)</f>
        <v/>
      </c>
      <c r="D313" s="27">
        <f>IF($A313="","",_Engine!$AK371)</f>
        <v/>
      </c>
      <c r="E313" s="27">
        <f>IF($A313="","",_Engine!$AJ371-_Engine!$AK371)</f>
        <v/>
      </c>
      <c r="F313" s="27">
        <f>IF($A313="","",_Engine!$AI371)</f>
        <v/>
      </c>
      <c r="G313" s="27">
        <f>IF(OR($A313="",_Engine!$D$41=0),"",INDEX(_Engine!$E371:$X371,1,(_Engine!$J$41-1)*4+3))</f>
        <v/>
      </c>
      <c r="H313" s="27">
        <f>IF(OR($A313="",_Engine!$D$42=0),"",INDEX(_Engine!$E371:$X371,1,(_Engine!$J$42-1)*4+3))</f>
        <v/>
      </c>
      <c r="I313" s="27">
        <f>IF(OR($A313="",_Engine!$D$43=0),"",INDEX(_Engine!$E371:$X371,1,(_Engine!$J$43-1)*4+3))</f>
        <v/>
      </c>
      <c r="J313" s="27">
        <f>IF(OR($A313="",_Engine!$D$44=0),"",INDEX(_Engine!$E371:$X371,1,(_Engine!$J$44-1)*4+3))</f>
        <v/>
      </c>
      <c r="K313" s="27">
        <f>IF(OR($A313="",_Engine!$D$45=0),"",INDEX(_Engine!$E371:$X371,1,(_Engine!$J$45-1)*4+3))</f>
        <v/>
      </c>
    </row>
    <row r="314">
      <c r="A314" s="25">
        <f>IF(311&lt;=_Engine!$B$36,311,"")</f>
        <v/>
      </c>
      <c r="B314" s="26">
        <f>IF($A314="","",EDATE(_Engine!$B$5,$A314-1))</f>
        <v/>
      </c>
      <c r="C314" s="27">
        <f>IF($A314="","",_Engine!$AJ372)</f>
        <v/>
      </c>
      <c r="D314" s="27">
        <f>IF($A314="","",_Engine!$AK372)</f>
        <v/>
      </c>
      <c r="E314" s="27">
        <f>IF($A314="","",_Engine!$AJ372-_Engine!$AK372)</f>
        <v/>
      </c>
      <c r="F314" s="27">
        <f>IF($A314="","",_Engine!$AI372)</f>
        <v/>
      </c>
      <c r="G314" s="27">
        <f>IF(OR($A314="",_Engine!$D$41=0),"",INDEX(_Engine!$E372:$X372,1,(_Engine!$J$41-1)*4+3))</f>
        <v/>
      </c>
      <c r="H314" s="27">
        <f>IF(OR($A314="",_Engine!$D$42=0),"",INDEX(_Engine!$E372:$X372,1,(_Engine!$J$42-1)*4+3))</f>
        <v/>
      </c>
      <c r="I314" s="27">
        <f>IF(OR($A314="",_Engine!$D$43=0),"",INDEX(_Engine!$E372:$X372,1,(_Engine!$J$43-1)*4+3))</f>
        <v/>
      </c>
      <c r="J314" s="27">
        <f>IF(OR($A314="",_Engine!$D$44=0),"",INDEX(_Engine!$E372:$X372,1,(_Engine!$J$44-1)*4+3))</f>
        <v/>
      </c>
      <c r="K314" s="27">
        <f>IF(OR($A314="",_Engine!$D$45=0),"",INDEX(_Engine!$E372:$X372,1,(_Engine!$J$45-1)*4+3))</f>
        <v/>
      </c>
    </row>
    <row r="315">
      <c r="A315" s="25">
        <f>IF(312&lt;=_Engine!$B$36,312,"")</f>
        <v/>
      </c>
      <c r="B315" s="26">
        <f>IF($A315="","",EDATE(_Engine!$B$5,$A315-1))</f>
        <v/>
      </c>
      <c r="C315" s="27">
        <f>IF($A315="","",_Engine!$AJ373)</f>
        <v/>
      </c>
      <c r="D315" s="27">
        <f>IF($A315="","",_Engine!$AK373)</f>
        <v/>
      </c>
      <c r="E315" s="27">
        <f>IF($A315="","",_Engine!$AJ373-_Engine!$AK373)</f>
        <v/>
      </c>
      <c r="F315" s="27">
        <f>IF($A315="","",_Engine!$AI373)</f>
        <v/>
      </c>
      <c r="G315" s="27">
        <f>IF(OR($A315="",_Engine!$D$41=0),"",INDEX(_Engine!$E373:$X373,1,(_Engine!$J$41-1)*4+3))</f>
        <v/>
      </c>
      <c r="H315" s="27">
        <f>IF(OR($A315="",_Engine!$D$42=0),"",INDEX(_Engine!$E373:$X373,1,(_Engine!$J$42-1)*4+3))</f>
        <v/>
      </c>
      <c r="I315" s="27">
        <f>IF(OR($A315="",_Engine!$D$43=0),"",INDEX(_Engine!$E373:$X373,1,(_Engine!$J$43-1)*4+3))</f>
        <v/>
      </c>
      <c r="J315" s="27">
        <f>IF(OR($A315="",_Engine!$D$44=0),"",INDEX(_Engine!$E373:$X373,1,(_Engine!$J$44-1)*4+3))</f>
        <v/>
      </c>
      <c r="K315" s="27">
        <f>IF(OR($A315="",_Engine!$D$45=0),"",INDEX(_Engine!$E373:$X373,1,(_Engine!$J$45-1)*4+3))</f>
        <v/>
      </c>
    </row>
    <row r="316">
      <c r="A316" s="25">
        <f>IF(313&lt;=_Engine!$B$36,313,"")</f>
        <v/>
      </c>
      <c r="B316" s="26">
        <f>IF($A316="","",EDATE(_Engine!$B$5,$A316-1))</f>
        <v/>
      </c>
      <c r="C316" s="27">
        <f>IF($A316="","",_Engine!$AJ374)</f>
        <v/>
      </c>
      <c r="D316" s="27">
        <f>IF($A316="","",_Engine!$AK374)</f>
        <v/>
      </c>
      <c r="E316" s="27">
        <f>IF($A316="","",_Engine!$AJ374-_Engine!$AK374)</f>
        <v/>
      </c>
      <c r="F316" s="27">
        <f>IF($A316="","",_Engine!$AI374)</f>
        <v/>
      </c>
      <c r="G316" s="27">
        <f>IF(OR($A316="",_Engine!$D$41=0),"",INDEX(_Engine!$E374:$X374,1,(_Engine!$J$41-1)*4+3))</f>
        <v/>
      </c>
      <c r="H316" s="27">
        <f>IF(OR($A316="",_Engine!$D$42=0),"",INDEX(_Engine!$E374:$X374,1,(_Engine!$J$42-1)*4+3))</f>
        <v/>
      </c>
      <c r="I316" s="27">
        <f>IF(OR($A316="",_Engine!$D$43=0),"",INDEX(_Engine!$E374:$X374,1,(_Engine!$J$43-1)*4+3))</f>
        <v/>
      </c>
      <c r="J316" s="27">
        <f>IF(OR($A316="",_Engine!$D$44=0),"",INDEX(_Engine!$E374:$X374,1,(_Engine!$J$44-1)*4+3))</f>
        <v/>
      </c>
      <c r="K316" s="27">
        <f>IF(OR($A316="",_Engine!$D$45=0),"",INDEX(_Engine!$E374:$X374,1,(_Engine!$J$45-1)*4+3))</f>
        <v/>
      </c>
    </row>
    <row r="317">
      <c r="A317" s="25">
        <f>IF(314&lt;=_Engine!$B$36,314,"")</f>
        <v/>
      </c>
      <c r="B317" s="26">
        <f>IF($A317="","",EDATE(_Engine!$B$5,$A317-1))</f>
        <v/>
      </c>
      <c r="C317" s="27">
        <f>IF($A317="","",_Engine!$AJ375)</f>
        <v/>
      </c>
      <c r="D317" s="27">
        <f>IF($A317="","",_Engine!$AK375)</f>
        <v/>
      </c>
      <c r="E317" s="27">
        <f>IF($A317="","",_Engine!$AJ375-_Engine!$AK375)</f>
        <v/>
      </c>
      <c r="F317" s="27">
        <f>IF($A317="","",_Engine!$AI375)</f>
        <v/>
      </c>
      <c r="G317" s="27">
        <f>IF(OR($A317="",_Engine!$D$41=0),"",INDEX(_Engine!$E375:$X375,1,(_Engine!$J$41-1)*4+3))</f>
        <v/>
      </c>
      <c r="H317" s="27">
        <f>IF(OR($A317="",_Engine!$D$42=0),"",INDEX(_Engine!$E375:$X375,1,(_Engine!$J$42-1)*4+3))</f>
        <v/>
      </c>
      <c r="I317" s="27">
        <f>IF(OR($A317="",_Engine!$D$43=0),"",INDEX(_Engine!$E375:$X375,1,(_Engine!$J$43-1)*4+3))</f>
        <v/>
      </c>
      <c r="J317" s="27">
        <f>IF(OR($A317="",_Engine!$D$44=0),"",INDEX(_Engine!$E375:$X375,1,(_Engine!$J$44-1)*4+3))</f>
        <v/>
      </c>
      <c r="K317" s="27">
        <f>IF(OR($A317="",_Engine!$D$45=0),"",INDEX(_Engine!$E375:$X375,1,(_Engine!$J$45-1)*4+3))</f>
        <v/>
      </c>
    </row>
    <row r="318">
      <c r="A318" s="25">
        <f>IF(315&lt;=_Engine!$B$36,315,"")</f>
        <v/>
      </c>
      <c r="B318" s="26">
        <f>IF($A318="","",EDATE(_Engine!$B$5,$A318-1))</f>
        <v/>
      </c>
      <c r="C318" s="27">
        <f>IF($A318="","",_Engine!$AJ376)</f>
        <v/>
      </c>
      <c r="D318" s="27">
        <f>IF($A318="","",_Engine!$AK376)</f>
        <v/>
      </c>
      <c r="E318" s="27">
        <f>IF($A318="","",_Engine!$AJ376-_Engine!$AK376)</f>
        <v/>
      </c>
      <c r="F318" s="27">
        <f>IF($A318="","",_Engine!$AI376)</f>
        <v/>
      </c>
      <c r="G318" s="27">
        <f>IF(OR($A318="",_Engine!$D$41=0),"",INDEX(_Engine!$E376:$X376,1,(_Engine!$J$41-1)*4+3))</f>
        <v/>
      </c>
      <c r="H318" s="27">
        <f>IF(OR($A318="",_Engine!$D$42=0),"",INDEX(_Engine!$E376:$X376,1,(_Engine!$J$42-1)*4+3))</f>
        <v/>
      </c>
      <c r="I318" s="27">
        <f>IF(OR($A318="",_Engine!$D$43=0),"",INDEX(_Engine!$E376:$X376,1,(_Engine!$J$43-1)*4+3))</f>
        <v/>
      </c>
      <c r="J318" s="27">
        <f>IF(OR($A318="",_Engine!$D$44=0),"",INDEX(_Engine!$E376:$X376,1,(_Engine!$J$44-1)*4+3))</f>
        <v/>
      </c>
      <c r="K318" s="27">
        <f>IF(OR($A318="",_Engine!$D$45=0),"",INDEX(_Engine!$E376:$X376,1,(_Engine!$J$45-1)*4+3))</f>
        <v/>
      </c>
    </row>
    <row r="319">
      <c r="A319" s="25">
        <f>IF(316&lt;=_Engine!$B$36,316,"")</f>
        <v/>
      </c>
      <c r="B319" s="26">
        <f>IF($A319="","",EDATE(_Engine!$B$5,$A319-1))</f>
        <v/>
      </c>
      <c r="C319" s="27">
        <f>IF($A319="","",_Engine!$AJ377)</f>
        <v/>
      </c>
      <c r="D319" s="27">
        <f>IF($A319="","",_Engine!$AK377)</f>
        <v/>
      </c>
      <c r="E319" s="27">
        <f>IF($A319="","",_Engine!$AJ377-_Engine!$AK377)</f>
        <v/>
      </c>
      <c r="F319" s="27">
        <f>IF($A319="","",_Engine!$AI377)</f>
        <v/>
      </c>
      <c r="G319" s="27">
        <f>IF(OR($A319="",_Engine!$D$41=0),"",INDEX(_Engine!$E377:$X377,1,(_Engine!$J$41-1)*4+3))</f>
        <v/>
      </c>
      <c r="H319" s="27">
        <f>IF(OR($A319="",_Engine!$D$42=0),"",INDEX(_Engine!$E377:$X377,1,(_Engine!$J$42-1)*4+3))</f>
        <v/>
      </c>
      <c r="I319" s="27">
        <f>IF(OR($A319="",_Engine!$D$43=0),"",INDEX(_Engine!$E377:$X377,1,(_Engine!$J$43-1)*4+3))</f>
        <v/>
      </c>
      <c r="J319" s="27">
        <f>IF(OR($A319="",_Engine!$D$44=0),"",INDEX(_Engine!$E377:$X377,1,(_Engine!$J$44-1)*4+3))</f>
        <v/>
      </c>
      <c r="K319" s="27">
        <f>IF(OR($A319="",_Engine!$D$45=0),"",INDEX(_Engine!$E377:$X377,1,(_Engine!$J$45-1)*4+3))</f>
        <v/>
      </c>
    </row>
    <row r="320">
      <c r="A320" s="25">
        <f>IF(317&lt;=_Engine!$B$36,317,"")</f>
        <v/>
      </c>
      <c r="B320" s="26">
        <f>IF($A320="","",EDATE(_Engine!$B$5,$A320-1))</f>
        <v/>
      </c>
      <c r="C320" s="27">
        <f>IF($A320="","",_Engine!$AJ378)</f>
        <v/>
      </c>
      <c r="D320" s="27">
        <f>IF($A320="","",_Engine!$AK378)</f>
        <v/>
      </c>
      <c r="E320" s="27">
        <f>IF($A320="","",_Engine!$AJ378-_Engine!$AK378)</f>
        <v/>
      </c>
      <c r="F320" s="27">
        <f>IF($A320="","",_Engine!$AI378)</f>
        <v/>
      </c>
      <c r="G320" s="27">
        <f>IF(OR($A320="",_Engine!$D$41=0),"",INDEX(_Engine!$E378:$X378,1,(_Engine!$J$41-1)*4+3))</f>
        <v/>
      </c>
      <c r="H320" s="27">
        <f>IF(OR($A320="",_Engine!$D$42=0),"",INDEX(_Engine!$E378:$X378,1,(_Engine!$J$42-1)*4+3))</f>
        <v/>
      </c>
      <c r="I320" s="27">
        <f>IF(OR($A320="",_Engine!$D$43=0),"",INDEX(_Engine!$E378:$X378,1,(_Engine!$J$43-1)*4+3))</f>
        <v/>
      </c>
      <c r="J320" s="27">
        <f>IF(OR($A320="",_Engine!$D$44=0),"",INDEX(_Engine!$E378:$X378,1,(_Engine!$J$44-1)*4+3))</f>
        <v/>
      </c>
      <c r="K320" s="27">
        <f>IF(OR($A320="",_Engine!$D$45=0),"",INDEX(_Engine!$E378:$X378,1,(_Engine!$J$45-1)*4+3))</f>
        <v/>
      </c>
    </row>
    <row r="321">
      <c r="A321" s="25">
        <f>IF(318&lt;=_Engine!$B$36,318,"")</f>
        <v/>
      </c>
      <c r="B321" s="26">
        <f>IF($A321="","",EDATE(_Engine!$B$5,$A321-1))</f>
        <v/>
      </c>
      <c r="C321" s="27">
        <f>IF($A321="","",_Engine!$AJ379)</f>
        <v/>
      </c>
      <c r="D321" s="27">
        <f>IF($A321="","",_Engine!$AK379)</f>
        <v/>
      </c>
      <c r="E321" s="27">
        <f>IF($A321="","",_Engine!$AJ379-_Engine!$AK379)</f>
        <v/>
      </c>
      <c r="F321" s="27">
        <f>IF($A321="","",_Engine!$AI379)</f>
        <v/>
      </c>
      <c r="G321" s="27">
        <f>IF(OR($A321="",_Engine!$D$41=0),"",INDEX(_Engine!$E379:$X379,1,(_Engine!$J$41-1)*4+3))</f>
        <v/>
      </c>
      <c r="H321" s="27">
        <f>IF(OR($A321="",_Engine!$D$42=0),"",INDEX(_Engine!$E379:$X379,1,(_Engine!$J$42-1)*4+3))</f>
        <v/>
      </c>
      <c r="I321" s="27">
        <f>IF(OR($A321="",_Engine!$D$43=0),"",INDEX(_Engine!$E379:$X379,1,(_Engine!$J$43-1)*4+3))</f>
        <v/>
      </c>
      <c r="J321" s="27">
        <f>IF(OR($A321="",_Engine!$D$44=0),"",INDEX(_Engine!$E379:$X379,1,(_Engine!$J$44-1)*4+3))</f>
        <v/>
      </c>
      <c r="K321" s="27">
        <f>IF(OR($A321="",_Engine!$D$45=0),"",INDEX(_Engine!$E379:$X379,1,(_Engine!$J$45-1)*4+3))</f>
        <v/>
      </c>
    </row>
    <row r="322">
      <c r="A322" s="25">
        <f>IF(319&lt;=_Engine!$B$36,319,"")</f>
        <v/>
      </c>
      <c r="B322" s="26">
        <f>IF($A322="","",EDATE(_Engine!$B$5,$A322-1))</f>
        <v/>
      </c>
      <c r="C322" s="27">
        <f>IF($A322="","",_Engine!$AJ380)</f>
        <v/>
      </c>
      <c r="D322" s="27">
        <f>IF($A322="","",_Engine!$AK380)</f>
        <v/>
      </c>
      <c r="E322" s="27">
        <f>IF($A322="","",_Engine!$AJ380-_Engine!$AK380)</f>
        <v/>
      </c>
      <c r="F322" s="27">
        <f>IF($A322="","",_Engine!$AI380)</f>
        <v/>
      </c>
      <c r="G322" s="27">
        <f>IF(OR($A322="",_Engine!$D$41=0),"",INDEX(_Engine!$E380:$X380,1,(_Engine!$J$41-1)*4+3))</f>
        <v/>
      </c>
      <c r="H322" s="27">
        <f>IF(OR($A322="",_Engine!$D$42=0),"",INDEX(_Engine!$E380:$X380,1,(_Engine!$J$42-1)*4+3))</f>
        <v/>
      </c>
      <c r="I322" s="27">
        <f>IF(OR($A322="",_Engine!$D$43=0),"",INDEX(_Engine!$E380:$X380,1,(_Engine!$J$43-1)*4+3))</f>
        <v/>
      </c>
      <c r="J322" s="27">
        <f>IF(OR($A322="",_Engine!$D$44=0),"",INDEX(_Engine!$E380:$X380,1,(_Engine!$J$44-1)*4+3))</f>
        <v/>
      </c>
      <c r="K322" s="27">
        <f>IF(OR($A322="",_Engine!$D$45=0),"",INDEX(_Engine!$E380:$X380,1,(_Engine!$J$45-1)*4+3))</f>
        <v/>
      </c>
    </row>
    <row r="323">
      <c r="A323" s="25">
        <f>IF(320&lt;=_Engine!$B$36,320,"")</f>
        <v/>
      </c>
      <c r="B323" s="26">
        <f>IF($A323="","",EDATE(_Engine!$B$5,$A323-1))</f>
        <v/>
      </c>
      <c r="C323" s="27">
        <f>IF($A323="","",_Engine!$AJ381)</f>
        <v/>
      </c>
      <c r="D323" s="27">
        <f>IF($A323="","",_Engine!$AK381)</f>
        <v/>
      </c>
      <c r="E323" s="27">
        <f>IF($A323="","",_Engine!$AJ381-_Engine!$AK381)</f>
        <v/>
      </c>
      <c r="F323" s="27">
        <f>IF($A323="","",_Engine!$AI381)</f>
        <v/>
      </c>
      <c r="G323" s="27">
        <f>IF(OR($A323="",_Engine!$D$41=0),"",INDEX(_Engine!$E381:$X381,1,(_Engine!$J$41-1)*4+3))</f>
        <v/>
      </c>
      <c r="H323" s="27">
        <f>IF(OR($A323="",_Engine!$D$42=0),"",INDEX(_Engine!$E381:$X381,1,(_Engine!$J$42-1)*4+3))</f>
        <v/>
      </c>
      <c r="I323" s="27">
        <f>IF(OR($A323="",_Engine!$D$43=0),"",INDEX(_Engine!$E381:$X381,1,(_Engine!$J$43-1)*4+3))</f>
        <v/>
      </c>
      <c r="J323" s="27">
        <f>IF(OR($A323="",_Engine!$D$44=0),"",INDEX(_Engine!$E381:$X381,1,(_Engine!$J$44-1)*4+3))</f>
        <v/>
      </c>
      <c r="K323" s="27">
        <f>IF(OR($A323="",_Engine!$D$45=0),"",INDEX(_Engine!$E381:$X381,1,(_Engine!$J$45-1)*4+3))</f>
        <v/>
      </c>
    </row>
    <row r="324">
      <c r="A324" s="25">
        <f>IF(321&lt;=_Engine!$B$36,321,"")</f>
        <v/>
      </c>
      <c r="B324" s="26">
        <f>IF($A324="","",EDATE(_Engine!$B$5,$A324-1))</f>
        <v/>
      </c>
      <c r="C324" s="27">
        <f>IF($A324="","",_Engine!$AJ382)</f>
        <v/>
      </c>
      <c r="D324" s="27">
        <f>IF($A324="","",_Engine!$AK382)</f>
        <v/>
      </c>
      <c r="E324" s="27">
        <f>IF($A324="","",_Engine!$AJ382-_Engine!$AK382)</f>
        <v/>
      </c>
      <c r="F324" s="27">
        <f>IF($A324="","",_Engine!$AI382)</f>
        <v/>
      </c>
      <c r="G324" s="27">
        <f>IF(OR($A324="",_Engine!$D$41=0),"",INDEX(_Engine!$E382:$X382,1,(_Engine!$J$41-1)*4+3))</f>
        <v/>
      </c>
      <c r="H324" s="27">
        <f>IF(OR($A324="",_Engine!$D$42=0),"",INDEX(_Engine!$E382:$X382,1,(_Engine!$J$42-1)*4+3))</f>
        <v/>
      </c>
      <c r="I324" s="27">
        <f>IF(OR($A324="",_Engine!$D$43=0),"",INDEX(_Engine!$E382:$X382,1,(_Engine!$J$43-1)*4+3))</f>
        <v/>
      </c>
      <c r="J324" s="27">
        <f>IF(OR($A324="",_Engine!$D$44=0),"",INDEX(_Engine!$E382:$X382,1,(_Engine!$J$44-1)*4+3))</f>
        <v/>
      </c>
      <c r="K324" s="27">
        <f>IF(OR($A324="",_Engine!$D$45=0),"",INDEX(_Engine!$E382:$X382,1,(_Engine!$J$45-1)*4+3))</f>
        <v/>
      </c>
    </row>
    <row r="325">
      <c r="A325" s="25">
        <f>IF(322&lt;=_Engine!$B$36,322,"")</f>
        <v/>
      </c>
      <c r="B325" s="26">
        <f>IF($A325="","",EDATE(_Engine!$B$5,$A325-1))</f>
        <v/>
      </c>
      <c r="C325" s="27">
        <f>IF($A325="","",_Engine!$AJ383)</f>
        <v/>
      </c>
      <c r="D325" s="27">
        <f>IF($A325="","",_Engine!$AK383)</f>
        <v/>
      </c>
      <c r="E325" s="27">
        <f>IF($A325="","",_Engine!$AJ383-_Engine!$AK383)</f>
        <v/>
      </c>
      <c r="F325" s="27">
        <f>IF($A325="","",_Engine!$AI383)</f>
        <v/>
      </c>
      <c r="G325" s="27">
        <f>IF(OR($A325="",_Engine!$D$41=0),"",INDEX(_Engine!$E383:$X383,1,(_Engine!$J$41-1)*4+3))</f>
        <v/>
      </c>
      <c r="H325" s="27">
        <f>IF(OR($A325="",_Engine!$D$42=0),"",INDEX(_Engine!$E383:$X383,1,(_Engine!$J$42-1)*4+3))</f>
        <v/>
      </c>
      <c r="I325" s="27">
        <f>IF(OR($A325="",_Engine!$D$43=0),"",INDEX(_Engine!$E383:$X383,1,(_Engine!$J$43-1)*4+3))</f>
        <v/>
      </c>
      <c r="J325" s="27">
        <f>IF(OR($A325="",_Engine!$D$44=0),"",INDEX(_Engine!$E383:$X383,1,(_Engine!$J$44-1)*4+3))</f>
        <v/>
      </c>
      <c r="K325" s="27">
        <f>IF(OR($A325="",_Engine!$D$45=0),"",INDEX(_Engine!$E383:$X383,1,(_Engine!$J$45-1)*4+3))</f>
        <v/>
      </c>
    </row>
    <row r="326">
      <c r="A326" s="25">
        <f>IF(323&lt;=_Engine!$B$36,323,"")</f>
        <v/>
      </c>
      <c r="B326" s="26">
        <f>IF($A326="","",EDATE(_Engine!$B$5,$A326-1))</f>
        <v/>
      </c>
      <c r="C326" s="27">
        <f>IF($A326="","",_Engine!$AJ384)</f>
        <v/>
      </c>
      <c r="D326" s="27">
        <f>IF($A326="","",_Engine!$AK384)</f>
        <v/>
      </c>
      <c r="E326" s="27">
        <f>IF($A326="","",_Engine!$AJ384-_Engine!$AK384)</f>
        <v/>
      </c>
      <c r="F326" s="27">
        <f>IF($A326="","",_Engine!$AI384)</f>
        <v/>
      </c>
      <c r="G326" s="27">
        <f>IF(OR($A326="",_Engine!$D$41=0),"",INDEX(_Engine!$E384:$X384,1,(_Engine!$J$41-1)*4+3))</f>
        <v/>
      </c>
      <c r="H326" s="27">
        <f>IF(OR($A326="",_Engine!$D$42=0),"",INDEX(_Engine!$E384:$X384,1,(_Engine!$J$42-1)*4+3))</f>
        <v/>
      </c>
      <c r="I326" s="27">
        <f>IF(OR($A326="",_Engine!$D$43=0),"",INDEX(_Engine!$E384:$X384,1,(_Engine!$J$43-1)*4+3))</f>
        <v/>
      </c>
      <c r="J326" s="27">
        <f>IF(OR($A326="",_Engine!$D$44=0),"",INDEX(_Engine!$E384:$X384,1,(_Engine!$J$44-1)*4+3))</f>
        <v/>
      </c>
      <c r="K326" s="27">
        <f>IF(OR($A326="",_Engine!$D$45=0),"",INDEX(_Engine!$E384:$X384,1,(_Engine!$J$45-1)*4+3))</f>
        <v/>
      </c>
    </row>
    <row r="327">
      <c r="A327" s="25">
        <f>IF(324&lt;=_Engine!$B$36,324,"")</f>
        <v/>
      </c>
      <c r="B327" s="26">
        <f>IF($A327="","",EDATE(_Engine!$B$5,$A327-1))</f>
        <v/>
      </c>
      <c r="C327" s="27">
        <f>IF($A327="","",_Engine!$AJ385)</f>
        <v/>
      </c>
      <c r="D327" s="27">
        <f>IF($A327="","",_Engine!$AK385)</f>
        <v/>
      </c>
      <c r="E327" s="27">
        <f>IF($A327="","",_Engine!$AJ385-_Engine!$AK385)</f>
        <v/>
      </c>
      <c r="F327" s="27">
        <f>IF($A327="","",_Engine!$AI385)</f>
        <v/>
      </c>
      <c r="G327" s="27">
        <f>IF(OR($A327="",_Engine!$D$41=0),"",INDEX(_Engine!$E385:$X385,1,(_Engine!$J$41-1)*4+3))</f>
        <v/>
      </c>
      <c r="H327" s="27">
        <f>IF(OR($A327="",_Engine!$D$42=0),"",INDEX(_Engine!$E385:$X385,1,(_Engine!$J$42-1)*4+3))</f>
        <v/>
      </c>
      <c r="I327" s="27">
        <f>IF(OR($A327="",_Engine!$D$43=0),"",INDEX(_Engine!$E385:$X385,1,(_Engine!$J$43-1)*4+3))</f>
        <v/>
      </c>
      <c r="J327" s="27">
        <f>IF(OR($A327="",_Engine!$D$44=0),"",INDEX(_Engine!$E385:$X385,1,(_Engine!$J$44-1)*4+3))</f>
        <v/>
      </c>
      <c r="K327" s="27">
        <f>IF(OR($A327="",_Engine!$D$45=0),"",INDEX(_Engine!$E385:$X385,1,(_Engine!$J$45-1)*4+3))</f>
        <v/>
      </c>
    </row>
    <row r="328">
      <c r="A328" s="25">
        <f>IF(325&lt;=_Engine!$B$36,325,"")</f>
        <v/>
      </c>
      <c r="B328" s="26">
        <f>IF($A328="","",EDATE(_Engine!$B$5,$A328-1))</f>
        <v/>
      </c>
      <c r="C328" s="27">
        <f>IF($A328="","",_Engine!$AJ386)</f>
        <v/>
      </c>
      <c r="D328" s="27">
        <f>IF($A328="","",_Engine!$AK386)</f>
        <v/>
      </c>
      <c r="E328" s="27">
        <f>IF($A328="","",_Engine!$AJ386-_Engine!$AK386)</f>
        <v/>
      </c>
      <c r="F328" s="27">
        <f>IF($A328="","",_Engine!$AI386)</f>
        <v/>
      </c>
      <c r="G328" s="27">
        <f>IF(OR($A328="",_Engine!$D$41=0),"",INDEX(_Engine!$E386:$X386,1,(_Engine!$J$41-1)*4+3))</f>
        <v/>
      </c>
      <c r="H328" s="27">
        <f>IF(OR($A328="",_Engine!$D$42=0),"",INDEX(_Engine!$E386:$X386,1,(_Engine!$J$42-1)*4+3))</f>
        <v/>
      </c>
      <c r="I328" s="27">
        <f>IF(OR($A328="",_Engine!$D$43=0),"",INDEX(_Engine!$E386:$X386,1,(_Engine!$J$43-1)*4+3))</f>
        <v/>
      </c>
      <c r="J328" s="27">
        <f>IF(OR($A328="",_Engine!$D$44=0),"",INDEX(_Engine!$E386:$X386,1,(_Engine!$J$44-1)*4+3))</f>
        <v/>
      </c>
      <c r="K328" s="27">
        <f>IF(OR($A328="",_Engine!$D$45=0),"",INDEX(_Engine!$E386:$X386,1,(_Engine!$J$45-1)*4+3))</f>
        <v/>
      </c>
    </row>
    <row r="329">
      <c r="A329" s="25">
        <f>IF(326&lt;=_Engine!$B$36,326,"")</f>
        <v/>
      </c>
      <c r="B329" s="26">
        <f>IF($A329="","",EDATE(_Engine!$B$5,$A329-1))</f>
        <v/>
      </c>
      <c r="C329" s="27">
        <f>IF($A329="","",_Engine!$AJ387)</f>
        <v/>
      </c>
      <c r="D329" s="27">
        <f>IF($A329="","",_Engine!$AK387)</f>
        <v/>
      </c>
      <c r="E329" s="27">
        <f>IF($A329="","",_Engine!$AJ387-_Engine!$AK387)</f>
        <v/>
      </c>
      <c r="F329" s="27">
        <f>IF($A329="","",_Engine!$AI387)</f>
        <v/>
      </c>
      <c r="G329" s="27">
        <f>IF(OR($A329="",_Engine!$D$41=0),"",INDEX(_Engine!$E387:$X387,1,(_Engine!$J$41-1)*4+3))</f>
        <v/>
      </c>
      <c r="H329" s="27">
        <f>IF(OR($A329="",_Engine!$D$42=0),"",INDEX(_Engine!$E387:$X387,1,(_Engine!$J$42-1)*4+3))</f>
        <v/>
      </c>
      <c r="I329" s="27">
        <f>IF(OR($A329="",_Engine!$D$43=0),"",INDEX(_Engine!$E387:$X387,1,(_Engine!$J$43-1)*4+3))</f>
        <v/>
      </c>
      <c r="J329" s="27">
        <f>IF(OR($A329="",_Engine!$D$44=0),"",INDEX(_Engine!$E387:$X387,1,(_Engine!$J$44-1)*4+3))</f>
        <v/>
      </c>
      <c r="K329" s="27">
        <f>IF(OR($A329="",_Engine!$D$45=0),"",INDEX(_Engine!$E387:$X387,1,(_Engine!$J$45-1)*4+3))</f>
        <v/>
      </c>
    </row>
    <row r="330">
      <c r="A330" s="25">
        <f>IF(327&lt;=_Engine!$B$36,327,"")</f>
        <v/>
      </c>
      <c r="B330" s="26">
        <f>IF($A330="","",EDATE(_Engine!$B$5,$A330-1))</f>
        <v/>
      </c>
      <c r="C330" s="27">
        <f>IF($A330="","",_Engine!$AJ388)</f>
        <v/>
      </c>
      <c r="D330" s="27">
        <f>IF($A330="","",_Engine!$AK388)</f>
        <v/>
      </c>
      <c r="E330" s="27">
        <f>IF($A330="","",_Engine!$AJ388-_Engine!$AK388)</f>
        <v/>
      </c>
      <c r="F330" s="27">
        <f>IF($A330="","",_Engine!$AI388)</f>
        <v/>
      </c>
      <c r="G330" s="27">
        <f>IF(OR($A330="",_Engine!$D$41=0),"",INDEX(_Engine!$E388:$X388,1,(_Engine!$J$41-1)*4+3))</f>
        <v/>
      </c>
      <c r="H330" s="27">
        <f>IF(OR($A330="",_Engine!$D$42=0),"",INDEX(_Engine!$E388:$X388,1,(_Engine!$J$42-1)*4+3))</f>
        <v/>
      </c>
      <c r="I330" s="27">
        <f>IF(OR($A330="",_Engine!$D$43=0),"",INDEX(_Engine!$E388:$X388,1,(_Engine!$J$43-1)*4+3))</f>
        <v/>
      </c>
      <c r="J330" s="27">
        <f>IF(OR($A330="",_Engine!$D$44=0),"",INDEX(_Engine!$E388:$X388,1,(_Engine!$J$44-1)*4+3))</f>
        <v/>
      </c>
      <c r="K330" s="27">
        <f>IF(OR($A330="",_Engine!$D$45=0),"",INDEX(_Engine!$E388:$X388,1,(_Engine!$J$45-1)*4+3))</f>
        <v/>
      </c>
    </row>
    <row r="331">
      <c r="A331" s="25">
        <f>IF(328&lt;=_Engine!$B$36,328,"")</f>
        <v/>
      </c>
      <c r="B331" s="26">
        <f>IF($A331="","",EDATE(_Engine!$B$5,$A331-1))</f>
        <v/>
      </c>
      <c r="C331" s="27">
        <f>IF($A331="","",_Engine!$AJ389)</f>
        <v/>
      </c>
      <c r="D331" s="27">
        <f>IF($A331="","",_Engine!$AK389)</f>
        <v/>
      </c>
      <c r="E331" s="27">
        <f>IF($A331="","",_Engine!$AJ389-_Engine!$AK389)</f>
        <v/>
      </c>
      <c r="F331" s="27">
        <f>IF($A331="","",_Engine!$AI389)</f>
        <v/>
      </c>
      <c r="G331" s="27">
        <f>IF(OR($A331="",_Engine!$D$41=0),"",INDEX(_Engine!$E389:$X389,1,(_Engine!$J$41-1)*4+3))</f>
        <v/>
      </c>
      <c r="H331" s="27">
        <f>IF(OR($A331="",_Engine!$D$42=0),"",INDEX(_Engine!$E389:$X389,1,(_Engine!$J$42-1)*4+3))</f>
        <v/>
      </c>
      <c r="I331" s="27">
        <f>IF(OR($A331="",_Engine!$D$43=0),"",INDEX(_Engine!$E389:$X389,1,(_Engine!$J$43-1)*4+3))</f>
        <v/>
      </c>
      <c r="J331" s="27">
        <f>IF(OR($A331="",_Engine!$D$44=0),"",INDEX(_Engine!$E389:$X389,1,(_Engine!$J$44-1)*4+3))</f>
        <v/>
      </c>
      <c r="K331" s="27">
        <f>IF(OR($A331="",_Engine!$D$45=0),"",INDEX(_Engine!$E389:$X389,1,(_Engine!$J$45-1)*4+3))</f>
        <v/>
      </c>
    </row>
    <row r="332">
      <c r="A332" s="25">
        <f>IF(329&lt;=_Engine!$B$36,329,"")</f>
        <v/>
      </c>
      <c r="B332" s="26">
        <f>IF($A332="","",EDATE(_Engine!$B$5,$A332-1))</f>
        <v/>
      </c>
      <c r="C332" s="27">
        <f>IF($A332="","",_Engine!$AJ390)</f>
        <v/>
      </c>
      <c r="D332" s="27">
        <f>IF($A332="","",_Engine!$AK390)</f>
        <v/>
      </c>
      <c r="E332" s="27">
        <f>IF($A332="","",_Engine!$AJ390-_Engine!$AK390)</f>
        <v/>
      </c>
      <c r="F332" s="27">
        <f>IF($A332="","",_Engine!$AI390)</f>
        <v/>
      </c>
      <c r="G332" s="27">
        <f>IF(OR($A332="",_Engine!$D$41=0),"",INDEX(_Engine!$E390:$X390,1,(_Engine!$J$41-1)*4+3))</f>
        <v/>
      </c>
      <c r="H332" s="27">
        <f>IF(OR($A332="",_Engine!$D$42=0),"",INDEX(_Engine!$E390:$X390,1,(_Engine!$J$42-1)*4+3))</f>
        <v/>
      </c>
      <c r="I332" s="27">
        <f>IF(OR($A332="",_Engine!$D$43=0),"",INDEX(_Engine!$E390:$X390,1,(_Engine!$J$43-1)*4+3))</f>
        <v/>
      </c>
      <c r="J332" s="27">
        <f>IF(OR($A332="",_Engine!$D$44=0),"",INDEX(_Engine!$E390:$X390,1,(_Engine!$J$44-1)*4+3))</f>
        <v/>
      </c>
      <c r="K332" s="27">
        <f>IF(OR($A332="",_Engine!$D$45=0),"",INDEX(_Engine!$E390:$X390,1,(_Engine!$J$45-1)*4+3))</f>
        <v/>
      </c>
    </row>
    <row r="333">
      <c r="A333" s="25">
        <f>IF(330&lt;=_Engine!$B$36,330,"")</f>
        <v/>
      </c>
      <c r="B333" s="26">
        <f>IF($A333="","",EDATE(_Engine!$B$5,$A333-1))</f>
        <v/>
      </c>
      <c r="C333" s="27">
        <f>IF($A333="","",_Engine!$AJ391)</f>
        <v/>
      </c>
      <c r="D333" s="27">
        <f>IF($A333="","",_Engine!$AK391)</f>
        <v/>
      </c>
      <c r="E333" s="27">
        <f>IF($A333="","",_Engine!$AJ391-_Engine!$AK391)</f>
        <v/>
      </c>
      <c r="F333" s="27">
        <f>IF($A333="","",_Engine!$AI391)</f>
        <v/>
      </c>
      <c r="G333" s="27">
        <f>IF(OR($A333="",_Engine!$D$41=0),"",INDEX(_Engine!$E391:$X391,1,(_Engine!$J$41-1)*4+3))</f>
        <v/>
      </c>
      <c r="H333" s="27">
        <f>IF(OR($A333="",_Engine!$D$42=0),"",INDEX(_Engine!$E391:$X391,1,(_Engine!$J$42-1)*4+3))</f>
        <v/>
      </c>
      <c r="I333" s="27">
        <f>IF(OR($A333="",_Engine!$D$43=0),"",INDEX(_Engine!$E391:$X391,1,(_Engine!$J$43-1)*4+3))</f>
        <v/>
      </c>
      <c r="J333" s="27">
        <f>IF(OR($A333="",_Engine!$D$44=0),"",INDEX(_Engine!$E391:$X391,1,(_Engine!$J$44-1)*4+3))</f>
        <v/>
      </c>
      <c r="K333" s="27">
        <f>IF(OR($A333="",_Engine!$D$45=0),"",INDEX(_Engine!$E391:$X391,1,(_Engine!$J$45-1)*4+3))</f>
        <v/>
      </c>
    </row>
    <row r="334">
      <c r="A334" s="25">
        <f>IF(331&lt;=_Engine!$B$36,331,"")</f>
        <v/>
      </c>
      <c r="B334" s="26">
        <f>IF($A334="","",EDATE(_Engine!$B$5,$A334-1))</f>
        <v/>
      </c>
      <c r="C334" s="27">
        <f>IF($A334="","",_Engine!$AJ392)</f>
        <v/>
      </c>
      <c r="D334" s="27">
        <f>IF($A334="","",_Engine!$AK392)</f>
        <v/>
      </c>
      <c r="E334" s="27">
        <f>IF($A334="","",_Engine!$AJ392-_Engine!$AK392)</f>
        <v/>
      </c>
      <c r="F334" s="27">
        <f>IF($A334="","",_Engine!$AI392)</f>
        <v/>
      </c>
      <c r="G334" s="27">
        <f>IF(OR($A334="",_Engine!$D$41=0),"",INDEX(_Engine!$E392:$X392,1,(_Engine!$J$41-1)*4+3))</f>
        <v/>
      </c>
      <c r="H334" s="27">
        <f>IF(OR($A334="",_Engine!$D$42=0),"",INDEX(_Engine!$E392:$X392,1,(_Engine!$J$42-1)*4+3))</f>
        <v/>
      </c>
      <c r="I334" s="27">
        <f>IF(OR($A334="",_Engine!$D$43=0),"",INDEX(_Engine!$E392:$X392,1,(_Engine!$J$43-1)*4+3))</f>
        <v/>
      </c>
      <c r="J334" s="27">
        <f>IF(OR($A334="",_Engine!$D$44=0),"",INDEX(_Engine!$E392:$X392,1,(_Engine!$J$44-1)*4+3))</f>
        <v/>
      </c>
      <c r="K334" s="27">
        <f>IF(OR($A334="",_Engine!$D$45=0),"",INDEX(_Engine!$E392:$X392,1,(_Engine!$J$45-1)*4+3))</f>
        <v/>
      </c>
    </row>
    <row r="335">
      <c r="A335" s="25">
        <f>IF(332&lt;=_Engine!$B$36,332,"")</f>
        <v/>
      </c>
      <c r="B335" s="26">
        <f>IF($A335="","",EDATE(_Engine!$B$5,$A335-1))</f>
        <v/>
      </c>
      <c r="C335" s="27">
        <f>IF($A335="","",_Engine!$AJ393)</f>
        <v/>
      </c>
      <c r="D335" s="27">
        <f>IF($A335="","",_Engine!$AK393)</f>
        <v/>
      </c>
      <c r="E335" s="27">
        <f>IF($A335="","",_Engine!$AJ393-_Engine!$AK393)</f>
        <v/>
      </c>
      <c r="F335" s="27">
        <f>IF($A335="","",_Engine!$AI393)</f>
        <v/>
      </c>
      <c r="G335" s="27">
        <f>IF(OR($A335="",_Engine!$D$41=0),"",INDEX(_Engine!$E393:$X393,1,(_Engine!$J$41-1)*4+3))</f>
        <v/>
      </c>
      <c r="H335" s="27">
        <f>IF(OR($A335="",_Engine!$D$42=0),"",INDEX(_Engine!$E393:$X393,1,(_Engine!$J$42-1)*4+3))</f>
        <v/>
      </c>
      <c r="I335" s="27">
        <f>IF(OR($A335="",_Engine!$D$43=0),"",INDEX(_Engine!$E393:$X393,1,(_Engine!$J$43-1)*4+3))</f>
        <v/>
      </c>
      <c r="J335" s="27">
        <f>IF(OR($A335="",_Engine!$D$44=0),"",INDEX(_Engine!$E393:$X393,1,(_Engine!$J$44-1)*4+3))</f>
        <v/>
      </c>
      <c r="K335" s="27">
        <f>IF(OR($A335="",_Engine!$D$45=0),"",INDEX(_Engine!$E393:$X393,1,(_Engine!$J$45-1)*4+3))</f>
        <v/>
      </c>
    </row>
    <row r="336">
      <c r="A336" s="25">
        <f>IF(333&lt;=_Engine!$B$36,333,"")</f>
        <v/>
      </c>
      <c r="B336" s="26">
        <f>IF($A336="","",EDATE(_Engine!$B$5,$A336-1))</f>
        <v/>
      </c>
      <c r="C336" s="27">
        <f>IF($A336="","",_Engine!$AJ394)</f>
        <v/>
      </c>
      <c r="D336" s="27">
        <f>IF($A336="","",_Engine!$AK394)</f>
        <v/>
      </c>
      <c r="E336" s="27">
        <f>IF($A336="","",_Engine!$AJ394-_Engine!$AK394)</f>
        <v/>
      </c>
      <c r="F336" s="27">
        <f>IF($A336="","",_Engine!$AI394)</f>
        <v/>
      </c>
      <c r="G336" s="27">
        <f>IF(OR($A336="",_Engine!$D$41=0),"",INDEX(_Engine!$E394:$X394,1,(_Engine!$J$41-1)*4+3))</f>
        <v/>
      </c>
      <c r="H336" s="27">
        <f>IF(OR($A336="",_Engine!$D$42=0),"",INDEX(_Engine!$E394:$X394,1,(_Engine!$J$42-1)*4+3))</f>
        <v/>
      </c>
      <c r="I336" s="27">
        <f>IF(OR($A336="",_Engine!$D$43=0),"",INDEX(_Engine!$E394:$X394,1,(_Engine!$J$43-1)*4+3))</f>
        <v/>
      </c>
      <c r="J336" s="27">
        <f>IF(OR($A336="",_Engine!$D$44=0),"",INDEX(_Engine!$E394:$X394,1,(_Engine!$J$44-1)*4+3))</f>
        <v/>
      </c>
      <c r="K336" s="27">
        <f>IF(OR($A336="",_Engine!$D$45=0),"",INDEX(_Engine!$E394:$X394,1,(_Engine!$J$45-1)*4+3))</f>
        <v/>
      </c>
    </row>
    <row r="337">
      <c r="A337" s="25">
        <f>IF(334&lt;=_Engine!$B$36,334,"")</f>
        <v/>
      </c>
      <c r="B337" s="26">
        <f>IF($A337="","",EDATE(_Engine!$B$5,$A337-1))</f>
        <v/>
      </c>
      <c r="C337" s="27">
        <f>IF($A337="","",_Engine!$AJ395)</f>
        <v/>
      </c>
      <c r="D337" s="27">
        <f>IF($A337="","",_Engine!$AK395)</f>
        <v/>
      </c>
      <c r="E337" s="27">
        <f>IF($A337="","",_Engine!$AJ395-_Engine!$AK395)</f>
        <v/>
      </c>
      <c r="F337" s="27">
        <f>IF($A337="","",_Engine!$AI395)</f>
        <v/>
      </c>
      <c r="G337" s="27">
        <f>IF(OR($A337="",_Engine!$D$41=0),"",INDEX(_Engine!$E395:$X395,1,(_Engine!$J$41-1)*4+3))</f>
        <v/>
      </c>
      <c r="H337" s="27">
        <f>IF(OR($A337="",_Engine!$D$42=0),"",INDEX(_Engine!$E395:$X395,1,(_Engine!$J$42-1)*4+3))</f>
        <v/>
      </c>
      <c r="I337" s="27">
        <f>IF(OR($A337="",_Engine!$D$43=0),"",INDEX(_Engine!$E395:$X395,1,(_Engine!$J$43-1)*4+3))</f>
        <v/>
      </c>
      <c r="J337" s="27">
        <f>IF(OR($A337="",_Engine!$D$44=0),"",INDEX(_Engine!$E395:$X395,1,(_Engine!$J$44-1)*4+3))</f>
        <v/>
      </c>
      <c r="K337" s="27">
        <f>IF(OR($A337="",_Engine!$D$45=0),"",INDEX(_Engine!$E395:$X395,1,(_Engine!$J$45-1)*4+3))</f>
        <v/>
      </c>
    </row>
    <row r="338">
      <c r="A338" s="25">
        <f>IF(335&lt;=_Engine!$B$36,335,"")</f>
        <v/>
      </c>
      <c r="B338" s="26">
        <f>IF($A338="","",EDATE(_Engine!$B$5,$A338-1))</f>
        <v/>
      </c>
      <c r="C338" s="27">
        <f>IF($A338="","",_Engine!$AJ396)</f>
        <v/>
      </c>
      <c r="D338" s="27">
        <f>IF($A338="","",_Engine!$AK396)</f>
        <v/>
      </c>
      <c r="E338" s="27">
        <f>IF($A338="","",_Engine!$AJ396-_Engine!$AK396)</f>
        <v/>
      </c>
      <c r="F338" s="27">
        <f>IF($A338="","",_Engine!$AI396)</f>
        <v/>
      </c>
      <c r="G338" s="27">
        <f>IF(OR($A338="",_Engine!$D$41=0),"",INDEX(_Engine!$E396:$X396,1,(_Engine!$J$41-1)*4+3))</f>
        <v/>
      </c>
      <c r="H338" s="27">
        <f>IF(OR($A338="",_Engine!$D$42=0),"",INDEX(_Engine!$E396:$X396,1,(_Engine!$J$42-1)*4+3))</f>
        <v/>
      </c>
      <c r="I338" s="27">
        <f>IF(OR($A338="",_Engine!$D$43=0),"",INDEX(_Engine!$E396:$X396,1,(_Engine!$J$43-1)*4+3))</f>
        <v/>
      </c>
      <c r="J338" s="27">
        <f>IF(OR($A338="",_Engine!$D$44=0),"",INDEX(_Engine!$E396:$X396,1,(_Engine!$J$44-1)*4+3))</f>
        <v/>
      </c>
      <c r="K338" s="27">
        <f>IF(OR($A338="",_Engine!$D$45=0),"",INDEX(_Engine!$E396:$X396,1,(_Engine!$J$45-1)*4+3))</f>
        <v/>
      </c>
    </row>
    <row r="339">
      <c r="A339" s="25">
        <f>IF(336&lt;=_Engine!$B$36,336,"")</f>
        <v/>
      </c>
      <c r="B339" s="26">
        <f>IF($A339="","",EDATE(_Engine!$B$5,$A339-1))</f>
        <v/>
      </c>
      <c r="C339" s="27">
        <f>IF($A339="","",_Engine!$AJ397)</f>
        <v/>
      </c>
      <c r="D339" s="27">
        <f>IF($A339="","",_Engine!$AK397)</f>
        <v/>
      </c>
      <c r="E339" s="27">
        <f>IF($A339="","",_Engine!$AJ397-_Engine!$AK397)</f>
        <v/>
      </c>
      <c r="F339" s="27">
        <f>IF($A339="","",_Engine!$AI397)</f>
        <v/>
      </c>
      <c r="G339" s="27">
        <f>IF(OR($A339="",_Engine!$D$41=0),"",INDEX(_Engine!$E397:$X397,1,(_Engine!$J$41-1)*4+3))</f>
        <v/>
      </c>
      <c r="H339" s="27">
        <f>IF(OR($A339="",_Engine!$D$42=0),"",INDEX(_Engine!$E397:$X397,1,(_Engine!$J$42-1)*4+3))</f>
        <v/>
      </c>
      <c r="I339" s="27">
        <f>IF(OR($A339="",_Engine!$D$43=0),"",INDEX(_Engine!$E397:$X397,1,(_Engine!$J$43-1)*4+3))</f>
        <v/>
      </c>
      <c r="J339" s="27">
        <f>IF(OR($A339="",_Engine!$D$44=0),"",INDEX(_Engine!$E397:$X397,1,(_Engine!$J$44-1)*4+3))</f>
        <v/>
      </c>
      <c r="K339" s="27">
        <f>IF(OR($A339="",_Engine!$D$45=0),"",INDEX(_Engine!$E397:$X397,1,(_Engine!$J$45-1)*4+3))</f>
        <v/>
      </c>
    </row>
    <row r="340">
      <c r="A340" s="25">
        <f>IF(337&lt;=_Engine!$B$36,337,"")</f>
        <v/>
      </c>
      <c r="B340" s="26">
        <f>IF($A340="","",EDATE(_Engine!$B$5,$A340-1))</f>
        <v/>
      </c>
      <c r="C340" s="27">
        <f>IF($A340="","",_Engine!$AJ398)</f>
        <v/>
      </c>
      <c r="D340" s="27">
        <f>IF($A340="","",_Engine!$AK398)</f>
        <v/>
      </c>
      <c r="E340" s="27">
        <f>IF($A340="","",_Engine!$AJ398-_Engine!$AK398)</f>
        <v/>
      </c>
      <c r="F340" s="27">
        <f>IF($A340="","",_Engine!$AI398)</f>
        <v/>
      </c>
      <c r="G340" s="27">
        <f>IF(OR($A340="",_Engine!$D$41=0),"",INDEX(_Engine!$E398:$X398,1,(_Engine!$J$41-1)*4+3))</f>
        <v/>
      </c>
      <c r="H340" s="27">
        <f>IF(OR($A340="",_Engine!$D$42=0),"",INDEX(_Engine!$E398:$X398,1,(_Engine!$J$42-1)*4+3))</f>
        <v/>
      </c>
      <c r="I340" s="27">
        <f>IF(OR($A340="",_Engine!$D$43=0),"",INDEX(_Engine!$E398:$X398,1,(_Engine!$J$43-1)*4+3))</f>
        <v/>
      </c>
      <c r="J340" s="27">
        <f>IF(OR($A340="",_Engine!$D$44=0),"",INDEX(_Engine!$E398:$X398,1,(_Engine!$J$44-1)*4+3))</f>
        <v/>
      </c>
      <c r="K340" s="27">
        <f>IF(OR($A340="",_Engine!$D$45=0),"",INDEX(_Engine!$E398:$X398,1,(_Engine!$J$45-1)*4+3))</f>
        <v/>
      </c>
    </row>
    <row r="341">
      <c r="A341" s="25">
        <f>IF(338&lt;=_Engine!$B$36,338,"")</f>
        <v/>
      </c>
      <c r="B341" s="26">
        <f>IF($A341="","",EDATE(_Engine!$B$5,$A341-1))</f>
        <v/>
      </c>
      <c r="C341" s="27">
        <f>IF($A341="","",_Engine!$AJ399)</f>
        <v/>
      </c>
      <c r="D341" s="27">
        <f>IF($A341="","",_Engine!$AK399)</f>
        <v/>
      </c>
      <c r="E341" s="27">
        <f>IF($A341="","",_Engine!$AJ399-_Engine!$AK399)</f>
        <v/>
      </c>
      <c r="F341" s="27">
        <f>IF($A341="","",_Engine!$AI399)</f>
        <v/>
      </c>
      <c r="G341" s="27">
        <f>IF(OR($A341="",_Engine!$D$41=0),"",INDEX(_Engine!$E399:$X399,1,(_Engine!$J$41-1)*4+3))</f>
        <v/>
      </c>
      <c r="H341" s="27">
        <f>IF(OR($A341="",_Engine!$D$42=0),"",INDEX(_Engine!$E399:$X399,1,(_Engine!$J$42-1)*4+3))</f>
        <v/>
      </c>
      <c r="I341" s="27">
        <f>IF(OR($A341="",_Engine!$D$43=0),"",INDEX(_Engine!$E399:$X399,1,(_Engine!$J$43-1)*4+3))</f>
        <v/>
      </c>
      <c r="J341" s="27">
        <f>IF(OR($A341="",_Engine!$D$44=0),"",INDEX(_Engine!$E399:$X399,1,(_Engine!$J$44-1)*4+3))</f>
        <v/>
      </c>
      <c r="K341" s="27">
        <f>IF(OR($A341="",_Engine!$D$45=0),"",INDEX(_Engine!$E399:$X399,1,(_Engine!$J$45-1)*4+3))</f>
        <v/>
      </c>
    </row>
    <row r="342">
      <c r="A342" s="25">
        <f>IF(339&lt;=_Engine!$B$36,339,"")</f>
        <v/>
      </c>
      <c r="B342" s="26">
        <f>IF($A342="","",EDATE(_Engine!$B$5,$A342-1))</f>
        <v/>
      </c>
      <c r="C342" s="27">
        <f>IF($A342="","",_Engine!$AJ400)</f>
        <v/>
      </c>
      <c r="D342" s="27">
        <f>IF($A342="","",_Engine!$AK400)</f>
        <v/>
      </c>
      <c r="E342" s="27">
        <f>IF($A342="","",_Engine!$AJ400-_Engine!$AK400)</f>
        <v/>
      </c>
      <c r="F342" s="27">
        <f>IF($A342="","",_Engine!$AI400)</f>
        <v/>
      </c>
      <c r="G342" s="27">
        <f>IF(OR($A342="",_Engine!$D$41=0),"",INDEX(_Engine!$E400:$X400,1,(_Engine!$J$41-1)*4+3))</f>
        <v/>
      </c>
      <c r="H342" s="27">
        <f>IF(OR($A342="",_Engine!$D$42=0),"",INDEX(_Engine!$E400:$X400,1,(_Engine!$J$42-1)*4+3))</f>
        <v/>
      </c>
      <c r="I342" s="27">
        <f>IF(OR($A342="",_Engine!$D$43=0),"",INDEX(_Engine!$E400:$X400,1,(_Engine!$J$43-1)*4+3))</f>
        <v/>
      </c>
      <c r="J342" s="27">
        <f>IF(OR($A342="",_Engine!$D$44=0),"",INDEX(_Engine!$E400:$X400,1,(_Engine!$J$44-1)*4+3))</f>
        <v/>
      </c>
      <c r="K342" s="27">
        <f>IF(OR($A342="",_Engine!$D$45=0),"",INDEX(_Engine!$E400:$X400,1,(_Engine!$J$45-1)*4+3))</f>
        <v/>
      </c>
    </row>
    <row r="343">
      <c r="A343" s="25">
        <f>IF(340&lt;=_Engine!$B$36,340,"")</f>
        <v/>
      </c>
      <c r="B343" s="26">
        <f>IF($A343="","",EDATE(_Engine!$B$5,$A343-1))</f>
        <v/>
      </c>
      <c r="C343" s="27">
        <f>IF($A343="","",_Engine!$AJ401)</f>
        <v/>
      </c>
      <c r="D343" s="27">
        <f>IF($A343="","",_Engine!$AK401)</f>
        <v/>
      </c>
      <c r="E343" s="27">
        <f>IF($A343="","",_Engine!$AJ401-_Engine!$AK401)</f>
        <v/>
      </c>
      <c r="F343" s="27">
        <f>IF($A343="","",_Engine!$AI401)</f>
        <v/>
      </c>
      <c r="G343" s="27">
        <f>IF(OR($A343="",_Engine!$D$41=0),"",INDEX(_Engine!$E401:$X401,1,(_Engine!$J$41-1)*4+3))</f>
        <v/>
      </c>
      <c r="H343" s="27">
        <f>IF(OR($A343="",_Engine!$D$42=0),"",INDEX(_Engine!$E401:$X401,1,(_Engine!$J$42-1)*4+3))</f>
        <v/>
      </c>
      <c r="I343" s="27">
        <f>IF(OR($A343="",_Engine!$D$43=0),"",INDEX(_Engine!$E401:$X401,1,(_Engine!$J$43-1)*4+3))</f>
        <v/>
      </c>
      <c r="J343" s="27">
        <f>IF(OR($A343="",_Engine!$D$44=0),"",INDEX(_Engine!$E401:$X401,1,(_Engine!$J$44-1)*4+3))</f>
        <v/>
      </c>
      <c r="K343" s="27">
        <f>IF(OR($A343="",_Engine!$D$45=0),"",INDEX(_Engine!$E401:$X401,1,(_Engine!$J$45-1)*4+3))</f>
        <v/>
      </c>
    </row>
    <row r="344">
      <c r="A344" s="25">
        <f>IF(341&lt;=_Engine!$B$36,341,"")</f>
        <v/>
      </c>
      <c r="B344" s="26">
        <f>IF($A344="","",EDATE(_Engine!$B$5,$A344-1))</f>
        <v/>
      </c>
      <c r="C344" s="27">
        <f>IF($A344="","",_Engine!$AJ402)</f>
        <v/>
      </c>
      <c r="D344" s="27">
        <f>IF($A344="","",_Engine!$AK402)</f>
        <v/>
      </c>
      <c r="E344" s="27">
        <f>IF($A344="","",_Engine!$AJ402-_Engine!$AK402)</f>
        <v/>
      </c>
      <c r="F344" s="27">
        <f>IF($A344="","",_Engine!$AI402)</f>
        <v/>
      </c>
      <c r="G344" s="27">
        <f>IF(OR($A344="",_Engine!$D$41=0),"",INDEX(_Engine!$E402:$X402,1,(_Engine!$J$41-1)*4+3))</f>
        <v/>
      </c>
      <c r="H344" s="27">
        <f>IF(OR($A344="",_Engine!$D$42=0),"",INDEX(_Engine!$E402:$X402,1,(_Engine!$J$42-1)*4+3))</f>
        <v/>
      </c>
      <c r="I344" s="27">
        <f>IF(OR($A344="",_Engine!$D$43=0),"",INDEX(_Engine!$E402:$X402,1,(_Engine!$J$43-1)*4+3))</f>
        <v/>
      </c>
      <c r="J344" s="27">
        <f>IF(OR($A344="",_Engine!$D$44=0),"",INDEX(_Engine!$E402:$X402,1,(_Engine!$J$44-1)*4+3))</f>
        <v/>
      </c>
      <c r="K344" s="27">
        <f>IF(OR($A344="",_Engine!$D$45=0),"",INDEX(_Engine!$E402:$X402,1,(_Engine!$J$45-1)*4+3))</f>
        <v/>
      </c>
    </row>
    <row r="345">
      <c r="A345" s="25">
        <f>IF(342&lt;=_Engine!$B$36,342,"")</f>
        <v/>
      </c>
      <c r="B345" s="26">
        <f>IF($A345="","",EDATE(_Engine!$B$5,$A345-1))</f>
        <v/>
      </c>
      <c r="C345" s="27">
        <f>IF($A345="","",_Engine!$AJ403)</f>
        <v/>
      </c>
      <c r="D345" s="27">
        <f>IF($A345="","",_Engine!$AK403)</f>
        <v/>
      </c>
      <c r="E345" s="27">
        <f>IF($A345="","",_Engine!$AJ403-_Engine!$AK403)</f>
        <v/>
      </c>
      <c r="F345" s="27">
        <f>IF($A345="","",_Engine!$AI403)</f>
        <v/>
      </c>
      <c r="G345" s="27">
        <f>IF(OR($A345="",_Engine!$D$41=0),"",INDEX(_Engine!$E403:$X403,1,(_Engine!$J$41-1)*4+3))</f>
        <v/>
      </c>
      <c r="H345" s="27">
        <f>IF(OR($A345="",_Engine!$D$42=0),"",INDEX(_Engine!$E403:$X403,1,(_Engine!$J$42-1)*4+3))</f>
        <v/>
      </c>
      <c r="I345" s="27">
        <f>IF(OR($A345="",_Engine!$D$43=0),"",INDEX(_Engine!$E403:$X403,1,(_Engine!$J$43-1)*4+3))</f>
        <v/>
      </c>
      <c r="J345" s="27">
        <f>IF(OR($A345="",_Engine!$D$44=0),"",INDEX(_Engine!$E403:$X403,1,(_Engine!$J$44-1)*4+3))</f>
        <v/>
      </c>
      <c r="K345" s="27">
        <f>IF(OR($A345="",_Engine!$D$45=0),"",INDEX(_Engine!$E403:$X403,1,(_Engine!$J$45-1)*4+3))</f>
        <v/>
      </c>
    </row>
    <row r="346">
      <c r="A346" s="25">
        <f>IF(343&lt;=_Engine!$B$36,343,"")</f>
        <v/>
      </c>
      <c r="B346" s="26">
        <f>IF($A346="","",EDATE(_Engine!$B$5,$A346-1))</f>
        <v/>
      </c>
      <c r="C346" s="27">
        <f>IF($A346="","",_Engine!$AJ404)</f>
        <v/>
      </c>
      <c r="D346" s="27">
        <f>IF($A346="","",_Engine!$AK404)</f>
        <v/>
      </c>
      <c r="E346" s="27">
        <f>IF($A346="","",_Engine!$AJ404-_Engine!$AK404)</f>
        <v/>
      </c>
      <c r="F346" s="27">
        <f>IF($A346="","",_Engine!$AI404)</f>
        <v/>
      </c>
      <c r="G346" s="27">
        <f>IF(OR($A346="",_Engine!$D$41=0),"",INDEX(_Engine!$E404:$X404,1,(_Engine!$J$41-1)*4+3))</f>
        <v/>
      </c>
      <c r="H346" s="27">
        <f>IF(OR($A346="",_Engine!$D$42=0),"",INDEX(_Engine!$E404:$X404,1,(_Engine!$J$42-1)*4+3))</f>
        <v/>
      </c>
      <c r="I346" s="27">
        <f>IF(OR($A346="",_Engine!$D$43=0),"",INDEX(_Engine!$E404:$X404,1,(_Engine!$J$43-1)*4+3))</f>
        <v/>
      </c>
      <c r="J346" s="27">
        <f>IF(OR($A346="",_Engine!$D$44=0),"",INDEX(_Engine!$E404:$X404,1,(_Engine!$J$44-1)*4+3))</f>
        <v/>
      </c>
      <c r="K346" s="27">
        <f>IF(OR($A346="",_Engine!$D$45=0),"",INDEX(_Engine!$E404:$X404,1,(_Engine!$J$45-1)*4+3))</f>
        <v/>
      </c>
    </row>
    <row r="347">
      <c r="A347" s="25">
        <f>IF(344&lt;=_Engine!$B$36,344,"")</f>
        <v/>
      </c>
      <c r="B347" s="26">
        <f>IF($A347="","",EDATE(_Engine!$B$5,$A347-1))</f>
        <v/>
      </c>
      <c r="C347" s="27">
        <f>IF($A347="","",_Engine!$AJ405)</f>
        <v/>
      </c>
      <c r="D347" s="27">
        <f>IF($A347="","",_Engine!$AK405)</f>
        <v/>
      </c>
      <c r="E347" s="27">
        <f>IF($A347="","",_Engine!$AJ405-_Engine!$AK405)</f>
        <v/>
      </c>
      <c r="F347" s="27">
        <f>IF($A347="","",_Engine!$AI405)</f>
        <v/>
      </c>
      <c r="G347" s="27">
        <f>IF(OR($A347="",_Engine!$D$41=0),"",INDEX(_Engine!$E405:$X405,1,(_Engine!$J$41-1)*4+3))</f>
        <v/>
      </c>
      <c r="H347" s="27">
        <f>IF(OR($A347="",_Engine!$D$42=0),"",INDEX(_Engine!$E405:$X405,1,(_Engine!$J$42-1)*4+3))</f>
        <v/>
      </c>
      <c r="I347" s="27">
        <f>IF(OR($A347="",_Engine!$D$43=0),"",INDEX(_Engine!$E405:$X405,1,(_Engine!$J$43-1)*4+3))</f>
        <v/>
      </c>
      <c r="J347" s="27">
        <f>IF(OR($A347="",_Engine!$D$44=0),"",INDEX(_Engine!$E405:$X405,1,(_Engine!$J$44-1)*4+3))</f>
        <v/>
      </c>
      <c r="K347" s="27">
        <f>IF(OR($A347="",_Engine!$D$45=0),"",INDEX(_Engine!$E405:$X405,1,(_Engine!$J$45-1)*4+3))</f>
        <v/>
      </c>
    </row>
    <row r="348">
      <c r="A348" s="25">
        <f>IF(345&lt;=_Engine!$B$36,345,"")</f>
        <v/>
      </c>
      <c r="B348" s="26">
        <f>IF($A348="","",EDATE(_Engine!$B$5,$A348-1))</f>
        <v/>
      </c>
      <c r="C348" s="27">
        <f>IF($A348="","",_Engine!$AJ406)</f>
        <v/>
      </c>
      <c r="D348" s="27">
        <f>IF($A348="","",_Engine!$AK406)</f>
        <v/>
      </c>
      <c r="E348" s="27">
        <f>IF($A348="","",_Engine!$AJ406-_Engine!$AK406)</f>
        <v/>
      </c>
      <c r="F348" s="27">
        <f>IF($A348="","",_Engine!$AI406)</f>
        <v/>
      </c>
      <c r="G348" s="27">
        <f>IF(OR($A348="",_Engine!$D$41=0),"",INDEX(_Engine!$E406:$X406,1,(_Engine!$J$41-1)*4+3))</f>
        <v/>
      </c>
      <c r="H348" s="27">
        <f>IF(OR($A348="",_Engine!$D$42=0),"",INDEX(_Engine!$E406:$X406,1,(_Engine!$J$42-1)*4+3))</f>
        <v/>
      </c>
      <c r="I348" s="27">
        <f>IF(OR($A348="",_Engine!$D$43=0),"",INDEX(_Engine!$E406:$X406,1,(_Engine!$J$43-1)*4+3))</f>
        <v/>
      </c>
      <c r="J348" s="27">
        <f>IF(OR($A348="",_Engine!$D$44=0),"",INDEX(_Engine!$E406:$X406,1,(_Engine!$J$44-1)*4+3))</f>
        <v/>
      </c>
      <c r="K348" s="27">
        <f>IF(OR($A348="",_Engine!$D$45=0),"",INDEX(_Engine!$E406:$X406,1,(_Engine!$J$45-1)*4+3))</f>
        <v/>
      </c>
    </row>
    <row r="349">
      <c r="A349" s="25">
        <f>IF(346&lt;=_Engine!$B$36,346,"")</f>
        <v/>
      </c>
      <c r="B349" s="26">
        <f>IF($A349="","",EDATE(_Engine!$B$5,$A349-1))</f>
        <v/>
      </c>
      <c r="C349" s="27">
        <f>IF($A349="","",_Engine!$AJ407)</f>
        <v/>
      </c>
      <c r="D349" s="27">
        <f>IF($A349="","",_Engine!$AK407)</f>
        <v/>
      </c>
      <c r="E349" s="27">
        <f>IF($A349="","",_Engine!$AJ407-_Engine!$AK407)</f>
        <v/>
      </c>
      <c r="F349" s="27">
        <f>IF($A349="","",_Engine!$AI407)</f>
        <v/>
      </c>
      <c r="G349" s="27">
        <f>IF(OR($A349="",_Engine!$D$41=0),"",INDEX(_Engine!$E407:$X407,1,(_Engine!$J$41-1)*4+3))</f>
        <v/>
      </c>
      <c r="H349" s="27">
        <f>IF(OR($A349="",_Engine!$D$42=0),"",INDEX(_Engine!$E407:$X407,1,(_Engine!$J$42-1)*4+3))</f>
        <v/>
      </c>
      <c r="I349" s="27">
        <f>IF(OR($A349="",_Engine!$D$43=0),"",INDEX(_Engine!$E407:$X407,1,(_Engine!$J$43-1)*4+3))</f>
        <v/>
      </c>
      <c r="J349" s="27">
        <f>IF(OR($A349="",_Engine!$D$44=0),"",INDEX(_Engine!$E407:$X407,1,(_Engine!$J$44-1)*4+3))</f>
        <v/>
      </c>
      <c r="K349" s="27">
        <f>IF(OR($A349="",_Engine!$D$45=0),"",INDEX(_Engine!$E407:$X407,1,(_Engine!$J$45-1)*4+3))</f>
        <v/>
      </c>
    </row>
    <row r="350">
      <c r="A350" s="25">
        <f>IF(347&lt;=_Engine!$B$36,347,"")</f>
        <v/>
      </c>
      <c r="B350" s="26">
        <f>IF($A350="","",EDATE(_Engine!$B$5,$A350-1))</f>
        <v/>
      </c>
      <c r="C350" s="27">
        <f>IF($A350="","",_Engine!$AJ408)</f>
        <v/>
      </c>
      <c r="D350" s="27">
        <f>IF($A350="","",_Engine!$AK408)</f>
        <v/>
      </c>
      <c r="E350" s="27">
        <f>IF($A350="","",_Engine!$AJ408-_Engine!$AK408)</f>
        <v/>
      </c>
      <c r="F350" s="27">
        <f>IF($A350="","",_Engine!$AI408)</f>
        <v/>
      </c>
      <c r="G350" s="27">
        <f>IF(OR($A350="",_Engine!$D$41=0),"",INDEX(_Engine!$E408:$X408,1,(_Engine!$J$41-1)*4+3))</f>
        <v/>
      </c>
      <c r="H350" s="27">
        <f>IF(OR($A350="",_Engine!$D$42=0),"",INDEX(_Engine!$E408:$X408,1,(_Engine!$J$42-1)*4+3))</f>
        <v/>
      </c>
      <c r="I350" s="27">
        <f>IF(OR($A350="",_Engine!$D$43=0),"",INDEX(_Engine!$E408:$X408,1,(_Engine!$J$43-1)*4+3))</f>
        <v/>
      </c>
      <c r="J350" s="27">
        <f>IF(OR($A350="",_Engine!$D$44=0),"",INDEX(_Engine!$E408:$X408,1,(_Engine!$J$44-1)*4+3))</f>
        <v/>
      </c>
      <c r="K350" s="27">
        <f>IF(OR($A350="",_Engine!$D$45=0),"",INDEX(_Engine!$E408:$X408,1,(_Engine!$J$45-1)*4+3))</f>
        <v/>
      </c>
    </row>
    <row r="351">
      <c r="A351" s="25">
        <f>IF(348&lt;=_Engine!$B$36,348,"")</f>
        <v/>
      </c>
      <c r="B351" s="26">
        <f>IF($A351="","",EDATE(_Engine!$B$5,$A351-1))</f>
        <v/>
      </c>
      <c r="C351" s="27">
        <f>IF($A351="","",_Engine!$AJ409)</f>
        <v/>
      </c>
      <c r="D351" s="27">
        <f>IF($A351="","",_Engine!$AK409)</f>
        <v/>
      </c>
      <c r="E351" s="27">
        <f>IF($A351="","",_Engine!$AJ409-_Engine!$AK409)</f>
        <v/>
      </c>
      <c r="F351" s="27">
        <f>IF($A351="","",_Engine!$AI409)</f>
        <v/>
      </c>
      <c r="G351" s="27">
        <f>IF(OR($A351="",_Engine!$D$41=0),"",INDEX(_Engine!$E409:$X409,1,(_Engine!$J$41-1)*4+3))</f>
        <v/>
      </c>
      <c r="H351" s="27">
        <f>IF(OR($A351="",_Engine!$D$42=0),"",INDEX(_Engine!$E409:$X409,1,(_Engine!$J$42-1)*4+3))</f>
        <v/>
      </c>
      <c r="I351" s="27">
        <f>IF(OR($A351="",_Engine!$D$43=0),"",INDEX(_Engine!$E409:$X409,1,(_Engine!$J$43-1)*4+3))</f>
        <v/>
      </c>
      <c r="J351" s="27">
        <f>IF(OR($A351="",_Engine!$D$44=0),"",INDEX(_Engine!$E409:$X409,1,(_Engine!$J$44-1)*4+3))</f>
        <v/>
      </c>
      <c r="K351" s="27">
        <f>IF(OR($A351="",_Engine!$D$45=0),"",INDEX(_Engine!$E409:$X409,1,(_Engine!$J$45-1)*4+3))</f>
        <v/>
      </c>
    </row>
    <row r="352">
      <c r="A352" s="25">
        <f>IF(349&lt;=_Engine!$B$36,349,"")</f>
        <v/>
      </c>
      <c r="B352" s="26">
        <f>IF($A352="","",EDATE(_Engine!$B$5,$A352-1))</f>
        <v/>
      </c>
      <c r="C352" s="27">
        <f>IF($A352="","",_Engine!$AJ410)</f>
        <v/>
      </c>
      <c r="D352" s="27">
        <f>IF($A352="","",_Engine!$AK410)</f>
        <v/>
      </c>
      <c r="E352" s="27">
        <f>IF($A352="","",_Engine!$AJ410-_Engine!$AK410)</f>
        <v/>
      </c>
      <c r="F352" s="27">
        <f>IF($A352="","",_Engine!$AI410)</f>
        <v/>
      </c>
      <c r="G352" s="27">
        <f>IF(OR($A352="",_Engine!$D$41=0),"",INDEX(_Engine!$E410:$X410,1,(_Engine!$J$41-1)*4+3))</f>
        <v/>
      </c>
      <c r="H352" s="27">
        <f>IF(OR($A352="",_Engine!$D$42=0),"",INDEX(_Engine!$E410:$X410,1,(_Engine!$J$42-1)*4+3))</f>
        <v/>
      </c>
      <c r="I352" s="27">
        <f>IF(OR($A352="",_Engine!$D$43=0),"",INDEX(_Engine!$E410:$X410,1,(_Engine!$J$43-1)*4+3))</f>
        <v/>
      </c>
      <c r="J352" s="27">
        <f>IF(OR($A352="",_Engine!$D$44=0),"",INDEX(_Engine!$E410:$X410,1,(_Engine!$J$44-1)*4+3))</f>
        <v/>
      </c>
      <c r="K352" s="27">
        <f>IF(OR($A352="",_Engine!$D$45=0),"",INDEX(_Engine!$E410:$X410,1,(_Engine!$J$45-1)*4+3))</f>
        <v/>
      </c>
    </row>
    <row r="353">
      <c r="A353" s="25">
        <f>IF(350&lt;=_Engine!$B$36,350,"")</f>
        <v/>
      </c>
      <c r="B353" s="26">
        <f>IF($A353="","",EDATE(_Engine!$B$5,$A353-1))</f>
        <v/>
      </c>
      <c r="C353" s="27">
        <f>IF($A353="","",_Engine!$AJ411)</f>
        <v/>
      </c>
      <c r="D353" s="27">
        <f>IF($A353="","",_Engine!$AK411)</f>
        <v/>
      </c>
      <c r="E353" s="27">
        <f>IF($A353="","",_Engine!$AJ411-_Engine!$AK411)</f>
        <v/>
      </c>
      <c r="F353" s="27">
        <f>IF($A353="","",_Engine!$AI411)</f>
        <v/>
      </c>
      <c r="G353" s="27">
        <f>IF(OR($A353="",_Engine!$D$41=0),"",INDEX(_Engine!$E411:$X411,1,(_Engine!$J$41-1)*4+3))</f>
        <v/>
      </c>
      <c r="H353" s="27">
        <f>IF(OR($A353="",_Engine!$D$42=0),"",INDEX(_Engine!$E411:$X411,1,(_Engine!$J$42-1)*4+3))</f>
        <v/>
      </c>
      <c r="I353" s="27">
        <f>IF(OR($A353="",_Engine!$D$43=0),"",INDEX(_Engine!$E411:$X411,1,(_Engine!$J$43-1)*4+3))</f>
        <v/>
      </c>
      <c r="J353" s="27">
        <f>IF(OR($A353="",_Engine!$D$44=0),"",INDEX(_Engine!$E411:$X411,1,(_Engine!$J$44-1)*4+3))</f>
        <v/>
      </c>
      <c r="K353" s="27">
        <f>IF(OR($A353="",_Engine!$D$45=0),"",INDEX(_Engine!$E411:$X411,1,(_Engine!$J$45-1)*4+3))</f>
        <v/>
      </c>
    </row>
    <row r="354">
      <c r="A354" s="25">
        <f>IF(351&lt;=_Engine!$B$36,351,"")</f>
        <v/>
      </c>
      <c r="B354" s="26">
        <f>IF($A354="","",EDATE(_Engine!$B$5,$A354-1))</f>
        <v/>
      </c>
      <c r="C354" s="27">
        <f>IF($A354="","",_Engine!$AJ412)</f>
        <v/>
      </c>
      <c r="D354" s="27">
        <f>IF($A354="","",_Engine!$AK412)</f>
        <v/>
      </c>
      <c r="E354" s="27">
        <f>IF($A354="","",_Engine!$AJ412-_Engine!$AK412)</f>
        <v/>
      </c>
      <c r="F354" s="27">
        <f>IF($A354="","",_Engine!$AI412)</f>
        <v/>
      </c>
      <c r="G354" s="27">
        <f>IF(OR($A354="",_Engine!$D$41=0),"",INDEX(_Engine!$E412:$X412,1,(_Engine!$J$41-1)*4+3))</f>
        <v/>
      </c>
      <c r="H354" s="27">
        <f>IF(OR($A354="",_Engine!$D$42=0),"",INDEX(_Engine!$E412:$X412,1,(_Engine!$J$42-1)*4+3))</f>
        <v/>
      </c>
      <c r="I354" s="27">
        <f>IF(OR($A354="",_Engine!$D$43=0),"",INDEX(_Engine!$E412:$X412,1,(_Engine!$J$43-1)*4+3))</f>
        <v/>
      </c>
      <c r="J354" s="27">
        <f>IF(OR($A354="",_Engine!$D$44=0),"",INDEX(_Engine!$E412:$X412,1,(_Engine!$J$44-1)*4+3))</f>
        <v/>
      </c>
      <c r="K354" s="27">
        <f>IF(OR($A354="",_Engine!$D$45=0),"",INDEX(_Engine!$E412:$X412,1,(_Engine!$J$45-1)*4+3))</f>
        <v/>
      </c>
    </row>
    <row r="355">
      <c r="A355" s="25">
        <f>IF(352&lt;=_Engine!$B$36,352,"")</f>
        <v/>
      </c>
      <c r="B355" s="26">
        <f>IF($A355="","",EDATE(_Engine!$B$5,$A355-1))</f>
        <v/>
      </c>
      <c r="C355" s="27">
        <f>IF($A355="","",_Engine!$AJ413)</f>
        <v/>
      </c>
      <c r="D355" s="27">
        <f>IF($A355="","",_Engine!$AK413)</f>
        <v/>
      </c>
      <c r="E355" s="27">
        <f>IF($A355="","",_Engine!$AJ413-_Engine!$AK413)</f>
        <v/>
      </c>
      <c r="F355" s="27">
        <f>IF($A355="","",_Engine!$AI413)</f>
        <v/>
      </c>
      <c r="G355" s="27">
        <f>IF(OR($A355="",_Engine!$D$41=0),"",INDEX(_Engine!$E413:$X413,1,(_Engine!$J$41-1)*4+3))</f>
        <v/>
      </c>
      <c r="H355" s="27">
        <f>IF(OR($A355="",_Engine!$D$42=0),"",INDEX(_Engine!$E413:$X413,1,(_Engine!$J$42-1)*4+3))</f>
        <v/>
      </c>
      <c r="I355" s="27">
        <f>IF(OR($A355="",_Engine!$D$43=0),"",INDEX(_Engine!$E413:$X413,1,(_Engine!$J$43-1)*4+3))</f>
        <v/>
      </c>
      <c r="J355" s="27">
        <f>IF(OR($A355="",_Engine!$D$44=0),"",INDEX(_Engine!$E413:$X413,1,(_Engine!$J$44-1)*4+3))</f>
        <v/>
      </c>
      <c r="K355" s="27">
        <f>IF(OR($A355="",_Engine!$D$45=0),"",INDEX(_Engine!$E413:$X413,1,(_Engine!$J$45-1)*4+3))</f>
        <v/>
      </c>
    </row>
    <row r="356">
      <c r="A356" s="25">
        <f>IF(353&lt;=_Engine!$B$36,353,"")</f>
        <v/>
      </c>
      <c r="B356" s="26">
        <f>IF($A356="","",EDATE(_Engine!$B$5,$A356-1))</f>
        <v/>
      </c>
      <c r="C356" s="27">
        <f>IF($A356="","",_Engine!$AJ414)</f>
        <v/>
      </c>
      <c r="D356" s="27">
        <f>IF($A356="","",_Engine!$AK414)</f>
        <v/>
      </c>
      <c r="E356" s="27">
        <f>IF($A356="","",_Engine!$AJ414-_Engine!$AK414)</f>
        <v/>
      </c>
      <c r="F356" s="27">
        <f>IF($A356="","",_Engine!$AI414)</f>
        <v/>
      </c>
      <c r="G356" s="27">
        <f>IF(OR($A356="",_Engine!$D$41=0),"",INDEX(_Engine!$E414:$X414,1,(_Engine!$J$41-1)*4+3))</f>
        <v/>
      </c>
      <c r="H356" s="27">
        <f>IF(OR($A356="",_Engine!$D$42=0),"",INDEX(_Engine!$E414:$X414,1,(_Engine!$J$42-1)*4+3))</f>
        <v/>
      </c>
      <c r="I356" s="27">
        <f>IF(OR($A356="",_Engine!$D$43=0),"",INDEX(_Engine!$E414:$X414,1,(_Engine!$J$43-1)*4+3))</f>
        <v/>
      </c>
      <c r="J356" s="27">
        <f>IF(OR($A356="",_Engine!$D$44=0),"",INDEX(_Engine!$E414:$X414,1,(_Engine!$J$44-1)*4+3))</f>
        <v/>
      </c>
      <c r="K356" s="27">
        <f>IF(OR($A356="",_Engine!$D$45=0),"",INDEX(_Engine!$E414:$X414,1,(_Engine!$J$45-1)*4+3))</f>
        <v/>
      </c>
    </row>
    <row r="357">
      <c r="A357" s="25">
        <f>IF(354&lt;=_Engine!$B$36,354,"")</f>
        <v/>
      </c>
      <c r="B357" s="26">
        <f>IF($A357="","",EDATE(_Engine!$B$5,$A357-1))</f>
        <v/>
      </c>
      <c r="C357" s="27">
        <f>IF($A357="","",_Engine!$AJ415)</f>
        <v/>
      </c>
      <c r="D357" s="27">
        <f>IF($A357="","",_Engine!$AK415)</f>
        <v/>
      </c>
      <c r="E357" s="27">
        <f>IF($A357="","",_Engine!$AJ415-_Engine!$AK415)</f>
        <v/>
      </c>
      <c r="F357" s="27">
        <f>IF($A357="","",_Engine!$AI415)</f>
        <v/>
      </c>
      <c r="G357" s="27">
        <f>IF(OR($A357="",_Engine!$D$41=0),"",INDEX(_Engine!$E415:$X415,1,(_Engine!$J$41-1)*4+3))</f>
        <v/>
      </c>
      <c r="H357" s="27">
        <f>IF(OR($A357="",_Engine!$D$42=0),"",INDEX(_Engine!$E415:$X415,1,(_Engine!$J$42-1)*4+3))</f>
        <v/>
      </c>
      <c r="I357" s="27">
        <f>IF(OR($A357="",_Engine!$D$43=0),"",INDEX(_Engine!$E415:$X415,1,(_Engine!$J$43-1)*4+3))</f>
        <v/>
      </c>
      <c r="J357" s="27">
        <f>IF(OR($A357="",_Engine!$D$44=0),"",INDEX(_Engine!$E415:$X415,1,(_Engine!$J$44-1)*4+3))</f>
        <v/>
      </c>
      <c r="K357" s="27">
        <f>IF(OR($A357="",_Engine!$D$45=0),"",INDEX(_Engine!$E415:$X415,1,(_Engine!$J$45-1)*4+3))</f>
        <v/>
      </c>
    </row>
    <row r="358">
      <c r="A358" s="25">
        <f>IF(355&lt;=_Engine!$B$36,355,"")</f>
        <v/>
      </c>
      <c r="B358" s="26">
        <f>IF($A358="","",EDATE(_Engine!$B$5,$A358-1))</f>
        <v/>
      </c>
      <c r="C358" s="27">
        <f>IF($A358="","",_Engine!$AJ416)</f>
        <v/>
      </c>
      <c r="D358" s="27">
        <f>IF($A358="","",_Engine!$AK416)</f>
        <v/>
      </c>
      <c r="E358" s="27">
        <f>IF($A358="","",_Engine!$AJ416-_Engine!$AK416)</f>
        <v/>
      </c>
      <c r="F358" s="27">
        <f>IF($A358="","",_Engine!$AI416)</f>
        <v/>
      </c>
      <c r="G358" s="27">
        <f>IF(OR($A358="",_Engine!$D$41=0),"",INDEX(_Engine!$E416:$X416,1,(_Engine!$J$41-1)*4+3))</f>
        <v/>
      </c>
      <c r="H358" s="27">
        <f>IF(OR($A358="",_Engine!$D$42=0),"",INDEX(_Engine!$E416:$X416,1,(_Engine!$J$42-1)*4+3))</f>
        <v/>
      </c>
      <c r="I358" s="27">
        <f>IF(OR($A358="",_Engine!$D$43=0),"",INDEX(_Engine!$E416:$X416,1,(_Engine!$J$43-1)*4+3))</f>
        <v/>
      </c>
      <c r="J358" s="27">
        <f>IF(OR($A358="",_Engine!$D$44=0),"",INDEX(_Engine!$E416:$X416,1,(_Engine!$J$44-1)*4+3))</f>
        <v/>
      </c>
      <c r="K358" s="27">
        <f>IF(OR($A358="",_Engine!$D$45=0),"",INDEX(_Engine!$E416:$X416,1,(_Engine!$J$45-1)*4+3))</f>
        <v/>
      </c>
    </row>
    <row r="359">
      <c r="A359" s="25">
        <f>IF(356&lt;=_Engine!$B$36,356,"")</f>
        <v/>
      </c>
      <c r="B359" s="26">
        <f>IF($A359="","",EDATE(_Engine!$B$5,$A359-1))</f>
        <v/>
      </c>
      <c r="C359" s="27">
        <f>IF($A359="","",_Engine!$AJ417)</f>
        <v/>
      </c>
      <c r="D359" s="27">
        <f>IF($A359="","",_Engine!$AK417)</f>
        <v/>
      </c>
      <c r="E359" s="27">
        <f>IF($A359="","",_Engine!$AJ417-_Engine!$AK417)</f>
        <v/>
      </c>
      <c r="F359" s="27">
        <f>IF($A359="","",_Engine!$AI417)</f>
        <v/>
      </c>
      <c r="G359" s="27">
        <f>IF(OR($A359="",_Engine!$D$41=0),"",INDEX(_Engine!$E417:$X417,1,(_Engine!$J$41-1)*4+3))</f>
        <v/>
      </c>
      <c r="H359" s="27">
        <f>IF(OR($A359="",_Engine!$D$42=0),"",INDEX(_Engine!$E417:$X417,1,(_Engine!$J$42-1)*4+3))</f>
        <v/>
      </c>
      <c r="I359" s="27">
        <f>IF(OR($A359="",_Engine!$D$43=0),"",INDEX(_Engine!$E417:$X417,1,(_Engine!$J$43-1)*4+3))</f>
        <v/>
      </c>
      <c r="J359" s="27">
        <f>IF(OR($A359="",_Engine!$D$44=0),"",INDEX(_Engine!$E417:$X417,1,(_Engine!$J$44-1)*4+3))</f>
        <v/>
      </c>
      <c r="K359" s="27">
        <f>IF(OR($A359="",_Engine!$D$45=0),"",INDEX(_Engine!$E417:$X417,1,(_Engine!$J$45-1)*4+3))</f>
        <v/>
      </c>
    </row>
    <row r="360">
      <c r="A360" s="25">
        <f>IF(357&lt;=_Engine!$B$36,357,"")</f>
        <v/>
      </c>
      <c r="B360" s="26">
        <f>IF($A360="","",EDATE(_Engine!$B$5,$A360-1))</f>
        <v/>
      </c>
      <c r="C360" s="27">
        <f>IF($A360="","",_Engine!$AJ418)</f>
        <v/>
      </c>
      <c r="D360" s="27">
        <f>IF($A360="","",_Engine!$AK418)</f>
        <v/>
      </c>
      <c r="E360" s="27">
        <f>IF($A360="","",_Engine!$AJ418-_Engine!$AK418)</f>
        <v/>
      </c>
      <c r="F360" s="27">
        <f>IF($A360="","",_Engine!$AI418)</f>
        <v/>
      </c>
      <c r="G360" s="27">
        <f>IF(OR($A360="",_Engine!$D$41=0),"",INDEX(_Engine!$E418:$X418,1,(_Engine!$J$41-1)*4+3))</f>
        <v/>
      </c>
      <c r="H360" s="27">
        <f>IF(OR($A360="",_Engine!$D$42=0),"",INDEX(_Engine!$E418:$X418,1,(_Engine!$J$42-1)*4+3))</f>
        <v/>
      </c>
      <c r="I360" s="27">
        <f>IF(OR($A360="",_Engine!$D$43=0),"",INDEX(_Engine!$E418:$X418,1,(_Engine!$J$43-1)*4+3))</f>
        <v/>
      </c>
      <c r="J360" s="27">
        <f>IF(OR($A360="",_Engine!$D$44=0),"",INDEX(_Engine!$E418:$X418,1,(_Engine!$J$44-1)*4+3))</f>
        <v/>
      </c>
      <c r="K360" s="27">
        <f>IF(OR($A360="",_Engine!$D$45=0),"",INDEX(_Engine!$E418:$X418,1,(_Engine!$J$45-1)*4+3))</f>
        <v/>
      </c>
    </row>
    <row r="361">
      <c r="A361" s="25">
        <f>IF(358&lt;=_Engine!$B$36,358,"")</f>
        <v/>
      </c>
      <c r="B361" s="26">
        <f>IF($A361="","",EDATE(_Engine!$B$5,$A361-1))</f>
        <v/>
      </c>
      <c r="C361" s="27">
        <f>IF($A361="","",_Engine!$AJ419)</f>
        <v/>
      </c>
      <c r="D361" s="27">
        <f>IF($A361="","",_Engine!$AK419)</f>
        <v/>
      </c>
      <c r="E361" s="27">
        <f>IF($A361="","",_Engine!$AJ419-_Engine!$AK419)</f>
        <v/>
      </c>
      <c r="F361" s="27">
        <f>IF($A361="","",_Engine!$AI419)</f>
        <v/>
      </c>
      <c r="G361" s="27">
        <f>IF(OR($A361="",_Engine!$D$41=0),"",INDEX(_Engine!$E419:$X419,1,(_Engine!$J$41-1)*4+3))</f>
        <v/>
      </c>
      <c r="H361" s="27">
        <f>IF(OR($A361="",_Engine!$D$42=0),"",INDEX(_Engine!$E419:$X419,1,(_Engine!$J$42-1)*4+3))</f>
        <v/>
      </c>
      <c r="I361" s="27">
        <f>IF(OR($A361="",_Engine!$D$43=0),"",INDEX(_Engine!$E419:$X419,1,(_Engine!$J$43-1)*4+3))</f>
        <v/>
      </c>
      <c r="J361" s="27">
        <f>IF(OR($A361="",_Engine!$D$44=0),"",INDEX(_Engine!$E419:$X419,1,(_Engine!$J$44-1)*4+3))</f>
        <v/>
      </c>
      <c r="K361" s="27">
        <f>IF(OR($A361="",_Engine!$D$45=0),"",INDEX(_Engine!$E419:$X419,1,(_Engine!$J$45-1)*4+3))</f>
        <v/>
      </c>
    </row>
    <row r="362">
      <c r="A362" s="25">
        <f>IF(359&lt;=_Engine!$B$36,359,"")</f>
        <v/>
      </c>
      <c r="B362" s="26">
        <f>IF($A362="","",EDATE(_Engine!$B$5,$A362-1))</f>
        <v/>
      </c>
      <c r="C362" s="27">
        <f>IF($A362="","",_Engine!$AJ420)</f>
        <v/>
      </c>
      <c r="D362" s="27">
        <f>IF($A362="","",_Engine!$AK420)</f>
        <v/>
      </c>
      <c r="E362" s="27">
        <f>IF($A362="","",_Engine!$AJ420-_Engine!$AK420)</f>
        <v/>
      </c>
      <c r="F362" s="27">
        <f>IF($A362="","",_Engine!$AI420)</f>
        <v/>
      </c>
      <c r="G362" s="27">
        <f>IF(OR($A362="",_Engine!$D$41=0),"",INDEX(_Engine!$E420:$X420,1,(_Engine!$J$41-1)*4+3))</f>
        <v/>
      </c>
      <c r="H362" s="27">
        <f>IF(OR($A362="",_Engine!$D$42=0),"",INDEX(_Engine!$E420:$X420,1,(_Engine!$J$42-1)*4+3))</f>
        <v/>
      </c>
      <c r="I362" s="27">
        <f>IF(OR($A362="",_Engine!$D$43=0),"",INDEX(_Engine!$E420:$X420,1,(_Engine!$J$43-1)*4+3))</f>
        <v/>
      </c>
      <c r="J362" s="27">
        <f>IF(OR($A362="",_Engine!$D$44=0),"",INDEX(_Engine!$E420:$X420,1,(_Engine!$J$44-1)*4+3))</f>
        <v/>
      </c>
      <c r="K362" s="27">
        <f>IF(OR($A362="",_Engine!$D$45=0),"",INDEX(_Engine!$E420:$X420,1,(_Engine!$J$45-1)*4+3))</f>
        <v/>
      </c>
    </row>
    <row r="363">
      <c r="A363" s="25">
        <f>IF(360&lt;=_Engine!$B$36,360,"")</f>
        <v/>
      </c>
      <c r="B363" s="26">
        <f>IF($A363="","",EDATE(_Engine!$B$5,$A363-1))</f>
        <v/>
      </c>
      <c r="C363" s="27">
        <f>IF($A363="","",_Engine!$AJ421)</f>
        <v/>
      </c>
      <c r="D363" s="27">
        <f>IF($A363="","",_Engine!$AK421)</f>
        <v/>
      </c>
      <c r="E363" s="27">
        <f>IF($A363="","",_Engine!$AJ421-_Engine!$AK421)</f>
        <v/>
      </c>
      <c r="F363" s="27">
        <f>IF($A363="","",_Engine!$AI421)</f>
        <v/>
      </c>
      <c r="G363" s="27">
        <f>IF(OR($A363="",_Engine!$D$41=0),"",INDEX(_Engine!$E421:$X421,1,(_Engine!$J$41-1)*4+3))</f>
        <v/>
      </c>
      <c r="H363" s="27">
        <f>IF(OR($A363="",_Engine!$D$42=0),"",INDEX(_Engine!$E421:$X421,1,(_Engine!$J$42-1)*4+3))</f>
        <v/>
      </c>
      <c r="I363" s="27">
        <f>IF(OR($A363="",_Engine!$D$43=0),"",INDEX(_Engine!$E421:$X421,1,(_Engine!$J$43-1)*4+3))</f>
        <v/>
      </c>
      <c r="J363" s="27">
        <f>IF(OR($A363="",_Engine!$D$44=0),"",INDEX(_Engine!$E421:$X421,1,(_Engine!$J$44-1)*4+3))</f>
        <v/>
      </c>
      <c r="K363" s="27">
        <f>IF(OR($A363="",_Engine!$D$45=0),"",INDEX(_Engine!$E421:$X421,1,(_Engine!$J$45-1)*4+3))</f>
        <v/>
      </c>
    </row>
    <row r="364">
      <c r="A364" s="25">
        <f>IF(361&lt;=_Engine!$B$36,361,"")</f>
        <v/>
      </c>
      <c r="B364" s="26">
        <f>IF($A364="","",EDATE(_Engine!$B$5,$A364-1))</f>
        <v/>
      </c>
      <c r="C364" s="27">
        <f>IF($A364="","",_Engine!$AJ422)</f>
        <v/>
      </c>
      <c r="D364" s="27">
        <f>IF($A364="","",_Engine!$AK422)</f>
        <v/>
      </c>
      <c r="E364" s="27">
        <f>IF($A364="","",_Engine!$AJ422-_Engine!$AK422)</f>
        <v/>
      </c>
      <c r="F364" s="27">
        <f>IF($A364="","",_Engine!$AI422)</f>
        <v/>
      </c>
      <c r="G364" s="27">
        <f>IF(OR($A364="",_Engine!$D$41=0),"",INDEX(_Engine!$E422:$X422,1,(_Engine!$J$41-1)*4+3))</f>
        <v/>
      </c>
      <c r="H364" s="27">
        <f>IF(OR($A364="",_Engine!$D$42=0),"",INDEX(_Engine!$E422:$X422,1,(_Engine!$J$42-1)*4+3))</f>
        <v/>
      </c>
      <c r="I364" s="27">
        <f>IF(OR($A364="",_Engine!$D$43=0),"",INDEX(_Engine!$E422:$X422,1,(_Engine!$J$43-1)*4+3))</f>
        <v/>
      </c>
      <c r="J364" s="27">
        <f>IF(OR($A364="",_Engine!$D$44=0),"",INDEX(_Engine!$E422:$X422,1,(_Engine!$J$44-1)*4+3))</f>
        <v/>
      </c>
      <c r="K364" s="27">
        <f>IF(OR($A364="",_Engine!$D$45=0),"",INDEX(_Engine!$E422:$X422,1,(_Engine!$J$45-1)*4+3))</f>
        <v/>
      </c>
    </row>
    <row r="365">
      <c r="A365" s="25">
        <f>IF(362&lt;=_Engine!$B$36,362,"")</f>
        <v/>
      </c>
      <c r="B365" s="26">
        <f>IF($A365="","",EDATE(_Engine!$B$5,$A365-1))</f>
        <v/>
      </c>
      <c r="C365" s="27">
        <f>IF($A365="","",_Engine!$AJ423)</f>
        <v/>
      </c>
      <c r="D365" s="27">
        <f>IF($A365="","",_Engine!$AK423)</f>
        <v/>
      </c>
      <c r="E365" s="27">
        <f>IF($A365="","",_Engine!$AJ423-_Engine!$AK423)</f>
        <v/>
      </c>
      <c r="F365" s="27">
        <f>IF($A365="","",_Engine!$AI423)</f>
        <v/>
      </c>
      <c r="G365" s="27">
        <f>IF(OR($A365="",_Engine!$D$41=0),"",INDEX(_Engine!$E423:$X423,1,(_Engine!$J$41-1)*4+3))</f>
        <v/>
      </c>
      <c r="H365" s="27">
        <f>IF(OR($A365="",_Engine!$D$42=0),"",INDEX(_Engine!$E423:$X423,1,(_Engine!$J$42-1)*4+3))</f>
        <v/>
      </c>
      <c r="I365" s="27">
        <f>IF(OR($A365="",_Engine!$D$43=0),"",INDEX(_Engine!$E423:$X423,1,(_Engine!$J$43-1)*4+3))</f>
        <v/>
      </c>
      <c r="J365" s="27">
        <f>IF(OR($A365="",_Engine!$D$44=0),"",INDEX(_Engine!$E423:$X423,1,(_Engine!$J$44-1)*4+3))</f>
        <v/>
      </c>
      <c r="K365" s="27">
        <f>IF(OR($A365="",_Engine!$D$45=0),"",INDEX(_Engine!$E423:$X423,1,(_Engine!$J$45-1)*4+3))</f>
        <v/>
      </c>
    </row>
    <row r="366">
      <c r="A366" s="25">
        <f>IF(363&lt;=_Engine!$B$36,363,"")</f>
        <v/>
      </c>
      <c r="B366" s="26">
        <f>IF($A366="","",EDATE(_Engine!$B$5,$A366-1))</f>
        <v/>
      </c>
      <c r="C366" s="27">
        <f>IF($A366="","",_Engine!$AJ424)</f>
        <v/>
      </c>
      <c r="D366" s="27">
        <f>IF($A366="","",_Engine!$AK424)</f>
        <v/>
      </c>
      <c r="E366" s="27">
        <f>IF($A366="","",_Engine!$AJ424-_Engine!$AK424)</f>
        <v/>
      </c>
      <c r="F366" s="27">
        <f>IF($A366="","",_Engine!$AI424)</f>
        <v/>
      </c>
      <c r="G366" s="27">
        <f>IF(OR($A366="",_Engine!$D$41=0),"",INDEX(_Engine!$E424:$X424,1,(_Engine!$J$41-1)*4+3))</f>
        <v/>
      </c>
      <c r="H366" s="27">
        <f>IF(OR($A366="",_Engine!$D$42=0),"",INDEX(_Engine!$E424:$X424,1,(_Engine!$J$42-1)*4+3))</f>
        <v/>
      </c>
      <c r="I366" s="27">
        <f>IF(OR($A366="",_Engine!$D$43=0),"",INDEX(_Engine!$E424:$X424,1,(_Engine!$J$43-1)*4+3))</f>
        <v/>
      </c>
      <c r="J366" s="27">
        <f>IF(OR($A366="",_Engine!$D$44=0),"",INDEX(_Engine!$E424:$X424,1,(_Engine!$J$44-1)*4+3))</f>
        <v/>
      </c>
      <c r="K366" s="27">
        <f>IF(OR($A366="",_Engine!$D$45=0),"",INDEX(_Engine!$E424:$X424,1,(_Engine!$J$45-1)*4+3))</f>
        <v/>
      </c>
    </row>
    <row r="367">
      <c r="A367" s="25">
        <f>IF(364&lt;=_Engine!$B$36,364,"")</f>
        <v/>
      </c>
      <c r="B367" s="26">
        <f>IF($A367="","",EDATE(_Engine!$B$5,$A367-1))</f>
        <v/>
      </c>
      <c r="C367" s="27">
        <f>IF($A367="","",_Engine!$AJ425)</f>
        <v/>
      </c>
      <c r="D367" s="27">
        <f>IF($A367="","",_Engine!$AK425)</f>
        <v/>
      </c>
      <c r="E367" s="27">
        <f>IF($A367="","",_Engine!$AJ425-_Engine!$AK425)</f>
        <v/>
      </c>
      <c r="F367" s="27">
        <f>IF($A367="","",_Engine!$AI425)</f>
        <v/>
      </c>
      <c r="G367" s="27">
        <f>IF(OR($A367="",_Engine!$D$41=0),"",INDEX(_Engine!$E425:$X425,1,(_Engine!$J$41-1)*4+3))</f>
        <v/>
      </c>
      <c r="H367" s="27">
        <f>IF(OR($A367="",_Engine!$D$42=0),"",INDEX(_Engine!$E425:$X425,1,(_Engine!$J$42-1)*4+3))</f>
        <v/>
      </c>
      <c r="I367" s="27">
        <f>IF(OR($A367="",_Engine!$D$43=0),"",INDEX(_Engine!$E425:$X425,1,(_Engine!$J$43-1)*4+3))</f>
        <v/>
      </c>
      <c r="J367" s="27">
        <f>IF(OR($A367="",_Engine!$D$44=0),"",INDEX(_Engine!$E425:$X425,1,(_Engine!$J$44-1)*4+3))</f>
        <v/>
      </c>
      <c r="K367" s="27">
        <f>IF(OR($A367="",_Engine!$D$45=0),"",INDEX(_Engine!$E425:$X425,1,(_Engine!$J$45-1)*4+3))</f>
        <v/>
      </c>
    </row>
    <row r="368">
      <c r="A368" s="25">
        <f>IF(365&lt;=_Engine!$B$36,365,"")</f>
        <v/>
      </c>
      <c r="B368" s="26">
        <f>IF($A368="","",EDATE(_Engine!$B$5,$A368-1))</f>
        <v/>
      </c>
      <c r="C368" s="27">
        <f>IF($A368="","",_Engine!$AJ426)</f>
        <v/>
      </c>
      <c r="D368" s="27">
        <f>IF($A368="","",_Engine!$AK426)</f>
        <v/>
      </c>
      <c r="E368" s="27">
        <f>IF($A368="","",_Engine!$AJ426-_Engine!$AK426)</f>
        <v/>
      </c>
      <c r="F368" s="27">
        <f>IF($A368="","",_Engine!$AI426)</f>
        <v/>
      </c>
      <c r="G368" s="27">
        <f>IF(OR($A368="",_Engine!$D$41=0),"",INDEX(_Engine!$E426:$X426,1,(_Engine!$J$41-1)*4+3))</f>
        <v/>
      </c>
      <c r="H368" s="27">
        <f>IF(OR($A368="",_Engine!$D$42=0),"",INDEX(_Engine!$E426:$X426,1,(_Engine!$J$42-1)*4+3))</f>
        <v/>
      </c>
      <c r="I368" s="27">
        <f>IF(OR($A368="",_Engine!$D$43=0),"",INDEX(_Engine!$E426:$X426,1,(_Engine!$J$43-1)*4+3))</f>
        <v/>
      </c>
      <c r="J368" s="27">
        <f>IF(OR($A368="",_Engine!$D$44=0),"",INDEX(_Engine!$E426:$X426,1,(_Engine!$J$44-1)*4+3))</f>
        <v/>
      </c>
      <c r="K368" s="27">
        <f>IF(OR($A368="",_Engine!$D$45=0),"",INDEX(_Engine!$E426:$X426,1,(_Engine!$J$45-1)*4+3))</f>
        <v/>
      </c>
    </row>
    <row r="369">
      <c r="A369" s="25">
        <f>IF(366&lt;=_Engine!$B$36,366,"")</f>
        <v/>
      </c>
      <c r="B369" s="26">
        <f>IF($A369="","",EDATE(_Engine!$B$5,$A369-1))</f>
        <v/>
      </c>
      <c r="C369" s="27">
        <f>IF($A369="","",_Engine!$AJ427)</f>
        <v/>
      </c>
      <c r="D369" s="27">
        <f>IF($A369="","",_Engine!$AK427)</f>
        <v/>
      </c>
      <c r="E369" s="27">
        <f>IF($A369="","",_Engine!$AJ427-_Engine!$AK427)</f>
        <v/>
      </c>
      <c r="F369" s="27">
        <f>IF($A369="","",_Engine!$AI427)</f>
        <v/>
      </c>
      <c r="G369" s="27">
        <f>IF(OR($A369="",_Engine!$D$41=0),"",INDEX(_Engine!$E427:$X427,1,(_Engine!$J$41-1)*4+3))</f>
        <v/>
      </c>
      <c r="H369" s="27">
        <f>IF(OR($A369="",_Engine!$D$42=0),"",INDEX(_Engine!$E427:$X427,1,(_Engine!$J$42-1)*4+3))</f>
        <v/>
      </c>
      <c r="I369" s="27">
        <f>IF(OR($A369="",_Engine!$D$43=0),"",INDEX(_Engine!$E427:$X427,1,(_Engine!$J$43-1)*4+3))</f>
        <v/>
      </c>
      <c r="J369" s="27">
        <f>IF(OR($A369="",_Engine!$D$44=0),"",INDEX(_Engine!$E427:$X427,1,(_Engine!$J$44-1)*4+3))</f>
        <v/>
      </c>
      <c r="K369" s="27">
        <f>IF(OR($A369="",_Engine!$D$45=0),"",INDEX(_Engine!$E427:$X427,1,(_Engine!$J$45-1)*4+3))</f>
        <v/>
      </c>
    </row>
    <row r="370">
      <c r="A370" s="25">
        <f>IF(367&lt;=_Engine!$B$36,367,"")</f>
        <v/>
      </c>
      <c r="B370" s="26">
        <f>IF($A370="","",EDATE(_Engine!$B$5,$A370-1))</f>
        <v/>
      </c>
      <c r="C370" s="27">
        <f>IF($A370="","",_Engine!$AJ428)</f>
        <v/>
      </c>
      <c r="D370" s="27">
        <f>IF($A370="","",_Engine!$AK428)</f>
        <v/>
      </c>
      <c r="E370" s="27">
        <f>IF($A370="","",_Engine!$AJ428-_Engine!$AK428)</f>
        <v/>
      </c>
      <c r="F370" s="27">
        <f>IF($A370="","",_Engine!$AI428)</f>
        <v/>
      </c>
      <c r="G370" s="27">
        <f>IF(OR($A370="",_Engine!$D$41=0),"",INDEX(_Engine!$E428:$X428,1,(_Engine!$J$41-1)*4+3))</f>
        <v/>
      </c>
      <c r="H370" s="27">
        <f>IF(OR($A370="",_Engine!$D$42=0),"",INDEX(_Engine!$E428:$X428,1,(_Engine!$J$42-1)*4+3))</f>
        <v/>
      </c>
      <c r="I370" s="27">
        <f>IF(OR($A370="",_Engine!$D$43=0),"",INDEX(_Engine!$E428:$X428,1,(_Engine!$J$43-1)*4+3))</f>
        <v/>
      </c>
      <c r="J370" s="27">
        <f>IF(OR($A370="",_Engine!$D$44=0),"",INDEX(_Engine!$E428:$X428,1,(_Engine!$J$44-1)*4+3))</f>
        <v/>
      </c>
      <c r="K370" s="27">
        <f>IF(OR($A370="",_Engine!$D$45=0),"",INDEX(_Engine!$E428:$X428,1,(_Engine!$J$45-1)*4+3))</f>
        <v/>
      </c>
    </row>
    <row r="371">
      <c r="A371" s="25">
        <f>IF(368&lt;=_Engine!$B$36,368,"")</f>
        <v/>
      </c>
      <c r="B371" s="26">
        <f>IF($A371="","",EDATE(_Engine!$B$5,$A371-1))</f>
        <v/>
      </c>
      <c r="C371" s="27">
        <f>IF($A371="","",_Engine!$AJ429)</f>
        <v/>
      </c>
      <c r="D371" s="27">
        <f>IF($A371="","",_Engine!$AK429)</f>
        <v/>
      </c>
      <c r="E371" s="27">
        <f>IF($A371="","",_Engine!$AJ429-_Engine!$AK429)</f>
        <v/>
      </c>
      <c r="F371" s="27">
        <f>IF($A371="","",_Engine!$AI429)</f>
        <v/>
      </c>
      <c r="G371" s="27">
        <f>IF(OR($A371="",_Engine!$D$41=0),"",INDEX(_Engine!$E429:$X429,1,(_Engine!$J$41-1)*4+3))</f>
        <v/>
      </c>
      <c r="H371" s="27">
        <f>IF(OR($A371="",_Engine!$D$42=0),"",INDEX(_Engine!$E429:$X429,1,(_Engine!$J$42-1)*4+3))</f>
        <v/>
      </c>
      <c r="I371" s="27">
        <f>IF(OR($A371="",_Engine!$D$43=0),"",INDEX(_Engine!$E429:$X429,1,(_Engine!$J$43-1)*4+3))</f>
        <v/>
      </c>
      <c r="J371" s="27">
        <f>IF(OR($A371="",_Engine!$D$44=0),"",INDEX(_Engine!$E429:$X429,1,(_Engine!$J$44-1)*4+3))</f>
        <v/>
      </c>
      <c r="K371" s="27">
        <f>IF(OR($A371="",_Engine!$D$45=0),"",INDEX(_Engine!$E429:$X429,1,(_Engine!$J$45-1)*4+3))</f>
        <v/>
      </c>
    </row>
    <row r="372">
      <c r="A372" s="25">
        <f>IF(369&lt;=_Engine!$B$36,369,"")</f>
        <v/>
      </c>
      <c r="B372" s="26">
        <f>IF($A372="","",EDATE(_Engine!$B$5,$A372-1))</f>
        <v/>
      </c>
      <c r="C372" s="27">
        <f>IF($A372="","",_Engine!$AJ430)</f>
        <v/>
      </c>
      <c r="D372" s="27">
        <f>IF($A372="","",_Engine!$AK430)</f>
        <v/>
      </c>
      <c r="E372" s="27">
        <f>IF($A372="","",_Engine!$AJ430-_Engine!$AK430)</f>
        <v/>
      </c>
      <c r="F372" s="27">
        <f>IF($A372="","",_Engine!$AI430)</f>
        <v/>
      </c>
      <c r="G372" s="27">
        <f>IF(OR($A372="",_Engine!$D$41=0),"",INDEX(_Engine!$E430:$X430,1,(_Engine!$J$41-1)*4+3))</f>
        <v/>
      </c>
      <c r="H372" s="27">
        <f>IF(OR($A372="",_Engine!$D$42=0),"",INDEX(_Engine!$E430:$X430,1,(_Engine!$J$42-1)*4+3))</f>
        <v/>
      </c>
      <c r="I372" s="27">
        <f>IF(OR($A372="",_Engine!$D$43=0),"",INDEX(_Engine!$E430:$X430,1,(_Engine!$J$43-1)*4+3))</f>
        <v/>
      </c>
      <c r="J372" s="27">
        <f>IF(OR($A372="",_Engine!$D$44=0),"",INDEX(_Engine!$E430:$X430,1,(_Engine!$J$44-1)*4+3))</f>
        <v/>
      </c>
      <c r="K372" s="27">
        <f>IF(OR($A372="",_Engine!$D$45=0),"",INDEX(_Engine!$E430:$X430,1,(_Engine!$J$45-1)*4+3))</f>
        <v/>
      </c>
    </row>
    <row r="373">
      <c r="A373" s="25">
        <f>IF(370&lt;=_Engine!$B$36,370,"")</f>
        <v/>
      </c>
      <c r="B373" s="26">
        <f>IF($A373="","",EDATE(_Engine!$B$5,$A373-1))</f>
        <v/>
      </c>
      <c r="C373" s="27">
        <f>IF($A373="","",_Engine!$AJ431)</f>
        <v/>
      </c>
      <c r="D373" s="27">
        <f>IF($A373="","",_Engine!$AK431)</f>
        <v/>
      </c>
      <c r="E373" s="27">
        <f>IF($A373="","",_Engine!$AJ431-_Engine!$AK431)</f>
        <v/>
      </c>
      <c r="F373" s="27">
        <f>IF($A373="","",_Engine!$AI431)</f>
        <v/>
      </c>
      <c r="G373" s="27">
        <f>IF(OR($A373="",_Engine!$D$41=0),"",INDEX(_Engine!$E431:$X431,1,(_Engine!$J$41-1)*4+3))</f>
        <v/>
      </c>
      <c r="H373" s="27">
        <f>IF(OR($A373="",_Engine!$D$42=0),"",INDEX(_Engine!$E431:$X431,1,(_Engine!$J$42-1)*4+3))</f>
        <v/>
      </c>
      <c r="I373" s="27">
        <f>IF(OR($A373="",_Engine!$D$43=0),"",INDEX(_Engine!$E431:$X431,1,(_Engine!$J$43-1)*4+3))</f>
        <v/>
      </c>
      <c r="J373" s="27">
        <f>IF(OR($A373="",_Engine!$D$44=0),"",INDEX(_Engine!$E431:$X431,1,(_Engine!$J$44-1)*4+3))</f>
        <v/>
      </c>
      <c r="K373" s="27">
        <f>IF(OR($A373="",_Engine!$D$45=0),"",INDEX(_Engine!$E431:$X431,1,(_Engine!$J$45-1)*4+3))</f>
        <v/>
      </c>
    </row>
    <row r="374">
      <c r="A374" s="25">
        <f>IF(371&lt;=_Engine!$B$36,371,"")</f>
        <v/>
      </c>
      <c r="B374" s="26">
        <f>IF($A374="","",EDATE(_Engine!$B$5,$A374-1))</f>
        <v/>
      </c>
      <c r="C374" s="27">
        <f>IF($A374="","",_Engine!$AJ432)</f>
        <v/>
      </c>
      <c r="D374" s="27">
        <f>IF($A374="","",_Engine!$AK432)</f>
        <v/>
      </c>
      <c r="E374" s="27">
        <f>IF($A374="","",_Engine!$AJ432-_Engine!$AK432)</f>
        <v/>
      </c>
      <c r="F374" s="27">
        <f>IF($A374="","",_Engine!$AI432)</f>
        <v/>
      </c>
      <c r="G374" s="27">
        <f>IF(OR($A374="",_Engine!$D$41=0),"",INDEX(_Engine!$E432:$X432,1,(_Engine!$J$41-1)*4+3))</f>
        <v/>
      </c>
      <c r="H374" s="27">
        <f>IF(OR($A374="",_Engine!$D$42=0),"",INDEX(_Engine!$E432:$X432,1,(_Engine!$J$42-1)*4+3))</f>
        <v/>
      </c>
      <c r="I374" s="27">
        <f>IF(OR($A374="",_Engine!$D$43=0),"",INDEX(_Engine!$E432:$X432,1,(_Engine!$J$43-1)*4+3))</f>
        <v/>
      </c>
      <c r="J374" s="27">
        <f>IF(OR($A374="",_Engine!$D$44=0),"",INDEX(_Engine!$E432:$X432,1,(_Engine!$J$44-1)*4+3))</f>
        <v/>
      </c>
      <c r="K374" s="27">
        <f>IF(OR($A374="",_Engine!$D$45=0),"",INDEX(_Engine!$E432:$X432,1,(_Engine!$J$45-1)*4+3))</f>
        <v/>
      </c>
    </row>
    <row r="375">
      <c r="A375" s="25">
        <f>IF(372&lt;=_Engine!$B$36,372,"")</f>
        <v/>
      </c>
      <c r="B375" s="26">
        <f>IF($A375="","",EDATE(_Engine!$B$5,$A375-1))</f>
        <v/>
      </c>
      <c r="C375" s="27">
        <f>IF($A375="","",_Engine!$AJ433)</f>
        <v/>
      </c>
      <c r="D375" s="27">
        <f>IF($A375="","",_Engine!$AK433)</f>
        <v/>
      </c>
      <c r="E375" s="27">
        <f>IF($A375="","",_Engine!$AJ433-_Engine!$AK433)</f>
        <v/>
      </c>
      <c r="F375" s="27">
        <f>IF($A375="","",_Engine!$AI433)</f>
        <v/>
      </c>
      <c r="G375" s="27">
        <f>IF(OR($A375="",_Engine!$D$41=0),"",INDEX(_Engine!$E433:$X433,1,(_Engine!$J$41-1)*4+3))</f>
        <v/>
      </c>
      <c r="H375" s="27">
        <f>IF(OR($A375="",_Engine!$D$42=0),"",INDEX(_Engine!$E433:$X433,1,(_Engine!$J$42-1)*4+3))</f>
        <v/>
      </c>
      <c r="I375" s="27">
        <f>IF(OR($A375="",_Engine!$D$43=0),"",INDEX(_Engine!$E433:$X433,1,(_Engine!$J$43-1)*4+3))</f>
        <v/>
      </c>
      <c r="J375" s="27">
        <f>IF(OR($A375="",_Engine!$D$44=0),"",INDEX(_Engine!$E433:$X433,1,(_Engine!$J$44-1)*4+3))</f>
        <v/>
      </c>
      <c r="K375" s="27">
        <f>IF(OR($A375="",_Engine!$D$45=0),"",INDEX(_Engine!$E433:$X433,1,(_Engine!$J$45-1)*4+3))</f>
        <v/>
      </c>
    </row>
    <row r="376">
      <c r="A376" s="25">
        <f>IF(373&lt;=_Engine!$B$36,373,"")</f>
        <v/>
      </c>
      <c r="B376" s="26">
        <f>IF($A376="","",EDATE(_Engine!$B$5,$A376-1))</f>
        <v/>
      </c>
      <c r="C376" s="27">
        <f>IF($A376="","",_Engine!$AJ434)</f>
        <v/>
      </c>
      <c r="D376" s="27">
        <f>IF($A376="","",_Engine!$AK434)</f>
        <v/>
      </c>
      <c r="E376" s="27">
        <f>IF($A376="","",_Engine!$AJ434-_Engine!$AK434)</f>
        <v/>
      </c>
      <c r="F376" s="27">
        <f>IF($A376="","",_Engine!$AI434)</f>
        <v/>
      </c>
      <c r="G376" s="27">
        <f>IF(OR($A376="",_Engine!$D$41=0),"",INDEX(_Engine!$E434:$X434,1,(_Engine!$J$41-1)*4+3))</f>
        <v/>
      </c>
      <c r="H376" s="27">
        <f>IF(OR($A376="",_Engine!$D$42=0),"",INDEX(_Engine!$E434:$X434,1,(_Engine!$J$42-1)*4+3))</f>
        <v/>
      </c>
      <c r="I376" s="27">
        <f>IF(OR($A376="",_Engine!$D$43=0),"",INDEX(_Engine!$E434:$X434,1,(_Engine!$J$43-1)*4+3))</f>
        <v/>
      </c>
      <c r="J376" s="27">
        <f>IF(OR($A376="",_Engine!$D$44=0),"",INDEX(_Engine!$E434:$X434,1,(_Engine!$J$44-1)*4+3))</f>
        <v/>
      </c>
      <c r="K376" s="27">
        <f>IF(OR($A376="",_Engine!$D$45=0),"",INDEX(_Engine!$E434:$X434,1,(_Engine!$J$45-1)*4+3))</f>
        <v/>
      </c>
    </row>
    <row r="377">
      <c r="A377" s="25">
        <f>IF(374&lt;=_Engine!$B$36,374,"")</f>
        <v/>
      </c>
      <c r="B377" s="26">
        <f>IF($A377="","",EDATE(_Engine!$B$5,$A377-1))</f>
        <v/>
      </c>
      <c r="C377" s="27">
        <f>IF($A377="","",_Engine!$AJ435)</f>
        <v/>
      </c>
      <c r="D377" s="27">
        <f>IF($A377="","",_Engine!$AK435)</f>
        <v/>
      </c>
      <c r="E377" s="27">
        <f>IF($A377="","",_Engine!$AJ435-_Engine!$AK435)</f>
        <v/>
      </c>
      <c r="F377" s="27">
        <f>IF($A377="","",_Engine!$AI435)</f>
        <v/>
      </c>
      <c r="G377" s="27">
        <f>IF(OR($A377="",_Engine!$D$41=0),"",INDEX(_Engine!$E435:$X435,1,(_Engine!$J$41-1)*4+3))</f>
        <v/>
      </c>
      <c r="H377" s="27">
        <f>IF(OR($A377="",_Engine!$D$42=0),"",INDEX(_Engine!$E435:$X435,1,(_Engine!$J$42-1)*4+3))</f>
        <v/>
      </c>
      <c r="I377" s="27">
        <f>IF(OR($A377="",_Engine!$D$43=0),"",INDEX(_Engine!$E435:$X435,1,(_Engine!$J$43-1)*4+3))</f>
        <v/>
      </c>
      <c r="J377" s="27">
        <f>IF(OR($A377="",_Engine!$D$44=0),"",INDEX(_Engine!$E435:$X435,1,(_Engine!$J$44-1)*4+3))</f>
        <v/>
      </c>
      <c r="K377" s="27">
        <f>IF(OR($A377="",_Engine!$D$45=0),"",INDEX(_Engine!$E435:$X435,1,(_Engine!$J$45-1)*4+3))</f>
        <v/>
      </c>
    </row>
    <row r="378">
      <c r="A378" s="25">
        <f>IF(375&lt;=_Engine!$B$36,375,"")</f>
        <v/>
      </c>
      <c r="B378" s="26">
        <f>IF($A378="","",EDATE(_Engine!$B$5,$A378-1))</f>
        <v/>
      </c>
      <c r="C378" s="27">
        <f>IF($A378="","",_Engine!$AJ436)</f>
        <v/>
      </c>
      <c r="D378" s="27">
        <f>IF($A378="","",_Engine!$AK436)</f>
        <v/>
      </c>
      <c r="E378" s="27">
        <f>IF($A378="","",_Engine!$AJ436-_Engine!$AK436)</f>
        <v/>
      </c>
      <c r="F378" s="27">
        <f>IF($A378="","",_Engine!$AI436)</f>
        <v/>
      </c>
      <c r="G378" s="27">
        <f>IF(OR($A378="",_Engine!$D$41=0),"",INDEX(_Engine!$E436:$X436,1,(_Engine!$J$41-1)*4+3))</f>
        <v/>
      </c>
      <c r="H378" s="27">
        <f>IF(OR($A378="",_Engine!$D$42=0),"",INDEX(_Engine!$E436:$X436,1,(_Engine!$J$42-1)*4+3))</f>
        <v/>
      </c>
      <c r="I378" s="27">
        <f>IF(OR($A378="",_Engine!$D$43=0),"",INDEX(_Engine!$E436:$X436,1,(_Engine!$J$43-1)*4+3))</f>
        <v/>
      </c>
      <c r="J378" s="27">
        <f>IF(OR($A378="",_Engine!$D$44=0),"",INDEX(_Engine!$E436:$X436,1,(_Engine!$J$44-1)*4+3))</f>
        <v/>
      </c>
      <c r="K378" s="27">
        <f>IF(OR($A378="",_Engine!$D$45=0),"",INDEX(_Engine!$E436:$X436,1,(_Engine!$J$45-1)*4+3))</f>
        <v/>
      </c>
    </row>
    <row r="379">
      <c r="A379" s="25">
        <f>IF(376&lt;=_Engine!$B$36,376,"")</f>
        <v/>
      </c>
      <c r="B379" s="26">
        <f>IF($A379="","",EDATE(_Engine!$B$5,$A379-1))</f>
        <v/>
      </c>
      <c r="C379" s="27">
        <f>IF($A379="","",_Engine!$AJ437)</f>
        <v/>
      </c>
      <c r="D379" s="27">
        <f>IF($A379="","",_Engine!$AK437)</f>
        <v/>
      </c>
      <c r="E379" s="27">
        <f>IF($A379="","",_Engine!$AJ437-_Engine!$AK437)</f>
        <v/>
      </c>
      <c r="F379" s="27">
        <f>IF($A379="","",_Engine!$AI437)</f>
        <v/>
      </c>
      <c r="G379" s="27">
        <f>IF(OR($A379="",_Engine!$D$41=0),"",INDEX(_Engine!$E437:$X437,1,(_Engine!$J$41-1)*4+3))</f>
        <v/>
      </c>
      <c r="H379" s="27">
        <f>IF(OR($A379="",_Engine!$D$42=0),"",INDEX(_Engine!$E437:$X437,1,(_Engine!$J$42-1)*4+3))</f>
        <v/>
      </c>
      <c r="I379" s="27">
        <f>IF(OR($A379="",_Engine!$D$43=0),"",INDEX(_Engine!$E437:$X437,1,(_Engine!$J$43-1)*4+3))</f>
        <v/>
      </c>
      <c r="J379" s="27">
        <f>IF(OR($A379="",_Engine!$D$44=0),"",INDEX(_Engine!$E437:$X437,1,(_Engine!$J$44-1)*4+3))</f>
        <v/>
      </c>
      <c r="K379" s="27">
        <f>IF(OR($A379="",_Engine!$D$45=0),"",INDEX(_Engine!$E437:$X437,1,(_Engine!$J$45-1)*4+3))</f>
        <v/>
      </c>
    </row>
    <row r="380">
      <c r="A380" s="25">
        <f>IF(377&lt;=_Engine!$B$36,377,"")</f>
        <v/>
      </c>
      <c r="B380" s="26">
        <f>IF($A380="","",EDATE(_Engine!$B$5,$A380-1))</f>
        <v/>
      </c>
      <c r="C380" s="27">
        <f>IF($A380="","",_Engine!$AJ438)</f>
        <v/>
      </c>
      <c r="D380" s="27">
        <f>IF($A380="","",_Engine!$AK438)</f>
        <v/>
      </c>
      <c r="E380" s="27">
        <f>IF($A380="","",_Engine!$AJ438-_Engine!$AK438)</f>
        <v/>
      </c>
      <c r="F380" s="27">
        <f>IF($A380="","",_Engine!$AI438)</f>
        <v/>
      </c>
      <c r="G380" s="27">
        <f>IF(OR($A380="",_Engine!$D$41=0),"",INDEX(_Engine!$E438:$X438,1,(_Engine!$J$41-1)*4+3))</f>
        <v/>
      </c>
      <c r="H380" s="27">
        <f>IF(OR($A380="",_Engine!$D$42=0),"",INDEX(_Engine!$E438:$X438,1,(_Engine!$J$42-1)*4+3))</f>
        <v/>
      </c>
      <c r="I380" s="27">
        <f>IF(OR($A380="",_Engine!$D$43=0),"",INDEX(_Engine!$E438:$X438,1,(_Engine!$J$43-1)*4+3))</f>
        <v/>
      </c>
      <c r="J380" s="27">
        <f>IF(OR($A380="",_Engine!$D$44=0),"",INDEX(_Engine!$E438:$X438,1,(_Engine!$J$44-1)*4+3))</f>
        <v/>
      </c>
      <c r="K380" s="27">
        <f>IF(OR($A380="",_Engine!$D$45=0),"",INDEX(_Engine!$E438:$X438,1,(_Engine!$J$45-1)*4+3))</f>
        <v/>
      </c>
    </row>
    <row r="381">
      <c r="A381" s="25">
        <f>IF(378&lt;=_Engine!$B$36,378,"")</f>
        <v/>
      </c>
      <c r="B381" s="26">
        <f>IF($A381="","",EDATE(_Engine!$B$5,$A381-1))</f>
        <v/>
      </c>
      <c r="C381" s="27">
        <f>IF($A381="","",_Engine!$AJ439)</f>
        <v/>
      </c>
      <c r="D381" s="27">
        <f>IF($A381="","",_Engine!$AK439)</f>
        <v/>
      </c>
      <c r="E381" s="27">
        <f>IF($A381="","",_Engine!$AJ439-_Engine!$AK439)</f>
        <v/>
      </c>
      <c r="F381" s="27">
        <f>IF($A381="","",_Engine!$AI439)</f>
        <v/>
      </c>
      <c r="G381" s="27">
        <f>IF(OR($A381="",_Engine!$D$41=0),"",INDEX(_Engine!$E439:$X439,1,(_Engine!$J$41-1)*4+3))</f>
        <v/>
      </c>
      <c r="H381" s="27">
        <f>IF(OR($A381="",_Engine!$D$42=0),"",INDEX(_Engine!$E439:$X439,1,(_Engine!$J$42-1)*4+3))</f>
        <v/>
      </c>
      <c r="I381" s="27">
        <f>IF(OR($A381="",_Engine!$D$43=0),"",INDEX(_Engine!$E439:$X439,1,(_Engine!$J$43-1)*4+3))</f>
        <v/>
      </c>
      <c r="J381" s="27">
        <f>IF(OR($A381="",_Engine!$D$44=0),"",INDEX(_Engine!$E439:$X439,1,(_Engine!$J$44-1)*4+3))</f>
        <v/>
      </c>
      <c r="K381" s="27">
        <f>IF(OR($A381="",_Engine!$D$45=0),"",INDEX(_Engine!$E439:$X439,1,(_Engine!$J$45-1)*4+3))</f>
        <v/>
      </c>
    </row>
    <row r="382">
      <c r="A382" s="25">
        <f>IF(379&lt;=_Engine!$B$36,379,"")</f>
        <v/>
      </c>
      <c r="B382" s="26">
        <f>IF($A382="","",EDATE(_Engine!$B$5,$A382-1))</f>
        <v/>
      </c>
      <c r="C382" s="27">
        <f>IF($A382="","",_Engine!$AJ440)</f>
        <v/>
      </c>
      <c r="D382" s="27">
        <f>IF($A382="","",_Engine!$AK440)</f>
        <v/>
      </c>
      <c r="E382" s="27">
        <f>IF($A382="","",_Engine!$AJ440-_Engine!$AK440)</f>
        <v/>
      </c>
      <c r="F382" s="27">
        <f>IF($A382="","",_Engine!$AI440)</f>
        <v/>
      </c>
      <c r="G382" s="27">
        <f>IF(OR($A382="",_Engine!$D$41=0),"",INDEX(_Engine!$E440:$X440,1,(_Engine!$J$41-1)*4+3))</f>
        <v/>
      </c>
      <c r="H382" s="27">
        <f>IF(OR($A382="",_Engine!$D$42=0),"",INDEX(_Engine!$E440:$X440,1,(_Engine!$J$42-1)*4+3))</f>
        <v/>
      </c>
      <c r="I382" s="27">
        <f>IF(OR($A382="",_Engine!$D$43=0),"",INDEX(_Engine!$E440:$X440,1,(_Engine!$J$43-1)*4+3))</f>
        <v/>
      </c>
      <c r="J382" s="27">
        <f>IF(OR($A382="",_Engine!$D$44=0),"",INDEX(_Engine!$E440:$X440,1,(_Engine!$J$44-1)*4+3))</f>
        <v/>
      </c>
      <c r="K382" s="27">
        <f>IF(OR($A382="",_Engine!$D$45=0),"",INDEX(_Engine!$E440:$X440,1,(_Engine!$J$45-1)*4+3))</f>
        <v/>
      </c>
    </row>
    <row r="383">
      <c r="A383" s="25">
        <f>IF(380&lt;=_Engine!$B$36,380,"")</f>
        <v/>
      </c>
      <c r="B383" s="26">
        <f>IF($A383="","",EDATE(_Engine!$B$5,$A383-1))</f>
        <v/>
      </c>
      <c r="C383" s="27">
        <f>IF($A383="","",_Engine!$AJ441)</f>
        <v/>
      </c>
      <c r="D383" s="27">
        <f>IF($A383="","",_Engine!$AK441)</f>
        <v/>
      </c>
      <c r="E383" s="27">
        <f>IF($A383="","",_Engine!$AJ441-_Engine!$AK441)</f>
        <v/>
      </c>
      <c r="F383" s="27">
        <f>IF($A383="","",_Engine!$AI441)</f>
        <v/>
      </c>
      <c r="G383" s="27">
        <f>IF(OR($A383="",_Engine!$D$41=0),"",INDEX(_Engine!$E441:$X441,1,(_Engine!$J$41-1)*4+3))</f>
        <v/>
      </c>
      <c r="H383" s="27">
        <f>IF(OR($A383="",_Engine!$D$42=0),"",INDEX(_Engine!$E441:$X441,1,(_Engine!$J$42-1)*4+3))</f>
        <v/>
      </c>
      <c r="I383" s="27">
        <f>IF(OR($A383="",_Engine!$D$43=0),"",INDEX(_Engine!$E441:$X441,1,(_Engine!$J$43-1)*4+3))</f>
        <v/>
      </c>
      <c r="J383" s="27">
        <f>IF(OR($A383="",_Engine!$D$44=0),"",INDEX(_Engine!$E441:$X441,1,(_Engine!$J$44-1)*4+3))</f>
        <v/>
      </c>
      <c r="K383" s="27">
        <f>IF(OR($A383="",_Engine!$D$45=0),"",INDEX(_Engine!$E441:$X441,1,(_Engine!$J$45-1)*4+3))</f>
        <v/>
      </c>
    </row>
    <row r="384">
      <c r="A384" s="25">
        <f>IF(381&lt;=_Engine!$B$36,381,"")</f>
        <v/>
      </c>
      <c r="B384" s="26">
        <f>IF($A384="","",EDATE(_Engine!$B$5,$A384-1))</f>
        <v/>
      </c>
      <c r="C384" s="27">
        <f>IF($A384="","",_Engine!$AJ442)</f>
        <v/>
      </c>
      <c r="D384" s="27">
        <f>IF($A384="","",_Engine!$AK442)</f>
        <v/>
      </c>
      <c r="E384" s="27">
        <f>IF($A384="","",_Engine!$AJ442-_Engine!$AK442)</f>
        <v/>
      </c>
      <c r="F384" s="27">
        <f>IF($A384="","",_Engine!$AI442)</f>
        <v/>
      </c>
      <c r="G384" s="27">
        <f>IF(OR($A384="",_Engine!$D$41=0),"",INDEX(_Engine!$E442:$X442,1,(_Engine!$J$41-1)*4+3))</f>
        <v/>
      </c>
      <c r="H384" s="27">
        <f>IF(OR($A384="",_Engine!$D$42=0),"",INDEX(_Engine!$E442:$X442,1,(_Engine!$J$42-1)*4+3))</f>
        <v/>
      </c>
      <c r="I384" s="27">
        <f>IF(OR($A384="",_Engine!$D$43=0),"",INDEX(_Engine!$E442:$X442,1,(_Engine!$J$43-1)*4+3))</f>
        <v/>
      </c>
      <c r="J384" s="27">
        <f>IF(OR($A384="",_Engine!$D$44=0),"",INDEX(_Engine!$E442:$X442,1,(_Engine!$J$44-1)*4+3))</f>
        <v/>
      </c>
      <c r="K384" s="27">
        <f>IF(OR($A384="",_Engine!$D$45=0),"",INDEX(_Engine!$E442:$X442,1,(_Engine!$J$45-1)*4+3))</f>
        <v/>
      </c>
    </row>
    <row r="385">
      <c r="A385" s="25">
        <f>IF(382&lt;=_Engine!$B$36,382,"")</f>
        <v/>
      </c>
      <c r="B385" s="26">
        <f>IF($A385="","",EDATE(_Engine!$B$5,$A385-1))</f>
        <v/>
      </c>
      <c r="C385" s="27">
        <f>IF($A385="","",_Engine!$AJ443)</f>
        <v/>
      </c>
      <c r="D385" s="27">
        <f>IF($A385="","",_Engine!$AK443)</f>
        <v/>
      </c>
      <c r="E385" s="27">
        <f>IF($A385="","",_Engine!$AJ443-_Engine!$AK443)</f>
        <v/>
      </c>
      <c r="F385" s="27">
        <f>IF($A385="","",_Engine!$AI443)</f>
        <v/>
      </c>
      <c r="G385" s="27">
        <f>IF(OR($A385="",_Engine!$D$41=0),"",INDEX(_Engine!$E443:$X443,1,(_Engine!$J$41-1)*4+3))</f>
        <v/>
      </c>
      <c r="H385" s="27">
        <f>IF(OR($A385="",_Engine!$D$42=0),"",INDEX(_Engine!$E443:$X443,1,(_Engine!$J$42-1)*4+3))</f>
        <v/>
      </c>
      <c r="I385" s="27">
        <f>IF(OR($A385="",_Engine!$D$43=0),"",INDEX(_Engine!$E443:$X443,1,(_Engine!$J$43-1)*4+3))</f>
        <v/>
      </c>
      <c r="J385" s="27">
        <f>IF(OR($A385="",_Engine!$D$44=0),"",INDEX(_Engine!$E443:$X443,1,(_Engine!$J$44-1)*4+3))</f>
        <v/>
      </c>
      <c r="K385" s="27">
        <f>IF(OR($A385="",_Engine!$D$45=0),"",INDEX(_Engine!$E443:$X443,1,(_Engine!$J$45-1)*4+3))</f>
        <v/>
      </c>
    </row>
    <row r="386">
      <c r="A386" s="25">
        <f>IF(383&lt;=_Engine!$B$36,383,"")</f>
        <v/>
      </c>
      <c r="B386" s="26">
        <f>IF($A386="","",EDATE(_Engine!$B$5,$A386-1))</f>
        <v/>
      </c>
      <c r="C386" s="27">
        <f>IF($A386="","",_Engine!$AJ444)</f>
        <v/>
      </c>
      <c r="D386" s="27">
        <f>IF($A386="","",_Engine!$AK444)</f>
        <v/>
      </c>
      <c r="E386" s="27">
        <f>IF($A386="","",_Engine!$AJ444-_Engine!$AK444)</f>
        <v/>
      </c>
      <c r="F386" s="27">
        <f>IF($A386="","",_Engine!$AI444)</f>
        <v/>
      </c>
      <c r="G386" s="27">
        <f>IF(OR($A386="",_Engine!$D$41=0),"",INDEX(_Engine!$E444:$X444,1,(_Engine!$J$41-1)*4+3))</f>
        <v/>
      </c>
      <c r="H386" s="27">
        <f>IF(OR($A386="",_Engine!$D$42=0),"",INDEX(_Engine!$E444:$X444,1,(_Engine!$J$42-1)*4+3))</f>
        <v/>
      </c>
      <c r="I386" s="27">
        <f>IF(OR($A386="",_Engine!$D$43=0),"",INDEX(_Engine!$E444:$X444,1,(_Engine!$J$43-1)*4+3))</f>
        <v/>
      </c>
      <c r="J386" s="27">
        <f>IF(OR($A386="",_Engine!$D$44=0),"",INDEX(_Engine!$E444:$X444,1,(_Engine!$J$44-1)*4+3))</f>
        <v/>
      </c>
      <c r="K386" s="27">
        <f>IF(OR($A386="",_Engine!$D$45=0),"",INDEX(_Engine!$E444:$X444,1,(_Engine!$J$45-1)*4+3))</f>
        <v/>
      </c>
    </row>
    <row r="387">
      <c r="A387" s="25">
        <f>IF(384&lt;=_Engine!$B$36,384,"")</f>
        <v/>
      </c>
      <c r="B387" s="26">
        <f>IF($A387="","",EDATE(_Engine!$B$5,$A387-1))</f>
        <v/>
      </c>
      <c r="C387" s="27">
        <f>IF($A387="","",_Engine!$AJ445)</f>
        <v/>
      </c>
      <c r="D387" s="27">
        <f>IF($A387="","",_Engine!$AK445)</f>
        <v/>
      </c>
      <c r="E387" s="27">
        <f>IF($A387="","",_Engine!$AJ445-_Engine!$AK445)</f>
        <v/>
      </c>
      <c r="F387" s="27">
        <f>IF($A387="","",_Engine!$AI445)</f>
        <v/>
      </c>
      <c r="G387" s="27">
        <f>IF(OR($A387="",_Engine!$D$41=0),"",INDEX(_Engine!$E445:$X445,1,(_Engine!$J$41-1)*4+3))</f>
        <v/>
      </c>
      <c r="H387" s="27">
        <f>IF(OR($A387="",_Engine!$D$42=0),"",INDEX(_Engine!$E445:$X445,1,(_Engine!$J$42-1)*4+3))</f>
        <v/>
      </c>
      <c r="I387" s="27">
        <f>IF(OR($A387="",_Engine!$D$43=0),"",INDEX(_Engine!$E445:$X445,1,(_Engine!$J$43-1)*4+3))</f>
        <v/>
      </c>
      <c r="J387" s="27">
        <f>IF(OR($A387="",_Engine!$D$44=0),"",INDEX(_Engine!$E445:$X445,1,(_Engine!$J$44-1)*4+3))</f>
        <v/>
      </c>
      <c r="K387" s="27">
        <f>IF(OR($A387="",_Engine!$D$45=0),"",INDEX(_Engine!$E445:$X445,1,(_Engine!$J$45-1)*4+3))</f>
        <v/>
      </c>
    </row>
    <row r="388">
      <c r="A388" s="25">
        <f>IF(385&lt;=_Engine!$B$36,385,"")</f>
        <v/>
      </c>
      <c r="B388" s="26">
        <f>IF($A388="","",EDATE(_Engine!$B$5,$A388-1))</f>
        <v/>
      </c>
      <c r="C388" s="27">
        <f>IF($A388="","",_Engine!$AJ446)</f>
        <v/>
      </c>
      <c r="D388" s="27">
        <f>IF($A388="","",_Engine!$AK446)</f>
        <v/>
      </c>
      <c r="E388" s="27">
        <f>IF($A388="","",_Engine!$AJ446-_Engine!$AK446)</f>
        <v/>
      </c>
      <c r="F388" s="27">
        <f>IF($A388="","",_Engine!$AI446)</f>
        <v/>
      </c>
      <c r="G388" s="27">
        <f>IF(OR($A388="",_Engine!$D$41=0),"",INDEX(_Engine!$E446:$X446,1,(_Engine!$J$41-1)*4+3))</f>
        <v/>
      </c>
      <c r="H388" s="27">
        <f>IF(OR($A388="",_Engine!$D$42=0),"",INDEX(_Engine!$E446:$X446,1,(_Engine!$J$42-1)*4+3))</f>
        <v/>
      </c>
      <c r="I388" s="27">
        <f>IF(OR($A388="",_Engine!$D$43=0),"",INDEX(_Engine!$E446:$X446,1,(_Engine!$J$43-1)*4+3))</f>
        <v/>
      </c>
      <c r="J388" s="27">
        <f>IF(OR($A388="",_Engine!$D$44=0),"",INDEX(_Engine!$E446:$X446,1,(_Engine!$J$44-1)*4+3))</f>
        <v/>
      </c>
      <c r="K388" s="27">
        <f>IF(OR($A388="",_Engine!$D$45=0),"",INDEX(_Engine!$E446:$X446,1,(_Engine!$J$45-1)*4+3))</f>
        <v/>
      </c>
    </row>
    <row r="389">
      <c r="A389" s="25">
        <f>IF(386&lt;=_Engine!$B$36,386,"")</f>
        <v/>
      </c>
      <c r="B389" s="26">
        <f>IF($A389="","",EDATE(_Engine!$B$5,$A389-1))</f>
        <v/>
      </c>
      <c r="C389" s="27">
        <f>IF($A389="","",_Engine!$AJ447)</f>
        <v/>
      </c>
      <c r="D389" s="27">
        <f>IF($A389="","",_Engine!$AK447)</f>
        <v/>
      </c>
      <c r="E389" s="27">
        <f>IF($A389="","",_Engine!$AJ447-_Engine!$AK447)</f>
        <v/>
      </c>
      <c r="F389" s="27">
        <f>IF($A389="","",_Engine!$AI447)</f>
        <v/>
      </c>
      <c r="G389" s="27">
        <f>IF(OR($A389="",_Engine!$D$41=0),"",INDEX(_Engine!$E447:$X447,1,(_Engine!$J$41-1)*4+3))</f>
        <v/>
      </c>
      <c r="H389" s="27">
        <f>IF(OR($A389="",_Engine!$D$42=0),"",INDEX(_Engine!$E447:$X447,1,(_Engine!$J$42-1)*4+3))</f>
        <v/>
      </c>
      <c r="I389" s="27">
        <f>IF(OR($A389="",_Engine!$D$43=0),"",INDEX(_Engine!$E447:$X447,1,(_Engine!$J$43-1)*4+3))</f>
        <v/>
      </c>
      <c r="J389" s="27">
        <f>IF(OR($A389="",_Engine!$D$44=0),"",INDEX(_Engine!$E447:$X447,1,(_Engine!$J$44-1)*4+3))</f>
        <v/>
      </c>
      <c r="K389" s="27">
        <f>IF(OR($A389="",_Engine!$D$45=0),"",INDEX(_Engine!$E447:$X447,1,(_Engine!$J$45-1)*4+3))</f>
        <v/>
      </c>
    </row>
    <row r="390">
      <c r="A390" s="25">
        <f>IF(387&lt;=_Engine!$B$36,387,"")</f>
        <v/>
      </c>
      <c r="B390" s="26">
        <f>IF($A390="","",EDATE(_Engine!$B$5,$A390-1))</f>
        <v/>
      </c>
      <c r="C390" s="27">
        <f>IF($A390="","",_Engine!$AJ448)</f>
        <v/>
      </c>
      <c r="D390" s="27">
        <f>IF($A390="","",_Engine!$AK448)</f>
        <v/>
      </c>
      <c r="E390" s="27">
        <f>IF($A390="","",_Engine!$AJ448-_Engine!$AK448)</f>
        <v/>
      </c>
      <c r="F390" s="27">
        <f>IF($A390="","",_Engine!$AI448)</f>
        <v/>
      </c>
      <c r="G390" s="27">
        <f>IF(OR($A390="",_Engine!$D$41=0),"",INDEX(_Engine!$E448:$X448,1,(_Engine!$J$41-1)*4+3))</f>
        <v/>
      </c>
      <c r="H390" s="27">
        <f>IF(OR($A390="",_Engine!$D$42=0),"",INDEX(_Engine!$E448:$X448,1,(_Engine!$J$42-1)*4+3))</f>
        <v/>
      </c>
      <c r="I390" s="27">
        <f>IF(OR($A390="",_Engine!$D$43=0),"",INDEX(_Engine!$E448:$X448,1,(_Engine!$J$43-1)*4+3))</f>
        <v/>
      </c>
      <c r="J390" s="27">
        <f>IF(OR($A390="",_Engine!$D$44=0),"",INDEX(_Engine!$E448:$X448,1,(_Engine!$J$44-1)*4+3))</f>
        <v/>
      </c>
      <c r="K390" s="27">
        <f>IF(OR($A390="",_Engine!$D$45=0),"",INDEX(_Engine!$E448:$X448,1,(_Engine!$J$45-1)*4+3))</f>
        <v/>
      </c>
    </row>
    <row r="391">
      <c r="A391" s="25">
        <f>IF(388&lt;=_Engine!$B$36,388,"")</f>
        <v/>
      </c>
      <c r="B391" s="26">
        <f>IF($A391="","",EDATE(_Engine!$B$5,$A391-1))</f>
        <v/>
      </c>
      <c r="C391" s="27">
        <f>IF($A391="","",_Engine!$AJ449)</f>
        <v/>
      </c>
      <c r="D391" s="27">
        <f>IF($A391="","",_Engine!$AK449)</f>
        <v/>
      </c>
      <c r="E391" s="27">
        <f>IF($A391="","",_Engine!$AJ449-_Engine!$AK449)</f>
        <v/>
      </c>
      <c r="F391" s="27">
        <f>IF($A391="","",_Engine!$AI449)</f>
        <v/>
      </c>
      <c r="G391" s="27">
        <f>IF(OR($A391="",_Engine!$D$41=0),"",INDEX(_Engine!$E449:$X449,1,(_Engine!$J$41-1)*4+3))</f>
        <v/>
      </c>
      <c r="H391" s="27">
        <f>IF(OR($A391="",_Engine!$D$42=0),"",INDEX(_Engine!$E449:$X449,1,(_Engine!$J$42-1)*4+3))</f>
        <v/>
      </c>
      <c r="I391" s="27">
        <f>IF(OR($A391="",_Engine!$D$43=0),"",INDEX(_Engine!$E449:$X449,1,(_Engine!$J$43-1)*4+3))</f>
        <v/>
      </c>
      <c r="J391" s="27">
        <f>IF(OR($A391="",_Engine!$D$44=0),"",INDEX(_Engine!$E449:$X449,1,(_Engine!$J$44-1)*4+3))</f>
        <v/>
      </c>
      <c r="K391" s="27">
        <f>IF(OR($A391="",_Engine!$D$45=0),"",INDEX(_Engine!$E449:$X449,1,(_Engine!$J$45-1)*4+3))</f>
        <v/>
      </c>
    </row>
    <row r="392">
      <c r="A392" s="25">
        <f>IF(389&lt;=_Engine!$B$36,389,"")</f>
        <v/>
      </c>
      <c r="B392" s="26">
        <f>IF($A392="","",EDATE(_Engine!$B$5,$A392-1))</f>
        <v/>
      </c>
      <c r="C392" s="27">
        <f>IF($A392="","",_Engine!$AJ450)</f>
        <v/>
      </c>
      <c r="D392" s="27">
        <f>IF($A392="","",_Engine!$AK450)</f>
        <v/>
      </c>
      <c r="E392" s="27">
        <f>IF($A392="","",_Engine!$AJ450-_Engine!$AK450)</f>
        <v/>
      </c>
      <c r="F392" s="27">
        <f>IF($A392="","",_Engine!$AI450)</f>
        <v/>
      </c>
      <c r="G392" s="27">
        <f>IF(OR($A392="",_Engine!$D$41=0),"",INDEX(_Engine!$E450:$X450,1,(_Engine!$J$41-1)*4+3))</f>
        <v/>
      </c>
      <c r="H392" s="27">
        <f>IF(OR($A392="",_Engine!$D$42=0),"",INDEX(_Engine!$E450:$X450,1,(_Engine!$J$42-1)*4+3))</f>
        <v/>
      </c>
      <c r="I392" s="27">
        <f>IF(OR($A392="",_Engine!$D$43=0),"",INDEX(_Engine!$E450:$X450,1,(_Engine!$J$43-1)*4+3))</f>
        <v/>
      </c>
      <c r="J392" s="27">
        <f>IF(OR($A392="",_Engine!$D$44=0),"",INDEX(_Engine!$E450:$X450,1,(_Engine!$J$44-1)*4+3))</f>
        <v/>
      </c>
      <c r="K392" s="27">
        <f>IF(OR($A392="",_Engine!$D$45=0),"",INDEX(_Engine!$E450:$X450,1,(_Engine!$J$45-1)*4+3))</f>
        <v/>
      </c>
    </row>
    <row r="393">
      <c r="A393" s="25">
        <f>IF(390&lt;=_Engine!$B$36,390,"")</f>
        <v/>
      </c>
      <c r="B393" s="26">
        <f>IF($A393="","",EDATE(_Engine!$B$5,$A393-1))</f>
        <v/>
      </c>
      <c r="C393" s="27">
        <f>IF($A393="","",_Engine!$AJ451)</f>
        <v/>
      </c>
      <c r="D393" s="27">
        <f>IF($A393="","",_Engine!$AK451)</f>
        <v/>
      </c>
      <c r="E393" s="27">
        <f>IF($A393="","",_Engine!$AJ451-_Engine!$AK451)</f>
        <v/>
      </c>
      <c r="F393" s="27">
        <f>IF($A393="","",_Engine!$AI451)</f>
        <v/>
      </c>
      <c r="G393" s="27">
        <f>IF(OR($A393="",_Engine!$D$41=0),"",INDEX(_Engine!$E451:$X451,1,(_Engine!$J$41-1)*4+3))</f>
        <v/>
      </c>
      <c r="H393" s="27">
        <f>IF(OR($A393="",_Engine!$D$42=0),"",INDEX(_Engine!$E451:$X451,1,(_Engine!$J$42-1)*4+3))</f>
        <v/>
      </c>
      <c r="I393" s="27">
        <f>IF(OR($A393="",_Engine!$D$43=0),"",INDEX(_Engine!$E451:$X451,1,(_Engine!$J$43-1)*4+3))</f>
        <v/>
      </c>
      <c r="J393" s="27">
        <f>IF(OR($A393="",_Engine!$D$44=0),"",INDEX(_Engine!$E451:$X451,1,(_Engine!$J$44-1)*4+3))</f>
        <v/>
      </c>
      <c r="K393" s="27">
        <f>IF(OR($A393="",_Engine!$D$45=0),"",INDEX(_Engine!$E451:$X451,1,(_Engine!$J$45-1)*4+3))</f>
        <v/>
      </c>
    </row>
    <row r="394">
      <c r="A394" s="25">
        <f>IF(391&lt;=_Engine!$B$36,391,"")</f>
        <v/>
      </c>
      <c r="B394" s="26">
        <f>IF($A394="","",EDATE(_Engine!$B$5,$A394-1))</f>
        <v/>
      </c>
      <c r="C394" s="27">
        <f>IF($A394="","",_Engine!$AJ452)</f>
        <v/>
      </c>
      <c r="D394" s="27">
        <f>IF($A394="","",_Engine!$AK452)</f>
        <v/>
      </c>
      <c r="E394" s="27">
        <f>IF($A394="","",_Engine!$AJ452-_Engine!$AK452)</f>
        <v/>
      </c>
      <c r="F394" s="27">
        <f>IF($A394="","",_Engine!$AI452)</f>
        <v/>
      </c>
      <c r="G394" s="27">
        <f>IF(OR($A394="",_Engine!$D$41=0),"",INDEX(_Engine!$E452:$X452,1,(_Engine!$J$41-1)*4+3))</f>
        <v/>
      </c>
      <c r="H394" s="27">
        <f>IF(OR($A394="",_Engine!$D$42=0),"",INDEX(_Engine!$E452:$X452,1,(_Engine!$J$42-1)*4+3))</f>
        <v/>
      </c>
      <c r="I394" s="27">
        <f>IF(OR($A394="",_Engine!$D$43=0),"",INDEX(_Engine!$E452:$X452,1,(_Engine!$J$43-1)*4+3))</f>
        <v/>
      </c>
      <c r="J394" s="27">
        <f>IF(OR($A394="",_Engine!$D$44=0),"",INDEX(_Engine!$E452:$X452,1,(_Engine!$J$44-1)*4+3))</f>
        <v/>
      </c>
      <c r="K394" s="27">
        <f>IF(OR($A394="",_Engine!$D$45=0),"",INDEX(_Engine!$E452:$X452,1,(_Engine!$J$45-1)*4+3))</f>
        <v/>
      </c>
    </row>
    <row r="395">
      <c r="A395" s="25">
        <f>IF(392&lt;=_Engine!$B$36,392,"")</f>
        <v/>
      </c>
      <c r="B395" s="26">
        <f>IF($A395="","",EDATE(_Engine!$B$5,$A395-1))</f>
        <v/>
      </c>
      <c r="C395" s="27">
        <f>IF($A395="","",_Engine!$AJ453)</f>
        <v/>
      </c>
      <c r="D395" s="27">
        <f>IF($A395="","",_Engine!$AK453)</f>
        <v/>
      </c>
      <c r="E395" s="27">
        <f>IF($A395="","",_Engine!$AJ453-_Engine!$AK453)</f>
        <v/>
      </c>
      <c r="F395" s="27">
        <f>IF($A395="","",_Engine!$AI453)</f>
        <v/>
      </c>
      <c r="G395" s="27">
        <f>IF(OR($A395="",_Engine!$D$41=0),"",INDEX(_Engine!$E453:$X453,1,(_Engine!$J$41-1)*4+3))</f>
        <v/>
      </c>
      <c r="H395" s="27">
        <f>IF(OR($A395="",_Engine!$D$42=0),"",INDEX(_Engine!$E453:$X453,1,(_Engine!$J$42-1)*4+3))</f>
        <v/>
      </c>
      <c r="I395" s="27">
        <f>IF(OR($A395="",_Engine!$D$43=0),"",INDEX(_Engine!$E453:$X453,1,(_Engine!$J$43-1)*4+3))</f>
        <v/>
      </c>
      <c r="J395" s="27">
        <f>IF(OR($A395="",_Engine!$D$44=0),"",INDEX(_Engine!$E453:$X453,1,(_Engine!$J$44-1)*4+3))</f>
        <v/>
      </c>
      <c r="K395" s="27">
        <f>IF(OR($A395="",_Engine!$D$45=0),"",INDEX(_Engine!$E453:$X453,1,(_Engine!$J$45-1)*4+3))</f>
        <v/>
      </c>
    </row>
    <row r="396">
      <c r="A396" s="25">
        <f>IF(393&lt;=_Engine!$B$36,393,"")</f>
        <v/>
      </c>
      <c r="B396" s="26">
        <f>IF($A396="","",EDATE(_Engine!$B$5,$A396-1))</f>
        <v/>
      </c>
      <c r="C396" s="27">
        <f>IF($A396="","",_Engine!$AJ454)</f>
        <v/>
      </c>
      <c r="D396" s="27">
        <f>IF($A396="","",_Engine!$AK454)</f>
        <v/>
      </c>
      <c r="E396" s="27">
        <f>IF($A396="","",_Engine!$AJ454-_Engine!$AK454)</f>
        <v/>
      </c>
      <c r="F396" s="27">
        <f>IF($A396="","",_Engine!$AI454)</f>
        <v/>
      </c>
      <c r="G396" s="27">
        <f>IF(OR($A396="",_Engine!$D$41=0),"",INDEX(_Engine!$E454:$X454,1,(_Engine!$J$41-1)*4+3))</f>
        <v/>
      </c>
      <c r="H396" s="27">
        <f>IF(OR($A396="",_Engine!$D$42=0),"",INDEX(_Engine!$E454:$X454,1,(_Engine!$J$42-1)*4+3))</f>
        <v/>
      </c>
      <c r="I396" s="27">
        <f>IF(OR($A396="",_Engine!$D$43=0),"",INDEX(_Engine!$E454:$X454,1,(_Engine!$J$43-1)*4+3))</f>
        <v/>
      </c>
      <c r="J396" s="27">
        <f>IF(OR($A396="",_Engine!$D$44=0),"",INDEX(_Engine!$E454:$X454,1,(_Engine!$J$44-1)*4+3))</f>
        <v/>
      </c>
      <c r="K396" s="27">
        <f>IF(OR($A396="",_Engine!$D$45=0),"",INDEX(_Engine!$E454:$X454,1,(_Engine!$J$45-1)*4+3))</f>
        <v/>
      </c>
    </row>
    <row r="397">
      <c r="A397" s="25">
        <f>IF(394&lt;=_Engine!$B$36,394,"")</f>
        <v/>
      </c>
      <c r="B397" s="26">
        <f>IF($A397="","",EDATE(_Engine!$B$5,$A397-1))</f>
        <v/>
      </c>
      <c r="C397" s="27">
        <f>IF($A397="","",_Engine!$AJ455)</f>
        <v/>
      </c>
      <c r="D397" s="27">
        <f>IF($A397="","",_Engine!$AK455)</f>
        <v/>
      </c>
      <c r="E397" s="27">
        <f>IF($A397="","",_Engine!$AJ455-_Engine!$AK455)</f>
        <v/>
      </c>
      <c r="F397" s="27">
        <f>IF($A397="","",_Engine!$AI455)</f>
        <v/>
      </c>
      <c r="G397" s="27">
        <f>IF(OR($A397="",_Engine!$D$41=0),"",INDEX(_Engine!$E455:$X455,1,(_Engine!$J$41-1)*4+3))</f>
        <v/>
      </c>
      <c r="H397" s="27">
        <f>IF(OR($A397="",_Engine!$D$42=0),"",INDEX(_Engine!$E455:$X455,1,(_Engine!$J$42-1)*4+3))</f>
        <v/>
      </c>
      <c r="I397" s="27">
        <f>IF(OR($A397="",_Engine!$D$43=0),"",INDEX(_Engine!$E455:$X455,1,(_Engine!$J$43-1)*4+3))</f>
        <v/>
      </c>
      <c r="J397" s="27">
        <f>IF(OR($A397="",_Engine!$D$44=0),"",INDEX(_Engine!$E455:$X455,1,(_Engine!$J$44-1)*4+3))</f>
        <v/>
      </c>
      <c r="K397" s="27">
        <f>IF(OR($A397="",_Engine!$D$45=0),"",INDEX(_Engine!$E455:$X455,1,(_Engine!$J$45-1)*4+3))</f>
        <v/>
      </c>
    </row>
    <row r="398">
      <c r="A398" s="25">
        <f>IF(395&lt;=_Engine!$B$36,395,"")</f>
        <v/>
      </c>
      <c r="B398" s="26">
        <f>IF($A398="","",EDATE(_Engine!$B$5,$A398-1))</f>
        <v/>
      </c>
      <c r="C398" s="27">
        <f>IF($A398="","",_Engine!$AJ456)</f>
        <v/>
      </c>
      <c r="D398" s="27">
        <f>IF($A398="","",_Engine!$AK456)</f>
        <v/>
      </c>
      <c r="E398" s="27">
        <f>IF($A398="","",_Engine!$AJ456-_Engine!$AK456)</f>
        <v/>
      </c>
      <c r="F398" s="27">
        <f>IF($A398="","",_Engine!$AI456)</f>
        <v/>
      </c>
      <c r="G398" s="27">
        <f>IF(OR($A398="",_Engine!$D$41=0),"",INDEX(_Engine!$E456:$X456,1,(_Engine!$J$41-1)*4+3))</f>
        <v/>
      </c>
      <c r="H398" s="27">
        <f>IF(OR($A398="",_Engine!$D$42=0),"",INDEX(_Engine!$E456:$X456,1,(_Engine!$J$42-1)*4+3))</f>
        <v/>
      </c>
      <c r="I398" s="27">
        <f>IF(OR($A398="",_Engine!$D$43=0),"",INDEX(_Engine!$E456:$X456,1,(_Engine!$J$43-1)*4+3))</f>
        <v/>
      </c>
      <c r="J398" s="27">
        <f>IF(OR($A398="",_Engine!$D$44=0),"",INDEX(_Engine!$E456:$X456,1,(_Engine!$J$44-1)*4+3))</f>
        <v/>
      </c>
      <c r="K398" s="27">
        <f>IF(OR($A398="",_Engine!$D$45=0),"",INDEX(_Engine!$E456:$X456,1,(_Engine!$J$45-1)*4+3))</f>
        <v/>
      </c>
    </row>
    <row r="399">
      <c r="A399" s="25">
        <f>IF(396&lt;=_Engine!$B$36,396,"")</f>
        <v/>
      </c>
      <c r="B399" s="26">
        <f>IF($A399="","",EDATE(_Engine!$B$5,$A399-1))</f>
        <v/>
      </c>
      <c r="C399" s="27">
        <f>IF($A399="","",_Engine!$AJ457)</f>
        <v/>
      </c>
      <c r="D399" s="27">
        <f>IF($A399="","",_Engine!$AK457)</f>
        <v/>
      </c>
      <c r="E399" s="27">
        <f>IF($A399="","",_Engine!$AJ457-_Engine!$AK457)</f>
        <v/>
      </c>
      <c r="F399" s="27">
        <f>IF($A399="","",_Engine!$AI457)</f>
        <v/>
      </c>
      <c r="G399" s="27">
        <f>IF(OR($A399="",_Engine!$D$41=0),"",INDEX(_Engine!$E457:$X457,1,(_Engine!$J$41-1)*4+3))</f>
        <v/>
      </c>
      <c r="H399" s="27">
        <f>IF(OR($A399="",_Engine!$D$42=0),"",INDEX(_Engine!$E457:$X457,1,(_Engine!$J$42-1)*4+3))</f>
        <v/>
      </c>
      <c r="I399" s="27">
        <f>IF(OR($A399="",_Engine!$D$43=0),"",INDEX(_Engine!$E457:$X457,1,(_Engine!$J$43-1)*4+3))</f>
        <v/>
      </c>
      <c r="J399" s="27">
        <f>IF(OR($A399="",_Engine!$D$44=0),"",INDEX(_Engine!$E457:$X457,1,(_Engine!$J$44-1)*4+3))</f>
        <v/>
      </c>
      <c r="K399" s="27">
        <f>IF(OR($A399="",_Engine!$D$45=0),"",INDEX(_Engine!$E457:$X457,1,(_Engine!$J$45-1)*4+3))</f>
        <v/>
      </c>
    </row>
    <row r="400">
      <c r="A400" s="25">
        <f>IF(397&lt;=_Engine!$B$36,397,"")</f>
        <v/>
      </c>
      <c r="B400" s="26">
        <f>IF($A400="","",EDATE(_Engine!$B$5,$A400-1))</f>
        <v/>
      </c>
      <c r="C400" s="27">
        <f>IF($A400="","",_Engine!$AJ458)</f>
        <v/>
      </c>
      <c r="D400" s="27">
        <f>IF($A400="","",_Engine!$AK458)</f>
        <v/>
      </c>
      <c r="E400" s="27">
        <f>IF($A400="","",_Engine!$AJ458-_Engine!$AK458)</f>
        <v/>
      </c>
      <c r="F400" s="27">
        <f>IF($A400="","",_Engine!$AI458)</f>
        <v/>
      </c>
      <c r="G400" s="27">
        <f>IF(OR($A400="",_Engine!$D$41=0),"",INDEX(_Engine!$E458:$X458,1,(_Engine!$J$41-1)*4+3))</f>
        <v/>
      </c>
      <c r="H400" s="27">
        <f>IF(OR($A400="",_Engine!$D$42=0),"",INDEX(_Engine!$E458:$X458,1,(_Engine!$J$42-1)*4+3))</f>
        <v/>
      </c>
      <c r="I400" s="27">
        <f>IF(OR($A400="",_Engine!$D$43=0),"",INDEX(_Engine!$E458:$X458,1,(_Engine!$J$43-1)*4+3))</f>
        <v/>
      </c>
      <c r="J400" s="27">
        <f>IF(OR($A400="",_Engine!$D$44=0),"",INDEX(_Engine!$E458:$X458,1,(_Engine!$J$44-1)*4+3))</f>
        <v/>
      </c>
      <c r="K400" s="27">
        <f>IF(OR($A400="",_Engine!$D$45=0),"",INDEX(_Engine!$E458:$X458,1,(_Engine!$J$45-1)*4+3))</f>
        <v/>
      </c>
    </row>
    <row r="401">
      <c r="A401" s="25">
        <f>IF(398&lt;=_Engine!$B$36,398,"")</f>
        <v/>
      </c>
      <c r="B401" s="26">
        <f>IF($A401="","",EDATE(_Engine!$B$5,$A401-1))</f>
        <v/>
      </c>
      <c r="C401" s="27">
        <f>IF($A401="","",_Engine!$AJ459)</f>
        <v/>
      </c>
      <c r="D401" s="27">
        <f>IF($A401="","",_Engine!$AK459)</f>
        <v/>
      </c>
      <c r="E401" s="27">
        <f>IF($A401="","",_Engine!$AJ459-_Engine!$AK459)</f>
        <v/>
      </c>
      <c r="F401" s="27">
        <f>IF($A401="","",_Engine!$AI459)</f>
        <v/>
      </c>
      <c r="G401" s="27">
        <f>IF(OR($A401="",_Engine!$D$41=0),"",INDEX(_Engine!$E459:$X459,1,(_Engine!$J$41-1)*4+3))</f>
        <v/>
      </c>
      <c r="H401" s="27">
        <f>IF(OR($A401="",_Engine!$D$42=0),"",INDEX(_Engine!$E459:$X459,1,(_Engine!$J$42-1)*4+3))</f>
        <v/>
      </c>
      <c r="I401" s="27">
        <f>IF(OR($A401="",_Engine!$D$43=0),"",INDEX(_Engine!$E459:$X459,1,(_Engine!$J$43-1)*4+3))</f>
        <v/>
      </c>
      <c r="J401" s="27">
        <f>IF(OR($A401="",_Engine!$D$44=0),"",INDEX(_Engine!$E459:$X459,1,(_Engine!$J$44-1)*4+3))</f>
        <v/>
      </c>
      <c r="K401" s="27">
        <f>IF(OR($A401="",_Engine!$D$45=0),"",INDEX(_Engine!$E459:$X459,1,(_Engine!$J$45-1)*4+3))</f>
        <v/>
      </c>
    </row>
    <row r="402">
      <c r="A402" s="25">
        <f>IF(399&lt;=_Engine!$B$36,399,"")</f>
        <v/>
      </c>
      <c r="B402" s="26">
        <f>IF($A402="","",EDATE(_Engine!$B$5,$A402-1))</f>
        <v/>
      </c>
      <c r="C402" s="27">
        <f>IF($A402="","",_Engine!$AJ460)</f>
        <v/>
      </c>
      <c r="D402" s="27">
        <f>IF($A402="","",_Engine!$AK460)</f>
        <v/>
      </c>
      <c r="E402" s="27">
        <f>IF($A402="","",_Engine!$AJ460-_Engine!$AK460)</f>
        <v/>
      </c>
      <c r="F402" s="27">
        <f>IF($A402="","",_Engine!$AI460)</f>
        <v/>
      </c>
      <c r="G402" s="27">
        <f>IF(OR($A402="",_Engine!$D$41=0),"",INDEX(_Engine!$E460:$X460,1,(_Engine!$J$41-1)*4+3))</f>
        <v/>
      </c>
      <c r="H402" s="27">
        <f>IF(OR($A402="",_Engine!$D$42=0),"",INDEX(_Engine!$E460:$X460,1,(_Engine!$J$42-1)*4+3))</f>
        <v/>
      </c>
      <c r="I402" s="27">
        <f>IF(OR($A402="",_Engine!$D$43=0),"",INDEX(_Engine!$E460:$X460,1,(_Engine!$J$43-1)*4+3))</f>
        <v/>
      </c>
      <c r="J402" s="27">
        <f>IF(OR($A402="",_Engine!$D$44=0),"",INDEX(_Engine!$E460:$X460,1,(_Engine!$J$44-1)*4+3))</f>
        <v/>
      </c>
      <c r="K402" s="27">
        <f>IF(OR($A402="",_Engine!$D$45=0),"",INDEX(_Engine!$E460:$X460,1,(_Engine!$J$45-1)*4+3))</f>
        <v/>
      </c>
    </row>
    <row r="403">
      <c r="A403" s="25">
        <f>IF(400&lt;=_Engine!$B$36,400,"")</f>
        <v/>
      </c>
      <c r="B403" s="26">
        <f>IF($A403="","",EDATE(_Engine!$B$5,$A403-1))</f>
        <v/>
      </c>
      <c r="C403" s="27">
        <f>IF($A403="","",_Engine!$AJ461)</f>
        <v/>
      </c>
      <c r="D403" s="27">
        <f>IF($A403="","",_Engine!$AK461)</f>
        <v/>
      </c>
      <c r="E403" s="27">
        <f>IF($A403="","",_Engine!$AJ461-_Engine!$AK461)</f>
        <v/>
      </c>
      <c r="F403" s="27">
        <f>IF($A403="","",_Engine!$AI461)</f>
        <v/>
      </c>
      <c r="G403" s="27">
        <f>IF(OR($A403="",_Engine!$D$41=0),"",INDEX(_Engine!$E461:$X461,1,(_Engine!$J$41-1)*4+3))</f>
        <v/>
      </c>
      <c r="H403" s="27">
        <f>IF(OR($A403="",_Engine!$D$42=0),"",INDEX(_Engine!$E461:$X461,1,(_Engine!$J$42-1)*4+3))</f>
        <v/>
      </c>
      <c r="I403" s="27">
        <f>IF(OR($A403="",_Engine!$D$43=0),"",INDEX(_Engine!$E461:$X461,1,(_Engine!$J$43-1)*4+3))</f>
        <v/>
      </c>
      <c r="J403" s="27">
        <f>IF(OR($A403="",_Engine!$D$44=0),"",INDEX(_Engine!$E461:$X461,1,(_Engine!$J$44-1)*4+3))</f>
        <v/>
      </c>
      <c r="K403" s="27">
        <f>IF(OR($A403="",_Engine!$D$45=0),"",INDEX(_Engine!$E461:$X461,1,(_Engine!$J$45-1)*4+3))</f>
        <v/>
      </c>
    </row>
    <row r="404">
      <c r="A404" s="25">
        <f>IF(401&lt;=_Engine!$B$36,401,"")</f>
        <v/>
      </c>
      <c r="B404" s="26">
        <f>IF($A404="","",EDATE(_Engine!$B$5,$A404-1))</f>
        <v/>
      </c>
      <c r="C404" s="27">
        <f>IF($A404="","",_Engine!$AJ462)</f>
        <v/>
      </c>
      <c r="D404" s="27">
        <f>IF($A404="","",_Engine!$AK462)</f>
        <v/>
      </c>
      <c r="E404" s="27">
        <f>IF($A404="","",_Engine!$AJ462-_Engine!$AK462)</f>
        <v/>
      </c>
      <c r="F404" s="27">
        <f>IF($A404="","",_Engine!$AI462)</f>
        <v/>
      </c>
      <c r="G404" s="27">
        <f>IF(OR($A404="",_Engine!$D$41=0),"",INDEX(_Engine!$E462:$X462,1,(_Engine!$J$41-1)*4+3))</f>
        <v/>
      </c>
      <c r="H404" s="27">
        <f>IF(OR($A404="",_Engine!$D$42=0),"",INDEX(_Engine!$E462:$X462,1,(_Engine!$J$42-1)*4+3))</f>
        <v/>
      </c>
      <c r="I404" s="27">
        <f>IF(OR($A404="",_Engine!$D$43=0),"",INDEX(_Engine!$E462:$X462,1,(_Engine!$J$43-1)*4+3))</f>
        <v/>
      </c>
      <c r="J404" s="27">
        <f>IF(OR($A404="",_Engine!$D$44=0),"",INDEX(_Engine!$E462:$X462,1,(_Engine!$J$44-1)*4+3))</f>
        <v/>
      </c>
      <c r="K404" s="27">
        <f>IF(OR($A404="",_Engine!$D$45=0),"",INDEX(_Engine!$E462:$X462,1,(_Engine!$J$45-1)*4+3))</f>
        <v/>
      </c>
    </row>
    <row r="405">
      <c r="A405" s="25">
        <f>IF(402&lt;=_Engine!$B$36,402,"")</f>
        <v/>
      </c>
      <c r="B405" s="26">
        <f>IF($A405="","",EDATE(_Engine!$B$5,$A405-1))</f>
        <v/>
      </c>
      <c r="C405" s="27">
        <f>IF($A405="","",_Engine!$AJ463)</f>
        <v/>
      </c>
      <c r="D405" s="27">
        <f>IF($A405="","",_Engine!$AK463)</f>
        <v/>
      </c>
      <c r="E405" s="27">
        <f>IF($A405="","",_Engine!$AJ463-_Engine!$AK463)</f>
        <v/>
      </c>
      <c r="F405" s="27">
        <f>IF($A405="","",_Engine!$AI463)</f>
        <v/>
      </c>
      <c r="G405" s="27">
        <f>IF(OR($A405="",_Engine!$D$41=0),"",INDEX(_Engine!$E463:$X463,1,(_Engine!$J$41-1)*4+3))</f>
        <v/>
      </c>
      <c r="H405" s="27">
        <f>IF(OR($A405="",_Engine!$D$42=0),"",INDEX(_Engine!$E463:$X463,1,(_Engine!$J$42-1)*4+3))</f>
        <v/>
      </c>
      <c r="I405" s="27">
        <f>IF(OR($A405="",_Engine!$D$43=0),"",INDEX(_Engine!$E463:$X463,1,(_Engine!$J$43-1)*4+3))</f>
        <v/>
      </c>
      <c r="J405" s="27">
        <f>IF(OR($A405="",_Engine!$D$44=0),"",INDEX(_Engine!$E463:$X463,1,(_Engine!$J$44-1)*4+3))</f>
        <v/>
      </c>
      <c r="K405" s="27">
        <f>IF(OR($A405="",_Engine!$D$45=0),"",INDEX(_Engine!$E463:$X463,1,(_Engine!$J$45-1)*4+3))</f>
        <v/>
      </c>
    </row>
    <row r="406">
      <c r="A406" s="25">
        <f>IF(403&lt;=_Engine!$B$36,403,"")</f>
        <v/>
      </c>
      <c r="B406" s="26">
        <f>IF($A406="","",EDATE(_Engine!$B$5,$A406-1))</f>
        <v/>
      </c>
      <c r="C406" s="27">
        <f>IF($A406="","",_Engine!$AJ464)</f>
        <v/>
      </c>
      <c r="D406" s="27">
        <f>IF($A406="","",_Engine!$AK464)</f>
        <v/>
      </c>
      <c r="E406" s="27">
        <f>IF($A406="","",_Engine!$AJ464-_Engine!$AK464)</f>
        <v/>
      </c>
      <c r="F406" s="27">
        <f>IF($A406="","",_Engine!$AI464)</f>
        <v/>
      </c>
      <c r="G406" s="27">
        <f>IF(OR($A406="",_Engine!$D$41=0),"",INDEX(_Engine!$E464:$X464,1,(_Engine!$J$41-1)*4+3))</f>
        <v/>
      </c>
      <c r="H406" s="27">
        <f>IF(OR($A406="",_Engine!$D$42=0),"",INDEX(_Engine!$E464:$X464,1,(_Engine!$J$42-1)*4+3))</f>
        <v/>
      </c>
      <c r="I406" s="27">
        <f>IF(OR($A406="",_Engine!$D$43=0),"",INDEX(_Engine!$E464:$X464,1,(_Engine!$J$43-1)*4+3))</f>
        <v/>
      </c>
      <c r="J406" s="27">
        <f>IF(OR($A406="",_Engine!$D$44=0),"",INDEX(_Engine!$E464:$X464,1,(_Engine!$J$44-1)*4+3))</f>
        <v/>
      </c>
      <c r="K406" s="27">
        <f>IF(OR($A406="",_Engine!$D$45=0),"",INDEX(_Engine!$E464:$X464,1,(_Engine!$J$45-1)*4+3))</f>
        <v/>
      </c>
    </row>
    <row r="407">
      <c r="A407" s="25">
        <f>IF(404&lt;=_Engine!$B$36,404,"")</f>
        <v/>
      </c>
      <c r="B407" s="26">
        <f>IF($A407="","",EDATE(_Engine!$B$5,$A407-1))</f>
        <v/>
      </c>
      <c r="C407" s="27">
        <f>IF($A407="","",_Engine!$AJ465)</f>
        <v/>
      </c>
      <c r="D407" s="27">
        <f>IF($A407="","",_Engine!$AK465)</f>
        <v/>
      </c>
      <c r="E407" s="27">
        <f>IF($A407="","",_Engine!$AJ465-_Engine!$AK465)</f>
        <v/>
      </c>
      <c r="F407" s="27">
        <f>IF($A407="","",_Engine!$AI465)</f>
        <v/>
      </c>
      <c r="G407" s="27">
        <f>IF(OR($A407="",_Engine!$D$41=0),"",INDEX(_Engine!$E465:$X465,1,(_Engine!$J$41-1)*4+3))</f>
        <v/>
      </c>
      <c r="H407" s="27">
        <f>IF(OR($A407="",_Engine!$D$42=0),"",INDEX(_Engine!$E465:$X465,1,(_Engine!$J$42-1)*4+3))</f>
        <v/>
      </c>
      <c r="I407" s="27">
        <f>IF(OR($A407="",_Engine!$D$43=0),"",INDEX(_Engine!$E465:$X465,1,(_Engine!$J$43-1)*4+3))</f>
        <v/>
      </c>
      <c r="J407" s="27">
        <f>IF(OR($A407="",_Engine!$D$44=0),"",INDEX(_Engine!$E465:$X465,1,(_Engine!$J$44-1)*4+3))</f>
        <v/>
      </c>
      <c r="K407" s="27">
        <f>IF(OR($A407="",_Engine!$D$45=0),"",INDEX(_Engine!$E465:$X465,1,(_Engine!$J$45-1)*4+3))</f>
        <v/>
      </c>
    </row>
    <row r="408">
      <c r="A408" s="25">
        <f>IF(405&lt;=_Engine!$B$36,405,"")</f>
        <v/>
      </c>
      <c r="B408" s="26">
        <f>IF($A408="","",EDATE(_Engine!$B$5,$A408-1))</f>
        <v/>
      </c>
      <c r="C408" s="27">
        <f>IF($A408="","",_Engine!$AJ466)</f>
        <v/>
      </c>
      <c r="D408" s="27">
        <f>IF($A408="","",_Engine!$AK466)</f>
        <v/>
      </c>
      <c r="E408" s="27">
        <f>IF($A408="","",_Engine!$AJ466-_Engine!$AK466)</f>
        <v/>
      </c>
      <c r="F408" s="27">
        <f>IF($A408="","",_Engine!$AI466)</f>
        <v/>
      </c>
      <c r="G408" s="27">
        <f>IF(OR($A408="",_Engine!$D$41=0),"",INDEX(_Engine!$E466:$X466,1,(_Engine!$J$41-1)*4+3))</f>
        <v/>
      </c>
      <c r="H408" s="27">
        <f>IF(OR($A408="",_Engine!$D$42=0),"",INDEX(_Engine!$E466:$X466,1,(_Engine!$J$42-1)*4+3))</f>
        <v/>
      </c>
      <c r="I408" s="27">
        <f>IF(OR($A408="",_Engine!$D$43=0),"",INDEX(_Engine!$E466:$X466,1,(_Engine!$J$43-1)*4+3))</f>
        <v/>
      </c>
      <c r="J408" s="27">
        <f>IF(OR($A408="",_Engine!$D$44=0),"",INDEX(_Engine!$E466:$X466,1,(_Engine!$J$44-1)*4+3))</f>
        <v/>
      </c>
      <c r="K408" s="27">
        <f>IF(OR($A408="",_Engine!$D$45=0),"",INDEX(_Engine!$E466:$X466,1,(_Engine!$J$45-1)*4+3))</f>
        <v/>
      </c>
    </row>
    <row r="409">
      <c r="A409" s="25">
        <f>IF(406&lt;=_Engine!$B$36,406,"")</f>
        <v/>
      </c>
      <c r="B409" s="26">
        <f>IF($A409="","",EDATE(_Engine!$B$5,$A409-1))</f>
        <v/>
      </c>
      <c r="C409" s="27">
        <f>IF($A409="","",_Engine!$AJ467)</f>
        <v/>
      </c>
      <c r="D409" s="27">
        <f>IF($A409="","",_Engine!$AK467)</f>
        <v/>
      </c>
      <c r="E409" s="27">
        <f>IF($A409="","",_Engine!$AJ467-_Engine!$AK467)</f>
        <v/>
      </c>
      <c r="F409" s="27">
        <f>IF($A409="","",_Engine!$AI467)</f>
        <v/>
      </c>
      <c r="G409" s="27">
        <f>IF(OR($A409="",_Engine!$D$41=0),"",INDEX(_Engine!$E467:$X467,1,(_Engine!$J$41-1)*4+3))</f>
        <v/>
      </c>
      <c r="H409" s="27">
        <f>IF(OR($A409="",_Engine!$D$42=0),"",INDEX(_Engine!$E467:$X467,1,(_Engine!$J$42-1)*4+3))</f>
        <v/>
      </c>
      <c r="I409" s="27">
        <f>IF(OR($A409="",_Engine!$D$43=0),"",INDEX(_Engine!$E467:$X467,1,(_Engine!$J$43-1)*4+3))</f>
        <v/>
      </c>
      <c r="J409" s="27">
        <f>IF(OR($A409="",_Engine!$D$44=0),"",INDEX(_Engine!$E467:$X467,1,(_Engine!$J$44-1)*4+3))</f>
        <v/>
      </c>
      <c r="K409" s="27">
        <f>IF(OR($A409="",_Engine!$D$45=0),"",INDEX(_Engine!$E467:$X467,1,(_Engine!$J$45-1)*4+3))</f>
        <v/>
      </c>
    </row>
    <row r="410">
      <c r="A410" s="25">
        <f>IF(407&lt;=_Engine!$B$36,407,"")</f>
        <v/>
      </c>
      <c r="B410" s="26">
        <f>IF($A410="","",EDATE(_Engine!$B$5,$A410-1))</f>
        <v/>
      </c>
      <c r="C410" s="27">
        <f>IF($A410="","",_Engine!$AJ468)</f>
        <v/>
      </c>
      <c r="D410" s="27">
        <f>IF($A410="","",_Engine!$AK468)</f>
        <v/>
      </c>
      <c r="E410" s="27">
        <f>IF($A410="","",_Engine!$AJ468-_Engine!$AK468)</f>
        <v/>
      </c>
      <c r="F410" s="27">
        <f>IF($A410="","",_Engine!$AI468)</f>
        <v/>
      </c>
      <c r="G410" s="27">
        <f>IF(OR($A410="",_Engine!$D$41=0),"",INDEX(_Engine!$E468:$X468,1,(_Engine!$J$41-1)*4+3))</f>
        <v/>
      </c>
      <c r="H410" s="27">
        <f>IF(OR($A410="",_Engine!$D$42=0),"",INDEX(_Engine!$E468:$X468,1,(_Engine!$J$42-1)*4+3))</f>
        <v/>
      </c>
      <c r="I410" s="27">
        <f>IF(OR($A410="",_Engine!$D$43=0),"",INDEX(_Engine!$E468:$X468,1,(_Engine!$J$43-1)*4+3))</f>
        <v/>
      </c>
      <c r="J410" s="27">
        <f>IF(OR($A410="",_Engine!$D$44=0),"",INDEX(_Engine!$E468:$X468,1,(_Engine!$J$44-1)*4+3))</f>
        <v/>
      </c>
      <c r="K410" s="27">
        <f>IF(OR($A410="",_Engine!$D$45=0),"",INDEX(_Engine!$E468:$X468,1,(_Engine!$J$45-1)*4+3))</f>
        <v/>
      </c>
    </row>
    <row r="411">
      <c r="A411" s="25">
        <f>IF(408&lt;=_Engine!$B$36,408,"")</f>
        <v/>
      </c>
      <c r="B411" s="26">
        <f>IF($A411="","",EDATE(_Engine!$B$5,$A411-1))</f>
        <v/>
      </c>
      <c r="C411" s="27">
        <f>IF($A411="","",_Engine!$AJ469)</f>
        <v/>
      </c>
      <c r="D411" s="27">
        <f>IF($A411="","",_Engine!$AK469)</f>
        <v/>
      </c>
      <c r="E411" s="27">
        <f>IF($A411="","",_Engine!$AJ469-_Engine!$AK469)</f>
        <v/>
      </c>
      <c r="F411" s="27">
        <f>IF($A411="","",_Engine!$AI469)</f>
        <v/>
      </c>
      <c r="G411" s="27">
        <f>IF(OR($A411="",_Engine!$D$41=0),"",INDEX(_Engine!$E469:$X469,1,(_Engine!$J$41-1)*4+3))</f>
        <v/>
      </c>
      <c r="H411" s="27">
        <f>IF(OR($A411="",_Engine!$D$42=0),"",INDEX(_Engine!$E469:$X469,1,(_Engine!$J$42-1)*4+3))</f>
        <v/>
      </c>
      <c r="I411" s="27">
        <f>IF(OR($A411="",_Engine!$D$43=0),"",INDEX(_Engine!$E469:$X469,1,(_Engine!$J$43-1)*4+3))</f>
        <v/>
      </c>
      <c r="J411" s="27">
        <f>IF(OR($A411="",_Engine!$D$44=0),"",INDEX(_Engine!$E469:$X469,1,(_Engine!$J$44-1)*4+3))</f>
        <v/>
      </c>
      <c r="K411" s="27">
        <f>IF(OR($A411="",_Engine!$D$45=0),"",INDEX(_Engine!$E469:$X469,1,(_Engine!$J$45-1)*4+3))</f>
        <v/>
      </c>
    </row>
    <row r="412">
      <c r="A412" s="25">
        <f>IF(409&lt;=_Engine!$B$36,409,"")</f>
        <v/>
      </c>
      <c r="B412" s="26">
        <f>IF($A412="","",EDATE(_Engine!$B$5,$A412-1))</f>
        <v/>
      </c>
      <c r="C412" s="27">
        <f>IF($A412="","",_Engine!$AJ470)</f>
        <v/>
      </c>
      <c r="D412" s="27">
        <f>IF($A412="","",_Engine!$AK470)</f>
        <v/>
      </c>
      <c r="E412" s="27">
        <f>IF($A412="","",_Engine!$AJ470-_Engine!$AK470)</f>
        <v/>
      </c>
      <c r="F412" s="27">
        <f>IF($A412="","",_Engine!$AI470)</f>
        <v/>
      </c>
      <c r="G412" s="27">
        <f>IF(OR($A412="",_Engine!$D$41=0),"",INDEX(_Engine!$E470:$X470,1,(_Engine!$J$41-1)*4+3))</f>
        <v/>
      </c>
      <c r="H412" s="27">
        <f>IF(OR($A412="",_Engine!$D$42=0),"",INDEX(_Engine!$E470:$X470,1,(_Engine!$J$42-1)*4+3))</f>
        <v/>
      </c>
      <c r="I412" s="27">
        <f>IF(OR($A412="",_Engine!$D$43=0),"",INDEX(_Engine!$E470:$X470,1,(_Engine!$J$43-1)*4+3))</f>
        <v/>
      </c>
      <c r="J412" s="27">
        <f>IF(OR($A412="",_Engine!$D$44=0),"",INDEX(_Engine!$E470:$X470,1,(_Engine!$J$44-1)*4+3))</f>
        <v/>
      </c>
      <c r="K412" s="27">
        <f>IF(OR($A412="",_Engine!$D$45=0),"",INDEX(_Engine!$E470:$X470,1,(_Engine!$J$45-1)*4+3))</f>
        <v/>
      </c>
    </row>
    <row r="413">
      <c r="A413" s="25">
        <f>IF(410&lt;=_Engine!$B$36,410,"")</f>
        <v/>
      </c>
      <c r="B413" s="26">
        <f>IF($A413="","",EDATE(_Engine!$B$5,$A413-1))</f>
        <v/>
      </c>
      <c r="C413" s="27">
        <f>IF($A413="","",_Engine!$AJ471)</f>
        <v/>
      </c>
      <c r="D413" s="27">
        <f>IF($A413="","",_Engine!$AK471)</f>
        <v/>
      </c>
      <c r="E413" s="27">
        <f>IF($A413="","",_Engine!$AJ471-_Engine!$AK471)</f>
        <v/>
      </c>
      <c r="F413" s="27">
        <f>IF($A413="","",_Engine!$AI471)</f>
        <v/>
      </c>
      <c r="G413" s="27">
        <f>IF(OR($A413="",_Engine!$D$41=0),"",INDEX(_Engine!$E471:$X471,1,(_Engine!$J$41-1)*4+3))</f>
        <v/>
      </c>
      <c r="H413" s="27">
        <f>IF(OR($A413="",_Engine!$D$42=0),"",INDEX(_Engine!$E471:$X471,1,(_Engine!$J$42-1)*4+3))</f>
        <v/>
      </c>
      <c r="I413" s="27">
        <f>IF(OR($A413="",_Engine!$D$43=0),"",INDEX(_Engine!$E471:$X471,1,(_Engine!$J$43-1)*4+3))</f>
        <v/>
      </c>
      <c r="J413" s="27">
        <f>IF(OR($A413="",_Engine!$D$44=0),"",INDEX(_Engine!$E471:$X471,1,(_Engine!$J$44-1)*4+3))</f>
        <v/>
      </c>
      <c r="K413" s="27">
        <f>IF(OR($A413="",_Engine!$D$45=0),"",INDEX(_Engine!$E471:$X471,1,(_Engine!$J$45-1)*4+3))</f>
        <v/>
      </c>
    </row>
    <row r="414">
      <c r="A414" s="25">
        <f>IF(411&lt;=_Engine!$B$36,411,"")</f>
        <v/>
      </c>
      <c r="B414" s="26">
        <f>IF($A414="","",EDATE(_Engine!$B$5,$A414-1))</f>
        <v/>
      </c>
      <c r="C414" s="27">
        <f>IF($A414="","",_Engine!$AJ472)</f>
        <v/>
      </c>
      <c r="D414" s="27">
        <f>IF($A414="","",_Engine!$AK472)</f>
        <v/>
      </c>
      <c r="E414" s="27">
        <f>IF($A414="","",_Engine!$AJ472-_Engine!$AK472)</f>
        <v/>
      </c>
      <c r="F414" s="27">
        <f>IF($A414="","",_Engine!$AI472)</f>
        <v/>
      </c>
      <c r="G414" s="27">
        <f>IF(OR($A414="",_Engine!$D$41=0),"",INDEX(_Engine!$E472:$X472,1,(_Engine!$J$41-1)*4+3))</f>
        <v/>
      </c>
      <c r="H414" s="27">
        <f>IF(OR($A414="",_Engine!$D$42=0),"",INDEX(_Engine!$E472:$X472,1,(_Engine!$J$42-1)*4+3))</f>
        <v/>
      </c>
      <c r="I414" s="27">
        <f>IF(OR($A414="",_Engine!$D$43=0),"",INDEX(_Engine!$E472:$X472,1,(_Engine!$J$43-1)*4+3))</f>
        <v/>
      </c>
      <c r="J414" s="27">
        <f>IF(OR($A414="",_Engine!$D$44=0),"",INDEX(_Engine!$E472:$X472,1,(_Engine!$J$44-1)*4+3))</f>
        <v/>
      </c>
      <c r="K414" s="27">
        <f>IF(OR($A414="",_Engine!$D$45=0),"",INDEX(_Engine!$E472:$X472,1,(_Engine!$J$45-1)*4+3))</f>
        <v/>
      </c>
    </row>
    <row r="415">
      <c r="A415" s="25">
        <f>IF(412&lt;=_Engine!$B$36,412,"")</f>
        <v/>
      </c>
      <c r="B415" s="26">
        <f>IF($A415="","",EDATE(_Engine!$B$5,$A415-1))</f>
        <v/>
      </c>
      <c r="C415" s="27">
        <f>IF($A415="","",_Engine!$AJ473)</f>
        <v/>
      </c>
      <c r="D415" s="27">
        <f>IF($A415="","",_Engine!$AK473)</f>
        <v/>
      </c>
      <c r="E415" s="27">
        <f>IF($A415="","",_Engine!$AJ473-_Engine!$AK473)</f>
        <v/>
      </c>
      <c r="F415" s="27">
        <f>IF($A415="","",_Engine!$AI473)</f>
        <v/>
      </c>
      <c r="G415" s="27">
        <f>IF(OR($A415="",_Engine!$D$41=0),"",INDEX(_Engine!$E473:$X473,1,(_Engine!$J$41-1)*4+3))</f>
        <v/>
      </c>
      <c r="H415" s="27">
        <f>IF(OR($A415="",_Engine!$D$42=0),"",INDEX(_Engine!$E473:$X473,1,(_Engine!$J$42-1)*4+3))</f>
        <v/>
      </c>
      <c r="I415" s="27">
        <f>IF(OR($A415="",_Engine!$D$43=0),"",INDEX(_Engine!$E473:$X473,1,(_Engine!$J$43-1)*4+3))</f>
        <v/>
      </c>
      <c r="J415" s="27">
        <f>IF(OR($A415="",_Engine!$D$44=0),"",INDEX(_Engine!$E473:$X473,1,(_Engine!$J$44-1)*4+3))</f>
        <v/>
      </c>
      <c r="K415" s="27">
        <f>IF(OR($A415="",_Engine!$D$45=0),"",INDEX(_Engine!$E473:$X473,1,(_Engine!$J$45-1)*4+3))</f>
        <v/>
      </c>
    </row>
    <row r="416">
      <c r="A416" s="25">
        <f>IF(413&lt;=_Engine!$B$36,413,"")</f>
        <v/>
      </c>
      <c r="B416" s="26">
        <f>IF($A416="","",EDATE(_Engine!$B$5,$A416-1))</f>
        <v/>
      </c>
      <c r="C416" s="27">
        <f>IF($A416="","",_Engine!$AJ474)</f>
        <v/>
      </c>
      <c r="D416" s="27">
        <f>IF($A416="","",_Engine!$AK474)</f>
        <v/>
      </c>
      <c r="E416" s="27">
        <f>IF($A416="","",_Engine!$AJ474-_Engine!$AK474)</f>
        <v/>
      </c>
      <c r="F416" s="27">
        <f>IF($A416="","",_Engine!$AI474)</f>
        <v/>
      </c>
      <c r="G416" s="27">
        <f>IF(OR($A416="",_Engine!$D$41=0),"",INDEX(_Engine!$E474:$X474,1,(_Engine!$J$41-1)*4+3))</f>
        <v/>
      </c>
      <c r="H416" s="27">
        <f>IF(OR($A416="",_Engine!$D$42=0),"",INDEX(_Engine!$E474:$X474,1,(_Engine!$J$42-1)*4+3))</f>
        <v/>
      </c>
      <c r="I416" s="27">
        <f>IF(OR($A416="",_Engine!$D$43=0),"",INDEX(_Engine!$E474:$X474,1,(_Engine!$J$43-1)*4+3))</f>
        <v/>
      </c>
      <c r="J416" s="27">
        <f>IF(OR($A416="",_Engine!$D$44=0),"",INDEX(_Engine!$E474:$X474,1,(_Engine!$J$44-1)*4+3))</f>
        <v/>
      </c>
      <c r="K416" s="27">
        <f>IF(OR($A416="",_Engine!$D$45=0),"",INDEX(_Engine!$E474:$X474,1,(_Engine!$J$45-1)*4+3))</f>
        <v/>
      </c>
    </row>
    <row r="417">
      <c r="A417" s="25">
        <f>IF(414&lt;=_Engine!$B$36,414,"")</f>
        <v/>
      </c>
      <c r="B417" s="26">
        <f>IF($A417="","",EDATE(_Engine!$B$5,$A417-1))</f>
        <v/>
      </c>
      <c r="C417" s="27">
        <f>IF($A417="","",_Engine!$AJ475)</f>
        <v/>
      </c>
      <c r="D417" s="27">
        <f>IF($A417="","",_Engine!$AK475)</f>
        <v/>
      </c>
      <c r="E417" s="27">
        <f>IF($A417="","",_Engine!$AJ475-_Engine!$AK475)</f>
        <v/>
      </c>
      <c r="F417" s="27">
        <f>IF($A417="","",_Engine!$AI475)</f>
        <v/>
      </c>
      <c r="G417" s="27">
        <f>IF(OR($A417="",_Engine!$D$41=0),"",INDEX(_Engine!$E475:$X475,1,(_Engine!$J$41-1)*4+3))</f>
        <v/>
      </c>
      <c r="H417" s="27">
        <f>IF(OR($A417="",_Engine!$D$42=0),"",INDEX(_Engine!$E475:$X475,1,(_Engine!$J$42-1)*4+3))</f>
        <v/>
      </c>
      <c r="I417" s="27">
        <f>IF(OR($A417="",_Engine!$D$43=0),"",INDEX(_Engine!$E475:$X475,1,(_Engine!$J$43-1)*4+3))</f>
        <v/>
      </c>
      <c r="J417" s="27">
        <f>IF(OR($A417="",_Engine!$D$44=0),"",INDEX(_Engine!$E475:$X475,1,(_Engine!$J$44-1)*4+3))</f>
        <v/>
      </c>
      <c r="K417" s="27">
        <f>IF(OR($A417="",_Engine!$D$45=0),"",INDEX(_Engine!$E475:$X475,1,(_Engine!$J$45-1)*4+3))</f>
        <v/>
      </c>
    </row>
    <row r="418">
      <c r="A418" s="25">
        <f>IF(415&lt;=_Engine!$B$36,415,"")</f>
        <v/>
      </c>
      <c r="B418" s="26">
        <f>IF($A418="","",EDATE(_Engine!$B$5,$A418-1))</f>
        <v/>
      </c>
      <c r="C418" s="27">
        <f>IF($A418="","",_Engine!$AJ476)</f>
        <v/>
      </c>
      <c r="D418" s="27">
        <f>IF($A418="","",_Engine!$AK476)</f>
        <v/>
      </c>
      <c r="E418" s="27">
        <f>IF($A418="","",_Engine!$AJ476-_Engine!$AK476)</f>
        <v/>
      </c>
      <c r="F418" s="27">
        <f>IF($A418="","",_Engine!$AI476)</f>
        <v/>
      </c>
      <c r="G418" s="27">
        <f>IF(OR($A418="",_Engine!$D$41=0),"",INDEX(_Engine!$E476:$X476,1,(_Engine!$J$41-1)*4+3))</f>
        <v/>
      </c>
      <c r="H418" s="27">
        <f>IF(OR($A418="",_Engine!$D$42=0),"",INDEX(_Engine!$E476:$X476,1,(_Engine!$J$42-1)*4+3))</f>
        <v/>
      </c>
      <c r="I418" s="27">
        <f>IF(OR($A418="",_Engine!$D$43=0),"",INDEX(_Engine!$E476:$X476,1,(_Engine!$J$43-1)*4+3))</f>
        <v/>
      </c>
      <c r="J418" s="27">
        <f>IF(OR($A418="",_Engine!$D$44=0),"",INDEX(_Engine!$E476:$X476,1,(_Engine!$J$44-1)*4+3))</f>
        <v/>
      </c>
      <c r="K418" s="27">
        <f>IF(OR($A418="",_Engine!$D$45=0),"",INDEX(_Engine!$E476:$X476,1,(_Engine!$J$45-1)*4+3))</f>
        <v/>
      </c>
    </row>
    <row r="419">
      <c r="A419" s="25">
        <f>IF(416&lt;=_Engine!$B$36,416,"")</f>
        <v/>
      </c>
      <c r="B419" s="26">
        <f>IF($A419="","",EDATE(_Engine!$B$5,$A419-1))</f>
        <v/>
      </c>
      <c r="C419" s="27">
        <f>IF($A419="","",_Engine!$AJ477)</f>
        <v/>
      </c>
      <c r="D419" s="27">
        <f>IF($A419="","",_Engine!$AK477)</f>
        <v/>
      </c>
      <c r="E419" s="27">
        <f>IF($A419="","",_Engine!$AJ477-_Engine!$AK477)</f>
        <v/>
      </c>
      <c r="F419" s="27">
        <f>IF($A419="","",_Engine!$AI477)</f>
        <v/>
      </c>
      <c r="G419" s="27">
        <f>IF(OR($A419="",_Engine!$D$41=0),"",INDEX(_Engine!$E477:$X477,1,(_Engine!$J$41-1)*4+3))</f>
        <v/>
      </c>
      <c r="H419" s="27">
        <f>IF(OR($A419="",_Engine!$D$42=0),"",INDEX(_Engine!$E477:$X477,1,(_Engine!$J$42-1)*4+3))</f>
        <v/>
      </c>
      <c r="I419" s="27">
        <f>IF(OR($A419="",_Engine!$D$43=0),"",INDEX(_Engine!$E477:$X477,1,(_Engine!$J$43-1)*4+3))</f>
        <v/>
      </c>
      <c r="J419" s="27">
        <f>IF(OR($A419="",_Engine!$D$44=0),"",INDEX(_Engine!$E477:$X477,1,(_Engine!$J$44-1)*4+3))</f>
        <v/>
      </c>
      <c r="K419" s="27">
        <f>IF(OR($A419="",_Engine!$D$45=0),"",INDEX(_Engine!$E477:$X477,1,(_Engine!$J$45-1)*4+3))</f>
        <v/>
      </c>
    </row>
    <row r="420">
      <c r="A420" s="25">
        <f>IF(417&lt;=_Engine!$B$36,417,"")</f>
        <v/>
      </c>
      <c r="B420" s="26">
        <f>IF($A420="","",EDATE(_Engine!$B$5,$A420-1))</f>
        <v/>
      </c>
      <c r="C420" s="27">
        <f>IF($A420="","",_Engine!$AJ478)</f>
        <v/>
      </c>
      <c r="D420" s="27">
        <f>IF($A420="","",_Engine!$AK478)</f>
        <v/>
      </c>
      <c r="E420" s="27">
        <f>IF($A420="","",_Engine!$AJ478-_Engine!$AK478)</f>
        <v/>
      </c>
      <c r="F420" s="27">
        <f>IF($A420="","",_Engine!$AI478)</f>
        <v/>
      </c>
      <c r="G420" s="27">
        <f>IF(OR($A420="",_Engine!$D$41=0),"",INDEX(_Engine!$E478:$X478,1,(_Engine!$J$41-1)*4+3))</f>
        <v/>
      </c>
      <c r="H420" s="27">
        <f>IF(OR($A420="",_Engine!$D$42=0),"",INDEX(_Engine!$E478:$X478,1,(_Engine!$J$42-1)*4+3))</f>
        <v/>
      </c>
      <c r="I420" s="27">
        <f>IF(OR($A420="",_Engine!$D$43=0),"",INDEX(_Engine!$E478:$X478,1,(_Engine!$J$43-1)*4+3))</f>
        <v/>
      </c>
      <c r="J420" s="27">
        <f>IF(OR($A420="",_Engine!$D$44=0),"",INDEX(_Engine!$E478:$X478,1,(_Engine!$J$44-1)*4+3))</f>
        <v/>
      </c>
      <c r="K420" s="27">
        <f>IF(OR($A420="",_Engine!$D$45=0),"",INDEX(_Engine!$E478:$X478,1,(_Engine!$J$45-1)*4+3))</f>
        <v/>
      </c>
    </row>
    <row r="421">
      <c r="A421" s="25">
        <f>IF(418&lt;=_Engine!$B$36,418,"")</f>
        <v/>
      </c>
      <c r="B421" s="26">
        <f>IF($A421="","",EDATE(_Engine!$B$5,$A421-1))</f>
        <v/>
      </c>
      <c r="C421" s="27">
        <f>IF($A421="","",_Engine!$AJ479)</f>
        <v/>
      </c>
      <c r="D421" s="27">
        <f>IF($A421="","",_Engine!$AK479)</f>
        <v/>
      </c>
      <c r="E421" s="27">
        <f>IF($A421="","",_Engine!$AJ479-_Engine!$AK479)</f>
        <v/>
      </c>
      <c r="F421" s="27">
        <f>IF($A421="","",_Engine!$AI479)</f>
        <v/>
      </c>
      <c r="G421" s="27">
        <f>IF(OR($A421="",_Engine!$D$41=0),"",INDEX(_Engine!$E479:$X479,1,(_Engine!$J$41-1)*4+3))</f>
        <v/>
      </c>
      <c r="H421" s="27">
        <f>IF(OR($A421="",_Engine!$D$42=0),"",INDEX(_Engine!$E479:$X479,1,(_Engine!$J$42-1)*4+3))</f>
        <v/>
      </c>
      <c r="I421" s="27">
        <f>IF(OR($A421="",_Engine!$D$43=0),"",INDEX(_Engine!$E479:$X479,1,(_Engine!$J$43-1)*4+3))</f>
        <v/>
      </c>
      <c r="J421" s="27">
        <f>IF(OR($A421="",_Engine!$D$44=0),"",INDEX(_Engine!$E479:$X479,1,(_Engine!$J$44-1)*4+3))</f>
        <v/>
      </c>
      <c r="K421" s="27">
        <f>IF(OR($A421="",_Engine!$D$45=0),"",INDEX(_Engine!$E479:$X479,1,(_Engine!$J$45-1)*4+3))</f>
        <v/>
      </c>
    </row>
    <row r="422">
      <c r="A422" s="25">
        <f>IF(419&lt;=_Engine!$B$36,419,"")</f>
        <v/>
      </c>
      <c r="B422" s="26">
        <f>IF($A422="","",EDATE(_Engine!$B$5,$A422-1))</f>
        <v/>
      </c>
      <c r="C422" s="27">
        <f>IF($A422="","",_Engine!$AJ480)</f>
        <v/>
      </c>
      <c r="D422" s="27">
        <f>IF($A422="","",_Engine!$AK480)</f>
        <v/>
      </c>
      <c r="E422" s="27">
        <f>IF($A422="","",_Engine!$AJ480-_Engine!$AK480)</f>
        <v/>
      </c>
      <c r="F422" s="27">
        <f>IF($A422="","",_Engine!$AI480)</f>
        <v/>
      </c>
      <c r="G422" s="27">
        <f>IF(OR($A422="",_Engine!$D$41=0),"",INDEX(_Engine!$E480:$X480,1,(_Engine!$J$41-1)*4+3))</f>
        <v/>
      </c>
      <c r="H422" s="27">
        <f>IF(OR($A422="",_Engine!$D$42=0),"",INDEX(_Engine!$E480:$X480,1,(_Engine!$J$42-1)*4+3))</f>
        <v/>
      </c>
      <c r="I422" s="27">
        <f>IF(OR($A422="",_Engine!$D$43=0),"",INDEX(_Engine!$E480:$X480,1,(_Engine!$J$43-1)*4+3))</f>
        <v/>
      </c>
      <c r="J422" s="27">
        <f>IF(OR($A422="",_Engine!$D$44=0),"",INDEX(_Engine!$E480:$X480,1,(_Engine!$J$44-1)*4+3))</f>
        <v/>
      </c>
      <c r="K422" s="27">
        <f>IF(OR($A422="",_Engine!$D$45=0),"",INDEX(_Engine!$E480:$X480,1,(_Engine!$J$45-1)*4+3))</f>
        <v/>
      </c>
    </row>
    <row r="423">
      <c r="A423" s="25">
        <f>IF(420&lt;=_Engine!$B$36,420,"")</f>
        <v/>
      </c>
      <c r="B423" s="26">
        <f>IF($A423="","",EDATE(_Engine!$B$5,$A423-1))</f>
        <v/>
      </c>
      <c r="C423" s="27">
        <f>IF($A423="","",_Engine!$AJ481)</f>
        <v/>
      </c>
      <c r="D423" s="27">
        <f>IF($A423="","",_Engine!$AK481)</f>
        <v/>
      </c>
      <c r="E423" s="27">
        <f>IF($A423="","",_Engine!$AJ481-_Engine!$AK481)</f>
        <v/>
      </c>
      <c r="F423" s="27">
        <f>IF($A423="","",_Engine!$AI481)</f>
        <v/>
      </c>
      <c r="G423" s="27">
        <f>IF(OR($A423="",_Engine!$D$41=0),"",INDEX(_Engine!$E481:$X481,1,(_Engine!$J$41-1)*4+3))</f>
        <v/>
      </c>
      <c r="H423" s="27">
        <f>IF(OR($A423="",_Engine!$D$42=0),"",INDEX(_Engine!$E481:$X481,1,(_Engine!$J$42-1)*4+3))</f>
        <v/>
      </c>
      <c r="I423" s="27">
        <f>IF(OR($A423="",_Engine!$D$43=0),"",INDEX(_Engine!$E481:$X481,1,(_Engine!$J$43-1)*4+3))</f>
        <v/>
      </c>
      <c r="J423" s="27">
        <f>IF(OR($A423="",_Engine!$D$44=0),"",INDEX(_Engine!$E481:$X481,1,(_Engine!$J$44-1)*4+3))</f>
        <v/>
      </c>
      <c r="K423" s="27">
        <f>IF(OR($A423="",_Engine!$D$45=0),"",INDEX(_Engine!$E481:$X481,1,(_Engine!$J$45-1)*4+3))</f>
        <v/>
      </c>
    </row>
    <row r="424">
      <c r="A424" s="25">
        <f>IF(421&lt;=_Engine!$B$36,421,"")</f>
        <v/>
      </c>
      <c r="B424" s="26">
        <f>IF($A424="","",EDATE(_Engine!$B$5,$A424-1))</f>
        <v/>
      </c>
      <c r="C424" s="27">
        <f>IF($A424="","",_Engine!$AJ482)</f>
        <v/>
      </c>
      <c r="D424" s="27">
        <f>IF($A424="","",_Engine!$AK482)</f>
        <v/>
      </c>
      <c r="E424" s="27">
        <f>IF($A424="","",_Engine!$AJ482-_Engine!$AK482)</f>
        <v/>
      </c>
      <c r="F424" s="27">
        <f>IF($A424="","",_Engine!$AI482)</f>
        <v/>
      </c>
      <c r="G424" s="27">
        <f>IF(OR($A424="",_Engine!$D$41=0),"",INDEX(_Engine!$E482:$X482,1,(_Engine!$J$41-1)*4+3))</f>
        <v/>
      </c>
      <c r="H424" s="27">
        <f>IF(OR($A424="",_Engine!$D$42=0),"",INDEX(_Engine!$E482:$X482,1,(_Engine!$J$42-1)*4+3))</f>
        <v/>
      </c>
      <c r="I424" s="27">
        <f>IF(OR($A424="",_Engine!$D$43=0),"",INDEX(_Engine!$E482:$X482,1,(_Engine!$J$43-1)*4+3))</f>
        <v/>
      </c>
      <c r="J424" s="27">
        <f>IF(OR($A424="",_Engine!$D$44=0),"",INDEX(_Engine!$E482:$X482,1,(_Engine!$J$44-1)*4+3))</f>
        <v/>
      </c>
      <c r="K424" s="27">
        <f>IF(OR($A424="",_Engine!$D$45=0),"",INDEX(_Engine!$E482:$X482,1,(_Engine!$J$45-1)*4+3))</f>
        <v/>
      </c>
    </row>
    <row r="425">
      <c r="A425" s="25">
        <f>IF(422&lt;=_Engine!$B$36,422,"")</f>
        <v/>
      </c>
      <c r="B425" s="26">
        <f>IF($A425="","",EDATE(_Engine!$B$5,$A425-1))</f>
        <v/>
      </c>
      <c r="C425" s="27">
        <f>IF($A425="","",_Engine!$AJ483)</f>
        <v/>
      </c>
      <c r="D425" s="27">
        <f>IF($A425="","",_Engine!$AK483)</f>
        <v/>
      </c>
      <c r="E425" s="27">
        <f>IF($A425="","",_Engine!$AJ483-_Engine!$AK483)</f>
        <v/>
      </c>
      <c r="F425" s="27">
        <f>IF($A425="","",_Engine!$AI483)</f>
        <v/>
      </c>
      <c r="G425" s="27">
        <f>IF(OR($A425="",_Engine!$D$41=0),"",INDEX(_Engine!$E483:$X483,1,(_Engine!$J$41-1)*4+3))</f>
        <v/>
      </c>
      <c r="H425" s="27">
        <f>IF(OR($A425="",_Engine!$D$42=0),"",INDEX(_Engine!$E483:$X483,1,(_Engine!$J$42-1)*4+3))</f>
        <v/>
      </c>
      <c r="I425" s="27">
        <f>IF(OR($A425="",_Engine!$D$43=0),"",INDEX(_Engine!$E483:$X483,1,(_Engine!$J$43-1)*4+3))</f>
        <v/>
      </c>
      <c r="J425" s="27">
        <f>IF(OR($A425="",_Engine!$D$44=0),"",INDEX(_Engine!$E483:$X483,1,(_Engine!$J$44-1)*4+3))</f>
        <v/>
      </c>
      <c r="K425" s="27">
        <f>IF(OR($A425="",_Engine!$D$45=0),"",INDEX(_Engine!$E483:$X483,1,(_Engine!$J$45-1)*4+3))</f>
        <v/>
      </c>
    </row>
    <row r="426">
      <c r="A426" s="25">
        <f>IF(423&lt;=_Engine!$B$36,423,"")</f>
        <v/>
      </c>
      <c r="B426" s="26">
        <f>IF($A426="","",EDATE(_Engine!$B$5,$A426-1))</f>
        <v/>
      </c>
      <c r="C426" s="27">
        <f>IF($A426="","",_Engine!$AJ484)</f>
        <v/>
      </c>
      <c r="D426" s="27">
        <f>IF($A426="","",_Engine!$AK484)</f>
        <v/>
      </c>
      <c r="E426" s="27">
        <f>IF($A426="","",_Engine!$AJ484-_Engine!$AK484)</f>
        <v/>
      </c>
      <c r="F426" s="27">
        <f>IF($A426="","",_Engine!$AI484)</f>
        <v/>
      </c>
      <c r="G426" s="27">
        <f>IF(OR($A426="",_Engine!$D$41=0),"",INDEX(_Engine!$E484:$X484,1,(_Engine!$J$41-1)*4+3))</f>
        <v/>
      </c>
      <c r="H426" s="27">
        <f>IF(OR($A426="",_Engine!$D$42=0),"",INDEX(_Engine!$E484:$X484,1,(_Engine!$J$42-1)*4+3))</f>
        <v/>
      </c>
      <c r="I426" s="27">
        <f>IF(OR($A426="",_Engine!$D$43=0),"",INDEX(_Engine!$E484:$X484,1,(_Engine!$J$43-1)*4+3))</f>
        <v/>
      </c>
      <c r="J426" s="27">
        <f>IF(OR($A426="",_Engine!$D$44=0),"",INDEX(_Engine!$E484:$X484,1,(_Engine!$J$44-1)*4+3))</f>
        <v/>
      </c>
      <c r="K426" s="27">
        <f>IF(OR($A426="",_Engine!$D$45=0),"",INDEX(_Engine!$E484:$X484,1,(_Engine!$J$45-1)*4+3))</f>
        <v/>
      </c>
    </row>
    <row r="427">
      <c r="A427" s="25">
        <f>IF(424&lt;=_Engine!$B$36,424,"")</f>
        <v/>
      </c>
      <c r="B427" s="26">
        <f>IF($A427="","",EDATE(_Engine!$B$5,$A427-1))</f>
        <v/>
      </c>
      <c r="C427" s="27">
        <f>IF($A427="","",_Engine!$AJ485)</f>
        <v/>
      </c>
      <c r="D427" s="27">
        <f>IF($A427="","",_Engine!$AK485)</f>
        <v/>
      </c>
      <c r="E427" s="27">
        <f>IF($A427="","",_Engine!$AJ485-_Engine!$AK485)</f>
        <v/>
      </c>
      <c r="F427" s="27">
        <f>IF($A427="","",_Engine!$AI485)</f>
        <v/>
      </c>
      <c r="G427" s="27">
        <f>IF(OR($A427="",_Engine!$D$41=0),"",INDEX(_Engine!$E485:$X485,1,(_Engine!$J$41-1)*4+3))</f>
        <v/>
      </c>
      <c r="H427" s="27">
        <f>IF(OR($A427="",_Engine!$D$42=0),"",INDEX(_Engine!$E485:$X485,1,(_Engine!$J$42-1)*4+3))</f>
        <v/>
      </c>
      <c r="I427" s="27">
        <f>IF(OR($A427="",_Engine!$D$43=0),"",INDEX(_Engine!$E485:$X485,1,(_Engine!$J$43-1)*4+3))</f>
        <v/>
      </c>
      <c r="J427" s="27">
        <f>IF(OR($A427="",_Engine!$D$44=0),"",INDEX(_Engine!$E485:$X485,1,(_Engine!$J$44-1)*4+3))</f>
        <v/>
      </c>
      <c r="K427" s="27">
        <f>IF(OR($A427="",_Engine!$D$45=0),"",INDEX(_Engine!$E485:$X485,1,(_Engine!$J$45-1)*4+3))</f>
        <v/>
      </c>
    </row>
    <row r="428">
      <c r="A428" s="25">
        <f>IF(425&lt;=_Engine!$B$36,425,"")</f>
        <v/>
      </c>
      <c r="B428" s="26">
        <f>IF($A428="","",EDATE(_Engine!$B$5,$A428-1))</f>
        <v/>
      </c>
      <c r="C428" s="27">
        <f>IF($A428="","",_Engine!$AJ486)</f>
        <v/>
      </c>
      <c r="D428" s="27">
        <f>IF($A428="","",_Engine!$AK486)</f>
        <v/>
      </c>
      <c r="E428" s="27">
        <f>IF($A428="","",_Engine!$AJ486-_Engine!$AK486)</f>
        <v/>
      </c>
      <c r="F428" s="27">
        <f>IF($A428="","",_Engine!$AI486)</f>
        <v/>
      </c>
      <c r="G428" s="27">
        <f>IF(OR($A428="",_Engine!$D$41=0),"",INDEX(_Engine!$E486:$X486,1,(_Engine!$J$41-1)*4+3))</f>
        <v/>
      </c>
      <c r="H428" s="27">
        <f>IF(OR($A428="",_Engine!$D$42=0),"",INDEX(_Engine!$E486:$X486,1,(_Engine!$J$42-1)*4+3))</f>
        <v/>
      </c>
      <c r="I428" s="27">
        <f>IF(OR($A428="",_Engine!$D$43=0),"",INDEX(_Engine!$E486:$X486,1,(_Engine!$J$43-1)*4+3))</f>
        <v/>
      </c>
      <c r="J428" s="27">
        <f>IF(OR($A428="",_Engine!$D$44=0),"",INDEX(_Engine!$E486:$X486,1,(_Engine!$J$44-1)*4+3))</f>
        <v/>
      </c>
      <c r="K428" s="27">
        <f>IF(OR($A428="",_Engine!$D$45=0),"",INDEX(_Engine!$E486:$X486,1,(_Engine!$J$45-1)*4+3))</f>
        <v/>
      </c>
    </row>
    <row r="429">
      <c r="A429" s="25">
        <f>IF(426&lt;=_Engine!$B$36,426,"")</f>
        <v/>
      </c>
      <c r="B429" s="26">
        <f>IF($A429="","",EDATE(_Engine!$B$5,$A429-1))</f>
        <v/>
      </c>
      <c r="C429" s="27">
        <f>IF($A429="","",_Engine!$AJ487)</f>
        <v/>
      </c>
      <c r="D429" s="27">
        <f>IF($A429="","",_Engine!$AK487)</f>
        <v/>
      </c>
      <c r="E429" s="27">
        <f>IF($A429="","",_Engine!$AJ487-_Engine!$AK487)</f>
        <v/>
      </c>
      <c r="F429" s="27">
        <f>IF($A429="","",_Engine!$AI487)</f>
        <v/>
      </c>
      <c r="G429" s="27">
        <f>IF(OR($A429="",_Engine!$D$41=0),"",INDEX(_Engine!$E487:$X487,1,(_Engine!$J$41-1)*4+3))</f>
        <v/>
      </c>
      <c r="H429" s="27">
        <f>IF(OR($A429="",_Engine!$D$42=0),"",INDEX(_Engine!$E487:$X487,1,(_Engine!$J$42-1)*4+3))</f>
        <v/>
      </c>
      <c r="I429" s="27">
        <f>IF(OR($A429="",_Engine!$D$43=0),"",INDEX(_Engine!$E487:$X487,1,(_Engine!$J$43-1)*4+3))</f>
        <v/>
      </c>
      <c r="J429" s="27">
        <f>IF(OR($A429="",_Engine!$D$44=0),"",INDEX(_Engine!$E487:$X487,1,(_Engine!$J$44-1)*4+3))</f>
        <v/>
      </c>
      <c r="K429" s="27">
        <f>IF(OR($A429="",_Engine!$D$45=0),"",INDEX(_Engine!$E487:$X487,1,(_Engine!$J$45-1)*4+3))</f>
        <v/>
      </c>
    </row>
    <row r="430">
      <c r="A430" s="25">
        <f>IF(427&lt;=_Engine!$B$36,427,"")</f>
        <v/>
      </c>
      <c r="B430" s="26">
        <f>IF($A430="","",EDATE(_Engine!$B$5,$A430-1))</f>
        <v/>
      </c>
      <c r="C430" s="27">
        <f>IF($A430="","",_Engine!$AJ488)</f>
        <v/>
      </c>
      <c r="D430" s="27">
        <f>IF($A430="","",_Engine!$AK488)</f>
        <v/>
      </c>
      <c r="E430" s="27">
        <f>IF($A430="","",_Engine!$AJ488-_Engine!$AK488)</f>
        <v/>
      </c>
      <c r="F430" s="27">
        <f>IF($A430="","",_Engine!$AI488)</f>
        <v/>
      </c>
      <c r="G430" s="27">
        <f>IF(OR($A430="",_Engine!$D$41=0),"",INDEX(_Engine!$E488:$X488,1,(_Engine!$J$41-1)*4+3))</f>
        <v/>
      </c>
      <c r="H430" s="27">
        <f>IF(OR($A430="",_Engine!$D$42=0),"",INDEX(_Engine!$E488:$X488,1,(_Engine!$J$42-1)*4+3))</f>
        <v/>
      </c>
      <c r="I430" s="27">
        <f>IF(OR($A430="",_Engine!$D$43=0),"",INDEX(_Engine!$E488:$X488,1,(_Engine!$J$43-1)*4+3))</f>
        <v/>
      </c>
      <c r="J430" s="27">
        <f>IF(OR($A430="",_Engine!$D$44=0),"",INDEX(_Engine!$E488:$X488,1,(_Engine!$J$44-1)*4+3))</f>
        <v/>
      </c>
      <c r="K430" s="27">
        <f>IF(OR($A430="",_Engine!$D$45=0),"",INDEX(_Engine!$E488:$X488,1,(_Engine!$J$45-1)*4+3))</f>
        <v/>
      </c>
    </row>
    <row r="431">
      <c r="A431" s="25">
        <f>IF(428&lt;=_Engine!$B$36,428,"")</f>
        <v/>
      </c>
      <c r="B431" s="26">
        <f>IF($A431="","",EDATE(_Engine!$B$5,$A431-1))</f>
        <v/>
      </c>
      <c r="C431" s="27">
        <f>IF($A431="","",_Engine!$AJ489)</f>
        <v/>
      </c>
      <c r="D431" s="27">
        <f>IF($A431="","",_Engine!$AK489)</f>
        <v/>
      </c>
      <c r="E431" s="27">
        <f>IF($A431="","",_Engine!$AJ489-_Engine!$AK489)</f>
        <v/>
      </c>
      <c r="F431" s="27">
        <f>IF($A431="","",_Engine!$AI489)</f>
        <v/>
      </c>
      <c r="G431" s="27">
        <f>IF(OR($A431="",_Engine!$D$41=0),"",INDEX(_Engine!$E489:$X489,1,(_Engine!$J$41-1)*4+3))</f>
        <v/>
      </c>
      <c r="H431" s="27">
        <f>IF(OR($A431="",_Engine!$D$42=0),"",INDEX(_Engine!$E489:$X489,1,(_Engine!$J$42-1)*4+3))</f>
        <v/>
      </c>
      <c r="I431" s="27">
        <f>IF(OR($A431="",_Engine!$D$43=0),"",INDEX(_Engine!$E489:$X489,1,(_Engine!$J$43-1)*4+3))</f>
        <v/>
      </c>
      <c r="J431" s="27">
        <f>IF(OR($A431="",_Engine!$D$44=0),"",INDEX(_Engine!$E489:$X489,1,(_Engine!$J$44-1)*4+3))</f>
        <v/>
      </c>
      <c r="K431" s="27">
        <f>IF(OR($A431="",_Engine!$D$45=0),"",INDEX(_Engine!$E489:$X489,1,(_Engine!$J$45-1)*4+3))</f>
        <v/>
      </c>
    </row>
    <row r="432">
      <c r="A432" s="25">
        <f>IF(429&lt;=_Engine!$B$36,429,"")</f>
        <v/>
      </c>
      <c r="B432" s="26">
        <f>IF($A432="","",EDATE(_Engine!$B$5,$A432-1))</f>
        <v/>
      </c>
      <c r="C432" s="27">
        <f>IF($A432="","",_Engine!$AJ490)</f>
        <v/>
      </c>
      <c r="D432" s="27">
        <f>IF($A432="","",_Engine!$AK490)</f>
        <v/>
      </c>
      <c r="E432" s="27">
        <f>IF($A432="","",_Engine!$AJ490-_Engine!$AK490)</f>
        <v/>
      </c>
      <c r="F432" s="27">
        <f>IF($A432="","",_Engine!$AI490)</f>
        <v/>
      </c>
      <c r="G432" s="27">
        <f>IF(OR($A432="",_Engine!$D$41=0),"",INDEX(_Engine!$E490:$X490,1,(_Engine!$J$41-1)*4+3))</f>
        <v/>
      </c>
      <c r="H432" s="27">
        <f>IF(OR($A432="",_Engine!$D$42=0),"",INDEX(_Engine!$E490:$X490,1,(_Engine!$J$42-1)*4+3))</f>
        <v/>
      </c>
      <c r="I432" s="27">
        <f>IF(OR($A432="",_Engine!$D$43=0),"",INDEX(_Engine!$E490:$X490,1,(_Engine!$J$43-1)*4+3))</f>
        <v/>
      </c>
      <c r="J432" s="27">
        <f>IF(OR($A432="",_Engine!$D$44=0),"",INDEX(_Engine!$E490:$X490,1,(_Engine!$J$44-1)*4+3))</f>
        <v/>
      </c>
      <c r="K432" s="27">
        <f>IF(OR($A432="",_Engine!$D$45=0),"",INDEX(_Engine!$E490:$X490,1,(_Engine!$J$45-1)*4+3))</f>
        <v/>
      </c>
    </row>
    <row r="433">
      <c r="A433" s="25">
        <f>IF(430&lt;=_Engine!$B$36,430,"")</f>
        <v/>
      </c>
      <c r="B433" s="26">
        <f>IF($A433="","",EDATE(_Engine!$B$5,$A433-1))</f>
        <v/>
      </c>
      <c r="C433" s="27">
        <f>IF($A433="","",_Engine!$AJ491)</f>
        <v/>
      </c>
      <c r="D433" s="27">
        <f>IF($A433="","",_Engine!$AK491)</f>
        <v/>
      </c>
      <c r="E433" s="27">
        <f>IF($A433="","",_Engine!$AJ491-_Engine!$AK491)</f>
        <v/>
      </c>
      <c r="F433" s="27">
        <f>IF($A433="","",_Engine!$AI491)</f>
        <v/>
      </c>
      <c r="G433" s="27">
        <f>IF(OR($A433="",_Engine!$D$41=0),"",INDEX(_Engine!$E491:$X491,1,(_Engine!$J$41-1)*4+3))</f>
        <v/>
      </c>
      <c r="H433" s="27">
        <f>IF(OR($A433="",_Engine!$D$42=0),"",INDEX(_Engine!$E491:$X491,1,(_Engine!$J$42-1)*4+3))</f>
        <v/>
      </c>
      <c r="I433" s="27">
        <f>IF(OR($A433="",_Engine!$D$43=0),"",INDEX(_Engine!$E491:$X491,1,(_Engine!$J$43-1)*4+3))</f>
        <v/>
      </c>
      <c r="J433" s="27">
        <f>IF(OR($A433="",_Engine!$D$44=0),"",INDEX(_Engine!$E491:$X491,1,(_Engine!$J$44-1)*4+3))</f>
        <v/>
      </c>
      <c r="K433" s="27">
        <f>IF(OR($A433="",_Engine!$D$45=0),"",INDEX(_Engine!$E491:$X491,1,(_Engine!$J$45-1)*4+3))</f>
        <v/>
      </c>
    </row>
    <row r="434">
      <c r="A434" s="25">
        <f>IF(431&lt;=_Engine!$B$36,431,"")</f>
        <v/>
      </c>
      <c r="B434" s="26">
        <f>IF($A434="","",EDATE(_Engine!$B$5,$A434-1))</f>
        <v/>
      </c>
      <c r="C434" s="27">
        <f>IF($A434="","",_Engine!$AJ492)</f>
        <v/>
      </c>
      <c r="D434" s="27">
        <f>IF($A434="","",_Engine!$AK492)</f>
        <v/>
      </c>
      <c r="E434" s="27">
        <f>IF($A434="","",_Engine!$AJ492-_Engine!$AK492)</f>
        <v/>
      </c>
      <c r="F434" s="27">
        <f>IF($A434="","",_Engine!$AI492)</f>
        <v/>
      </c>
      <c r="G434" s="27">
        <f>IF(OR($A434="",_Engine!$D$41=0),"",INDEX(_Engine!$E492:$X492,1,(_Engine!$J$41-1)*4+3))</f>
        <v/>
      </c>
      <c r="H434" s="27">
        <f>IF(OR($A434="",_Engine!$D$42=0),"",INDEX(_Engine!$E492:$X492,1,(_Engine!$J$42-1)*4+3))</f>
        <v/>
      </c>
      <c r="I434" s="27">
        <f>IF(OR($A434="",_Engine!$D$43=0),"",INDEX(_Engine!$E492:$X492,1,(_Engine!$J$43-1)*4+3))</f>
        <v/>
      </c>
      <c r="J434" s="27">
        <f>IF(OR($A434="",_Engine!$D$44=0),"",INDEX(_Engine!$E492:$X492,1,(_Engine!$J$44-1)*4+3))</f>
        <v/>
      </c>
      <c r="K434" s="27">
        <f>IF(OR($A434="",_Engine!$D$45=0),"",INDEX(_Engine!$E492:$X492,1,(_Engine!$J$45-1)*4+3))</f>
        <v/>
      </c>
    </row>
    <row r="435">
      <c r="A435" s="25">
        <f>IF(432&lt;=_Engine!$B$36,432,"")</f>
        <v/>
      </c>
      <c r="B435" s="26">
        <f>IF($A435="","",EDATE(_Engine!$B$5,$A435-1))</f>
        <v/>
      </c>
      <c r="C435" s="27">
        <f>IF($A435="","",_Engine!$AJ493)</f>
        <v/>
      </c>
      <c r="D435" s="27">
        <f>IF($A435="","",_Engine!$AK493)</f>
        <v/>
      </c>
      <c r="E435" s="27">
        <f>IF($A435="","",_Engine!$AJ493-_Engine!$AK493)</f>
        <v/>
      </c>
      <c r="F435" s="27">
        <f>IF($A435="","",_Engine!$AI493)</f>
        <v/>
      </c>
      <c r="G435" s="27">
        <f>IF(OR($A435="",_Engine!$D$41=0),"",INDEX(_Engine!$E493:$X493,1,(_Engine!$J$41-1)*4+3))</f>
        <v/>
      </c>
      <c r="H435" s="27">
        <f>IF(OR($A435="",_Engine!$D$42=0),"",INDEX(_Engine!$E493:$X493,1,(_Engine!$J$42-1)*4+3))</f>
        <v/>
      </c>
      <c r="I435" s="27">
        <f>IF(OR($A435="",_Engine!$D$43=0),"",INDEX(_Engine!$E493:$X493,1,(_Engine!$J$43-1)*4+3))</f>
        <v/>
      </c>
      <c r="J435" s="27">
        <f>IF(OR($A435="",_Engine!$D$44=0),"",INDEX(_Engine!$E493:$X493,1,(_Engine!$J$44-1)*4+3))</f>
        <v/>
      </c>
      <c r="K435" s="27">
        <f>IF(OR($A435="",_Engine!$D$45=0),"",INDEX(_Engine!$E493:$X493,1,(_Engine!$J$45-1)*4+3))</f>
        <v/>
      </c>
    </row>
    <row r="436">
      <c r="A436" s="25">
        <f>IF(433&lt;=_Engine!$B$36,433,"")</f>
        <v/>
      </c>
      <c r="B436" s="26">
        <f>IF($A436="","",EDATE(_Engine!$B$5,$A436-1))</f>
        <v/>
      </c>
      <c r="C436" s="27">
        <f>IF($A436="","",_Engine!$AJ494)</f>
        <v/>
      </c>
      <c r="D436" s="27">
        <f>IF($A436="","",_Engine!$AK494)</f>
        <v/>
      </c>
      <c r="E436" s="27">
        <f>IF($A436="","",_Engine!$AJ494-_Engine!$AK494)</f>
        <v/>
      </c>
      <c r="F436" s="27">
        <f>IF($A436="","",_Engine!$AI494)</f>
        <v/>
      </c>
      <c r="G436" s="27">
        <f>IF(OR($A436="",_Engine!$D$41=0),"",INDEX(_Engine!$E494:$X494,1,(_Engine!$J$41-1)*4+3))</f>
        <v/>
      </c>
      <c r="H436" s="27">
        <f>IF(OR($A436="",_Engine!$D$42=0),"",INDEX(_Engine!$E494:$X494,1,(_Engine!$J$42-1)*4+3))</f>
        <v/>
      </c>
      <c r="I436" s="27">
        <f>IF(OR($A436="",_Engine!$D$43=0),"",INDEX(_Engine!$E494:$X494,1,(_Engine!$J$43-1)*4+3))</f>
        <v/>
      </c>
      <c r="J436" s="27">
        <f>IF(OR($A436="",_Engine!$D$44=0),"",INDEX(_Engine!$E494:$X494,1,(_Engine!$J$44-1)*4+3))</f>
        <v/>
      </c>
      <c r="K436" s="27">
        <f>IF(OR($A436="",_Engine!$D$45=0),"",INDEX(_Engine!$E494:$X494,1,(_Engine!$J$45-1)*4+3))</f>
        <v/>
      </c>
    </row>
    <row r="437">
      <c r="A437" s="25">
        <f>IF(434&lt;=_Engine!$B$36,434,"")</f>
        <v/>
      </c>
      <c r="B437" s="26">
        <f>IF($A437="","",EDATE(_Engine!$B$5,$A437-1))</f>
        <v/>
      </c>
      <c r="C437" s="27">
        <f>IF($A437="","",_Engine!$AJ495)</f>
        <v/>
      </c>
      <c r="D437" s="27">
        <f>IF($A437="","",_Engine!$AK495)</f>
        <v/>
      </c>
      <c r="E437" s="27">
        <f>IF($A437="","",_Engine!$AJ495-_Engine!$AK495)</f>
        <v/>
      </c>
      <c r="F437" s="27">
        <f>IF($A437="","",_Engine!$AI495)</f>
        <v/>
      </c>
      <c r="G437" s="27">
        <f>IF(OR($A437="",_Engine!$D$41=0),"",INDEX(_Engine!$E495:$X495,1,(_Engine!$J$41-1)*4+3))</f>
        <v/>
      </c>
      <c r="H437" s="27">
        <f>IF(OR($A437="",_Engine!$D$42=0),"",INDEX(_Engine!$E495:$X495,1,(_Engine!$J$42-1)*4+3))</f>
        <v/>
      </c>
      <c r="I437" s="27">
        <f>IF(OR($A437="",_Engine!$D$43=0),"",INDEX(_Engine!$E495:$X495,1,(_Engine!$J$43-1)*4+3))</f>
        <v/>
      </c>
      <c r="J437" s="27">
        <f>IF(OR($A437="",_Engine!$D$44=0),"",INDEX(_Engine!$E495:$X495,1,(_Engine!$J$44-1)*4+3))</f>
        <v/>
      </c>
      <c r="K437" s="27">
        <f>IF(OR($A437="",_Engine!$D$45=0),"",INDEX(_Engine!$E495:$X495,1,(_Engine!$J$45-1)*4+3))</f>
        <v/>
      </c>
    </row>
    <row r="438">
      <c r="A438" s="25">
        <f>IF(435&lt;=_Engine!$B$36,435,"")</f>
        <v/>
      </c>
      <c r="B438" s="26">
        <f>IF($A438="","",EDATE(_Engine!$B$5,$A438-1))</f>
        <v/>
      </c>
      <c r="C438" s="27">
        <f>IF($A438="","",_Engine!$AJ496)</f>
        <v/>
      </c>
      <c r="D438" s="27">
        <f>IF($A438="","",_Engine!$AK496)</f>
        <v/>
      </c>
      <c r="E438" s="27">
        <f>IF($A438="","",_Engine!$AJ496-_Engine!$AK496)</f>
        <v/>
      </c>
      <c r="F438" s="27">
        <f>IF($A438="","",_Engine!$AI496)</f>
        <v/>
      </c>
      <c r="G438" s="27">
        <f>IF(OR($A438="",_Engine!$D$41=0),"",INDEX(_Engine!$E496:$X496,1,(_Engine!$J$41-1)*4+3))</f>
        <v/>
      </c>
      <c r="H438" s="27">
        <f>IF(OR($A438="",_Engine!$D$42=0),"",INDEX(_Engine!$E496:$X496,1,(_Engine!$J$42-1)*4+3))</f>
        <v/>
      </c>
      <c r="I438" s="27">
        <f>IF(OR($A438="",_Engine!$D$43=0),"",INDEX(_Engine!$E496:$X496,1,(_Engine!$J$43-1)*4+3))</f>
        <v/>
      </c>
      <c r="J438" s="27">
        <f>IF(OR($A438="",_Engine!$D$44=0),"",INDEX(_Engine!$E496:$X496,1,(_Engine!$J$44-1)*4+3))</f>
        <v/>
      </c>
      <c r="K438" s="27">
        <f>IF(OR($A438="",_Engine!$D$45=0),"",INDEX(_Engine!$E496:$X496,1,(_Engine!$J$45-1)*4+3))</f>
        <v/>
      </c>
    </row>
    <row r="439">
      <c r="A439" s="25">
        <f>IF(436&lt;=_Engine!$B$36,436,"")</f>
        <v/>
      </c>
      <c r="B439" s="26">
        <f>IF($A439="","",EDATE(_Engine!$B$5,$A439-1))</f>
        <v/>
      </c>
      <c r="C439" s="27">
        <f>IF($A439="","",_Engine!$AJ497)</f>
        <v/>
      </c>
      <c r="D439" s="27">
        <f>IF($A439="","",_Engine!$AK497)</f>
        <v/>
      </c>
      <c r="E439" s="27">
        <f>IF($A439="","",_Engine!$AJ497-_Engine!$AK497)</f>
        <v/>
      </c>
      <c r="F439" s="27">
        <f>IF($A439="","",_Engine!$AI497)</f>
        <v/>
      </c>
      <c r="G439" s="27">
        <f>IF(OR($A439="",_Engine!$D$41=0),"",INDEX(_Engine!$E497:$X497,1,(_Engine!$J$41-1)*4+3))</f>
        <v/>
      </c>
      <c r="H439" s="27">
        <f>IF(OR($A439="",_Engine!$D$42=0),"",INDEX(_Engine!$E497:$X497,1,(_Engine!$J$42-1)*4+3))</f>
        <v/>
      </c>
      <c r="I439" s="27">
        <f>IF(OR($A439="",_Engine!$D$43=0),"",INDEX(_Engine!$E497:$X497,1,(_Engine!$J$43-1)*4+3))</f>
        <v/>
      </c>
      <c r="J439" s="27">
        <f>IF(OR($A439="",_Engine!$D$44=0),"",INDEX(_Engine!$E497:$X497,1,(_Engine!$J$44-1)*4+3))</f>
        <v/>
      </c>
      <c r="K439" s="27">
        <f>IF(OR($A439="",_Engine!$D$45=0),"",INDEX(_Engine!$E497:$X497,1,(_Engine!$J$45-1)*4+3))</f>
        <v/>
      </c>
    </row>
    <row r="440">
      <c r="A440" s="25">
        <f>IF(437&lt;=_Engine!$B$36,437,"")</f>
        <v/>
      </c>
      <c r="B440" s="26">
        <f>IF($A440="","",EDATE(_Engine!$B$5,$A440-1))</f>
        <v/>
      </c>
      <c r="C440" s="27">
        <f>IF($A440="","",_Engine!$AJ498)</f>
        <v/>
      </c>
      <c r="D440" s="27">
        <f>IF($A440="","",_Engine!$AK498)</f>
        <v/>
      </c>
      <c r="E440" s="27">
        <f>IF($A440="","",_Engine!$AJ498-_Engine!$AK498)</f>
        <v/>
      </c>
      <c r="F440" s="27">
        <f>IF($A440="","",_Engine!$AI498)</f>
        <v/>
      </c>
      <c r="G440" s="27">
        <f>IF(OR($A440="",_Engine!$D$41=0),"",INDEX(_Engine!$E498:$X498,1,(_Engine!$J$41-1)*4+3))</f>
        <v/>
      </c>
      <c r="H440" s="27">
        <f>IF(OR($A440="",_Engine!$D$42=0),"",INDEX(_Engine!$E498:$X498,1,(_Engine!$J$42-1)*4+3))</f>
        <v/>
      </c>
      <c r="I440" s="27">
        <f>IF(OR($A440="",_Engine!$D$43=0),"",INDEX(_Engine!$E498:$X498,1,(_Engine!$J$43-1)*4+3))</f>
        <v/>
      </c>
      <c r="J440" s="27">
        <f>IF(OR($A440="",_Engine!$D$44=0),"",INDEX(_Engine!$E498:$X498,1,(_Engine!$J$44-1)*4+3))</f>
        <v/>
      </c>
      <c r="K440" s="27">
        <f>IF(OR($A440="",_Engine!$D$45=0),"",INDEX(_Engine!$E498:$X498,1,(_Engine!$J$45-1)*4+3))</f>
        <v/>
      </c>
    </row>
    <row r="441">
      <c r="A441" s="25">
        <f>IF(438&lt;=_Engine!$B$36,438,"")</f>
        <v/>
      </c>
      <c r="B441" s="26">
        <f>IF($A441="","",EDATE(_Engine!$B$5,$A441-1))</f>
        <v/>
      </c>
      <c r="C441" s="27">
        <f>IF($A441="","",_Engine!$AJ499)</f>
        <v/>
      </c>
      <c r="D441" s="27">
        <f>IF($A441="","",_Engine!$AK499)</f>
        <v/>
      </c>
      <c r="E441" s="27">
        <f>IF($A441="","",_Engine!$AJ499-_Engine!$AK499)</f>
        <v/>
      </c>
      <c r="F441" s="27">
        <f>IF($A441="","",_Engine!$AI499)</f>
        <v/>
      </c>
      <c r="G441" s="27">
        <f>IF(OR($A441="",_Engine!$D$41=0),"",INDEX(_Engine!$E499:$X499,1,(_Engine!$J$41-1)*4+3))</f>
        <v/>
      </c>
      <c r="H441" s="27">
        <f>IF(OR($A441="",_Engine!$D$42=0),"",INDEX(_Engine!$E499:$X499,1,(_Engine!$J$42-1)*4+3))</f>
        <v/>
      </c>
      <c r="I441" s="27">
        <f>IF(OR($A441="",_Engine!$D$43=0),"",INDEX(_Engine!$E499:$X499,1,(_Engine!$J$43-1)*4+3))</f>
        <v/>
      </c>
      <c r="J441" s="27">
        <f>IF(OR($A441="",_Engine!$D$44=0),"",INDEX(_Engine!$E499:$X499,1,(_Engine!$J$44-1)*4+3))</f>
        <v/>
      </c>
      <c r="K441" s="27">
        <f>IF(OR($A441="",_Engine!$D$45=0),"",INDEX(_Engine!$E499:$X499,1,(_Engine!$J$45-1)*4+3))</f>
        <v/>
      </c>
    </row>
    <row r="442">
      <c r="A442" s="25">
        <f>IF(439&lt;=_Engine!$B$36,439,"")</f>
        <v/>
      </c>
      <c r="B442" s="26">
        <f>IF($A442="","",EDATE(_Engine!$B$5,$A442-1))</f>
        <v/>
      </c>
      <c r="C442" s="27">
        <f>IF($A442="","",_Engine!$AJ500)</f>
        <v/>
      </c>
      <c r="D442" s="27">
        <f>IF($A442="","",_Engine!$AK500)</f>
        <v/>
      </c>
      <c r="E442" s="27">
        <f>IF($A442="","",_Engine!$AJ500-_Engine!$AK500)</f>
        <v/>
      </c>
      <c r="F442" s="27">
        <f>IF($A442="","",_Engine!$AI500)</f>
        <v/>
      </c>
      <c r="G442" s="27">
        <f>IF(OR($A442="",_Engine!$D$41=0),"",INDEX(_Engine!$E500:$X500,1,(_Engine!$J$41-1)*4+3))</f>
        <v/>
      </c>
      <c r="H442" s="27">
        <f>IF(OR($A442="",_Engine!$D$42=0),"",INDEX(_Engine!$E500:$X500,1,(_Engine!$J$42-1)*4+3))</f>
        <v/>
      </c>
      <c r="I442" s="27">
        <f>IF(OR($A442="",_Engine!$D$43=0),"",INDEX(_Engine!$E500:$X500,1,(_Engine!$J$43-1)*4+3))</f>
        <v/>
      </c>
      <c r="J442" s="27">
        <f>IF(OR($A442="",_Engine!$D$44=0),"",INDEX(_Engine!$E500:$X500,1,(_Engine!$J$44-1)*4+3))</f>
        <v/>
      </c>
      <c r="K442" s="27">
        <f>IF(OR($A442="",_Engine!$D$45=0),"",INDEX(_Engine!$E500:$X500,1,(_Engine!$J$45-1)*4+3))</f>
        <v/>
      </c>
    </row>
    <row r="443">
      <c r="A443" s="25">
        <f>IF(440&lt;=_Engine!$B$36,440,"")</f>
        <v/>
      </c>
      <c r="B443" s="26">
        <f>IF($A443="","",EDATE(_Engine!$B$5,$A443-1))</f>
        <v/>
      </c>
      <c r="C443" s="27">
        <f>IF($A443="","",_Engine!$AJ501)</f>
        <v/>
      </c>
      <c r="D443" s="27">
        <f>IF($A443="","",_Engine!$AK501)</f>
        <v/>
      </c>
      <c r="E443" s="27">
        <f>IF($A443="","",_Engine!$AJ501-_Engine!$AK501)</f>
        <v/>
      </c>
      <c r="F443" s="27">
        <f>IF($A443="","",_Engine!$AI501)</f>
        <v/>
      </c>
      <c r="G443" s="27">
        <f>IF(OR($A443="",_Engine!$D$41=0),"",INDEX(_Engine!$E501:$X501,1,(_Engine!$J$41-1)*4+3))</f>
        <v/>
      </c>
      <c r="H443" s="27">
        <f>IF(OR($A443="",_Engine!$D$42=0),"",INDEX(_Engine!$E501:$X501,1,(_Engine!$J$42-1)*4+3))</f>
        <v/>
      </c>
      <c r="I443" s="27">
        <f>IF(OR($A443="",_Engine!$D$43=0),"",INDEX(_Engine!$E501:$X501,1,(_Engine!$J$43-1)*4+3))</f>
        <v/>
      </c>
      <c r="J443" s="27">
        <f>IF(OR($A443="",_Engine!$D$44=0),"",INDEX(_Engine!$E501:$X501,1,(_Engine!$J$44-1)*4+3))</f>
        <v/>
      </c>
      <c r="K443" s="27">
        <f>IF(OR($A443="",_Engine!$D$45=0),"",INDEX(_Engine!$E501:$X501,1,(_Engine!$J$45-1)*4+3))</f>
        <v/>
      </c>
    </row>
    <row r="444">
      <c r="A444" s="25">
        <f>IF(441&lt;=_Engine!$B$36,441,"")</f>
        <v/>
      </c>
      <c r="B444" s="26">
        <f>IF($A444="","",EDATE(_Engine!$B$5,$A444-1))</f>
        <v/>
      </c>
      <c r="C444" s="27">
        <f>IF($A444="","",_Engine!$AJ502)</f>
        <v/>
      </c>
      <c r="D444" s="27">
        <f>IF($A444="","",_Engine!$AK502)</f>
        <v/>
      </c>
      <c r="E444" s="27">
        <f>IF($A444="","",_Engine!$AJ502-_Engine!$AK502)</f>
        <v/>
      </c>
      <c r="F444" s="27">
        <f>IF($A444="","",_Engine!$AI502)</f>
        <v/>
      </c>
      <c r="G444" s="27">
        <f>IF(OR($A444="",_Engine!$D$41=0),"",INDEX(_Engine!$E502:$X502,1,(_Engine!$J$41-1)*4+3))</f>
        <v/>
      </c>
      <c r="H444" s="27">
        <f>IF(OR($A444="",_Engine!$D$42=0),"",INDEX(_Engine!$E502:$X502,1,(_Engine!$J$42-1)*4+3))</f>
        <v/>
      </c>
      <c r="I444" s="27">
        <f>IF(OR($A444="",_Engine!$D$43=0),"",INDEX(_Engine!$E502:$X502,1,(_Engine!$J$43-1)*4+3))</f>
        <v/>
      </c>
      <c r="J444" s="27">
        <f>IF(OR($A444="",_Engine!$D$44=0),"",INDEX(_Engine!$E502:$X502,1,(_Engine!$J$44-1)*4+3))</f>
        <v/>
      </c>
      <c r="K444" s="27">
        <f>IF(OR($A444="",_Engine!$D$45=0),"",INDEX(_Engine!$E502:$X502,1,(_Engine!$J$45-1)*4+3))</f>
        <v/>
      </c>
    </row>
    <row r="445">
      <c r="A445" s="25">
        <f>IF(442&lt;=_Engine!$B$36,442,"")</f>
        <v/>
      </c>
      <c r="B445" s="26">
        <f>IF($A445="","",EDATE(_Engine!$B$5,$A445-1))</f>
        <v/>
      </c>
      <c r="C445" s="27">
        <f>IF($A445="","",_Engine!$AJ503)</f>
        <v/>
      </c>
      <c r="D445" s="27">
        <f>IF($A445="","",_Engine!$AK503)</f>
        <v/>
      </c>
      <c r="E445" s="27">
        <f>IF($A445="","",_Engine!$AJ503-_Engine!$AK503)</f>
        <v/>
      </c>
      <c r="F445" s="27">
        <f>IF($A445="","",_Engine!$AI503)</f>
        <v/>
      </c>
      <c r="G445" s="27">
        <f>IF(OR($A445="",_Engine!$D$41=0),"",INDEX(_Engine!$E503:$X503,1,(_Engine!$J$41-1)*4+3))</f>
        <v/>
      </c>
      <c r="H445" s="27">
        <f>IF(OR($A445="",_Engine!$D$42=0),"",INDEX(_Engine!$E503:$X503,1,(_Engine!$J$42-1)*4+3))</f>
        <v/>
      </c>
      <c r="I445" s="27">
        <f>IF(OR($A445="",_Engine!$D$43=0),"",INDEX(_Engine!$E503:$X503,1,(_Engine!$J$43-1)*4+3))</f>
        <v/>
      </c>
      <c r="J445" s="27">
        <f>IF(OR($A445="",_Engine!$D$44=0),"",INDEX(_Engine!$E503:$X503,1,(_Engine!$J$44-1)*4+3))</f>
        <v/>
      </c>
      <c r="K445" s="27">
        <f>IF(OR($A445="",_Engine!$D$45=0),"",INDEX(_Engine!$E503:$X503,1,(_Engine!$J$45-1)*4+3))</f>
        <v/>
      </c>
    </row>
    <row r="446">
      <c r="A446" s="25">
        <f>IF(443&lt;=_Engine!$B$36,443,"")</f>
        <v/>
      </c>
      <c r="B446" s="26">
        <f>IF($A446="","",EDATE(_Engine!$B$5,$A446-1))</f>
        <v/>
      </c>
      <c r="C446" s="27">
        <f>IF($A446="","",_Engine!$AJ504)</f>
        <v/>
      </c>
      <c r="D446" s="27">
        <f>IF($A446="","",_Engine!$AK504)</f>
        <v/>
      </c>
      <c r="E446" s="27">
        <f>IF($A446="","",_Engine!$AJ504-_Engine!$AK504)</f>
        <v/>
      </c>
      <c r="F446" s="27">
        <f>IF($A446="","",_Engine!$AI504)</f>
        <v/>
      </c>
      <c r="G446" s="27">
        <f>IF(OR($A446="",_Engine!$D$41=0),"",INDEX(_Engine!$E504:$X504,1,(_Engine!$J$41-1)*4+3))</f>
        <v/>
      </c>
      <c r="H446" s="27">
        <f>IF(OR($A446="",_Engine!$D$42=0),"",INDEX(_Engine!$E504:$X504,1,(_Engine!$J$42-1)*4+3))</f>
        <v/>
      </c>
      <c r="I446" s="27">
        <f>IF(OR($A446="",_Engine!$D$43=0),"",INDEX(_Engine!$E504:$X504,1,(_Engine!$J$43-1)*4+3))</f>
        <v/>
      </c>
      <c r="J446" s="27">
        <f>IF(OR($A446="",_Engine!$D$44=0),"",INDEX(_Engine!$E504:$X504,1,(_Engine!$J$44-1)*4+3))</f>
        <v/>
      </c>
      <c r="K446" s="27">
        <f>IF(OR($A446="",_Engine!$D$45=0),"",INDEX(_Engine!$E504:$X504,1,(_Engine!$J$45-1)*4+3))</f>
        <v/>
      </c>
    </row>
    <row r="447">
      <c r="A447" s="25">
        <f>IF(444&lt;=_Engine!$B$36,444,"")</f>
        <v/>
      </c>
      <c r="B447" s="26">
        <f>IF($A447="","",EDATE(_Engine!$B$5,$A447-1))</f>
        <v/>
      </c>
      <c r="C447" s="27">
        <f>IF($A447="","",_Engine!$AJ505)</f>
        <v/>
      </c>
      <c r="D447" s="27">
        <f>IF($A447="","",_Engine!$AK505)</f>
        <v/>
      </c>
      <c r="E447" s="27">
        <f>IF($A447="","",_Engine!$AJ505-_Engine!$AK505)</f>
        <v/>
      </c>
      <c r="F447" s="27">
        <f>IF($A447="","",_Engine!$AI505)</f>
        <v/>
      </c>
      <c r="G447" s="27">
        <f>IF(OR($A447="",_Engine!$D$41=0),"",INDEX(_Engine!$E505:$X505,1,(_Engine!$J$41-1)*4+3))</f>
        <v/>
      </c>
      <c r="H447" s="27">
        <f>IF(OR($A447="",_Engine!$D$42=0),"",INDEX(_Engine!$E505:$X505,1,(_Engine!$J$42-1)*4+3))</f>
        <v/>
      </c>
      <c r="I447" s="27">
        <f>IF(OR($A447="",_Engine!$D$43=0),"",INDEX(_Engine!$E505:$X505,1,(_Engine!$J$43-1)*4+3))</f>
        <v/>
      </c>
      <c r="J447" s="27">
        <f>IF(OR($A447="",_Engine!$D$44=0),"",INDEX(_Engine!$E505:$X505,1,(_Engine!$J$44-1)*4+3))</f>
        <v/>
      </c>
      <c r="K447" s="27">
        <f>IF(OR($A447="",_Engine!$D$45=0),"",INDEX(_Engine!$E505:$X505,1,(_Engine!$J$45-1)*4+3))</f>
        <v/>
      </c>
    </row>
    <row r="448">
      <c r="A448" s="25">
        <f>IF(445&lt;=_Engine!$B$36,445,"")</f>
        <v/>
      </c>
      <c r="B448" s="26">
        <f>IF($A448="","",EDATE(_Engine!$B$5,$A448-1))</f>
        <v/>
      </c>
      <c r="C448" s="27">
        <f>IF($A448="","",_Engine!$AJ506)</f>
        <v/>
      </c>
      <c r="D448" s="27">
        <f>IF($A448="","",_Engine!$AK506)</f>
        <v/>
      </c>
      <c r="E448" s="27">
        <f>IF($A448="","",_Engine!$AJ506-_Engine!$AK506)</f>
        <v/>
      </c>
      <c r="F448" s="27">
        <f>IF($A448="","",_Engine!$AI506)</f>
        <v/>
      </c>
      <c r="G448" s="27">
        <f>IF(OR($A448="",_Engine!$D$41=0),"",INDEX(_Engine!$E506:$X506,1,(_Engine!$J$41-1)*4+3))</f>
        <v/>
      </c>
      <c r="H448" s="27">
        <f>IF(OR($A448="",_Engine!$D$42=0),"",INDEX(_Engine!$E506:$X506,1,(_Engine!$J$42-1)*4+3))</f>
        <v/>
      </c>
      <c r="I448" s="27">
        <f>IF(OR($A448="",_Engine!$D$43=0),"",INDEX(_Engine!$E506:$X506,1,(_Engine!$J$43-1)*4+3))</f>
        <v/>
      </c>
      <c r="J448" s="27">
        <f>IF(OR($A448="",_Engine!$D$44=0),"",INDEX(_Engine!$E506:$X506,1,(_Engine!$J$44-1)*4+3))</f>
        <v/>
      </c>
      <c r="K448" s="27">
        <f>IF(OR($A448="",_Engine!$D$45=0),"",INDEX(_Engine!$E506:$X506,1,(_Engine!$J$45-1)*4+3))</f>
        <v/>
      </c>
    </row>
    <row r="449">
      <c r="A449" s="25">
        <f>IF(446&lt;=_Engine!$B$36,446,"")</f>
        <v/>
      </c>
      <c r="B449" s="26">
        <f>IF($A449="","",EDATE(_Engine!$B$5,$A449-1))</f>
        <v/>
      </c>
      <c r="C449" s="27">
        <f>IF($A449="","",_Engine!$AJ507)</f>
        <v/>
      </c>
      <c r="D449" s="27">
        <f>IF($A449="","",_Engine!$AK507)</f>
        <v/>
      </c>
      <c r="E449" s="27">
        <f>IF($A449="","",_Engine!$AJ507-_Engine!$AK507)</f>
        <v/>
      </c>
      <c r="F449" s="27">
        <f>IF($A449="","",_Engine!$AI507)</f>
        <v/>
      </c>
      <c r="G449" s="27">
        <f>IF(OR($A449="",_Engine!$D$41=0),"",INDEX(_Engine!$E507:$X507,1,(_Engine!$J$41-1)*4+3))</f>
        <v/>
      </c>
      <c r="H449" s="27">
        <f>IF(OR($A449="",_Engine!$D$42=0),"",INDEX(_Engine!$E507:$X507,1,(_Engine!$J$42-1)*4+3))</f>
        <v/>
      </c>
      <c r="I449" s="27">
        <f>IF(OR($A449="",_Engine!$D$43=0),"",INDEX(_Engine!$E507:$X507,1,(_Engine!$J$43-1)*4+3))</f>
        <v/>
      </c>
      <c r="J449" s="27">
        <f>IF(OR($A449="",_Engine!$D$44=0),"",INDEX(_Engine!$E507:$X507,1,(_Engine!$J$44-1)*4+3))</f>
        <v/>
      </c>
      <c r="K449" s="27">
        <f>IF(OR($A449="",_Engine!$D$45=0),"",INDEX(_Engine!$E507:$X507,1,(_Engine!$J$45-1)*4+3))</f>
        <v/>
      </c>
    </row>
    <row r="450">
      <c r="A450" s="25">
        <f>IF(447&lt;=_Engine!$B$36,447,"")</f>
        <v/>
      </c>
      <c r="B450" s="26">
        <f>IF($A450="","",EDATE(_Engine!$B$5,$A450-1))</f>
        <v/>
      </c>
      <c r="C450" s="27">
        <f>IF($A450="","",_Engine!$AJ508)</f>
        <v/>
      </c>
      <c r="D450" s="27">
        <f>IF($A450="","",_Engine!$AK508)</f>
        <v/>
      </c>
      <c r="E450" s="27">
        <f>IF($A450="","",_Engine!$AJ508-_Engine!$AK508)</f>
        <v/>
      </c>
      <c r="F450" s="27">
        <f>IF($A450="","",_Engine!$AI508)</f>
        <v/>
      </c>
      <c r="G450" s="27">
        <f>IF(OR($A450="",_Engine!$D$41=0),"",INDEX(_Engine!$E508:$X508,1,(_Engine!$J$41-1)*4+3))</f>
        <v/>
      </c>
      <c r="H450" s="27">
        <f>IF(OR($A450="",_Engine!$D$42=0),"",INDEX(_Engine!$E508:$X508,1,(_Engine!$J$42-1)*4+3))</f>
        <v/>
      </c>
      <c r="I450" s="27">
        <f>IF(OR($A450="",_Engine!$D$43=0),"",INDEX(_Engine!$E508:$X508,1,(_Engine!$J$43-1)*4+3))</f>
        <v/>
      </c>
      <c r="J450" s="27">
        <f>IF(OR($A450="",_Engine!$D$44=0),"",INDEX(_Engine!$E508:$X508,1,(_Engine!$J$44-1)*4+3))</f>
        <v/>
      </c>
      <c r="K450" s="27">
        <f>IF(OR($A450="",_Engine!$D$45=0),"",INDEX(_Engine!$E508:$X508,1,(_Engine!$J$45-1)*4+3))</f>
        <v/>
      </c>
    </row>
    <row r="451">
      <c r="A451" s="25">
        <f>IF(448&lt;=_Engine!$B$36,448,"")</f>
        <v/>
      </c>
      <c r="B451" s="26">
        <f>IF($A451="","",EDATE(_Engine!$B$5,$A451-1))</f>
        <v/>
      </c>
      <c r="C451" s="27">
        <f>IF($A451="","",_Engine!$AJ509)</f>
        <v/>
      </c>
      <c r="D451" s="27">
        <f>IF($A451="","",_Engine!$AK509)</f>
        <v/>
      </c>
      <c r="E451" s="27">
        <f>IF($A451="","",_Engine!$AJ509-_Engine!$AK509)</f>
        <v/>
      </c>
      <c r="F451" s="27">
        <f>IF($A451="","",_Engine!$AI509)</f>
        <v/>
      </c>
      <c r="G451" s="27">
        <f>IF(OR($A451="",_Engine!$D$41=0),"",INDEX(_Engine!$E509:$X509,1,(_Engine!$J$41-1)*4+3))</f>
        <v/>
      </c>
      <c r="H451" s="27">
        <f>IF(OR($A451="",_Engine!$D$42=0),"",INDEX(_Engine!$E509:$X509,1,(_Engine!$J$42-1)*4+3))</f>
        <v/>
      </c>
      <c r="I451" s="27">
        <f>IF(OR($A451="",_Engine!$D$43=0),"",INDEX(_Engine!$E509:$X509,1,(_Engine!$J$43-1)*4+3))</f>
        <v/>
      </c>
      <c r="J451" s="27">
        <f>IF(OR($A451="",_Engine!$D$44=0),"",INDEX(_Engine!$E509:$X509,1,(_Engine!$J$44-1)*4+3))</f>
        <v/>
      </c>
      <c r="K451" s="27">
        <f>IF(OR($A451="",_Engine!$D$45=0),"",INDEX(_Engine!$E509:$X509,1,(_Engine!$J$45-1)*4+3))</f>
        <v/>
      </c>
    </row>
    <row r="452">
      <c r="A452" s="25">
        <f>IF(449&lt;=_Engine!$B$36,449,"")</f>
        <v/>
      </c>
      <c r="B452" s="26">
        <f>IF($A452="","",EDATE(_Engine!$B$5,$A452-1))</f>
        <v/>
      </c>
      <c r="C452" s="27">
        <f>IF($A452="","",_Engine!$AJ510)</f>
        <v/>
      </c>
      <c r="D452" s="27">
        <f>IF($A452="","",_Engine!$AK510)</f>
        <v/>
      </c>
      <c r="E452" s="27">
        <f>IF($A452="","",_Engine!$AJ510-_Engine!$AK510)</f>
        <v/>
      </c>
      <c r="F452" s="27">
        <f>IF($A452="","",_Engine!$AI510)</f>
        <v/>
      </c>
      <c r="G452" s="27">
        <f>IF(OR($A452="",_Engine!$D$41=0),"",INDEX(_Engine!$E510:$X510,1,(_Engine!$J$41-1)*4+3))</f>
        <v/>
      </c>
      <c r="H452" s="27">
        <f>IF(OR($A452="",_Engine!$D$42=0),"",INDEX(_Engine!$E510:$X510,1,(_Engine!$J$42-1)*4+3))</f>
        <v/>
      </c>
      <c r="I452" s="27">
        <f>IF(OR($A452="",_Engine!$D$43=0),"",INDEX(_Engine!$E510:$X510,1,(_Engine!$J$43-1)*4+3))</f>
        <v/>
      </c>
      <c r="J452" s="27">
        <f>IF(OR($A452="",_Engine!$D$44=0),"",INDEX(_Engine!$E510:$X510,1,(_Engine!$J$44-1)*4+3))</f>
        <v/>
      </c>
      <c r="K452" s="27">
        <f>IF(OR($A452="",_Engine!$D$45=0),"",INDEX(_Engine!$E510:$X510,1,(_Engine!$J$45-1)*4+3))</f>
        <v/>
      </c>
    </row>
    <row r="453">
      <c r="A453" s="25">
        <f>IF(450&lt;=_Engine!$B$36,450,"")</f>
        <v/>
      </c>
      <c r="B453" s="26">
        <f>IF($A453="","",EDATE(_Engine!$B$5,$A453-1))</f>
        <v/>
      </c>
      <c r="C453" s="27">
        <f>IF($A453="","",_Engine!$AJ511)</f>
        <v/>
      </c>
      <c r="D453" s="27">
        <f>IF($A453="","",_Engine!$AK511)</f>
        <v/>
      </c>
      <c r="E453" s="27">
        <f>IF($A453="","",_Engine!$AJ511-_Engine!$AK511)</f>
        <v/>
      </c>
      <c r="F453" s="27">
        <f>IF($A453="","",_Engine!$AI511)</f>
        <v/>
      </c>
      <c r="G453" s="27">
        <f>IF(OR($A453="",_Engine!$D$41=0),"",INDEX(_Engine!$E511:$X511,1,(_Engine!$J$41-1)*4+3))</f>
        <v/>
      </c>
      <c r="H453" s="27">
        <f>IF(OR($A453="",_Engine!$D$42=0),"",INDEX(_Engine!$E511:$X511,1,(_Engine!$J$42-1)*4+3))</f>
        <v/>
      </c>
      <c r="I453" s="27">
        <f>IF(OR($A453="",_Engine!$D$43=0),"",INDEX(_Engine!$E511:$X511,1,(_Engine!$J$43-1)*4+3))</f>
        <v/>
      </c>
      <c r="J453" s="27">
        <f>IF(OR($A453="",_Engine!$D$44=0),"",INDEX(_Engine!$E511:$X511,1,(_Engine!$J$44-1)*4+3))</f>
        <v/>
      </c>
      <c r="K453" s="27">
        <f>IF(OR($A453="",_Engine!$D$45=0),"",INDEX(_Engine!$E511:$X511,1,(_Engine!$J$45-1)*4+3))</f>
        <v/>
      </c>
    </row>
    <row r="454">
      <c r="A454" s="25">
        <f>IF(451&lt;=_Engine!$B$36,451,"")</f>
        <v/>
      </c>
      <c r="B454" s="26">
        <f>IF($A454="","",EDATE(_Engine!$B$5,$A454-1))</f>
        <v/>
      </c>
      <c r="C454" s="27">
        <f>IF($A454="","",_Engine!$AJ512)</f>
        <v/>
      </c>
      <c r="D454" s="27">
        <f>IF($A454="","",_Engine!$AK512)</f>
        <v/>
      </c>
      <c r="E454" s="27">
        <f>IF($A454="","",_Engine!$AJ512-_Engine!$AK512)</f>
        <v/>
      </c>
      <c r="F454" s="27">
        <f>IF($A454="","",_Engine!$AI512)</f>
        <v/>
      </c>
      <c r="G454" s="27">
        <f>IF(OR($A454="",_Engine!$D$41=0),"",INDEX(_Engine!$E512:$X512,1,(_Engine!$J$41-1)*4+3))</f>
        <v/>
      </c>
      <c r="H454" s="27">
        <f>IF(OR($A454="",_Engine!$D$42=0),"",INDEX(_Engine!$E512:$X512,1,(_Engine!$J$42-1)*4+3))</f>
        <v/>
      </c>
      <c r="I454" s="27">
        <f>IF(OR($A454="",_Engine!$D$43=0),"",INDEX(_Engine!$E512:$X512,1,(_Engine!$J$43-1)*4+3))</f>
        <v/>
      </c>
      <c r="J454" s="27">
        <f>IF(OR($A454="",_Engine!$D$44=0),"",INDEX(_Engine!$E512:$X512,1,(_Engine!$J$44-1)*4+3))</f>
        <v/>
      </c>
      <c r="K454" s="27">
        <f>IF(OR($A454="",_Engine!$D$45=0),"",INDEX(_Engine!$E512:$X512,1,(_Engine!$J$45-1)*4+3))</f>
        <v/>
      </c>
    </row>
    <row r="455">
      <c r="A455" s="25">
        <f>IF(452&lt;=_Engine!$B$36,452,"")</f>
        <v/>
      </c>
      <c r="B455" s="26">
        <f>IF($A455="","",EDATE(_Engine!$B$5,$A455-1))</f>
        <v/>
      </c>
      <c r="C455" s="27">
        <f>IF($A455="","",_Engine!$AJ513)</f>
        <v/>
      </c>
      <c r="D455" s="27">
        <f>IF($A455="","",_Engine!$AK513)</f>
        <v/>
      </c>
      <c r="E455" s="27">
        <f>IF($A455="","",_Engine!$AJ513-_Engine!$AK513)</f>
        <v/>
      </c>
      <c r="F455" s="27">
        <f>IF($A455="","",_Engine!$AI513)</f>
        <v/>
      </c>
      <c r="G455" s="27">
        <f>IF(OR($A455="",_Engine!$D$41=0),"",INDEX(_Engine!$E513:$X513,1,(_Engine!$J$41-1)*4+3))</f>
        <v/>
      </c>
      <c r="H455" s="27">
        <f>IF(OR($A455="",_Engine!$D$42=0),"",INDEX(_Engine!$E513:$X513,1,(_Engine!$J$42-1)*4+3))</f>
        <v/>
      </c>
      <c r="I455" s="27">
        <f>IF(OR($A455="",_Engine!$D$43=0),"",INDEX(_Engine!$E513:$X513,1,(_Engine!$J$43-1)*4+3))</f>
        <v/>
      </c>
      <c r="J455" s="27">
        <f>IF(OR($A455="",_Engine!$D$44=0),"",INDEX(_Engine!$E513:$X513,1,(_Engine!$J$44-1)*4+3))</f>
        <v/>
      </c>
      <c r="K455" s="27">
        <f>IF(OR($A455="",_Engine!$D$45=0),"",INDEX(_Engine!$E513:$X513,1,(_Engine!$J$45-1)*4+3))</f>
        <v/>
      </c>
    </row>
    <row r="456">
      <c r="A456" s="25">
        <f>IF(453&lt;=_Engine!$B$36,453,"")</f>
        <v/>
      </c>
      <c r="B456" s="26">
        <f>IF($A456="","",EDATE(_Engine!$B$5,$A456-1))</f>
        <v/>
      </c>
      <c r="C456" s="27">
        <f>IF($A456="","",_Engine!$AJ514)</f>
        <v/>
      </c>
      <c r="D456" s="27">
        <f>IF($A456="","",_Engine!$AK514)</f>
        <v/>
      </c>
      <c r="E456" s="27">
        <f>IF($A456="","",_Engine!$AJ514-_Engine!$AK514)</f>
        <v/>
      </c>
      <c r="F456" s="27">
        <f>IF($A456="","",_Engine!$AI514)</f>
        <v/>
      </c>
      <c r="G456" s="27">
        <f>IF(OR($A456="",_Engine!$D$41=0),"",INDEX(_Engine!$E514:$X514,1,(_Engine!$J$41-1)*4+3))</f>
        <v/>
      </c>
      <c r="H456" s="27">
        <f>IF(OR($A456="",_Engine!$D$42=0),"",INDEX(_Engine!$E514:$X514,1,(_Engine!$J$42-1)*4+3))</f>
        <v/>
      </c>
      <c r="I456" s="27">
        <f>IF(OR($A456="",_Engine!$D$43=0),"",INDEX(_Engine!$E514:$X514,1,(_Engine!$J$43-1)*4+3))</f>
        <v/>
      </c>
      <c r="J456" s="27">
        <f>IF(OR($A456="",_Engine!$D$44=0),"",INDEX(_Engine!$E514:$X514,1,(_Engine!$J$44-1)*4+3))</f>
        <v/>
      </c>
      <c r="K456" s="27">
        <f>IF(OR($A456="",_Engine!$D$45=0),"",INDEX(_Engine!$E514:$X514,1,(_Engine!$J$45-1)*4+3))</f>
        <v/>
      </c>
    </row>
    <row r="457">
      <c r="A457" s="25">
        <f>IF(454&lt;=_Engine!$B$36,454,"")</f>
        <v/>
      </c>
      <c r="B457" s="26">
        <f>IF($A457="","",EDATE(_Engine!$B$5,$A457-1))</f>
        <v/>
      </c>
      <c r="C457" s="27">
        <f>IF($A457="","",_Engine!$AJ515)</f>
        <v/>
      </c>
      <c r="D457" s="27">
        <f>IF($A457="","",_Engine!$AK515)</f>
        <v/>
      </c>
      <c r="E457" s="27">
        <f>IF($A457="","",_Engine!$AJ515-_Engine!$AK515)</f>
        <v/>
      </c>
      <c r="F457" s="27">
        <f>IF($A457="","",_Engine!$AI515)</f>
        <v/>
      </c>
      <c r="G457" s="27">
        <f>IF(OR($A457="",_Engine!$D$41=0),"",INDEX(_Engine!$E515:$X515,1,(_Engine!$J$41-1)*4+3))</f>
        <v/>
      </c>
      <c r="H457" s="27">
        <f>IF(OR($A457="",_Engine!$D$42=0),"",INDEX(_Engine!$E515:$X515,1,(_Engine!$J$42-1)*4+3))</f>
        <v/>
      </c>
      <c r="I457" s="27">
        <f>IF(OR($A457="",_Engine!$D$43=0),"",INDEX(_Engine!$E515:$X515,1,(_Engine!$J$43-1)*4+3))</f>
        <v/>
      </c>
      <c r="J457" s="27">
        <f>IF(OR($A457="",_Engine!$D$44=0),"",INDEX(_Engine!$E515:$X515,1,(_Engine!$J$44-1)*4+3))</f>
        <v/>
      </c>
      <c r="K457" s="27">
        <f>IF(OR($A457="",_Engine!$D$45=0),"",INDEX(_Engine!$E515:$X515,1,(_Engine!$J$45-1)*4+3))</f>
        <v/>
      </c>
    </row>
    <row r="458">
      <c r="A458" s="25">
        <f>IF(455&lt;=_Engine!$B$36,455,"")</f>
        <v/>
      </c>
      <c r="B458" s="26">
        <f>IF($A458="","",EDATE(_Engine!$B$5,$A458-1))</f>
        <v/>
      </c>
      <c r="C458" s="27">
        <f>IF($A458="","",_Engine!$AJ516)</f>
        <v/>
      </c>
      <c r="D458" s="27">
        <f>IF($A458="","",_Engine!$AK516)</f>
        <v/>
      </c>
      <c r="E458" s="27">
        <f>IF($A458="","",_Engine!$AJ516-_Engine!$AK516)</f>
        <v/>
      </c>
      <c r="F458" s="27">
        <f>IF($A458="","",_Engine!$AI516)</f>
        <v/>
      </c>
      <c r="G458" s="27">
        <f>IF(OR($A458="",_Engine!$D$41=0),"",INDEX(_Engine!$E516:$X516,1,(_Engine!$J$41-1)*4+3))</f>
        <v/>
      </c>
      <c r="H458" s="27">
        <f>IF(OR($A458="",_Engine!$D$42=0),"",INDEX(_Engine!$E516:$X516,1,(_Engine!$J$42-1)*4+3))</f>
        <v/>
      </c>
      <c r="I458" s="27">
        <f>IF(OR($A458="",_Engine!$D$43=0),"",INDEX(_Engine!$E516:$X516,1,(_Engine!$J$43-1)*4+3))</f>
        <v/>
      </c>
      <c r="J458" s="27">
        <f>IF(OR($A458="",_Engine!$D$44=0),"",INDEX(_Engine!$E516:$X516,1,(_Engine!$J$44-1)*4+3))</f>
        <v/>
      </c>
      <c r="K458" s="27">
        <f>IF(OR($A458="",_Engine!$D$45=0),"",INDEX(_Engine!$E516:$X516,1,(_Engine!$J$45-1)*4+3))</f>
        <v/>
      </c>
    </row>
    <row r="459">
      <c r="A459" s="25">
        <f>IF(456&lt;=_Engine!$B$36,456,"")</f>
        <v/>
      </c>
      <c r="B459" s="26">
        <f>IF($A459="","",EDATE(_Engine!$B$5,$A459-1))</f>
        <v/>
      </c>
      <c r="C459" s="27">
        <f>IF($A459="","",_Engine!$AJ517)</f>
        <v/>
      </c>
      <c r="D459" s="27">
        <f>IF($A459="","",_Engine!$AK517)</f>
        <v/>
      </c>
      <c r="E459" s="27">
        <f>IF($A459="","",_Engine!$AJ517-_Engine!$AK517)</f>
        <v/>
      </c>
      <c r="F459" s="27">
        <f>IF($A459="","",_Engine!$AI517)</f>
        <v/>
      </c>
      <c r="G459" s="27">
        <f>IF(OR($A459="",_Engine!$D$41=0),"",INDEX(_Engine!$E517:$X517,1,(_Engine!$J$41-1)*4+3))</f>
        <v/>
      </c>
      <c r="H459" s="27">
        <f>IF(OR($A459="",_Engine!$D$42=0),"",INDEX(_Engine!$E517:$X517,1,(_Engine!$J$42-1)*4+3))</f>
        <v/>
      </c>
      <c r="I459" s="27">
        <f>IF(OR($A459="",_Engine!$D$43=0),"",INDEX(_Engine!$E517:$X517,1,(_Engine!$J$43-1)*4+3))</f>
        <v/>
      </c>
      <c r="J459" s="27">
        <f>IF(OR($A459="",_Engine!$D$44=0),"",INDEX(_Engine!$E517:$X517,1,(_Engine!$J$44-1)*4+3))</f>
        <v/>
      </c>
      <c r="K459" s="27">
        <f>IF(OR($A459="",_Engine!$D$45=0),"",INDEX(_Engine!$E517:$X517,1,(_Engine!$J$45-1)*4+3))</f>
        <v/>
      </c>
    </row>
    <row r="460">
      <c r="A460" s="25">
        <f>IF(457&lt;=_Engine!$B$36,457,"")</f>
        <v/>
      </c>
      <c r="B460" s="26">
        <f>IF($A460="","",EDATE(_Engine!$B$5,$A460-1))</f>
        <v/>
      </c>
      <c r="C460" s="27">
        <f>IF($A460="","",_Engine!$AJ518)</f>
        <v/>
      </c>
      <c r="D460" s="27">
        <f>IF($A460="","",_Engine!$AK518)</f>
        <v/>
      </c>
      <c r="E460" s="27">
        <f>IF($A460="","",_Engine!$AJ518-_Engine!$AK518)</f>
        <v/>
      </c>
      <c r="F460" s="27">
        <f>IF($A460="","",_Engine!$AI518)</f>
        <v/>
      </c>
      <c r="G460" s="27">
        <f>IF(OR($A460="",_Engine!$D$41=0),"",INDEX(_Engine!$E518:$X518,1,(_Engine!$J$41-1)*4+3))</f>
        <v/>
      </c>
      <c r="H460" s="27">
        <f>IF(OR($A460="",_Engine!$D$42=0),"",INDEX(_Engine!$E518:$X518,1,(_Engine!$J$42-1)*4+3))</f>
        <v/>
      </c>
      <c r="I460" s="27">
        <f>IF(OR($A460="",_Engine!$D$43=0),"",INDEX(_Engine!$E518:$X518,1,(_Engine!$J$43-1)*4+3))</f>
        <v/>
      </c>
      <c r="J460" s="27">
        <f>IF(OR($A460="",_Engine!$D$44=0),"",INDEX(_Engine!$E518:$X518,1,(_Engine!$J$44-1)*4+3))</f>
        <v/>
      </c>
      <c r="K460" s="27">
        <f>IF(OR($A460="",_Engine!$D$45=0),"",INDEX(_Engine!$E518:$X518,1,(_Engine!$J$45-1)*4+3))</f>
        <v/>
      </c>
    </row>
    <row r="461">
      <c r="A461" s="25">
        <f>IF(458&lt;=_Engine!$B$36,458,"")</f>
        <v/>
      </c>
      <c r="B461" s="26">
        <f>IF($A461="","",EDATE(_Engine!$B$5,$A461-1))</f>
        <v/>
      </c>
      <c r="C461" s="27">
        <f>IF($A461="","",_Engine!$AJ519)</f>
        <v/>
      </c>
      <c r="D461" s="27">
        <f>IF($A461="","",_Engine!$AK519)</f>
        <v/>
      </c>
      <c r="E461" s="27">
        <f>IF($A461="","",_Engine!$AJ519-_Engine!$AK519)</f>
        <v/>
      </c>
      <c r="F461" s="27">
        <f>IF($A461="","",_Engine!$AI519)</f>
        <v/>
      </c>
      <c r="G461" s="27">
        <f>IF(OR($A461="",_Engine!$D$41=0),"",INDEX(_Engine!$E519:$X519,1,(_Engine!$J$41-1)*4+3))</f>
        <v/>
      </c>
      <c r="H461" s="27">
        <f>IF(OR($A461="",_Engine!$D$42=0),"",INDEX(_Engine!$E519:$X519,1,(_Engine!$J$42-1)*4+3))</f>
        <v/>
      </c>
      <c r="I461" s="27">
        <f>IF(OR($A461="",_Engine!$D$43=0),"",INDEX(_Engine!$E519:$X519,1,(_Engine!$J$43-1)*4+3))</f>
        <v/>
      </c>
      <c r="J461" s="27">
        <f>IF(OR($A461="",_Engine!$D$44=0),"",INDEX(_Engine!$E519:$X519,1,(_Engine!$J$44-1)*4+3))</f>
        <v/>
      </c>
      <c r="K461" s="27">
        <f>IF(OR($A461="",_Engine!$D$45=0),"",INDEX(_Engine!$E519:$X519,1,(_Engine!$J$45-1)*4+3))</f>
        <v/>
      </c>
    </row>
    <row r="462">
      <c r="A462" s="25">
        <f>IF(459&lt;=_Engine!$B$36,459,"")</f>
        <v/>
      </c>
      <c r="B462" s="26">
        <f>IF($A462="","",EDATE(_Engine!$B$5,$A462-1))</f>
        <v/>
      </c>
      <c r="C462" s="27">
        <f>IF($A462="","",_Engine!$AJ520)</f>
        <v/>
      </c>
      <c r="D462" s="27">
        <f>IF($A462="","",_Engine!$AK520)</f>
        <v/>
      </c>
      <c r="E462" s="27">
        <f>IF($A462="","",_Engine!$AJ520-_Engine!$AK520)</f>
        <v/>
      </c>
      <c r="F462" s="27">
        <f>IF($A462="","",_Engine!$AI520)</f>
        <v/>
      </c>
      <c r="G462" s="27">
        <f>IF(OR($A462="",_Engine!$D$41=0),"",INDEX(_Engine!$E520:$X520,1,(_Engine!$J$41-1)*4+3))</f>
        <v/>
      </c>
      <c r="H462" s="27">
        <f>IF(OR($A462="",_Engine!$D$42=0),"",INDEX(_Engine!$E520:$X520,1,(_Engine!$J$42-1)*4+3))</f>
        <v/>
      </c>
      <c r="I462" s="27">
        <f>IF(OR($A462="",_Engine!$D$43=0),"",INDEX(_Engine!$E520:$X520,1,(_Engine!$J$43-1)*4+3))</f>
        <v/>
      </c>
      <c r="J462" s="27">
        <f>IF(OR($A462="",_Engine!$D$44=0),"",INDEX(_Engine!$E520:$X520,1,(_Engine!$J$44-1)*4+3))</f>
        <v/>
      </c>
      <c r="K462" s="27">
        <f>IF(OR($A462="",_Engine!$D$45=0),"",INDEX(_Engine!$E520:$X520,1,(_Engine!$J$45-1)*4+3))</f>
        <v/>
      </c>
    </row>
    <row r="463">
      <c r="A463" s="25">
        <f>IF(460&lt;=_Engine!$B$36,460,"")</f>
        <v/>
      </c>
      <c r="B463" s="26">
        <f>IF($A463="","",EDATE(_Engine!$B$5,$A463-1))</f>
        <v/>
      </c>
      <c r="C463" s="27">
        <f>IF($A463="","",_Engine!$AJ521)</f>
        <v/>
      </c>
      <c r="D463" s="27">
        <f>IF($A463="","",_Engine!$AK521)</f>
        <v/>
      </c>
      <c r="E463" s="27">
        <f>IF($A463="","",_Engine!$AJ521-_Engine!$AK521)</f>
        <v/>
      </c>
      <c r="F463" s="27">
        <f>IF($A463="","",_Engine!$AI521)</f>
        <v/>
      </c>
      <c r="G463" s="27">
        <f>IF(OR($A463="",_Engine!$D$41=0),"",INDEX(_Engine!$E521:$X521,1,(_Engine!$J$41-1)*4+3))</f>
        <v/>
      </c>
      <c r="H463" s="27">
        <f>IF(OR($A463="",_Engine!$D$42=0),"",INDEX(_Engine!$E521:$X521,1,(_Engine!$J$42-1)*4+3))</f>
        <v/>
      </c>
      <c r="I463" s="27">
        <f>IF(OR($A463="",_Engine!$D$43=0),"",INDEX(_Engine!$E521:$X521,1,(_Engine!$J$43-1)*4+3))</f>
        <v/>
      </c>
      <c r="J463" s="27">
        <f>IF(OR($A463="",_Engine!$D$44=0),"",INDEX(_Engine!$E521:$X521,1,(_Engine!$J$44-1)*4+3))</f>
        <v/>
      </c>
      <c r="K463" s="27">
        <f>IF(OR($A463="",_Engine!$D$45=0),"",INDEX(_Engine!$E521:$X521,1,(_Engine!$J$45-1)*4+3))</f>
        <v/>
      </c>
    </row>
    <row r="464">
      <c r="A464" s="25">
        <f>IF(461&lt;=_Engine!$B$36,461,"")</f>
        <v/>
      </c>
      <c r="B464" s="26">
        <f>IF($A464="","",EDATE(_Engine!$B$5,$A464-1))</f>
        <v/>
      </c>
      <c r="C464" s="27">
        <f>IF($A464="","",_Engine!$AJ522)</f>
        <v/>
      </c>
      <c r="D464" s="27">
        <f>IF($A464="","",_Engine!$AK522)</f>
        <v/>
      </c>
      <c r="E464" s="27">
        <f>IF($A464="","",_Engine!$AJ522-_Engine!$AK522)</f>
        <v/>
      </c>
      <c r="F464" s="27">
        <f>IF($A464="","",_Engine!$AI522)</f>
        <v/>
      </c>
      <c r="G464" s="27">
        <f>IF(OR($A464="",_Engine!$D$41=0),"",INDEX(_Engine!$E522:$X522,1,(_Engine!$J$41-1)*4+3))</f>
        <v/>
      </c>
      <c r="H464" s="27">
        <f>IF(OR($A464="",_Engine!$D$42=0),"",INDEX(_Engine!$E522:$X522,1,(_Engine!$J$42-1)*4+3))</f>
        <v/>
      </c>
      <c r="I464" s="27">
        <f>IF(OR($A464="",_Engine!$D$43=0),"",INDEX(_Engine!$E522:$X522,1,(_Engine!$J$43-1)*4+3))</f>
        <v/>
      </c>
      <c r="J464" s="27">
        <f>IF(OR($A464="",_Engine!$D$44=0),"",INDEX(_Engine!$E522:$X522,1,(_Engine!$J$44-1)*4+3))</f>
        <v/>
      </c>
      <c r="K464" s="27">
        <f>IF(OR($A464="",_Engine!$D$45=0),"",INDEX(_Engine!$E522:$X522,1,(_Engine!$J$45-1)*4+3))</f>
        <v/>
      </c>
    </row>
    <row r="465">
      <c r="A465" s="25">
        <f>IF(462&lt;=_Engine!$B$36,462,"")</f>
        <v/>
      </c>
      <c r="B465" s="26">
        <f>IF($A465="","",EDATE(_Engine!$B$5,$A465-1))</f>
        <v/>
      </c>
      <c r="C465" s="27">
        <f>IF($A465="","",_Engine!$AJ523)</f>
        <v/>
      </c>
      <c r="D465" s="27">
        <f>IF($A465="","",_Engine!$AK523)</f>
        <v/>
      </c>
      <c r="E465" s="27">
        <f>IF($A465="","",_Engine!$AJ523-_Engine!$AK523)</f>
        <v/>
      </c>
      <c r="F465" s="27">
        <f>IF($A465="","",_Engine!$AI523)</f>
        <v/>
      </c>
      <c r="G465" s="27">
        <f>IF(OR($A465="",_Engine!$D$41=0),"",INDEX(_Engine!$E523:$X523,1,(_Engine!$J$41-1)*4+3))</f>
        <v/>
      </c>
      <c r="H465" s="27">
        <f>IF(OR($A465="",_Engine!$D$42=0),"",INDEX(_Engine!$E523:$X523,1,(_Engine!$J$42-1)*4+3))</f>
        <v/>
      </c>
      <c r="I465" s="27">
        <f>IF(OR($A465="",_Engine!$D$43=0),"",INDEX(_Engine!$E523:$X523,1,(_Engine!$J$43-1)*4+3))</f>
        <v/>
      </c>
      <c r="J465" s="27">
        <f>IF(OR($A465="",_Engine!$D$44=0),"",INDEX(_Engine!$E523:$X523,1,(_Engine!$J$44-1)*4+3))</f>
        <v/>
      </c>
      <c r="K465" s="27">
        <f>IF(OR($A465="",_Engine!$D$45=0),"",INDEX(_Engine!$E523:$X523,1,(_Engine!$J$45-1)*4+3))</f>
        <v/>
      </c>
    </row>
    <row r="466">
      <c r="A466" s="25">
        <f>IF(463&lt;=_Engine!$B$36,463,"")</f>
        <v/>
      </c>
      <c r="B466" s="26">
        <f>IF($A466="","",EDATE(_Engine!$B$5,$A466-1))</f>
        <v/>
      </c>
      <c r="C466" s="27">
        <f>IF($A466="","",_Engine!$AJ524)</f>
        <v/>
      </c>
      <c r="D466" s="27">
        <f>IF($A466="","",_Engine!$AK524)</f>
        <v/>
      </c>
      <c r="E466" s="27">
        <f>IF($A466="","",_Engine!$AJ524-_Engine!$AK524)</f>
        <v/>
      </c>
      <c r="F466" s="27">
        <f>IF($A466="","",_Engine!$AI524)</f>
        <v/>
      </c>
      <c r="G466" s="27">
        <f>IF(OR($A466="",_Engine!$D$41=0),"",INDEX(_Engine!$E524:$X524,1,(_Engine!$J$41-1)*4+3))</f>
        <v/>
      </c>
      <c r="H466" s="27">
        <f>IF(OR($A466="",_Engine!$D$42=0),"",INDEX(_Engine!$E524:$X524,1,(_Engine!$J$42-1)*4+3))</f>
        <v/>
      </c>
      <c r="I466" s="27">
        <f>IF(OR($A466="",_Engine!$D$43=0),"",INDEX(_Engine!$E524:$X524,1,(_Engine!$J$43-1)*4+3))</f>
        <v/>
      </c>
      <c r="J466" s="27">
        <f>IF(OR($A466="",_Engine!$D$44=0),"",INDEX(_Engine!$E524:$X524,1,(_Engine!$J$44-1)*4+3))</f>
        <v/>
      </c>
      <c r="K466" s="27">
        <f>IF(OR($A466="",_Engine!$D$45=0),"",INDEX(_Engine!$E524:$X524,1,(_Engine!$J$45-1)*4+3))</f>
        <v/>
      </c>
    </row>
    <row r="467">
      <c r="A467" s="25">
        <f>IF(464&lt;=_Engine!$B$36,464,"")</f>
        <v/>
      </c>
      <c r="B467" s="26">
        <f>IF($A467="","",EDATE(_Engine!$B$5,$A467-1))</f>
        <v/>
      </c>
      <c r="C467" s="27">
        <f>IF($A467="","",_Engine!$AJ525)</f>
        <v/>
      </c>
      <c r="D467" s="27">
        <f>IF($A467="","",_Engine!$AK525)</f>
        <v/>
      </c>
      <c r="E467" s="27">
        <f>IF($A467="","",_Engine!$AJ525-_Engine!$AK525)</f>
        <v/>
      </c>
      <c r="F467" s="27">
        <f>IF($A467="","",_Engine!$AI525)</f>
        <v/>
      </c>
      <c r="G467" s="27">
        <f>IF(OR($A467="",_Engine!$D$41=0),"",INDEX(_Engine!$E525:$X525,1,(_Engine!$J$41-1)*4+3))</f>
        <v/>
      </c>
      <c r="H467" s="27">
        <f>IF(OR($A467="",_Engine!$D$42=0),"",INDEX(_Engine!$E525:$X525,1,(_Engine!$J$42-1)*4+3))</f>
        <v/>
      </c>
      <c r="I467" s="27">
        <f>IF(OR($A467="",_Engine!$D$43=0),"",INDEX(_Engine!$E525:$X525,1,(_Engine!$J$43-1)*4+3))</f>
        <v/>
      </c>
      <c r="J467" s="27">
        <f>IF(OR($A467="",_Engine!$D$44=0),"",INDEX(_Engine!$E525:$X525,1,(_Engine!$J$44-1)*4+3))</f>
        <v/>
      </c>
      <c r="K467" s="27">
        <f>IF(OR($A467="",_Engine!$D$45=0),"",INDEX(_Engine!$E525:$X525,1,(_Engine!$J$45-1)*4+3))</f>
        <v/>
      </c>
    </row>
    <row r="468">
      <c r="A468" s="25">
        <f>IF(465&lt;=_Engine!$B$36,465,"")</f>
        <v/>
      </c>
      <c r="B468" s="26">
        <f>IF($A468="","",EDATE(_Engine!$B$5,$A468-1))</f>
        <v/>
      </c>
      <c r="C468" s="27">
        <f>IF($A468="","",_Engine!$AJ526)</f>
        <v/>
      </c>
      <c r="D468" s="27">
        <f>IF($A468="","",_Engine!$AK526)</f>
        <v/>
      </c>
      <c r="E468" s="27">
        <f>IF($A468="","",_Engine!$AJ526-_Engine!$AK526)</f>
        <v/>
      </c>
      <c r="F468" s="27">
        <f>IF($A468="","",_Engine!$AI526)</f>
        <v/>
      </c>
      <c r="G468" s="27">
        <f>IF(OR($A468="",_Engine!$D$41=0),"",INDEX(_Engine!$E526:$X526,1,(_Engine!$J$41-1)*4+3))</f>
        <v/>
      </c>
      <c r="H468" s="27">
        <f>IF(OR($A468="",_Engine!$D$42=0),"",INDEX(_Engine!$E526:$X526,1,(_Engine!$J$42-1)*4+3))</f>
        <v/>
      </c>
      <c r="I468" s="27">
        <f>IF(OR($A468="",_Engine!$D$43=0),"",INDEX(_Engine!$E526:$X526,1,(_Engine!$J$43-1)*4+3))</f>
        <v/>
      </c>
      <c r="J468" s="27">
        <f>IF(OR($A468="",_Engine!$D$44=0),"",INDEX(_Engine!$E526:$X526,1,(_Engine!$J$44-1)*4+3))</f>
        <v/>
      </c>
      <c r="K468" s="27">
        <f>IF(OR($A468="",_Engine!$D$45=0),"",INDEX(_Engine!$E526:$X526,1,(_Engine!$J$45-1)*4+3))</f>
        <v/>
      </c>
    </row>
    <row r="469">
      <c r="A469" s="25">
        <f>IF(466&lt;=_Engine!$B$36,466,"")</f>
        <v/>
      </c>
      <c r="B469" s="26">
        <f>IF($A469="","",EDATE(_Engine!$B$5,$A469-1))</f>
        <v/>
      </c>
      <c r="C469" s="27">
        <f>IF($A469="","",_Engine!$AJ527)</f>
        <v/>
      </c>
      <c r="D469" s="27">
        <f>IF($A469="","",_Engine!$AK527)</f>
        <v/>
      </c>
      <c r="E469" s="27">
        <f>IF($A469="","",_Engine!$AJ527-_Engine!$AK527)</f>
        <v/>
      </c>
      <c r="F469" s="27">
        <f>IF($A469="","",_Engine!$AI527)</f>
        <v/>
      </c>
      <c r="G469" s="27">
        <f>IF(OR($A469="",_Engine!$D$41=0),"",INDEX(_Engine!$E527:$X527,1,(_Engine!$J$41-1)*4+3))</f>
        <v/>
      </c>
      <c r="H469" s="27">
        <f>IF(OR($A469="",_Engine!$D$42=0),"",INDEX(_Engine!$E527:$X527,1,(_Engine!$J$42-1)*4+3))</f>
        <v/>
      </c>
      <c r="I469" s="27">
        <f>IF(OR($A469="",_Engine!$D$43=0),"",INDEX(_Engine!$E527:$X527,1,(_Engine!$J$43-1)*4+3))</f>
        <v/>
      </c>
      <c r="J469" s="27">
        <f>IF(OR($A469="",_Engine!$D$44=0),"",INDEX(_Engine!$E527:$X527,1,(_Engine!$J$44-1)*4+3))</f>
        <v/>
      </c>
      <c r="K469" s="27">
        <f>IF(OR($A469="",_Engine!$D$45=0),"",INDEX(_Engine!$E527:$X527,1,(_Engine!$J$45-1)*4+3))</f>
        <v/>
      </c>
    </row>
    <row r="470">
      <c r="A470" s="25">
        <f>IF(467&lt;=_Engine!$B$36,467,"")</f>
        <v/>
      </c>
      <c r="B470" s="26">
        <f>IF($A470="","",EDATE(_Engine!$B$5,$A470-1))</f>
        <v/>
      </c>
      <c r="C470" s="27">
        <f>IF($A470="","",_Engine!$AJ528)</f>
        <v/>
      </c>
      <c r="D470" s="27">
        <f>IF($A470="","",_Engine!$AK528)</f>
        <v/>
      </c>
      <c r="E470" s="27">
        <f>IF($A470="","",_Engine!$AJ528-_Engine!$AK528)</f>
        <v/>
      </c>
      <c r="F470" s="27">
        <f>IF($A470="","",_Engine!$AI528)</f>
        <v/>
      </c>
      <c r="G470" s="27">
        <f>IF(OR($A470="",_Engine!$D$41=0),"",INDEX(_Engine!$E528:$X528,1,(_Engine!$J$41-1)*4+3))</f>
        <v/>
      </c>
      <c r="H470" s="27">
        <f>IF(OR($A470="",_Engine!$D$42=0),"",INDEX(_Engine!$E528:$X528,1,(_Engine!$J$42-1)*4+3))</f>
        <v/>
      </c>
      <c r="I470" s="27">
        <f>IF(OR($A470="",_Engine!$D$43=0),"",INDEX(_Engine!$E528:$X528,1,(_Engine!$J$43-1)*4+3))</f>
        <v/>
      </c>
      <c r="J470" s="27">
        <f>IF(OR($A470="",_Engine!$D$44=0),"",INDEX(_Engine!$E528:$X528,1,(_Engine!$J$44-1)*4+3))</f>
        <v/>
      </c>
      <c r="K470" s="27">
        <f>IF(OR($A470="",_Engine!$D$45=0),"",INDEX(_Engine!$E528:$X528,1,(_Engine!$J$45-1)*4+3))</f>
        <v/>
      </c>
    </row>
    <row r="471">
      <c r="A471" s="25">
        <f>IF(468&lt;=_Engine!$B$36,468,"")</f>
        <v/>
      </c>
      <c r="B471" s="26">
        <f>IF($A471="","",EDATE(_Engine!$B$5,$A471-1))</f>
        <v/>
      </c>
      <c r="C471" s="27">
        <f>IF($A471="","",_Engine!$AJ529)</f>
        <v/>
      </c>
      <c r="D471" s="27">
        <f>IF($A471="","",_Engine!$AK529)</f>
        <v/>
      </c>
      <c r="E471" s="27">
        <f>IF($A471="","",_Engine!$AJ529-_Engine!$AK529)</f>
        <v/>
      </c>
      <c r="F471" s="27">
        <f>IF($A471="","",_Engine!$AI529)</f>
        <v/>
      </c>
      <c r="G471" s="27">
        <f>IF(OR($A471="",_Engine!$D$41=0),"",INDEX(_Engine!$E529:$X529,1,(_Engine!$J$41-1)*4+3))</f>
        <v/>
      </c>
      <c r="H471" s="27">
        <f>IF(OR($A471="",_Engine!$D$42=0),"",INDEX(_Engine!$E529:$X529,1,(_Engine!$J$42-1)*4+3))</f>
        <v/>
      </c>
      <c r="I471" s="27">
        <f>IF(OR($A471="",_Engine!$D$43=0),"",INDEX(_Engine!$E529:$X529,1,(_Engine!$J$43-1)*4+3))</f>
        <v/>
      </c>
      <c r="J471" s="27">
        <f>IF(OR($A471="",_Engine!$D$44=0),"",INDEX(_Engine!$E529:$X529,1,(_Engine!$J$44-1)*4+3))</f>
        <v/>
      </c>
      <c r="K471" s="27">
        <f>IF(OR($A471="",_Engine!$D$45=0),"",INDEX(_Engine!$E529:$X529,1,(_Engine!$J$45-1)*4+3))</f>
        <v/>
      </c>
    </row>
    <row r="472">
      <c r="A472" s="25">
        <f>IF(469&lt;=_Engine!$B$36,469,"")</f>
        <v/>
      </c>
      <c r="B472" s="26">
        <f>IF($A472="","",EDATE(_Engine!$B$5,$A472-1))</f>
        <v/>
      </c>
      <c r="C472" s="27">
        <f>IF($A472="","",_Engine!$AJ530)</f>
        <v/>
      </c>
      <c r="D472" s="27">
        <f>IF($A472="","",_Engine!$AK530)</f>
        <v/>
      </c>
      <c r="E472" s="27">
        <f>IF($A472="","",_Engine!$AJ530-_Engine!$AK530)</f>
        <v/>
      </c>
      <c r="F472" s="27">
        <f>IF($A472="","",_Engine!$AI530)</f>
        <v/>
      </c>
      <c r="G472" s="27">
        <f>IF(OR($A472="",_Engine!$D$41=0),"",INDEX(_Engine!$E530:$X530,1,(_Engine!$J$41-1)*4+3))</f>
        <v/>
      </c>
      <c r="H472" s="27">
        <f>IF(OR($A472="",_Engine!$D$42=0),"",INDEX(_Engine!$E530:$X530,1,(_Engine!$J$42-1)*4+3))</f>
        <v/>
      </c>
      <c r="I472" s="27">
        <f>IF(OR($A472="",_Engine!$D$43=0),"",INDEX(_Engine!$E530:$X530,1,(_Engine!$J$43-1)*4+3))</f>
        <v/>
      </c>
      <c r="J472" s="27">
        <f>IF(OR($A472="",_Engine!$D$44=0),"",INDEX(_Engine!$E530:$X530,1,(_Engine!$J$44-1)*4+3))</f>
        <v/>
      </c>
      <c r="K472" s="27">
        <f>IF(OR($A472="",_Engine!$D$45=0),"",INDEX(_Engine!$E530:$X530,1,(_Engine!$J$45-1)*4+3))</f>
        <v/>
      </c>
    </row>
    <row r="473">
      <c r="A473" s="25">
        <f>IF(470&lt;=_Engine!$B$36,470,"")</f>
        <v/>
      </c>
      <c r="B473" s="26">
        <f>IF($A473="","",EDATE(_Engine!$B$5,$A473-1))</f>
        <v/>
      </c>
      <c r="C473" s="27">
        <f>IF($A473="","",_Engine!$AJ531)</f>
        <v/>
      </c>
      <c r="D473" s="27">
        <f>IF($A473="","",_Engine!$AK531)</f>
        <v/>
      </c>
      <c r="E473" s="27">
        <f>IF($A473="","",_Engine!$AJ531-_Engine!$AK531)</f>
        <v/>
      </c>
      <c r="F473" s="27">
        <f>IF($A473="","",_Engine!$AI531)</f>
        <v/>
      </c>
      <c r="G473" s="27">
        <f>IF(OR($A473="",_Engine!$D$41=0),"",INDEX(_Engine!$E531:$X531,1,(_Engine!$J$41-1)*4+3))</f>
        <v/>
      </c>
      <c r="H473" s="27">
        <f>IF(OR($A473="",_Engine!$D$42=0),"",INDEX(_Engine!$E531:$X531,1,(_Engine!$J$42-1)*4+3))</f>
        <v/>
      </c>
      <c r="I473" s="27">
        <f>IF(OR($A473="",_Engine!$D$43=0),"",INDEX(_Engine!$E531:$X531,1,(_Engine!$J$43-1)*4+3))</f>
        <v/>
      </c>
      <c r="J473" s="27">
        <f>IF(OR($A473="",_Engine!$D$44=0),"",INDEX(_Engine!$E531:$X531,1,(_Engine!$J$44-1)*4+3))</f>
        <v/>
      </c>
      <c r="K473" s="27">
        <f>IF(OR($A473="",_Engine!$D$45=0),"",INDEX(_Engine!$E531:$X531,1,(_Engine!$J$45-1)*4+3))</f>
        <v/>
      </c>
    </row>
    <row r="474">
      <c r="A474" s="25">
        <f>IF(471&lt;=_Engine!$B$36,471,"")</f>
        <v/>
      </c>
      <c r="B474" s="26">
        <f>IF($A474="","",EDATE(_Engine!$B$5,$A474-1))</f>
        <v/>
      </c>
      <c r="C474" s="27">
        <f>IF($A474="","",_Engine!$AJ532)</f>
        <v/>
      </c>
      <c r="D474" s="27">
        <f>IF($A474="","",_Engine!$AK532)</f>
        <v/>
      </c>
      <c r="E474" s="27">
        <f>IF($A474="","",_Engine!$AJ532-_Engine!$AK532)</f>
        <v/>
      </c>
      <c r="F474" s="27">
        <f>IF($A474="","",_Engine!$AI532)</f>
        <v/>
      </c>
      <c r="G474" s="27">
        <f>IF(OR($A474="",_Engine!$D$41=0),"",INDEX(_Engine!$E532:$X532,1,(_Engine!$J$41-1)*4+3))</f>
        <v/>
      </c>
      <c r="H474" s="27">
        <f>IF(OR($A474="",_Engine!$D$42=0),"",INDEX(_Engine!$E532:$X532,1,(_Engine!$J$42-1)*4+3))</f>
        <v/>
      </c>
      <c r="I474" s="27">
        <f>IF(OR($A474="",_Engine!$D$43=0),"",INDEX(_Engine!$E532:$X532,1,(_Engine!$J$43-1)*4+3))</f>
        <v/>
      </c>
      <c r="J474" s="27">
        <f>IF(OR($A474="",_Engine!$D$44=0),"",INDEX(_Engine!$E532:$X532,1,(_Engine!$J$44-1)*4+3))</f>
        <v/>
      </c>
      <c r="K474" s="27">
        <f>IF(OR($A474="",_Engine!$D$45=0),"",INDEX(_Engine!$E532:$X532,1,(_Engine!$J$45-1)*4+3))</f>
        <v/>
      </c>
    </row>
    <row r="475">
      <c r="A475" s="25">
        <f>IF(472&lt;=_Engine!$B$36,472,"")</f>
        <v/>
      </c>
      <c r="B475" s="26">
        <f>IF($A475="","",EDATE(_Engine!$B$5,$A475-1))</f>
        <v/>
      </c>
      <c r="C475" s="27">
        <f>IF($A475="","",_Engine!$AJ533)</f>
        <v/>
      </c>
      <c r="D475" s="27">
        <f>IF($A475="","",_Engine!$AK533)</f>
        <v/>
      </c>
      <c r="E475" s="27">
        <f>IF($A475="","",_Engine!$AJ533-_Engine!$AK533)</f>
        <v/>
      </c>
      <c r="F475" s="27">
        <f>IF($A475="","",_Engine!$AI533)</f>
        <v/>
      </c>
      <c r="G475" s="27">
        <f>IF(OR($A475="",_Engine!$D$41=0),"",INDEX(_Engine!$E533:$X533,1,(_Engine!$J$41-1)*4+3))</f>
        <v/>
      </c>
      <c r="H475" s="27">
        <f>IF(OR($A475="",_Engine!$D$42=0),"",INDEX(_Engine!$E533:$X533,1,(_Engine!$J$42-1)*4+3))</f>
        <v/>
      </c>
      <c r="I475" s="27">
        <f>IF(OR($A475="",_Engine!$D$43=0),"",INDEX(_Engine!$E533:$X533,1,(_Engine!$J$43-1)*4+3))</f>
        <v/>
      </c>
      <c r="J475" s="27">
        <f>IF(OR($A475="",_Engine!$D$44=0),"",INDEX(_Engine!$E533:$X533,1,(_Engine!$J$44-1)*4+3))</f>
        <v/>
      </c>
      <c r="K475" s="27">
        <f>IF(OR($A475="",_Engine!$D$45=0),"",INDEX(_Engine!$E533:$X533,1,(_Engine!$J$45-1)*4+3))</f>
        <v/>
      </c>
    </row>
    <row r="476">
      <c r="A476" s="25">
        <f>IF(473&lt;=_Engine!$B$36,473,"")</f>
        <v/>
      </c>
      <c r="B476" s="26">
        <f>IF($A476="","",EDATE(_Engine!$B$5,$A476-1))</f>
        <v/>
      </c>
      <c r="C476" s="27">
        <f>IF($A476="","",_Engine!$AJ534)</f>
        <v/>
      </c>
      <c r="D476" s="27">
        <f>IF($A476="","",_Engine!$AK534)</f>
        <v/>
      </c>
      <c r="E476" s="27">
        <f>IF($A476="","",_Engine!$AJ534-_Engine!$AK534)</f>
        <v/>
      </c>
      <c r="F476" s="27">
        <f>IF($A476="","",_Engine!$AI534)</f>
        <v/>
      </c>
      <c r="G476" s="27">
        <f>IF(OR($A476="",_Engine!$D$41=0),"",INDEX(_Engine!$E534:$X534,1,(_Engine!$J$41-1)*4+3))</f>
        <v/>
      </c>
      <c r="H476" s="27">
        <f>IF(OR($A476="",_Engine!$D$42=0),"",INDEX(_Engine!$E534:$X534,1,(_Engine!$J$42-1)*4+3))</f>
        <v/>
      </c>
      <c r="I476" s="27">
        <f>IF(OR($A476="",_Engine!$D$43=0),"",INDEX(_Engine!$E534:$X534,1,(_Engine!$J$43-1)*4+3))</f>
        <v/>
      </c>
      <c r="J476" s="27">
        <f>IF(OR($A476="",_Engine!$D$44=0),"",INDEX(_Engine!$E534:$X534,1,(_Engine!$J$44-1)*4+3))</f>
        <v/>
      </c>
      <c r="K476" s="27">
        <f>IF(OR($A476="",_Engine!$D$45=0),"",INDEX(_Engine!$E534:$X534,1,(_Engine!$J$45-1)*4+3))</f>
        <v/>
      </c>
    </row>
    <row r="477">
      <c r="A477" s="25">
        <f>IF(474&lt;=_Engine!$B$36,474,"")</f>
        <v/>
      </c>
      <c r="B477" s="26">
        <f>IF($A477="","",EDATE(_Engine!$B$5,$A477-1))</f>
        <v/>
      </c>
      <c r="C477" s="27">
        <f>IF($A477="","",_Engine!$AJ535)</f>
        <v/>
      </c>
      <c r="D477" s="27">
        <f>IF($A477="","",_Engine!$AK535)</f>
        <v/>
      </c>
      <c r="E477" s="27">
        <f>IF($A477="","",_Engine!$AJ535-_Engine!$AK535)</f>
        <v/>
      </c>
      <c r="F477" s="27">
        <f>IF($A477="","",_Engine!$AI535)</f>
        <v/>
      </c>
      <c r="G477" s="27">
        <f>IF(OR($A477="",_Engine!$D$41=0),"",INDEX(_Engine!$E535:$X535,1,(_Engine!$J$41-1)*4+3))</f>
        <v/>
      </c>
      <c r="H477" s="27">
        <f>IF(OR($A477="",_Engine!$D$42=0),"",INDEX(_Engine!$E535:$X535,1,(_Engine!$J$42-1)*4+3))</f>
        <v/>
      </c>
      <c r="I477" s="27">
        <f>IF(OR($A477="",_Engine!$D$43=0),"",INDEX(_Engine!$E535:$X535,1,(_Engine!$J$43-1)*4+3))</f>
        <v/>
      </c>
      <c r="J477" s="27">
        <f>IF(OR($A477="",_Engine!$D$44=0),"",INDEX(_Engine!$E535:$X535,1,(_Engine!$J$44-1)*4+3))</f>
        <v/>
      </c>
      <c r="K477" s="27">
        <f>IF(OR($A477="",_Engine!$D$45=0),"",INDEX(_Engine!$E535:$X535,1,(_Engine!$J$45-1)*4+3))</f>
        <v/>
      </c>
    </row>
    <row r="478">
      <c r="A478" s="25">
        <f>IF(475&lt;=_Engine!$B$36,475,"")</f>
        <v/>
      </c>
      <c r="B478" s="26">
        <f>IF($A478="","",EDATE(_Engine!$B$5,$A478-1))</f>
        <v/>
      </c>
      <c r="C478" s="27">
        <f>IF($A478="","",_Engine!$AJ536)</f>
        <v/>
      </c>
      <c r="D478" s="27">
        <f>IF($A478="","",_Engine!$AK536)</f>
        <v/>
      </c>
      <c r="E478" s="27">
        <f>IF($A478="","",_Engine!$AJ536-_Engine!$AK536)</f>
        <v/>
      </c>
      <c r="F478" s="27">
        <f>IF($A478="","",_Engine!$AI536)</f>
        <v/>
      </c>
      <c r="G478" s="27">
        <f>IF(OR($A478="",_Engine!$D$41=0),"",INDEX(_Engine!$E536:$X536,1,(_Engine!$J$41-1)*4+3))</f>
        <v/>
      </c>
      <c r="H478" s="27">
        <f>IF(OR($A478="",_Engine!$D$42=0),"",INDEX(_Engine!$E536:$X536,1,(_Engine!$J$42-1)*4+3))</f>
        <v/>
      </c>
      <c r="I478" s="27">
        <f>IF(OR($A478="",_Engine!$D$43=0),"",INDEX(_Engine!$E536:$X536,1,(_Engine!$J$43-1)*4+3))</f>
        <v/>
      </c>
      <c r="J478" s="27">
        <f>IF(OR($A478="",_Engine!$D$44=0),"",INDEX(_Engine!$E536:$X536,1,(_Engine!$J$44-1)*4+3))</f>
        <v/>
      </c>
      <c r="K478" s="27">
        <f>IF(OR($A478="",_Engine!$D$45=0),"",INDEX(_Engine!$E536:$X536,1,(_Engine!$J$45-1)*4+3))</f>
        <v/>
      </c>
    </row>
    <row r="479">
      <c r="A479" s="25">
        <f>IF(476&lt;=_Engine!$B$36,476,"")</f>
        <v/>
      </c>
      <c r="B479" s="26">
        <f>IF($A479="","",EDATE(_Engine!$B$5,$A479-1))</f>
        <v/>
      </c>
      <c r="C479" s="27">
        <f>IF($A479="","",_Engine!$AJ537)</f>
        <v/>
      </c>
      <c r="D479" s="27">
        <f>IF($A479="","",_Engine!$AK537)</f>
        <v/>
      </c>
      <c r="E479" s="27">
        <f>IF($A479="","",_Engine!$AJ537-_Engine!$AK537)</f>
        <v/>
      </c>
      <c r="F479" s="27">
        <f>IF($A479="","",_Engine!$AI537)</f>
        <v/>
      </c>
      <c r="G479" s="27">
        <f>IF(OR($A479="",_Engine!$D$41=0),"",INDEX(_Engine!$E537:$X537,1,(_Engine!$J$41-1)*4+3))</f>
        <v/>
      </c>
      <c r="H479" s="27">
        <f>IF(OR($A479="",_Engine!$D$42=0),"",INDEX(_Engine!$E537:$X537,1,(_Engine!$J$42-1)*4+3))</f>
        <v/>
      </c>
      <c r="I479" s="27">
        <f>IF(OR($A479="",_Engine!$D$43=0),"",INDEX(_Engine!$E537:$X537,1,(_Engine!$J$43-1)*4+3))</f>
        <v/>
      </c>
      <c r="J479" s="27">
        <f>IF(OR($A479="",_Engine!$D$44=0),"",INDEX(_Engine!$E537:$X537,1,(_Engine!$J$44-1)*4+3))</f>
        <v/>
      </c>
      <c r="K479" s="27">
        <f>IF(OR($A479="",_Engine!$D$45=0),"",INDEX(_Engine!$E537:$X537,1,(_Engine!$J$45-1)*4+3))</f>
        <v/>
      </c>
    </row>
    <row r="480">
      <c r="A480" s="25">
        <f>IF(477&lt;=_Engine!$B$36,477,"")</f>
        <v/>
      </c>
      <c r="B480" s="26">
        <f>IF($A480="","",EDATE(_Engine!$B$5,$A480-1))</f>
        <v/>
      </c>
      <c r="C480" s="27">
        <f>IF($A480="","",_Engine!$AJ538)</f>
        <v/>
      </c>
      <c r="D480" s="27">
        <f>IF($A480="","",_Engine!$AK538)</f>
        <v/>
      </c>
      <c r="E480" s="27">
        <f>IF($A480="","",_Engine!$AJ538-_Engine!$AK538)</f>
        <v/>
      </c>
      <c r="F480" s="27">
        <f>IF($A480="","",_Engine!$AI538)</f>
        <v/>
      </c>
      <c r="G480" s="27">
        <f>IF(OR($A480="",_Engine!$D$41=0),"",INDEX(_Engine!$E538:$X538,1,(_Engine!$J$41-1)*4+3))</f>
        <v/>
      </c>
      <c r="H480" s="27">
        <f>IF(OR($A480="",_Engine!$D$42=0),"",INDEX(_Engine!$E538:$X538,1,(_Engine!$J$42-1)*4+3))</f>
        <v/>
      </c>
      <c r="I480" s="27">
        <f>IF(OR($A480="",_Engine!$D$43=0),"",INDEX(_Engine!$E538:$X538,1,(_Engine!$J$43-1)*4+3))</f>
        <v/>
      </c>
      <c r="J480" s="27">
        <f>IF(OR($A480="",_Engine!$D$44=0),"",INDEX(_Engine!$E538:$X538,1,(_Engine!$J$44-1)*4+3))</f>
        <v/>
      </c>
      <c r="K480" s="27">
        <f>IF(OR($A480="",_Engine!$D$45=0),"",INDEX(_Engine!$E538:$X538,1,(_Engine!$J$45-1)*4+3))</f>
        <v/>
      </c>
    </row>
    <row r="481">
      <c r="A481" s="25">
        <f>IF(478&lt;=_Engine!$B$36,478,"")</f>
        <v/>
      </c>
      <c r="B481" s="26">
        <f>IF($A481="","",EDATE(_Engine!$B$5,$A481-1))</f>
        <v/>
      </c>
      <c r="C481" s="27">
        <f>IF($A481="","",_Engine!$AJ539)</f>
        <v/>
      </c>
      <c r="D481" s="27">
        <f>IF($A481="","",_Engine!$AK539)</f>
        <v/>
      </c>
      <c r="E481" s="27">
        <f>IF($A481="","",_Engine!$AJ539-_Engine!$AK539)</f>
        <v/>
      </c>
      <c r="F481" s="27">
        <f>IF($A481="","",_Engine!$AI539)</f>
        <v/>
      </c>
      <c r="G481" s="27">
        <f>IF(OR($A481="",_Engine!$D$41=0),"",INDEX(_Engine!$E539:$X539,1,(_Engine!$J$41-1)*4+3))</f>
        <v/>
      </c>
      <c r="H481" s="27">
        <f>IF(OR($A481="",_Engine!$D$42=0),"",INDEX(_Engine!$E539:$X539,1,(_Engine!$J$42-1)*4+3))</f>
        <v/>
      </c>
      <c r="I481" s="27">
        <f>IF(OR($A481="",_Engine!$D$43=0),"",INDEX(_Engine!$E539:$X539,1,(_Engine!$J$43-1)*4+3))</f>
        <v/>
      </c>
      <c r="J481" s="27">
        <f>IF(OR($A481="",_Engine!$D$44=0),"",INDEX(_Engine!$E539:$X539,1,(_Engine!$J$44-1)*4+3))</f>
        <v/>
      </c>
      <c r="K481" s="27">
        <f>IF(OR($A481="",_Engine!$D$45=0),"",INDEX(_Engine!$E539:$X539,1,(_Engine!$J$45-1)*4+3))</f>
        <v/>
      </c>
    </row>
    <row r="482">
      <c r="A482" s="25">
        <f>IF(479&lt;=_Engine!$B$36,479,"")</f>
        <v/>
      </c>
      <c r="B482" s="26">
        <f>IF($A482="","",EDATE(_Engine!$B$5,$A482-1))</f>
        <v/>
      </c>
      <c r="C482" s="27">
        <f>IF($A482="","",_Engine!$AJ540)</f>
        <v/>
      </c>
      <c r="D482" s="27">
        <f>IF($A482="","",_Engine!$AK540)</f>
        <v/>
      </c>
      <c r="E482" s="27">
        <f>IF($A482="","",_Engine!$AJ540-_Engine!$AK540)</f>
        <v/>
      </c>
      <c r="F482" s="27">
        <f>IF($A482="","",_Engine!$AI540)</f>
        <v/>
      </c>
      <c r="G482" s="27">
        <f>IF(OR($A482="",_Engine!$D$41=0),"",INDEX(_Engine!$E540:$X540,1,(_Engine!$J$41-1)*4+3))</f>
        <v/>
      </c>
      <c r="H482" s="27">
        <f>IF(OR($A482="",_Engine!$D$42=0),"",INDEX(_Engine!$E540:$X540,1,(_Engine!$J$42-1)*4+3))</f>
        <v/>
      </c>
      <c r="I482" s="27">
        <f>IF(OR($A482="",_Engine!$D$43=0),"",INDEX(_Engine!$E540:$X540,1,(_Engine!$J$43-1)*4+3))</f>
        <v/>
      </c>
      <c r="J482" s="27">
        <f>IF(OR($A482="",_Engine!$D$44=0),"",INDEX(_Engine!$E540:$X540,1,(_Engine!$J$44-1)*4+3))</f>
        <v/>
      </c>
      <c r="K482" s="27">
        <f>IF(OR($A482="",_Engine!$D$45=0),"",INDEX(_Engine!$E540:$X540,1,(_Engine!$J$45-1)*4+3))</f>
        <v/>
      </c>
    </row>
    <row r="483">
      <c r="A483" s="25">
        <f>IF(480&lt;=_Engine!$B$36,480,"")</f>
        <v/>
      </c>
      <c r="B483" s="26">
        <f>IF($A483="","",EDATE(_Engine!$B$5,$A483-1))</f>
        <v/>
      </c>
      <c r="C483" s="27">
        <f>IF($A483="","",_Engine!$AJ541)</f>
        <v/>
      </c>
      <c r="D483" s="27">
        <f>IF($A483="","",_Engine!$AK541)</f>
        <v/>
      </c>
      <c r="E483" s="27">
        <f>IF($A483="","",_Engine!$AJ541-_Engine!$AK541)</f>
        <v/>
      </c>
      <c r="F483" s="27">
        <f>IF($A483="","",_Engine!$AI541)</f>
        <v/>
      </c>
      <c r="G483" s="27">
        <f>IF(OR($A483="",_Engine!$D$41=0),"",INDEX(_Engine!$E541:$X541,1,(_Engine!$J$41-1)*4+3))</f>
        <v/>
      </c>
      <c r="H483" s="27">
        <f>IF(OR($A483="",_Engine!$D$42=0),"",INDEX(_Engine!$E541:$X541,1,(_Engine!$J$42-1)*4+3))</f>
        <v/>
      </c>
      <c r="I483" s="27">
        <f>IF(OR($A483="",_Engine!$D$43=0),"",INDEX(_Engine!$E541:$X541,1,(_Engine!$J$43-1)*4+3))</f>
        <v/>
      </c>
      <c r="J483" s="27">
        <f>IF(OR($A483="",_Engine!$D$44=0),"",INDEX(_Engine!$E541:$X541,1,(_Engine!$J$44-1)*4+3))</f>
        <v/>
      </c>
      <c r="K483" s="27">
        <f>IF(OR($A483="",_Engine!$D$45=0),"",INDEX(_Engine!$E541:$X541,1,(_Engine!$J$45-1)*4+3))</f>
        <v/>
      </c>
    </row>
    <row r="484">
      <c r="A484" s="25">
        <f>IF(481&lt;=_Engine!$B$36,481,"")</f>
        <v/>
      </c>
      <c r="B484" s="26">
        <f>IF($A484="","",EDATE(_Engine!$B$5,$A484-1))</f>
        <v/>
      </c>
      <c r="C484" s="27">
        <f>IF($A484="","",_Engine!$AJ542)</f>
        <v/>
      </c>
      <c r="D484" s="27">
        <f>IF($A484="","",_Engine!$AK542)</f>
        <v/>
      </c>
      <c r="E484" s="27">
        <f>IF($A484="","",_Engine!$AJ542-_Engine!$AK542)</f>
        <v/>
      </c>
      <c r="F484" s="27">
        <f>IF($A484="","",_Engine!$AI542)</f>
        <v/>
      </c>
      <c r="G484" s="27">
        <f>IF(OR($A484="",_Engine!$D$41=0),"",INDEX(_Engine!$E542:$X542,1,(_Engine!$J$41-1)*4+3))</f>
        <v/>
      </c>
      <c r="H484" s="27">
        <f>IF(OR($A484="",_Engine!$D$42=0),"",INDEX(_Engine!$E542:$X542,1,(_Engine!$J$42-1)*4+3))</f>
        <v/>
      </c>
      <c r="I484" s="27">
        <f>IF(OR($A484="",_Engine!$D$43=0),"",INDEX(_Engine!$E542:$X542,1,(_Engine!$J$43-1)*4+3))</f>
        <v/>
      </c>
      <c r="J484" s="27">
        <f>IF(OR($A484="",_Engine!$D$44=0),"",INDEX(_Engine!$E542:$X542,1,(_Engine!$J$44-1)*4+3))</f>
        <v/>
      </c>
      <c r="K484" s="27">
        <f>IF(OR($A484="",_Engine!$D$45=0),"",INDEX(_Engine!$E542:$X542,1,(_Engine!$J$45-1)*4+3))</f>
        <v/>
      </c>
    </row>
    <row r="485">
      <c r="A485" s="25">
        <f>IF(482&lt;=_Engine!$B$36,482,"")</f>
        <v/>
      </c>
      <c r="B485" s="26">
        <f>IF($A485="","",EDATE(_Engine!$B$5,$A485-1))</f>
        <v/>
      </c>
      <c r="C485" s="27">
        <f>IF($A485="","",_Engine!$AJ543)</f>
        <v/>
      </c>
      <c r="D485" s="27">
        <f>IF($A485="","",_Engine!$AK543)</f>
        <v/>
      </c>
      <c r="E485" s="27">
        <f>IF($A485="","",_Engine!$AJ543-_Engine!$AK543)</f>
        <v/>
      </c>
      <c r="F485" s="27">
        <f>IF($A485="","",_Engine!$AI543)</f>
        <v/>
      </c>
      <c r="G485" s="27">
        <f>IF(OR($A485="",_Engine!$D$41=0),"",INDEX(_Engine!$E543:$X543,1,(_Engine!$J$41-1)*4+3))</f>
        <v/>
      </c>
      <c r="H485" s="27">
        <f>IF(OR($A485="",_Engine!$D$42=0),"",INDEX(_Engine!$E543:$X543,1,(_Engine!$J$42-1)*4+3))</f>
        <v/>
      </c>
      <c r="I485" s="27">
        <f>IF(OR($A485="",_Engine!$D$43=0),"",INDEX(_Engine!$E543:$X543,1,(_Engine!$J$43-1)*4+3))</f>
        <v/>
      </c>
      <c r="J485" s="27">
        <f>IF(OR($A485="",_Engine!$D$44=0),"",INDEX(_Engine!$E543:$X543,1,(_Engine!$J$44-1)*4+3))</f>
        <v/>
      </c>
      <c r="K485" s="27">
        <f>IF(OR($A485="",_Engine!$D$45=0),"",INDEX(_Engine!$E543:$X543,1,(_Engine!$J$45-1)*4+3))</f>
        <v/>
      </c>
    </row>
    <row r="486">
      <c r="A486" s="25">
        <f>IF(483&lt;=_Engine!$B$36,483,"")</f>
        <v/>
      </c>
      <c r="B486" s="26">
        <f>IF($A486="","",EDATE(_Engine!$B$5,$A486-1))</f>
        <v/>
      </c>
      <c r="C486" s="27">
        <f>IF($A486="","",_Engine!$AJ544)</f>
        <v/>
      </c>
      <c r="D486" s="27">
        <f>IF($A486="","",_Engine!$AK544)</f>
        <v/>
      </c>
      <c r="E486" s="27">
        <f>IF($A486="","",_Engine!$AJ544-_Engine!$AK544)</f>
        <v/>
      </c>
      <c r="F486" s="27">
        <f>IF($A486="","",_Engine!$AI544)</f>
        <v/>
      </c>
      <c r="G486" s="27">
        <f>IF(OR($A486="",_Engine!$D$41=0),"",INDEX(_Engine!$E544:$X544,1,(_Engine!$J$41-1)*4+3))</f>
        <v/>
      </c>
      <c r="H486" s="27">
        <f>IF(OR($A486="",_Engine!$D$42=0),"",INDEX(_Engine!$E544:$X544,1,(_Engine!$J$42-1)*4+3))</f>
        <v/>
      </c>
      <c r="I486" s="27">
        <f>IF(OR($A486="",_Engine!$D$43=0),"",INDEX(_Engine!$E544:$X544,1,(_Engine!$J$43-1)*4+3))</f>
        <v/>
      </c>
      <c r="J486" s="27">
        <f>IF(OR($A486="",_Engine!$D$44=0),"",INDEX(_Engine!$E544:$X544,1,(_Engine!$J$44-1)*4+3))</f>
        <v/>
      </c>
      <c r="K486" s="27">
        <f>IF(OR($A486="",_Engine!$D$45=0),"",INDEX(_Engine!$E544:$X544,1,(_Engine!$J$45-1)*4+3))</f>
        <v/>
      </c>
    </row>
    <row r="487">
      <c r="A487" s="25">
        <f>IF(484&lt;=_Engine!$B$36,484,"")</f>
        <v/>
      </c>
      <c r="B487" s="26">
        <f>IF($A487="","",EDATE(_Engine!$B$5,$A487-1))</f>
        <v/>
      </c>
      <c r="C487" s="27">
        <f>IF($A487="","",_Engine!$AJ545)</f>
        <v/>
      </c>
      <c r="D487" s="27">
        <f>IF($A487="","",_Engine!$AK545)</f>
        <v/>
      </c>
      <c r="E487" s="27">
        <f>IF($A487="","",_Engine!$AJ545-_Engine!$AK545)</f>
        <v/>
      </c>
      <c r="F487" s="27">
        <f>IF($A487="","",_Engine!$AI545)</f>
        <v/>
      </c>
      <c r="G487" s="27">
        <f>IF(OR($A487="",_Engine!$D$41=0),"",INDEX(_Engine!$E545:$X545,1,(_Engine!$J$41-1)*4+3))</f>
        <v/>
      </c>
      <c r="H487" s="27">
        <f>IF(OR($A487="",_Engine!$D$42=0),"",INDEX(_Engine!$E545:$X545,1,(_Engine!$J$42-1)*4+3))</f>
        <v/>
      </c>
      <c r="I487" s="27">
        <f>IF(OR($A487="",_Engine!$D$43=0),"",INDEX(_Engine!$E545:$X545,1,(_Engine!$J$43-1)*4+3))</f>
        <v/>
      </c>
      <c r="J487" s="27">
        <f>IF(OR($A487="",_Engine!$D$44=0),"",INDEX(_Engine!$E545:$X545,1,(_Engine!$J$44-1)*4+3))</f>
        <v/>
      </c>
      <c r="K487" s="27">
        <f>IF(OR($A487="",_Engine!$D$45=0),"",INDEX(_Engine!$E545:$X545,1,(_Engine!$J$45-1)*4+3))</f>
        <v/>
      </c>
    </row>
    <row r="488">
      <c r="A488" s="25">
        <f>IF(485&lt;=_Engine!$B$36,485,"")</f>
        <v/>
      </c>
      <c r="B488" s="26">
        <f>IF($A488="","",EDATE(_Engine!$B$5,$A488-1))</f>
        <v/>
      </c>
      <c r="C488" s="27">
        <f>IF($A488="","",_Engine!$AJ546)</f>
        <v/>
      </c>
      <c r="D488" s="27">
        <f>IF($A488="","",_Engine!$AK546)</f>
        <v/>
      </c>
      <c r="E488" s="27">
        <f>IF($A488="","",_Engine!$AJ546-_Engine!$AK546)</f>
        <v/>
      </c>
      <c r="F488" s="27">
        <f>IF($A488="","",_Engine!$AI546)</f>
        <v/>
      </c>
      <c r="G488" s="27">
        <f>IF(OR($A488="",_Engine!$D$41=0),"",INDEX(_Engine!$E546:$X546,1,(_Engine!$J$41-1)*4+3))</f>
        <v/>
      </c>
      <c r="H488" s="27">
        <f>IF(OR($A488="",_Engine!$D$42=0),"",INDEX(_Engine!$E546:$X546,1,(_Engine!$J$42-1)*4+3))</f>
        <v/>
      </c>
      <c r="I488" s="27">
        <f>IF(OR($A488="",_Engine!$D$43=0),"",INDEX(_Engine!$E546:$X546,1,(_Engine!$J$43-1)*4+3))</f>
        <v/>
      </c>
      <c r="J488" s="27">
        <f>IF(OR($A488="",_Engine!$D$44=0),"",INDEX(_Engine!$E546:$X546,1,(_Engine!$J$44-1)*4+3))</f>
        <v/>
      </c>
      <c r="K488" s="27">
        <f>IF(OR($A488="",_Engine!$D$45=0),"",INDEX(_Engine!$E546:$X546,1,(_Engine!$J$45-1)*4+3))</f>
        <v/>
      </c>
    </row>
    <row r="489">
      <c r="A489" s="25">
        <f>IF(486&lt;=_Engine!$B$36,486,"")</f>
        <v/>
      </c>
      <c r="B489" s="26">
        <f>IF($A489="","",EDATE(_Engine!$B$5,$A489-1))</f>
        <v/>
      </c>
      <c r="C489" s="27">
        <f>IF($A489="","",_Engine!$AJ547)</f>
        <v/>
      </c>
      <c r="D489" s="27">
        <f>IF($A489="","",_Engine!$AK547)</f>
        <v/>
      </c>
      <c r="E489" s="27">
        <f>IF($A489="","",_Engine!$AJ547-_Engine!$AK547)</f>
        <v/>
      </c>
      <c r="F489" s="27">
        <f>IF($A489="","",_Engine!$AI547)</f>
        <v/>
      </c>
      <c r="G489" s="27">
        <f>IF(OR($A489="",_Engine!$D$41=0),"",INDEX(_Engine!$E547:$X547,1,(_Engine!$J$41-1)*4+3))</f>
        <v/>
      </c>
      <c r="H489" s="27">
        <f>IF(OR($A489="",_Engine!$D$42=0),"",INDEX(_Engine!$E547:$X547,1,(_Engine!$J$42-1)*4+3))</f>
        <v/>
      </c>
      <c r="I489" s="27">
        <f>IF(OR($A489="",_Engine!$D$43=0),"",INDEX(_Engine!$E547:$X547,1,(_Engine!$J$43-1)*4+3))</f>
        <v/>
      </c>
      <c r="J489" s="27">
        <f>IF(OR($A489="",_Engine!$D$44=0),"",INDEX(_Engine!$E547:$X547,1,(_Engine!$J$44-1)*4+3))</f>
        <v/>
      </c>
      <c r="K489" s="27">
        <f>IF(OR($A489="",_Engine!$D$45=0),"",INDEX(_Engine!$E547:$X547,1,(_Engine!$J$45-1)*4+3))</f>
        <v/>
      </c>
    </row>
    <row r="490">
      <c r="A490" s="25">
        <f>IF(487&lt;=_Engine!$B$36,487,"")</f>
        <v/>
      </c>
      <c r="B490" s="26">
        <f>IF($A490="","",EDATE(_Engine!$B$5,$A490-1))</f>
        <v/>
      </c>
      <c r="C490" s="27">
        <f>IF($A490="","",_Engine!$AJ548)</f>
        <v/>
      </c>
      <c r="D490" s="27">
        <f>IF($A490="","",_Engine!$AK548)</f>
        <v/>
      </c>
      <c r="E490" s="27">
        <f>IF($A490="","",_Engine!$AJ548-_Engine!$AK548)</f>
        <v/>
      </c>
      <c r="F490" s="27">
        <f>IF($A490="","",_Engine!$AI548)</f>
        <v/>
      </c>
      <c r="G490" s="27">
        <f>IF(OR($A490="",_Engine!$D$41=0),"",INDEX(_Engine!$E548:$X548,1,(_Engine!$J$41-1)*4+3))</f>
        <v/>
      </c>
      <c r="H490" s="27">
        <f>IF(OR($A490="",_Engine!$D$42=0),"",INDEX(_Engine!$E548:$X548,1,(_Engine!$J$42-1)*4+3))</f>
        <v/>
      </c>
      <c r="I490" s="27">
        <f>IF(OR($A490="",_Engine!$D$43=0),"",INDEX(_Engine!$E548:$X548,1,(_Engine!$J$43-1)*4+3))</f>
        <v/>
      </c>
      <c r="J490" s="27">
        <f>IF(OR($A490="",_Engine!$D$44=0),"",INDEX(_Engine!$E548:$X548,1,(_Engine!$J$44-1)*4+3))</f>
        <v/>
      </c>
      <c r="K490" s="27">
        <f>IF(OR($A490="",_Engine!$D$45=0),"",INDEX(_Engine!$E548:$X548,1,(_Engine!$J$45-1)*4+3))</f>
        <v/>
      </c>
    </row>
    <row r="491">
      <c r="A491" s="25">
        <f>IF(488&lt;=_Engine!$B$36,488,"")</f>
        <v/>
      </c>
      <c r="B491" s="26">
        <f>IF($A491="","",EDATE(_Engine!$B$5,$A491-1))</f>
        <v/>
      </c>
      <c r="C491" s="27">
        <f>IF($A491="","",_Engine!$AJ549)</f>
        <v/>
      </c>
      <c r="D491" s="27">
        <f>IF($A491="","",_Engine!$AK549)</f>
        <v/>
      </c>
      <c r="E491" s="27">
        <f>IF($A491="","",_Engine!$AJ549-_Engine!$AK549)</f>
        <v/>
      </c>
      <c r="F491" s="27">
        <f>IF($A491="","",_Engine!$AI549)</f>
        <v/>
      </c>
      <c r="G491" s="27">
        <f>IF(OR($A491="",_Engine!$D$41=0),"",INDEX(_Engine!$E549:$X549,1,(_Engine!$J$41-1)*4+3))</f>
        <v/>
      </c>
      <c r="H491" s="27">
        <f>IF(OR($A491="",_Engine!$D$42=0),"",INDEX(_Engine!$E549:$X549,1,(_Engine!$J$42-1)*4+3))</f>
        <v/>
      </c>
      <c r="I491" s="27">
        <f>IF(OR($A491="",_Engine!$D$43=0),"",INDEX(_Engine!$E549:$X549,1,(_Engine!$J$43-1)*4+3))</f>
        <v/>
      </c>
      <c r="J491" s="27">
        <f>IF(OR($A491="",_Engine!$D$44=0),"",INDEX(_Engine!$E549:$X549,1,(_Engine!$J$44-1)*4+3))</f>
        <v/>
      </c>
      <c r="K491" s="27">
        <f>IF(OR($A491="",_Engine!$D$45=0),"",INDEX(_Engine!$E549:$X549,1,(_Engine!$J$45-1)*4+3))</f>
        <v/>
      </c>
    </row>
    <row r="492">
      <c r="A492" s="25">
        <f>IF(489&lt;=_Engine!$B$36,489,"")</f>
        <v/>
      </c>
      <c r="B492" s="26">
        <f>IF($A492="","",EDATE(_Engine!$B$5,$A492-1))</f>
        <v/>
      </c>
      <c r="C492" s="27">
        <f>IF($A492="","",_Engine!$AJ550)</f>
        <v/>
      </c>
      <c r="D492" s="27">
        <f>IF($A492="","",_Engine!$AK550)</f>
        <v/>
      </c>
      <c r="E492" s="27">
        <f>IF($A492="","",_Engine!$AJ550-_Engine!$AK550)</f>
        <v/>
      </c>
      <c r="F492" s="27">
        <f>IF($A492="","",_Engine!$AI550)</f>
        <v/>
      </c>
      <c r="G492" s="27">
        <f>IF(OR($A492="",_Engine!$D$41=0),"",INDEX(_Engine!$E550:$X550,1,(_Engine!$J$41-1)*4+3))</f>
        <v/>
      </c>
      <c r="H492" s="27">
        <f>IF(OR($A492="",_Engine!$D$42=0),"",INDEX(_Engine!$E550:$X550,1,(_Engine!$J$42-1)*4+3))</f>
        <v/>
      </c>
      <c r="I492" s="27">
        <f>IF(OR($A492="",_Engine!$D$43=0),"",INDEX(_Engine!$E550:$X550,1,(_Engine!$J$43-1)*4+3))</f>
        <v/>
      </c>
      <c r="J492" s="27">
        <f>IF(OR($A492="",_Engine!$D$44=0),"",INDEX(_Engine!$E550:$X550,1,(_Engine!$J$44-1)*4+3))</f>
        <v/>
      </c>
      <c r="K492" s="27">
        <f>IF(OR($A492="",_Engine!$D$45=0),"",INDEX(_Engine!$E550:$X550,1,(_Engine!$J$45-1)*4+3))</f>
        <v/>
      </c>
    </row>
    <row r="493">
      <c r="A493" s="25">
        <f>IF(490&lt;=_Engine!$B$36,490,"")</f>
        <v/>
      </c>
      <c r="B493" s="26">
        <f>IF($A493="","",EDATE(_Engine!$B$5,$A493-1))</f>
        <v/>
      </c>
      <c r="C493" s="27">
        <f>IF($A493="","",_Engine!$AJ551)</f>
        <v/>
      </c>
      <c r="D493" s="27">
        <f>IF($A493="","",_Engine!$AK551)</f>
        <v/>
      </c>
      <c r="E493" s="27">
        <f>IF($A493="","",_Engine!$AJ551-_Engine!$AK551)</f>
        <v/>
      </c>
      <c r="F493" s="27">
        <f>IF($A493="","",_Engine!$AI551)</f>
        <v/>
      </c>
      <c r="G493" s="27">
        <f>IF(OR($A493="",_Engine!$D$41=0),"",INDEX(_Engine!$E551:$X551,1,(_Engine!$J$41-1)*4+3))</f>
        <v/>
      </c>
      <c r="H493" s="27">
        <f>IF(OR($A493="",_Engine!$D$42=0),"",INDEX(_Engine!$E551:$X551,1,(_Engine!$J$42-1)*4+3))</f>
        <v/>
      </c>
      <c r="I493" s="27">
        <f>IF(OR($A493="",_Engine!$D$43=0),"",INDEX(_Engine!$E551:$X551,1,(_Engine!$J$43-1)*4+3))</f>
        <v/>
      </c>
      <c r="J493" s="27">
        <f>IF(OR($A493="",_Engine!$D$44=0),"",INDEX(_Engine!$E551:$X551,1,(_Engine!$J$44-1)*4+3))</f>
        <v/>
      </c>
      <c r="K493" s="27">
        <f>IF(OR($A493="",_Engine!$D$45=0),"",INDEX(_Engine!$E551:$X551,1,(_Engine!$J$45-1)*4+3))</f>
        <v/>
      </c>
    </row>
    <row r="494">
      <c r="A494" s="25">
        <f>IF(491&lt;=_Engine!$B$36,491,"")</f>
        <v/>
      </c>
      <c r="B494" s="26">
        <f>IF($A494="","",EDATE(_Engine!$B$5,$A494-1))</f>
        <v/>
      </c>
      <c r="C494" s="27">
        <f>IF($A494="","",_Engine!$AJ552)</f>
        <v/>
      </c>
      <c r="D494" s="27">
        <f>IF($A494="","",_Engine!$AK552)</f>
        <v/>
      </c>
      <c r="E494" s="27">
        <f>IF($A494="","",_Engine!$AJ552-_Engine!$AK552)</f>
        <v/>
      </c>
      <c r="F494" s="27">
        <f>IF($A494="","",_Engine!$AI552)</f>
        <v/>
      </c>
      <c r="G494" s="27">
        <f>IF(OR($A494="",_Engine!$D$41=0),"",INDEX(_Engine!$E552:$X552,1,(_Engine!$J$41-1)*4+3))</f>
        <v/>
      </c>
      <c r="H494" s="27">
        <f>IF(OR($A494="",_Engine!$D$42=0),"",INDEX(_Engine!$E552:$X552,1,(_Engine!$J$42-1)*4+3))</f>
        <v/>
      </c>
      <c r="I494" s="27">
        <f>IF(OR($A494="",_Engine!$D$43=0),"",INDEX(_Engine!$E552:$X552,1,(_Engine!$J$43-1)*4+3))</f>
        <v/>
      </c>
      <c r="J494" s="27">
        <f>IF(OR($A494="",_Engine!$D$44=0),"",INDEX(_Engine!$E552:$X552,1,(_Engine!$J$44-1)*4+3))</f>
        <v/>
      </c>
      <c r="K494" s="27">
        <f>IF(OR($A494="",_Engine!$D$45=0),"",INDEX(_Engine!$E552:$X552,1,(_Engine!$J$45-1)*4+3))</f>
        <v/>
      </c>
    </row>
    <row r="495">
      <c r="A495" s="25">
        <f>IF(492&lt;=_Engine!$B$36,492,"")</f>
        <v/>
      </c>
      <c r="B495" s="26">
        <f>IF($A495="","",EDATE(_Engine!$B$5,$A495-1))</f>
        <v/>
      </c>
      <c r="C495" s="27">
        <f>IF($A495="","",_Engine!$AJ553)</f>
        <v/>
      </c>
      <c r="D495" s="27">
        <f>IF($A495="","",_Engine!$AK553)</f>
        <v/>
      </c>
      <c r="E495" s="27">
        <f>IF($A495="","",_Engine!$AJ553-_Engine!$AK553)</f>
        <v/>
      </c>
      <c r="F495" s="27">
        <f>IF($A495="","",_Engine!$AI553)</f>
        <v/>
      </c>
      <c r="G495" s="27">
        <f>IF(OR($A495="",_Engine!$D$41=0),"",INDEX(_Engine!$E553:$X553,1,(_Engine!$J$41-1)*4+3))</f>
        <v/>
      </c>
      <c r="H495" s="27">
        <f>IF(OR($A495="",_Engine!$D$42=0),"",INDEX(_Engine!$E553:$X553,1,(_Engine!$J$42-1)*4+3))</f>
        <v/>
      </c>
      <c r="I495" s="27">
        <f>IF(OR($A495="",_Engine!$D$43=0),"",INDEX(_Engine!$E553:$X553,1,(_Engine!$J$43-1)*4+3))</f>
        <v/>
      </c>
      <c r="J495" s="27">
        <f>IF(OR($A495="",_Engine!$D$44=0),"",INDEX(_Engine!$E553:$X553,1,(_Engine!$J$44-1)*4+3))</f>
        <v/>
      </c>
      <c r="K495" s="27">
        <f>IF(OR($A495="",_Engine!$D$45=0),"",INDEX(_Engine!$E553:$X553,1,(_Engine!$J$45-1)*4+3))</f>
        <v/>
      </c>
    </row>
    <row r="496">
      <c r="A496" s="25">
        <f>IF(493&lt;=_Engine!$B$36,493,"")</f>
        <v/>
      </c>
      <c r="B496" s="26">
        <f>IF($A496="","",EDATE(_Engine!$B$5,$A496-1))</f>
        <v/>
      </c>
      <c r="C496" s="27">
        <f>IF($A496="","",_Engine!$AJ554)</f>
        <v/>
      </c>
      <c r="D496" s="27">
        <f>IF($A496="","",_Engine!$AK554)</f>
        <v/>
      </c>
      <c r="E496" s="27">
        <f>IF($A496="","",_Engine!$AJ554-_Engine!$AK554)</f>
        <v/>
      </c>
      <c r="F496" s="27">
        <f>IF($A496="","",_Engine!$AI554)</f>
        <v/>
      </c>
      <c r="G496" s="27">
        <f>IF(OR($A496="",_Engine!$D$41=0),"",INDEX(_Engine!$E554:$X554,1,(_Engine!$J$41-1)*4+3))</f>
        <v/>
      </c>
      <c r="H496" s="27">
        <f>IF(OR($A496="",_Engine!$D$42=0),"",INDEX(_Engine!$E554:$X554,1,(_Engine!$J$42-1)*4+3))</f>
        <v/>
      </c>
      <c r="I496" s="27">
        <f>IF(OR($A496="",_Engine!$D$43=0),"",INDEX(_Engine!$E554:$X554,1,(_Engine!$J$43-1)*4+3))</f>
        <v/>
      </c>
      <c r="J496" s="27">
        <f>IF(OR($A496="",_Engine!$D$44=0),"",INDEX(_Engine!$E554:$X554,1,(_Engine!$J$44-1)*4+3))</f>
        <v/>
      </c>
      <c r="K496" s="27">
        <f>IF(OR($A496="",_Engine!$D$45=0),"",INDEX(_Engine!$E554:$X554,1,(_Engine!$J$45-1)*4+3))</f>
        <v/>
      </c>
    </row>
    <row r="497">
      <c r="A497" s="25">
        <f>IF(494&lt;=_Engine!$B$36,494,"")</f>
        <v/>
      </c>
      <c r="B497" s="26">
        <f>IF($A497="","",EDATE(_Engine!$B$5,$A497-1))</f>
        <v/>
      </c>
      <c r="C497" s="27">
        <f>IF($A497="","",_Engine!$AJ555)</f>
        <v/>
      </c>
      <c r="D497" s="27">
        <f>IF($A497="","",_Engine!$AK555)</f>
        <v/>
      </c>
      <c r="E497" s="27">
        <f>IF($A497="","",_Engine!$AJ555-_Engine!$AK555)</f>
        <v/>
      </c>
      <c r="F497" s="27">
        <f>IF($A497="","",_Engine!$AI555)</f>
        <v/>
      </c>
      <c r="G497" s="27">
        <f>IF(OR($A497="",_Engine!$D$41=0),"",INDEX(_Engine!$E555:$X555,1,(_Engine!$J$41-1)*4+3))</f>
        <v/>
      </c>
      <c r="H497" s="27">
        <f>IF(OR($A497="",_Engine!$D$42=0),"",INDEX(_Engine!$E555:$X555,1,(_Engine!$J$42-1)*4+3))</f>
        <v/>
      </c>
      <c r="I497" s="27">
        <f>IF(OR($A497="",_Engine!$D$43=0),"",INDEX(_Engine!$E555:$X555,1,(_Engine!$J$43-1)*4+3))</f>
        <v/>
      </c>
      <c r="J497" s="27">
        <f>IF(OR($A497="",_Engine!$D$44=0),"",INDEX(_Engine!$E555:$X555,1,(_Engine!$J$44-1)*4+3))</f>
        <v/>
      </c>
      <c r="K497" s="27">
        <f>IF(OR($A497="",_Engine!$D$45=0),"",INDEX(_Engine!$E555:$X555,1,(_Engine!$J$45-1)*4+3))</f>
        <v/>
      </c>
    </row>
    <row r="498">
      <c r="A498" s="25">
        <f>IF(495&lt;=_Engine!$B$36,495,"")</f>
        <v/>
      </c>
      <c r="B498" s="26">
        <f>IF($A498="","",EDATE(_Engine!$B$5,$A498-1))</f>
        <v/>
      </c>
      <c r="C498" s="27">
        <f>IF($A498="","",_Engine!$AJ556)</f>
        <v/>
      </c>
      <c r="D498" s="27">
        <f>IF($A498="","",_Engine!$AK556)</f>
        <v/>
      </c>
      <c r="E498" s="27">
        <f>IF($A498="","",_Engine!$AJ556-_Engine!$AK556)</f>
        <v/>
      </c>
      <c r="F498" s="27">
        <f>IF($A498="","",_Engine!$AI556)</f>
        <v/>
      </c>
      <c r="G498" s="27">
        <f>IF(OR($A498="",_Engine!$D$41=0),"",INDEX(_Engine!$E556:$X556,1,(_Engine!$J$41-1)*4+3))</f>
        <v/>
      </c>
      <c r="H498" s="27">
        <f>IF(OR($A498="",_Engine!$D$42=0),"",INDEX(_Engine!$E556:$X556,1,(_Engine!$J$42-1)*4+3))</f>
        <v/>
      </c>
      <c r="I498" s="27">
        <f>IF(OR($A498="",_Engine!$D$43=0),"",INDEX(_Engine!$E556:$X556,1,(_Engine!$J$43-1)*4+3))</f>
        <v/>
      </c>
      <c r="J498" s="27">
        <f>IF(OR($A498="",_Engine!$D$44=0),"",INDEX(_Engine!$E556:$X556,1,(_Engine!$J$44-1)*4+3))</f>
        <v/>
      </c>
      <c r="K498" s="27">
        <f>IF(OR($A498="",_Engine!$D$45=0),"",INDEX(_Engine!$E556:$X556,1,(_Engine!$J$45-1)*4+3))</f>
        <v/>
      </c>
    </row>
    <row r="499">
      <c r="A499" s="25">
        <f>IF(496&lt;=_Engine!$B$36,496,"")</f>
        <v/>
      </c>
      <c r="B499" s="26">
        <f>IF($A499="","",EDATE(_Engine!$B$5,$A499-1))</f>
        <v/>
      </c>
      <c r="C499" s="27">
        <f>IF($A499="","",_Engine!$AJ557)</f>
        <v/>
      </c>
      <c r="D499" s="27">
        <f>IF($A499="","",_Engine!$AK557)</f>
        <v/>
      </c>
      <c r="E499" s="27">
        <f>IF($A499="","",_Engine!$AJ557-_Engine!$AK557)</f>
        <v/>
      </c>
      <c r="F499" s="27">
        <f>IF($A499="","",_Engine!$AI557)</f>
        <v/>
      </c>
      <c r="G499" s="27">
        <f>IF(OR($A499="",_Engine!$D$41=0),"",INDEX(_Engine!$E557:$X557,1,(_Engine!$J$41-1)*4+3))</f>
        <v/>
      </c>
      <c r="H499" s="27">
        <f>IF(OR($A499="",_Engine!$D$42=0),"",INDEX(_Engine!$E557:$X557,1,(_Engine!$J$42-1)*4+3))</f>
        <v/>
      </c>
      <c r="I499" s="27">
        <f>IF(OR($A499="",_Engine!$D$43=0),"",INDEX(_Engine!$E557:$X557,1,(_Engine!$J$43-1)*4+3))</f>
        <v/>
      </c>
      <c r="J499" s="27">
        <f>IF(OR($A499="",_Engine!$D$44=0),"",INDEX(_Engine!$E557:$X557,1,(_Engine!$J$44-1)*4+3))</f>
        <v/>
      </c>
      <c r="K499" s="27">
        <f>IF(OR($A499="",_Engine!$D$45=0),"",INDEX(_Engine!$E557:$X557,1,(_Engine!$J$45-1)*4+3))</f>
        <v/>
      </c>
    </row>
    <row r="500">
      <c r="A500" s="25">
        <f>IF(497&lt;=_Engine!$B$36,497,"")</f>
        <v/>
      </c>
      <c r="B500" s="26">
        <f>IF($A500="","",EDATE(_Engine!$B$5,$A500-1))</f>
        <v/>
      </c>
      <c r="C500" s="27">
        <f>IF($A500="","",_Engine!$AJ558)</f>
        <v/>
      </c>
      <c r="D500" s="27">
        <f>IF($A500="","",_Engine!$AK558)</f>
        <v/>
      </c>
      <c r="E500" s="27">
        <f>IF($A500="","",_Engine!$AJ558-_Engine!$AK558)</f>
        <v/>
      </c>
      <c r="F500" s="27">
        <f>IF($A500="","",_Engine!$AI558)</f>
        <v/>
      </c>
      <c r="G500" s="27">
        <f>IF(OR($A500="",_Engine!$D$41=0),"",INDEX(_Engine!$E558:$X558,1,(_Engine!$J$41-1)*4+3))</f>
        <v/>
      </c>
      <c r="H500" s="27">
        <f>IF(OR($A500="",_Engine!$D$42=0),"",INDEX(_Engine!$E558:$X558,1,(_Engine!$J$42-1)*4+3))</f>
        <v/>
      </c>
      <c r="I500" s="27">
        <f>IF(OR($A500="",_Engine!$D$43=0),"",INDEX(_Engine!$E558:$X558,1,(_Engine!$J$43-1)*4+3))</f>
        <v/>
      </c>
      <c r="J500" s="27">
        <f>IF(OR($A500="",_Engine!$D$44=0),"",INDEX(_Engine!$E558:$X558,1,(_Engine!$J$44-1)*4+3))</f>
        <v/>
      </c>
      <c r="K500" s="27">
        <f>IF(OR($A500="",_Engine!$D$45=0),"",INDEX(_Engine!$E558:$X558,1,(_Engine!$J$45-1)*4+3))</f>
        <v/>
      </c>
    </row>
    <row r="501">
      <c r="A501" s="25">
        <f>IF(498&lt;=_Engine!$B$36,498,"")</f>
        <v/>
      </c>
      <c r="B501" s="26">
        <f>IF($A501="","",EDATE(_Engine!$B$5,$A501-1))</f>
        <v/>
      </c>
      <c r="C501" s="27">
        <f>IF($A501="","",_Engine!$AJ559)</f>
        <v/>
      </c>
      <c r="D501" s="27">
        <f>IF($A501="","",_Engine!$AK559)</f>
        <v/>
      </c>
      <c r="E501" s="27">
        <f>IF($A501="","",_Engine!$AJ559-_Engine!$AK559)</f>
        <v/>
      </c>
      <c r="F501" s="27">
        <f>IF($A501="","",_Engine!$AI559)</f>
        <v/>
      </c>
      <c r="G501" s="27">
        <f>IF(OR($A501="",_Engine!$D$41=0),"",INDEX(_Engine!$E559:$X559,1,(_Engine!$J$41-1)*4+3))</f>
        <v/>
      </c>
      <c r="H501" s="27">
        <f>IF(OR($A501="",_Engine!$D$42=0),"",INDEX(_Engine!$E559:$X559,1,(_Engine!$J$42-1)*4+3))</f>
        <v/>
      </c>
      <c r="I501" s="27">
        <f>IF(OR($A501="",_Engine!$D$43=0),"",INDEX(_Engine!$E559:$X559,1,(_Engine!$J$43-1)*4+3))</f>
        <v/>
      </c>
      <c r="J501" s="27">
        <f>IF(OR($A501="",_Engine!$D$44=0),"",INDEX(_Engine!$E559:$X559,1,(_Engine!$J$44-1)*4+3))</f>
        <v/>
      </c>
      <c r="K501" s="27">
        <f>IF(OR($A501="",_Engine!$D$45=0),"",INDEX(_Engine!$E559:$X559,1,(_Engine!$J$45-1)*4+3))</f>
        <v/>
      </c>
    </row>
    <row r="502">
      <c r="A502" s="25">
        <f>IF(499&lt;=_Engine!$B$36,499,"")</f>
        <v/>
      </c>
      <c r="B502" s="26">
        <f>IF($A502="","",EDATE(_Engine!$B$5,$A502-1))</f>
        <v/>
      </c>
      <c r="C502" s="27">
        <f>IF($A502="","",_Engine!$AJ560)</f>
        <v/>
      </c>
      <c r="D502" s="27">
        <f>IF($A502="","",_Engine!$AK560)</f>
        <v/>
      </c>
      <c r="E502" s="27">
        <f>IF($A502="","",_Engine!$AJ560-_Engine!$AK560)</f>
        <v/>
      </c>
      <c r="F502" s="27">
        <f>IF($A502="","",_Engine!$AI560)</f>
        <v/>
      </c>
      <c r="G502" s="27">
        <f>IF(OR($A502="",_Engine!$D$41=0),"",INDEX(_Engine!$E560:$X560,1,(_Engine!$J$41-1)*4+3))</f>
        <v/>
      </c>
      <c r="H502" s="27">
        <f>IF(OR($A502="",_Engine!$D$42=0),"",INDEX(_Engine!$E560:$X560,1,(_Engine!$J$42-1)*4+3))</f>
        <v/>
      </c>
      <c r="I502" s="27">
        <f>IF(OR($A502="",_Engine!$D$43=0),"",INDEX(_Engine!$E560:$X560,1,(_Engine!$J$43-1)*4+3))</f>
        <v/>
      </c>
      <c r="J502" s="27">
        <f>IF(OR($A502="",_Engine!$D$44=0),"",INDEX(_Engine!$E560:$X560,1,(_Engine!$J$44-1)*4+3))</f>
        <v/>
      </c>
      <c r="K502" s="27">
        <f>IF(OR($A502="",_Engine!$D$45=0),"",INDEX(_Engine!$E560:$X560,1,(_Engine!$J$45-1)*4+3))</f>
        <v/>
      </c>
    </row>
    <row r="503">
      <c r="A503" s="25">
        <f>IF(500&lt;=_Engine!$B$36,500,"")</f>
        <v/>
      </c>
      <c r="B503" s="26">
        <f>IF($A503="","",EDATE(_Engine!$B$5,$A503-1))</f>
        <v/>
      </c>
      <c r="C503" s="27">
        <f>IF($A503="","",_Engine!$AJ561)</f>
        <v/>
      </c>
      <c r="D503" s="27">
        <f>IF($A503="","",_Engine!$AK561)</f>
        <v/>
      </c>
      <c r="E503" s="27">
        <f>IF($A503="","",_Engine!$AJ561-_Engine!$AK561)</f>
        <v/>
      </c>
      <c r="F503" s="27">
        <f>IF($A503="","",_Engine!$AI561)</f>
        <v/>
      </c>
      <c r="G503" s="27">
        <f>IF(OR($A503="",_Engine!$D$41=0),"",INDEX(_Engine!$E561:$X561,1,(_Engine!$J$41-1)*4+3))</f>
        <v/>
      </c>
      <c r="H503" s="27">
        <f>IF(OR($A503="",_Engine!$D$42=0),"",INDEX(_Engine!$E561:$X561,1,(_Engine!$J$42-1)*4+3))</f>
        <v/>
      </c>
      <c r="I503" s="27">
        <f>IF(OR($A503="",_Engine!$D$43=0),"",INDEX(_Engine!$E561:$X561,1,(_Engine!$J$43-1)*4+3))</f>
        <v/>
      </c>
      <c r="J503" s="27">
        <f>IF(OR($A503="",_Engine!$D$44=0),"",INDEX(_Engine!$E561:$X561,1,(_Engine!$J$44-1)*4+3))</f>
        <v/>
      </c>
      <c r="K503" s="27">
        <f>IF(OR($A503="",_Engine!$D$45=0),"",INDEX(_Engine!$E561:$X561,1,(_Engine!$J$45-1)*4+3))</f>
        <v/>
      </c>
    </row>
    <row r="504">
      <c r="A504" s="25">
        <f>IF(501&lt;=_Engine!$B$36,501,"")</f>
        <v/>
      </c>
      <c r="B504" s="26">
        <f>IF($A504="","",EDATE(_Engine!$B$5,$A504-1))</f>
        <v/>
      </c>
      <c r="C504" s="27">
        <f>IF($A504="","",_Engine!$AJ562)</f>
        <v/>
      </c>
      <c r="D504" s="27">
        <f>IF($A504="","",_Engine!$AK562)</f>
        <v/>
      </c>
      <c r="E504" s="27">
        <f>IF($A504="","",_Engine!$AJ562-_Engine!$AK562)</f>
        <v/>
      </c>
      <c r="F504" s="27">
        <f>IF($A504="","",_Engine!$AI562)</f>
        <v/>
      </c>
      <c r="G504" s="27">
        <f>IF(OR($A504="",_Engine!$D$41=0),"",INDEX(_Engine!$E562:$X562,1,(_Engine!$J$41-1)*4+3))</f>
        <v/>
      </c>
      <c r="H504" s="27">
        <f>IF(OR($A504="",_Engine!$D$42=0),"",INDEX(_Engine!$E562:$X562,1,(_Engine!$J$42-1)*4+3))</f>
        <v/>
      </c>
      <c r="I504" s="27">
        <f>IF(OR($A504="",_Engine!$D$43=0),"",INDEX(_Engine!$E562:$X562,1,(_Engine!$J$43-1)*4+3))</f>
        <v/>
      </c>
      <c r="J504" s="27">
        <f>IF(OR($A504="",_Engine!$D$44=0),"",INDEX(_Engine!$E562:$X562,1,(_Engine!$J$44-1)*4+3))</f>
        <v/>
      </c>
      <c r="K504" s="27">
        <f>IF(OR($A504="",_Engine!$D$45=0),"",INDEX(_Engine!$E562:$X562,1,(_Engine!$J$45-1)*4+3))</f>
        <v/>
      </c>
    </row>
    <row r="505">
      <c r="A505" s="25">
        <f>IF(502&lt;=_Engine!$B$36,502,"")</f>
        <v/>
      </c>
      <c r="B505" s="26">
        <f>IF($A505="","",EDATE(_Engine!$B$5,$A505-1))</f>
        <v/>
      </c>
      <c r="C505" s="27">
        <f>IF($A505="","",_Engine!$AJ563)</f>
        <v/>
      </c>
      <c r="D505" s="27">
        <f>IF($A505="","",_Engine!$AK563)</f>
        <v/>
      </c>
      <c r="E505" s="27">
        <f>IF($A505="","",_Engine!$AJ563-_Engine!$AK563)</f>
        <v/>
      </c>
      <c r="F505" s="27">
        <f>IF($A505="","",_Engine!$AI563)</f>
        <v/>
      </c>
      <c r="G505" s="27">
        <f>IF(OR($A505="",_Engine!$D$41=0),"",INDEX(_Engine!$E563:$X563,1,(_Engine!$J$41-1)*4+3))</f>
        <v/>
      </c>
      <c r="H505" s="27">
        <f>IF(OR($A505="",_Engine!$D$42=0),"",INDEX(_Engine!$E563:$X563,1,(_Engine!$J$42-1)*4+3))</f>
        <v/>
      </c>
      <c r="I505" s="27">
        <f>IF(OR($A505="",_Engine!$D$43=0),"",INDEX(_Engine!$E563:$X563,1,(_Engine!$J$43-1)*4+3))</f>
        <v/>
      </c>
      <c r="J505" s="27">
        <f>IF(OR($A505="",_Engine!$D$44=0),"",INDEX(_Engine!$E563:$X563,1,(_Engine!$J$44-1)*4+3))</f>
        <v/>
      </c>
      <c r="K505" s="27">
        <f>IF(OR($A505="",_Engine!$D$45=0),"",INDEX(_Engine!$E563:$X563,1,(_Engine!$J$45-1)*4+3))</f>
        <v/>
      </c>
    </row>
    <row r="506">
      <c r="A506" s="25">
        <f>IF(503&lt;=_Engine!$B$36,503,"")</f>
        <v/>
      </c>
      <c r="B506" s="26">
        <f>IF($A506="","",EDATE(_Engine!$B$5,$A506-1))</f>
        <v/>
      </c>
      <c r="C506" s="27">
        <f>IF($A506="","",_Engine!$AJ564)</f>
        <v/>
      </c>
      <c r="D506" s="27">
        <f>IF($A506="","",_Engine!$AK564)</f>
        <v/>
      </c>
      <c r="E506" s="27">
        <f>IF($A506="","",_Engine!$AJ564-_Engine!$AK564)</f>
        <v/>
      </c>
      <c r="F506" s="27">
        <f>IF($A506="","",_Engine!$AI564)</f>
        <v/>
      </c>
      <c r="G506" s="27">
        <f>IF(OR($A506="",_Engine!$D$41=0),"",INDEX(_Engine!$E564:$X564,1,(_Engine!$J$41-1)*4+3))</f>
        <v/>
      </c>
      <c r="H506" s="27">
        <f>IF(OR($A506="",_Engine!$D$42=0),"",INDEX(_Engine!$E564:$X564,1,(_Engine!$J$42-1)*4+3))</f>
        <v/>
      </c>
      <c r="I506" s="27">
        <f>IF(OR($A506="",_Engine!$D$43=0),"",INDEX(_Engine!$E564:$X564,1,(_Engine!$J$43-1)*4+3))</f>
        <v/>
      </c>
      <c r="J506" s="27">
        <f>IF(OR($A506="",_Engine!$D$44=0),"",INDEX(_Engine!$E564:$X564,1,(_Engine!$J$44-1)*4+3))</f>
        <v/>
      </c>
      <c r="K506" s="27">
        <f>IF(OR($A506="",_Engine!$D$45=0),"",INDEX(_Engine!$E564:$X564,1,(_Engine!$J$45-1)*4+3))</f>
        <v/>
      </c>
    </row>
    <row r="507">
      <c r="A507" s="25">
        <f>IF(504&lt;=_Engine!$B$36,504,"")</f>
        <v/>
      </c>
      <c r="B507" s="26">
        <f>IF($A507="","",EDATE(_Engine!$B$5,$A507-1))</f>
        <v/>
      </c>
      <c r="C507" s="27">
        <f>IF($A507="","",_Engine!$AJ565)</f>
        <v/>
      </c>
      <c r="D507" s="27">
        <f>IF($A507="","",_Engine!$AK565)</f>
        <v/>
      </c>
      <c r="E507" s="27">
        <f>IF($A507="","",_Engine!$AJ565-_Engine!$AK565)</f>
        <v/>
      </c>
      <c r="F507" s="27">
        <f>IF($A507="","",_Engine!$AI565)</f>
        <v/>
      </c>
      <c r="G507" s="27">
        <f>IF(OR($A507="",_Engine!$D$41=0),"",INDEX(_Engine!$E565:$X565,1,(_Engine!$J$41-1)*4+3))</f>
        <v/>
      </c>
      <c r="H507" s="27">
        <f>IF(OR($A507="",_Engine!$D$42=0),"",INDEX(_Engine!$E565:$X565,1,(_Engine!$J$42-1)*4+3))</f>
        <v/>
      </c>
      <c r="I507" s="27">
        <f>IF(OR($A507="",_Engine!$D$43=0),"",INDEX(_Engine!$E565:$X565,1,(_Engine!$J$43-1)*4+3))</f>
        <v/>
      </c>
      <c r="J507" s="27">
        <f>IF(OR($A507="",_Engine!$D$44=0),"",INDEX(_Engine!$E565:$X565,1,(_Engine!$J$44-1)*4+3))</f>
        <v/>
      </c>
      <c r="K507" s="27">
        <f>IF(OR($A507="",_Engine!$D$45=0),"",INDEX(_Engine!$E565:$X565,1,(_Engine!$J$45-1)*4+3))</f>
        <v/>
      </c>
    </row>
    <row r="508">
      <c r="A508" s="25">
        <f>IF(505&lt;=_Engine!$B$36,505,"")</f>
        <v/>
      </c>
      <c r="B508" s="26">
        <f>IF($A508="","",EDATE(_Engine!$B$5,$A508-1))</f>
        <v/>
      </c>
      <c r="C508" s="27">
        <f>IF($A508="","",_Engine!$AJ566)</f>
        <v/>
      </c>
      <c r="D508" s="27">
        <f>IF($A508="","",_Engine!$AK566)</f>
        <v/>
      </c>
      <c r="E508" s="27">
        <f>IF($A508="","",_Engine!$AJ566-_Engine!$AK566)</f>
        <v/>
      </c>
      <c r="F508" s="27">
        <f>IF($A508="","",_Engine!$AI566)</f>
        <v/>
      </c>
      <c r="G508" s="27">
        <f>IF(OR($A508="",_Engine!$D$41=0),"",INDEX(_Engine!$E566:$X566,1,(_Engine!$J$41-1)*4+3))</f>
        <v/>
      </c>
      <c r="H508" s="27">
        <f>IF(OR($A508="",_Engine!$D$42=0),"",INDEX(_Engine!$E566:$X566,1,(_Engine!$J$42-1)*4+3))</f>
        <v/>
      </c>
      <c r="I508" s="27">
        <f>IF(OR($A508="",_Engine!$D$43=0),"",INDEX(_Engine!$E566:$X566,1,(_Engine!$J$43-1)*4+3))</f>
        <v/>
      </c>
      <c r="J508" s="27">
        <f>IF(OR($A508="",_Engine!$D$44=0),"",INDEX(_Engine!$E566:$X566,1,(_Engine!$J$44-1)*4+3))</f>
        <v/>
      </c>
      <c r="K508" s="27">
        <f>IF(OR($A508="",_Engine!$D$45=0),"",INDEX(_Engine!$E566:$X566,1,(_Engine!$J$45-1)*4+3))</f>
        <v/>
      </c>
    </row>
    <row r="509">
      <c r="A509" s="25">
        <f>IF(506&lt;=_Engine!$B$36,506,"")</f>
        <v/>
      </c>
      <c r="B509" s="26">
        <f>IF($A509="","",EDATE(_Engine!$B$5,$A509-1))</f>
        <v/>
      </c>
      <c r="C509" s="27">
        <f>IF($A509="","",_Engine!$AJ567)</f>
        <v/>
      </c>
      <c r="D509" s="27">
        <f>IF($A509="","",_Engine!$AK567)</f>
        <v/>
      </c>
      <c r="E509" s="27">
        <f>IF($A509="","",_Engine!$AJ567-_Engine!$AK567)</f>
        <v/>
      </c>
      <c r="F509" s="27">
        <f>IF($A509="","",_Engine!$AI567)</f>
        <v/>
      </c>
      <c r="G509" s="27">
        <f>IF(OR($A509="",_Engine!$D$41=0),"",INDEX(_Engine!$E567:$X567,1,(_Engine!$J$41-1)*4+3))</f>
        <v/>
      </c>
      <c r="H509" s="27">
        <f>IF(OR($A509="",_Engine!$D$42=0),"",INDEX(_Engine!$E567:$X567,1,(_Engine!$J$42-1)*4+3))</f>
        <v/>
      </c>
      <c r="I509" s="27">
        <f>IF(OR($A509="",_Engine!$D$43=0),"",INDEX(_Engine!$E567:$X567,1,(_Engine!$J$43-1)*4+3))</f>
        <v/>
      </c>
      <c r="J509" s="27">
        <f>IF(OR($A509="",_Engine!$D$44=0),"",INDEX(_Engine!$E567:$X567,1,(_Engine!$J$44-1)*4+3))</f>
        <v/>
      </c>
      <c r="K509" s="27">
        <f>IF(OR($A509="",_Engine!$D$45=0),"",INDEX(_Engine!$E567:$X567,1,(_Engine!$J$45-1)*4+3))</f>
        <v/>
      </c>
    </row>
    <row r="510">
      <c r="A510" s="25">
        <f>IF(507&lt;=_Engine!$B$36,507,"")</f>
        <v/>
      </c>
      <c r="B510" s="26">
        <f>IF($A510="","",EDATE(_Engine!$B$5,$A510-1))</f>
        <v/>
      </c>
      <c r="C510" s="27">
        <f>IF($A510="","",_Engine!$AJ568)</f>
        <v/>
      </c>
      <c r="D510" s="27">
        <f>IF($A510="","",_Engine!$AK568)</f>
        <v/>
      </c>
      <c r="E510" s="27">
        <f>IF($A510="","",_Engine!$AJ568-_Engine!$AK568)</f>
        <v/>
      </c>
      <c r="F510" s="27">
        <f>IF($A510="","",_Engine!$AI568)</f>
        <v/>
      </c>
      <c r="G510" s="27">
        <f>IF(OR($A510="",_Engine!$D$41=0),"",INDEX(_Engine!$E568:$X568,1,(_Engine!$J$41-1)*4+3))</f>
        <v/>
      </c>
      <c r="H510" s="27">
        <f>IF(OR($A510="",_Engine!$D$42=0),"",INDEX(_Engine!$E568:$X568,1,(_Engine!$J$42-1)*4+3))</f>
        <v/>
      </c>
      <c r="I510" s="27">
        <f>IF(OR($A510="",_Engine!$D$43=0),"",INDEX(_Engine!$E568:$X568,1,(_Engine!$J$43-1)*4+3))</f>
        <v/>
      </c>
      <c r="J510" s="27">
        <f>IF(OR($A510="",_Engine!$D$44=0),"",INDEX(_Engine!$E568:$X568,1,(_Engine!$J$44-1)*4+3))</f>
        <v/>
      </c>
      <c r="K510" s="27">
        <f>IF(OR($A510="",_Engine!$D$45=0),"",INDEX(_Engine!$E568:$X568,1,(_Engine!$J$45-1)*4+3))</f>
        <v/>
      </c>
    </row>
    <row r="511">
      <c r="A511" s="25">
        <f>IF(508&lt;=_Engine!$B$36,508,"")</f>
        <v/>
      </c>
      <c r="B511" s="26">
        <f>IF($A511="","",EDATE(_Engine!$B$5,$A511-1))</f>
        <v/>
      </c>
      <c r="C511" s="27">
        <f>IF($A511="","",_Engine!$AJ569)</f>
        <v/>
      </c>
      <c r="D511" s="27">
        <f>IF($A511="","",_Engine!$AK569)</f>
        <v/>
      </c>
      <c r="E511" s="27">
        <f>IF($A511="","",_Engine!$AJ569-_Engine!$AK569)</f>
        <v/>
      </c>
      <c r="F511" s="27">
        <f>IF($A511="","",_Engine!$AI569)</f>
        <v/>
      </c>
      <c r="G511" s="27">
        <f>IF(OR($A511="",_Engine!$D$41=0),"",INDEX(_Engine!$E569:$X569,1,(_Engine!$J$41-1)*4+3))</f>
        <v/>
      </c>
      <c r="H511" s="27">
        <f>IF(OR($A511="",_Engine!$D$42=0),"",INDEX(_Engine!$E569:$X569,1,(_Engine!$J$42-1)*4+3))</f>
        <v/>
      </c>
      <c r="I511" s="27">
        <f>IF(OR($A511="",_Engine!$D$43=0),"",INDEX(_Engine!$E569:$X569,1,(_Engine!$J$43-1)*4+3))</f>
        <v/>
      </c>
      <c r="J511" s="27">
        <f>IF(OR($A511="",_Engine!$D$44=0),"",INDEX(_Engine!$E569:$X569,1,(_Engine!$J$44-1)*4+3))</f>
        <v/>
      </c>
      <c r="K511" s="27">
        <f>IF(OR($A511="",_Engine!$D$45=0),"",INDEX(_Engine!$E569:$X569,1,(_Engine!$J$45-1)*4+3))</f>
        <v/>
      </c>
    </row>
    <row r="512">
      <c r="A512" s="25">
        <f>IF(509&lt;=_Engine!$B$36,509,"")</f>
        <v/>
      </c>
      <c r="B512" s="26">
        <f>IF($A512="","",EDATE(_Engine!$B$5,$A512-1))</f>
        <v/>
      </c>
      <c r="C512" s="27">
        <f>IF($A512="","",_Engine!$AJ570)</f>
        <v/>
      </c>
      <c r="D512" s="27">
        <f>IF($A512="","",_Engine!$AK570)</f>
        <v/>
      </c>
      <c r="E512" s="27">
        <f>IF($A512="","",_Engine!$AJ570-_Engine!$AK570)</f>
        <v/>
      </c>
      <c r="F512" s="27">
        <f>IF($A512="","",_Engine!$AI570)</f>
        <v/>
      </c>
      <c r="G512" s="27">
        <f>IF(OR($A512="",_Engine!$D$41=0),"",INDEX(_Engine!$E570:$X570,1,(_Engine!$J$41-1)*4+3))</f>
        <v/>
      </c>
      <c r="H512" s="27">
        <f>IF(OR($A512="",_Engine!$D$42=0),"",INDEX(_Engine!$E570:$X570,1,(_Engine!$J$42-1)*4+3))</f>
        <v/>
      </c>
      <c r="I512" s="27">
        <f>IF(OR($A512="",_Engine!$D$43=0),"",INDEX(_Engine!$E570:$X570,1,(_Engine!$J$43-1)*4+3))</f>
        <v/>
      </c>
      <c r="J512" s="27">
        <f>IF(OR($A512="",_Engine!$D$44=0),"",INDEX(_Engine!$E570:$X570,1,(_Engine!$J$44-1)*4+3))</f>
        <v/>
      </c>
      <c r="K512" s="27">
        <f>IF(OR($A512="",_Engine!$D$45=0),"",INDEX(_Engine!$E570:$X570,1,(_Engine!$J$45-1)*4+3))</f>
        <v/>
      </c>
    </row>
    <row r="513">
      <c r="A513" s="25">
        <f>IF(510&lt;=_Engine!$B$36,510,"")</f>
        <v/>
      </c>
      <c r="B513" s="26">
        <f>IF($A513="","",EDATE(_Engine!$B$5,$A513-1))</f>
        <v/>
      </c>
      <c r="C513" s="27">
        <f>IF($A513="","",_Engine!$AJ571)</f>
        <v/>
      </c>
      <c r="D513" s="27">
        <f>IF($A513="","",_Engine!$AK571)</f>
        <v/>
      </c>
      <c r="E513" s="27">
        <f>IF($A513="","",_Engine!$AJ571-_Engine!$AK571)</f>
        <v/>
      </c>
      <c r="F513" s="27">
        <f>IF($A513="","",_Engine!$AI571)</f>
        <v/>
      </c>
      <c r="G513" s="27">
        <f>IF(OR($A513="",_Engine!$D$41=0),"",INDEX(_Engine!$E571:$X571,1,(_Engine!$J$41-1)*4+3))</f>
        <v/>
      </c>
      <c r="H513" s="27">
        <f>IF(OR($A513="",_Engine!$D$42=0),"",INDEX(_Engine!$E571:$X571,1,(_Engine!$J$42-1)*4+3))</f>
        <v/>
      </c>
      <c r="I513" s="27">
        <f>IF(OR($A513="",_Engine!$D$43=0),"",INDEX(_Engine!$E571:$X571,1,(_Engine!$J$43-1)*4+3))</f>
        <v/>
      </c>
      <c r="J513" s="27">
        <f>IF(OR($A513="",_Engine!$D$44=0),"",INDEX(_Engine!$E571:$X571,1,(_Engine!$J$44-1)*4+3))</f>
        <v/>
      </c>
      <c r="K513" s="27">
        <f>IF(OR($A513="",_Engine!$D$45=0),"",INDEX(_Engine!$E571:$X571,1,(_Engine!$J$45-1)*4+3))</f>
        <v/>
      </c>
    </row>
    <row r="514">
      <c r="A514" s="25">
        <f>IF(511&lt;=_Engine!$B$36,511,"")</f>
        <v/>
      </c>
      <c r="B514" s="26">
        <f>IF($A514="","",EDATE(_Engine!$B$5,$A514-1))</f>
        <v/>
      </c>
      <c r="C514" s="27">
        <f>IF($A514="","",_Engine!$AJ572)</f>
        <v/>
      </c>
      <c r="D514" s="27">
        <f>IF($A514="","",_Engine!$AK572)</f>
        <v/>
      </c>
      <c r="E514" s="27">
        <f>IF($A514="","",_Engine!$AJ572-_Engine!$AK572)</f>
        <v/>
      </c>
      <c r="F514" s="27">
        <f>IF($A514="","",_Engine!$AI572)</f>
        <v/>
      </c>
      <c r="G514" s="27">
        <f>IF(OR($A514="",_Engine!$D$41=0),"",INDEX(_Engine!$E572:$X572,1,(_Engine!$J$41-1)*4+3))</f>
        <v/>
      </c>
      <c r="H514" s="27">
        <f>IF(OR($A514="",_Engine!$D$42=0),"",INDEX(_Engine!$E572:$X572,1,(_Engine!$J$42-1)*4+3))</f>
        <v/>
      </c>
      <c r="I514" s="27">
        <f>IF(OR($A514="",_Engine!$D$43=0),"",INDEX(_Engine!$E572:$X572,1,(_Engine!$J$43-1)*4+3))</f>
        <v/>
      </c>
      <c r="J514" s="27">
        <f>IF(OR($A514="",_Engine!$D$44=0),"",INDEX(_Engine!$E572:$X572,1,(_Engine!$J$44-1)*4+3))</f>
        <v/>
      </c>
      <c r="K514" s="27">
        <f>IF(OR($A514="",_Engine!$D$45=0),"",INDEX(_Engine!$E572:$X572,1,(_Engine!$J$45-1)*4+3))</f>
        <v/>
      </c>
    </row>
    <row r="515">
      <c r="A515" s="25">
        <f>IF(512&lt;=_Engine!$B$36,512,"")</f>
        <v/>
      </c>
      <c r="B515" s="26">
        <f>IF($A515="","",EDATE(_Engine!$B$5,$A515-1))</f>
        <v/>
      </c>
      <c r="C515" s="27">
        <f>IF($A515="","",_Engine!$AJ573)</f>
        <v/>
      </c>
      <c r="D515" s="27">
        <f>IF($A515="","",_Engine!$AK573)</f>
        <v/>
      </c>
      <c r="E515" s="27">
        <f>IF($A515="","",_Engine!$AJ573-_Engine!$AK573)</f>
        <v/>
      </c>
      <c r="F515" s="27">
        <f>IF($A515="","",_Engine!$AI573)</f>
        <v/>
      </c>
      <c r="G515" s="27">
        <f>IF(OR($A515="",_Engine!$D$41=0),"",INDEX(_Engine!$E573:$X573,1,(_Engine!$J$41-1)*4+3))</f>
        <v/>
      </c>
      <c r="H515" s="27">
        <f>IF(OR($A515="",_Engine!$D$42=0),"",INDEX(_Engine!$E573:$X573,1,(_Engine!$J$42-1)*4+3))</f>
        <v/>
      </c>
      <c r="I515" s="27">
        <f>IF(OR($A515="",_Engine!$D$43=0),"",INDEX(_Engine!$E573:$X573,1,(_Engine!$J$43-1)*4+3))</f>
        <v/>
      </c>
      <c r="J515" s="27">
        <f>IF(OR($A515="",_Engine!$D$44=0),"",INDEX(_Engine!$E573:$X573,1,(_Engine!$J$44-1)*4+3))</f>
        <v/>
      </c>
      <c r="K515" s="27">
        <f>IF(OR($A515="",_Engine!$D$45=0),"",INDEX(_Engine!$E573:$X573,1,(_Engine!$J$45-1)*4+3))</f>
        <v/>
      </c>
    </row>
    <row r="516">
      <c r="A516" s="25">
        <f>IF(513&lt;=_Engine!$B$36,513,"")</f>
        <v/>
      </c>
      <c r="B516" s="26">
        <f>IF($A516="","",EDATE(_Engine!$B$5,$A516-1))</f>
        <v/>
      </c>
      <c r="C516" s="27">
        <f>IF($A516="","",_Engine!$AJ574)</f>
        <v/>
      </c>
      <c r="D516" s="27">
        <f>IF($A516="","",_Engine!$AK574)</f>
        <v/>
      </c>
      <c r="E516" s="27">
        <f>IF($A516="","",_Engine!$AJ574-_Engine!$AK574)</f>
        <v/>
      </c>
      <c r="F516" s="27">
        <f>IF($A516="","",_Engine!$AI574)</f>
        <v/>
      </c>
      <c r="G516" s="27">
        <f>IF(OR($A516="",_Engine!$D$41=0),"",INDEX(_Engine!$E574:$X574,1,(_Engine!$J$41-1)*4+3))</f>
        <v/>
      </c>
      <c r="H516" s="27">
        <f>IF(OR($A516="",_Engine!$D$42=0),"",INDEX(_Engine!$E574:$X574,1,(_Engine!$J$42-1)*4+3))</f>
        <v/>
      </c>
      <c r="I516" s="27">
        <f>IF(OR($A516="",_Engine!$D$43=0),"",INDEX(_Engine!$E574:$X574,1,(_Engine!$J$43-1)*4+3))</f>
        <v/>
      </c>
      <c r="J516" s="27">
        <f>IF(OR($A516="",_Engine!$D$44=0),"",INDEX(_Engine!$E574:$X574,1,(_Engine!$J$44-1)*4+3))</f>
        <v/>
      </c>
      <c r="K516" s="27">
        <f>IF(OR($A516="",_Engine!$D$45=0),"",INDEX(_Engine!$E574:$X574,1,(_Engine!$J$45-1)*4+3))</f>
        <v/>
      </c>
    </row>
    <row r="517">
      <c r="A517" s="25">
        <f>IF(514&lt;=_Engine!$B$36,514,"")</f>
        <v/>
      </c>
      <c r="B517" s="26">
        <f>IF($A517="","",EDATE(_Engine!$B$5,$A517-1))</f>
        <v/>
      </c>
      <c r="C517" s="27">
        <f>IF($A517="","",_Engine!$AJ575)</f>
        <v/>
      </c>
      <c r="D517" s="27">
        <f>IF($A517="","",_Engine!$AK575)</f>
        <v/>
      </c>
      <c r="E517" s="27">
        <f>IF($A517="","",_Engine!$AJ575-_Engine!$AK575)</f>
        <v/>
      </c>
      <c r="F517" s="27">
        <f>IF($A517="","",_Engine!$AI575)</f>
        <v/>
      </c>
      <c r="G517" s="27">
        <f>IF(OR($A517="",_Engine!$D$41=0),"",INDEX(_Engine!$E575:$X575,1,(_Engine!$J$41-1)*4+3))</f>
        <v/>
      </c>
      <c r="H517" s="27">
        <f>IF(OR($A517="",_Engine!$D$42=0),"",INDEX(_Engine!$E575:$X575,1,(_Engine!$J$42-1)*4+3))</f>
        <v/>
      </c>
      <c r="I517" s="27">
        <f>IF(OR($A517="",_Engine!$D$43=0),"",INDEX(_Engine!$E575:$X575,1,(_Engine!$J$43-1)*4+3))</f>
        <v/>
      </c>
      <c r="J517" s="27">
        <f>IF(OR($A517="",_Engine!$D$44=0),"",INDEX(_Engine!$E575:$X575,1,(_Engine!$J$44-1)*4+3))</f>
        <v/>
      </c>
      <c r="K517" s="27">
        <f>IF(OR($A517="",_Engine!$D$45=0),"",INDEX(_Engine!$E575:$X575,1,(_Engine!$J$45-1)*4+3))</f>
        <v/>
      </c>
    </row>
    <row r="518">
      <c r="A518" s="25">
        <f>IF(515&lt;=_Engine!$B$36,515,"")</f>
        <v/>
      </c>
      <c r="B518" s="26">
        <f>IF($A518="","",EDATE(_Engine!$B$5,$A518-1))</f>
        <v/>
      </c>
      <c r="C518" s="27">
        <f>IF($A518="","",_Engine!$AJ576)</f>
        <v/>
      </c>
      <c r="D518" s="27">
        <f>IF($A518="","",_Engine!$AK576)</f>
        <v/>
      </c>
      <c r="E518" s="27">
        <f>IF($A518="","",_Engine!$AJ576-_Engine!$AK576)</f>
        <v/>
      </c>
      <c r="F518" s="27">
        <f>IF($A518="","",_Engine!$AI576)</f>
        <v/>
      </c>
      <c r="G518" s="27">
        <f>IF(OR($A518="",_Engine!$D$41=0),"",INDEX(_Engine!$E576:$X576,1,(_Engine!$J$41-1)*4+3))</f>
        <v/>
      </c>
      <c r="H518" s="27">
        <f>IF(OR($A518="",_Engine!$D$42=0),"",INDEX(_Engine!$E576:$X576,1,(_Engine!$J$42-1)*4+3))</f>
        <v/>
      </c>
      <c r="I518" s="27">
        <f>IF(OR($A518="",_Engine!$D$43=0),"",INDEX(_Engine!$E576:$X576,1,(_Engine!$J$43-1)*4+3))</f>
        <v/>
      </c>
      <c r="J518" s="27">
        <f>IF(OR($A518="",_Engine!$D$44=0),"",INDEX(_Engine!$E576:$X576,1,(_Engine!$J$44-1)*4+3))</f>
        <v/>
      </c>
      <c r="K518" s="27">
        <f>IF(OR($A518="",_Engine!$D$45=0),"",INDEX(_Engine!$E576:$X576,1,(_Engine!$J$45-1)*4+3))</f>
        <v/>
      </c>
    </row>
    <row r="519">
      <c r="A519" s="25">
        <f>IF(516&lt;=_Engine!$B$36,516,"")</f>
        <v/>
      </c>
      <c r="B519" s="26">
        <f>IF($A519="","",EDATE(_Engine!$B$5,$A519-1))</f>
        <v/>
      </c>
      <c r="C519" s="27">
        <f>IF($A519="","",_Engine!$AJ577)</f>
        <v/>
      </c>
      <c r="D519" s="27">
        <f>IF($A519="","",_Engine!$AK577)</f>
        <v/>
      </c>
      <c r="E519" s="27">
        <f>IF($A519="","",_Engine!$AJ577-_Engine!$AK577)</f>
        <v/>
      </c>
      <c r="F519" s="27">
        <f>IF($A519="","",_Engine!$AI577)</f>
        <v/>
      </c>
      <c r="G519" s="27">
        <f>IF(OR($A519="",_Engine!$D$41=0),"",INDEX(_Engine!$E577:$X577,1,(_Engine!$J$41-1)*4+3))</f>
        <v/>
      </c>
      <c r="H519" s="27">
        <f>IF(OR($A519="",_Engine!$D$42=0),"",INDEX(_Engine!$E577:$X577,1,(_Engine!$J$42-1)*4+3))</f>
        <v/>
      </c>
      <c r="I519" s="27">
        <f>IF(OR($A519="",_Engine!$D$43=0),"",INDEX(_Engine!$E577:$X577,1,(_Engine!$J$43-1)*4+3))</f>
        <v/>
      </c>
      <c r="J519" s="27">
        <f>IF(OR($A519="",_Engine!$D$44=0),"",INDEX(_Engine!$E577:$X577,1,(_Engine!$J$44-1)*4+3))</f>
        <v/>
      </c>
      <c r="K519" s="27">
        <f>IF(OR($A519="",_Engine!$D$45=0),"",INDEX(_Engine!$E577:$X577,1,(_Engine!$J$45-1)*4+3))</f>
        <v/>
      </c>
    </row>
    <row r="520">
      <c r="A520" s="25">
        <f>IF(517&lt;=_Engine!$B$36,517,"")</f>
        <v/>
      </c>
      <c r="B520" s="26">
        <f>IF($A520="","",EDATE(_Engine!$B$5,$A520-1))</f>
        <v/>
      </c>
      <c r="C520" s="27">
        <f>IF($A520="","",_Engine!$AJ578)</f>
        <v/>
      </c>
      <c r="D520" s="27">
        <f>IF($A520="","",_Engine!$AK578)</f>
        <v/>
      </c>
      <c r="E520" s="27">
        <f>IF($A520="","",_Engine!$AJ578-_Engine!$AK578)</f>
        <v/>
      </c>
      <c r="F520" s="27">
        <f>IF($A520="","",_Engine!$AI578)</f>
        <v/>
      </c>
      <c r="G520" s="27">
        <f>IF(OR($A520="",_Engine!$D$41=0),"",INDEX(_Engine!$E578:$X578,1,(_Engine!$J$41-1)*4+3))</f>
        <v/>
      </c>
      <c r="H520" s="27">
        <f>IF(OR($A520="",_Engine!$D$42=0),"",INDEX(_Engine!$E578:$X578,1,(_Engine!$J$42-1)*4+3))</f>
        <v/>
      </c>
      <c r="I520" s="27">
        <f>IF(OR($A520="",_Engine!$D$43=0),"",INDEX(_Engine!$E578:$X578,1,(_Engine!$J$43-1)*4+3))</f>
        <v/>
      </c>
      <c r="J520" s="27">
        <f>IF(OR($A520="",_Engine!$D$44=0),"",INDEX(_Engine!$E578:$X578,1,(_Engine!$J$44-1)*4+3))</f>
        <v/>
      </c>
      <c r="K520" s="27">
        <f>IF(OR($A520="",_Engine!$D$45=0),"",INDEX(_Engine!$E578:$X578,1,(_Engine!$J$45-1)*4+3))</f>
        <v/>
      </c>
    </row>
    <row r="521">
      <c r="A521" s="25">
        <f>IF(518&lt;=_Engine!$B$36,518,"")</f>
        <v/>
      </c>
      <c r="B521" s="26">
        <f>IF($A521="","",EDATE(_Engine!$B$5,$A521-1))</f>
        <v/>
      </c>
      <c r="C521" s="27">
        <f>IF($A521="","",_Engine!$AJ579)</f>
        <v/>
      </c>
      <c r="D521" s="27">
        <f>IF($A521="","",_Engine!$AK579)</f>
        <v/>
      </c>
      <c r="E521" s="27">
        <f>IF($A521="","",_Engine!$AJ579-_Engine!$AK579)</f>
        <v/>
      </c>
      <c r="F521" s="27">
        <f>IF($A521="","",_Engine!$AI579)</f>
        <v/>
      </c>
      <c r="G521" s="27">
        <f>IF(OR($A521="",_Engine!$D$41=0),"",INDEX(_Engine!$E579:$X579,1,(_Engine!$J$41-1)*4+3))</f>
        <v/>
      </c>
      <c r="H521" s="27">
        <f>IF(OR($A521="",_Engine!$D$42=0),"",INDEX(_Engine!$E579:$X579,1,(_Engine!$J$42-1)*4+3))</f>
        <v/>
      </c>
      <c r="I521" s="27">
        <f>IF(OR($A521="",_Engine!$D$43=0),"",INDEX(_Engine!$E579:$X579,1,(_Engine!$J$43-1)*4+3))</f>
        <v/>
      </c>
      <c r="J521" s="27">
        <f>IF(OR($A521="",_Engine!$D$44=0),"",INDEX(_Engine!$E579:$X579,1,(_Engine!$J$44-1)*4+3))</f>
        <v/>
      </c>
      <c r="K521" s="27">
        <f>IF(OR($A521="",_Engine!$D$45=0),"",INDEX(_Engine!$E579:$X579,1,(_Engine!$J$45-1)*4+3))</f>
        <v/>
      </c>
    </row>
    <row r="522">
      <c r="A522" s="25">
        <f>IF(519&lt;=_Engine!$B$36,519,"")</f>
        <v/>
      </c>
      <c r="B522" s="26">
        <f>IF($A522="","",EDATE(_Engine!$B$5,$A522-1))</f>
        <v/>
      </c>
      <c r="C522" s="27">
        <f>IF($A522="","",_Engine!$AJ580)</f>
        <v/>
      </c>
      <c r="D522" s="27">
        <f>IF($A522="","",_Engine!$AK580)</f>
        <v/>
      </c>
      <c r="E522" s="27">
        <f>IF($A522="","",_Engine!$AJ580-_Engine!$AK580)</f>
        <v/>
      </c>
      <c r="F522" s="27">
        <f>IF($A522="","",_Engine!$AI580)</f>
        <v/>
      </c>
      <c r="G522" s="27">
        <f>IF(OR($A522="",_Engine!$D$41=0),"",INDEX(_Engine!$E580:$X580,1,(_Engine!$J$41-1)*4+3))</f>
        <v/>
      </c>
      <c r="H522" s="27">
        <f>IF(OR($A522="",_Engine!$D$42=0),"",INDEX(_Engine!$E580:$X580,1,(_Engine!$J$42-1)*4+3))</f>
        <v/>
      </c>
      <c r="I522" s="27">
        <f>IF(OR($A522="",_Engine!$D$43=0),"",INDEX(_Engine!$E580:$X580,1,(_Engine!$J$43-1)*4+3))</f>
        <v/>
      </c>
      <c r="J522" s="27">
        <f>IF(OR($A522="",_Engine!$D$44=0),"",INDEX(_Engine!$E580:$X580,1,(_Engine!$J$44-1)*4+3))</f>
        <v/>
      </c>
      <c r="K522" s="27">
        <f>IF(OR($A522="",_Engine!$D$45=0),"",INDEX(_Engine!$E580:$X580,1,(_Engine!$J$45-1)*4+3))</f>
        <v/>
      </c>
    </row>
    <row r="523">
      <c r="A523" s="25">
        <f>IF(520&lt;=_Engine!$B$36,520,"")</f>
        <v/>
      </c>
      <c r="B523" s="26">
        <f>IF($A523="","",EDATE(_Engine!$B$5,$A523-1))</f>
        <v/>
      </c>
      <c r="C523" s="27">
        <f>IF($A523="","",_Engine!$AJ581)</f>
        <v/>
      </c>
      <c r="D523" s="27">
        <f>IF($A523="","",_Engine!$AK581)</f>
        <v/>
      </c>
      <c r="E523" s="27">
        <f>IF($A523="","",_Engine!$AJ581-_Engine!$AK581)</f>
        <v/>
      </c>
      <c r="F523" s="27">
        <f>IF($A523="","",_Engine!$AI581)</f>
        <v/>
      </c>
      <c r="G523" s="27">
        <f>IF(OR($A523="",_Engine!$D$41=0),"",INDEX(_Engine!$E581:$X581,1,(_Engine!$J$41-1)*4+3))</f>
        <v/>
      </c>
      <c r="H523" s="27">
        <f>IF(OR($A523="",_Engine!$D$42=0),"",INDEX(_Engine!$E581:$X581,1,(_Engine!$J$42-1)*4+3))</f>
        <v/>
      </c>
      <c r="I523" s="27">
        <f>IF(OR($A523="",_Engine!$D$43=0),"",INDEX(_Engine!$E581:$X581,1,(_Engine!$J$43-1)*4+3))</f>
        <v/>
      </c>
      <c r="J523" s="27">
        <f>IF(OR($A523="",_Engine!$D$44=0),"",INDEX(_Engine!$E581:$X581,1,(_Engine!$J$44-1)*4+3))</f>
        <v/>
      </c>
      <c r="K523" s="27">
        <f>IF(OR($A523="",_Engine!$D$45=0),"",INDEX(_Engine!$E581:$X581,1,(_Engine!$J$45-1)*4+3))</f>
        <v/>
      </c>
    </row>
    <row r="524">
      <c r="A524" s="25">
        <f>IF(521&lt;=_Engine!$B$36,521,"")</f>
        <v/>
      </c>
      <c r="B524" s="26">
        <f>IF($A524="","",EDATE(_Engine!$B$5,$A524-1))</f>
        <v/>
      </c>
      <c r="C524" s="27">
        <f>IF($A524="","",_Engine!$AJ582)</f>
        <v/>
      </c>
      <c r="D524" s="27">
        <f>IF($A524="","",_Engine!$AK582)</f>
        <v/>
      </c>
      <c r="E524" s="27">
        <f>IF($A524="","",_Engine!$AJ582-_Engine!$AK582)</f>
        <v/>
      </c>
      <c r="F524" s="27">
        <f>IF($A524="","",_Engine!$AI582)</f>
        <v/>
      </c>
      <c r="G524" s="27">
        <f>IF(OR($A524="",_Engine!$D$41=0),"",INDEX(_Engine!$E582:$X582,1,(_Engine!$J$41-1)*4+3))</f>
        <v/>
      </c>
      <c r="H524" s="27">
        <f>IF(OR($A524="",_Engine!$D$42=0),"",INDEX(_Engine!$E582:$X582,1,(_Engine!$J$42-1)*4+3))</f>
        <v/>
      </c>
      <c r="I524" s="27">
        <f>IF(OR($A524="",_Engine!$D$43=0),"",INDEX(_Engine!$E582:$X582,1,(_Engine!$J$43-1)*4+3))</f>
        <v/>
      </c>
      <c r="J524" s="27">
        <f>IF(OR($A524="",_Engine!$D$44=0),"",INDEX(_Engine!$E582:$X582,1,(_Engine!$J$44-1)*4+3))</f>
        <v/>
      </c>
      <c r="K524" s="27">
        <f>IF(OR($A524="",_Engine!$D$45=0),"",INDEX(_Engine!$E582:$X582,1,(_Engine!$J$45-1)*4+3))</f>
        <v/>
      </c>
    </row>
    <row r="525">
      <c r="A525" s="25">
        <f>IF(522&lt;=_Engine!$B$36,522,"")</f>
        <v/>
      </c>
      <c r="B525" s="26">
        <f>IF($A525="","",EDATE(_Engine!$B$5,$A525-1))</f>
        <v/>
      </c>
      <c r="C525" s="27">
        <f>IF($A525="","",_Engine!$AJ583)</f>
        <v/>
      </c>
      <c r="D525" s="27">
        <f>IF($A525="","",_Engine!$AK583)</f>
        <v/>
      </c>
      <c r="E525" s="27">
        <f>IF($A525="","",_Engine!$AJ583-_Engine!$AK583)</f>
        <v/>
      </c>
      <c r="F525" s="27">
        <f>IF($A525="","",_Engine!$AI583)</f>
        <v/>
      </c>
      <c r="G525" s="27">
        <f>IF(OR($A525="",_Engine!$D$41=0),"",INDEX(_Engine!$E583:$X583,1,(_Engine!$J$41-1)*4+3))</f>
        <v/>
      </c>
      <c r="H525" s="27">
        <f>IF(OR($A525="",_Engine!$D$42=0),"",INDEX(_Engine!$E583:$X583,1,(_Engine!$J$42-1)*4+3))</f>
        <v/>
      </c>
      <c r="I525" s="27">
        <f>IF(OR($A525="",_Engine!$D$43=0),"",INDEX(_Engine!$E583:$X583,1,(_Engine!$J$43-1)*4+3))</f>
        <v/>
      </c>
      <c r="J525" s="27">
        <f>IF(OR($A525="",_Engine!$D$44=0),"",INDEX(_Engine!$E583:$X583,1,(_Engine!$J$44-1)*4+3))</f>
        <v/>
      </c>
      <c r="K525" s="27">
        <f>IF(OR($A525="",_Engine!$D$45=0),"",INDEX(_Engine!$E583:$X583,1,(_Engine!$J$45-1)*4+3))</f>
        <v/>
      </c>
    </row>
    <row r="526">
      <c r="A526" s="25">
        <f>IF(523&lt;=_Engine!$B$36,523,"")</f>
        <v/>
      </c>
      <c r="B526" s="26">
        <f>IF($A526="","",EDATE(_Engine!$B$5,$A526-1))</f>
        <v/>
      </c>
      <c r="C526" s="27">
        <f>IF($A526="","",_Engine!$AJ584)</f>
        <v/>
      </c>
      <c r="D526" s="27">
        <f>IF($A526="","",_Engine!$AK584)</f>
        <v/>
      </c>
      <c r="E526" s="27">
        <f>IF($A526="","",_Engine!$AJ584-_Engine!$AK584)</f>
        <v/>
      </c>
      <c r="F526" s="27">
        <f>IF($A526="","",_Engine!$AI584)</f>
        <v/>
      </c>
      <c r="G526" s="27">
        <f>IF(OR($A526="",_Engine!$D$41=0),"",INDEX(_Engine!$E584:$X584,1,(_Engine!$J$41-1)*4+3))</f>
        <v/>
      </c>
      <c r="H526" s="27">
        <f>IF(OR($A526="",_Engine!$D$42=0),"",INDEX(_Engine!$E584:$X584,1,(_Engine!$J$42-1)*4+3))</f>
        <v/>
      </c>
      <c r="I526" s="27">
        <f>IF(OR($A526="",_Engine!$D$43=0),"",INDEX(_Engine!$E584:$X584,1,(_Engine!$J$43-1)*4+3))</f>
        <v/>
      </c>
      <c r="J526" s="27">
        <f>IF(OR($A526="",_Engine!$D$44=0),"",INDEX(_Engine!$E584:$X584,1,(_Engine!$J$44-1)*4+3))</f>
        <v/>
      </c>
      <c r="K526" s="27">
        <f>IF(OR($A526="",_Engine!$D$45=0),"",INDEX(_Engine!$E584:$X584,1,(_Engine!$J$45-1)*4+3))</f>
        <v/>
      </c>
    </row>
    <row r="527">
      <c r="A527" s="25">
        <f>IF(524&lt;=_Engine!$B$36,524,"")</f>
        <v/>
      </c>
      <c r="B527" s="26">
        <f>IF($A527="","",EDATE(_Engine!$B$5,$A527-1))</f>
        <v/>
      </c>
      <c r="C527" s="27">
        <f>IF($A527="","",_Engine!$AJ585)</f>
        <v/>
      </c>
      <c r="D527" s="27">
        <f>IF($A527="","",_Engine!$AK585)</f>
        <v/>
      </c>
      <c r="E527" s="27">
        <f>IF($A527="","",_Engine!$AJ585-_Engine!$AK585)</f>
        <v/>
      </c>
      <c r="F527" s="27">
        <f>IF($A527="","",_Engine!$AI585)</f>
        <v/>
      </c>
      <c r="G527" s="27">
        <f>IF(OR($A527="",_Engine!$D$41=0),"",INDEX(_Engine!$E585:$X585,1,(_Engine!$J$41-1)*4+3))</f>
        <v/>
      </c>
      <c r="H527" s="27">
        <f>IF(OR($A527="",_Engine!$D$42=0),"",INDEX(_Engine!$E585:$X585,1,(_Engine!$J$42-1)*4+3))</f>
        <v/>
      </c>
      <c r="I527" s="27">
        <f>IF(OR($A527="",_Engine!$D$43=0),"",INDEX(_Engine!$E585:$X585,1,(_Engine!$J$43-1)*4+3))</f>
        <v/>
      </c>
      <c r="J527" s="27">
        <f>IF(OR($A527="",_Engine!$D$44=0),"",INDEX(_Engine!$E585:$X585,1,(_Engine!$J$44-1)*4+3))</f>
        <v/>
      </c>
      <c r="K527" s="27">
        <f>IF(OR($A527="",_Engine!$D$45=0),"",INDEX(_Engine!$E585:$X585,1,(_Engine!$J$45-1)*4+3))</f>
        <v/>
      </c>
    </row>
    <row r="528">
      <c r="A528" s="25">
        <f>IF(525&lt;=_Engine!$B$36,525,"")</f>
        <v/>
      </c>
      <c r="B528" s="26">
        <f>IF($A528="","",EDATE(_Engine!$B$5,$A528-1))</f>
        <v/>
      </c>
      <c r="C528" s="27">
        <f>IF($A528="","",_Engine!$AJ586)</f>
        <v/>
      </c>
      <c r="D528" s="27">
        <f>IF($A528="","",_Engine!$AK586)</f>
        <v/>
      </c>
      <c r="E528" s="27">
        <f>IF($A528="","",_Engine!$AJ586-_Engine!$AK586)</f>
        <v/>
      </c>
      <c r="F528" s="27">
        <f>IF($A528="","",_Engine!$AI586)</f>
        <v/>
      </c>
      <c r="G528" s="27">
        <f>IF(OR($A528="",_Engine!$D$41=0),"",INDEX(_Engine!$E586:$X586,1,(_Engine!$J$41-1)*4+3))</f>
        <v/>
      </c>
      <c r="H528" s="27">
        <f>IF(OR($A528="",_Engine!$D$42=0),"",INDEX(_Engine!$E586:$X586,1,(_Engine!$J$42-1)*4+3))</f>
        <v/>
      </c>
      <c r="I528" s="27">
        <f>IF(OR($A528="",_Engine!$D$43=0),"",INDEX(_Engine!$E586:$X586,1,(_Engine!$J$43-1)*4+3))</f>
        <v/>
      </c>
      <c r="J528" s="27">
        <f>IF(OR($A528="",_Engine!$D$44=0),"",INDEX(_Engine!$E586:$X586,1,(_Engine!$J$44-1)*4+3))</f>
        <v/>
      </c>
      <c r="K528" s="27">
        <f>IF(OR($A528="",_Engine!$D$45=0),"",INDEX(_Engine!$E586:$X586,1,(_Engine!$J$45-1)*4+3))</f>
        <v/>
      </c>
    </row>
    <row r="529">
      <c r="A529" s="25">
        <f>IF(526&lt;=_Engine!$B$36,526,"")</f>
        <v/>
      </c>
      <c r="B529" s="26">
        <f>IF($A529="","",EDATE(_Engine!$B$5,$A529-1))</f>
        <v/>
      </c>
      <c r="C529" s="27">
        <f>IF($A529="","",_Engine!$AJ587)</f>
        <v/>
      </c>
      <c r="D529" s="27">
        <f>IF($A529="","",_Engine!$AK587)</f>
        <v/>
      </c>
      <c r="E529" s="27">
        <f>IF($A529="","",_Engine!$AJ587-_Engine!$AK587)</f>
        <v/>
      </c>
      <c r="F529" s="27">
        <f>IF($A529="","",_Engine!$AI587)</f>
        <v/>
      </c>
      <c r="G529" s="27">
        <f>IF(OR($A529="",_Engine!$D$41=0),"",INDEX(_Engine!$E587:$X587,1,(_Engine!$J$41-1)*4+3))</f>
        <v/>
      </c>
      <c r="H529" s="27">
        <f>IF(OR($A529="",_Engine!$D$42=0),"",INDEX(_Engine!$E587:$X587,1,(_Engine!$J$42-1)*4+3))</f>
        <v/>
      </c>
      <c r="I529" s="27">
        <f>IF(OR($A529="",_Engine!$D$43=0),"",INDEX(_Engine!$E587:$X587,1,(_Engine!$J$43-1)*4+3))</f>
        <v/>
      </c>
      <c r="J529" s="27">
        <f>IF(OR($A529="",_Engine!$D$44=0),"",INDEX(_Engine!$E587:$X587,1,(_Engine!$J$44-1)*4+3))</f>
        <v/>
      </c>
      <c r="K529" s="27">
        <f>IF(OR($A529="",_Engine!$D$45=0),"",INDEX(_Engine!$E587:$X587,1,(_Engine!$J$45-1)*4+3))</f>
        <v/>
      </c>
    </row>
    <row r="530">
      <c r="A530" s="25">
        <f>IF(527&lt;=_Engine!$B$36,527,"")</f>
        <v/>
      </c>
      <c r="B530" s="26">
        <f>IF($A530="","",EDATE(_Engine!$B$5,$A530-1))</f>
        <v/>
      </c>
      <c r="C530" s="27">
        <f>IF($A530="","",_Engine!$AJ588)</f>
        <v/>
      </c>
      <c r="D530" s="27">
        <f>IF($A530="","",_Engine!$AK588)</f>
        <v/>
      </c>
      <c r="E530" s="27">
        <f>IF($A530="","",_Engine!$AJ588-_Engine!$AK588)</f>
        <v/>
      </c>
      <c r="F530" s="27">
        <f>IF($A530="","",_Engine!$AI588)</f>
        <v/>
      </c>
      <c r="G530" s="27">
        <f>IF(OR($A530="",_Engine!$D$41=0),"",INDEX(_Engine!$E588:$X588,1,(_Engine!$J$41-1)*4+3))</f>
        <v/>
      </c>
      <c r="H530" s="27">
        <f>IF(OR($A530="",_Engine!$D$42=0),"",INDEX(_Engine!$E588:$X588,1,(_Engine!$J$42-1)*4+3))</f>
        <v/>
      </c>
      <c r="I530" s="27">
        <f>IF(OR($A530="",_Engine!$D$43=0),"",INDEX(_Engine!$E588:$X588,1,(_Engine!$J$43-1)*4+3))</f>
        <v/>
      </c>
      <c r="J530" s="27">
        <f>IF(OR($A530="",_Engine!$D$44=0),"",INDEX(_Engine!$E588:$X588,1,(_Engine!$J$44-1)*4+3))</f>
        <v/>
      </c>
      <c r="K530" s="27">
        <f>IF(OR($A530="",_Engine!$D$45=0),"",INDEX(_Engine!$E588:$X588,1,(_Engine!$J$45-1)*4+3))</f>
        <v/>
      </c>
    </row>
    <row r="531">
      <c r="A531" s="25">
        <f>IF(528&lt;=_Engine!$B$36,528,"")</f>
        <v/>
      </c>
      <c r="B531" s="26">
        <f>IF($A531="","",EDATE(_Engine!$B$5,$A531-1))</f>
        <v/>
      </c>
      <c r="C531" s="27">
        <f>IF($A531="","",_Engine!$AJ589)</f>
        <v/>
      </c>
      <c r="D531" s="27">
        <f>IF($A531="","",_Engine!$AK589)</f>
        <v/>
      </c>
      <c r="E531" s="27">
        <f>IF($A531="","",_Engine!$AJ589-_Engine!$AK589)</f>
        <v/>
      </c>
      <c r="F531" s="27">
        <f>IF($A531="","",_Engine!$AI589)</f>
        <v/>
      </c>
      <c r="G531" s="27">
        <f>IF(OR($A531="",_Engine!$D$41=0),"",INDEX(_Engine!$E589:$X589,1,(_Engine!$J$41-1)*4+3))</f>
        <v/>
      </c>
      <c r="H531" s="27">
        <f>IF(OR($A531="",_Engine!$D$42=0),"",INDEX(_Engine!$E589:$X589,1,(_Engine!$J$42-1)*4+3))</f>
        <v/>
      </c>
      <c r="I531" s="27">
        <f>IF(OR($A531="",_Engine!$D$43=0),"",INDEX(_Engine!$E589:$X589,1,(_Engine!$J$43-1)*4+3))</f>
        <v/>
      </c>
      <c r="J531" s="27">
        <f>IF(OR($A531="",_Engine!$D$44=0),"",INDEX(_Engine!$E589:$X589,1,(_Engine!$J$44-1)*4+3))</f>
        <v/>
      </c>
      <c r="K531" s="27">
        <f>IF(OR($A531="",_Engine!$D$45=0),"",INDEX(_Engine!$E589:$X589,1,(_Engine!$J$45-1)*4+3))</f>
        <v/>
      </c>
    </row>
    <row r="532">
      <c r="A532" s="25">
        <f>IF(529&lt;=_Engine!$B$36,529,"")</f>
        <v/>
      </c>
      <c r="B532" s="26">
        <f>IF($A532="","",EDATE(_Engine!$B$5,$A532-1))</f>
        <v/>
      </c>
      <c r="C532" s="27">
        <f>IF($A532="","",_Engine!$AJ590)</f>
        <v/>
      </c>
      <c r="D532" s="27">
        <f>IF($A532="","",_Engine!$AK590)</f>
        <v/>
      </c>
      <c r="E532" s="27">
        <f>IF($A532="","",_Engine!$AJ590-_Engine!$AK590)</f>
        <v/>
      </c>
      <c r="F532" s="27">
        <f>IF($A532="","",_Engine!$AI590)</f>
        <v/>
      </c>
      <c r="G532" s="27">
        <f>IF(OR($A532="",_Engine!$D$41=0),"",INDEX(_Engine!$E590:$X590,1,(_Engine!$J$41-1)*4+3))</f>
        <v/>
      </c>
      <c r="H532" s="27">
        <f>IF(OR($A532="",_Engine!$D$42=0),"",INDEX(_Engine!$E590:$X590,1,(_Engine!$J$42-1)*4+3))</f>
        <v/>
      </c>
      <c r="I532" s="27">
        <f>IF(OR($A532="",_Engine!$D$43=0),"",INDEX(_Engine!$E590:$X590,1,(_Engine!$J$43-1)*4+3))</f>
        <v/>
      </c>
      <c r="J532" s="27">
        <f>IF(OR($A532="",_Engine!$D$44=0),"",INDEX(_Engine!$E590:$X590,1,(_Engine!$J$44-1)*4+3))</f>
        <v/>
      </c>
      <c r="K532" s="27">
        <f>IF(OR($A532="",_Engine!$D$45=0),"",INDEX(_Engine!$E590:$X590,1,(_Engine!$J$45-1)*4+3))</f>
        <v/>
      </c>
    </row>
    <row r="533">
      <c r="A533" s="25">
        <f>IF(530&lt;=_Engine!$B$36,530,"")</f>
        <v/>
      </c>
      <c r="B533" s="26">
        <f>IF($A533="","",EDATE(_Engine!$B$5,$A533-1))</f>
        <v/>
      </c>
      <c r="C533" s="27">
        <f>IF($A533="","",_Engine!$AJ591)</f>
        <v/>
      </c>
      <c r="D533" s="27">
        <f>IF($A533="","",_Engine!$AK591)</f>
        <v/>
      </c>
      <c r="E533" s="27">
        <f>IF($A533="","",_Engine!$AJ591-_Engine!$AK591)</f>
        <v/>
      </c>
      <c r="F533" s="27">
        <f>IF($A533="","",_Engine!$AI591)</f>
        <v/>
      </c>
      <c r="G533" s="27">
        <f>IF(OR($A533="",_Engine!$D$41=0),"",INDEX(_Engine!$E591:$X591,1,(_Engine!$J$41-1)*4+3))</f>
        <v/>
      </c>
      <c r="H533" s="27">
        <f>IF(OR($A533="",_Engine!$D$42=0),"",INDEX(_Engine!$E591:$X591,1,(_Engine!$J$42-1)*4+3))</f>
        <v/>
      </c>
      <c r="I533" s="27">
        <f>IF(OR($A533="",_Engine!$D$43=0),"",INDEX(_Engine!$E591:$X591,1,(_Engine!$J$43-1)*4+3))</f>
        <v/>
      </c>
      <c r="J533" s="27">
        <f>IF(OR($A533="",_Engine!$D$44=0),"",INDEX(_Engine!$E591:$X591,1,(_Engine!$J$44-1)*4+3))</f>
        <v/>
      </c>
      <c r="K533" s="27">
        <f>IF(OR($A533="",_Engine!$D$45=0),"",INDEX(_Engine!$E591:$X591,1,(_Engine!$J$45-1)*4+3))</f>
        <v/>
      </c>
    </row>
    <row r="534">
      <c r="A534" s="25">
        <f>IF(531&lt;=_Engine!$B$36,531,"")</f>
        <v/>
      </c>
      <c r="B534" s="26">
        <f>IF($A534="","",EDATE(_Engine!$B$5,$A534-1))</f>
        <v/>
      </c>
      <c r="C534" s="27">
        <f>IF($A534="","",_Engine!$AJ592)</f>
        <v/>
      </c>
      <c r="D534" s="27">
        <f>IF($A534="","",_Engine!$AK592)</f>
        <v/>
      </c>
      <c r="E534" s="27">
        <f>IF($A534="","",_Engine!$AJ592-_Engine!$AK592)</f>
        <v/>
      </c>
      <c r="F534" s="27">
        <f>IF($A534="","",_Engine!$AI592)</f>
        <v/>
      </c>
      <c r="G534" s="27">
        <f>IF(OR($A534="",_Engine!$D$41=0),"",INDEX(_Engine!$E592:$X592,1,(_Engine!$J$41-1)*4+3))</f>
        <v/>
      </c>
      <c r="H534" s="27">
        <f>IF(OR($A534="",_Engine!$D$42=0),"",INDEX(_Engine!$E592:$X592,1,(_Engine!$J$42-1)*4+3))</f>
        <v/>
      </c>
      <c r="I534" s="27">
        <f>IF(OR($A534="",_Engine!$D$43=0),"",INDEX(_Engine!$E592:$X592,1,(_Engine!$J$43-1)*4+3))</f>
        <v/>
      </c>
      <c r="J534" s="27">
        <f>IF(OR($A534="",_Engine!$D$44=0),"",INDEX(_Engine!$E592:$X592,1,(_Engine!$J$44-1)*4+3))</f>
        <v/>
      </c>
      <c r="K534" s="27">
        <f>IF(OR($A534="",_Engine!$D$45=0),"",INDEX(_Engine!$E592:$X592,1,(_Engine!$J$45-1)*4+3))</f>
        <v/>
      </c>
    </row>
    <row r="535">
      <c r="A535" s="25">
        <f>IF(532&lt;=_Engine!$B$36,532,"")</f>
        <v/>
      </c>
      <c r="B535" s="26">
        <f>IF($A535="","",EDATE(_Engine!$B$5,$A535-1))</f>
        <v/>
      </c>
      <c r="C535" s="27">
        <f>IF($A535="","",_Engine!$AJ593)</f>
        <v/>
      </c>
      <c r="D535" s="27">
        <f>IF($A535="","",_Engine!$AK593)</f>
        <v/>
      </c>
      <c r="E535" s="27">
        <f>IF($A535="","",_Engine!$AJ593-_Engine!$AK593)</f>
        <v/>
      </c>
      <c r="F535" s="27">
        <f>IF($A535="","",_Engine!$AI593)</f>
        <v/>
      </c>
      <c r="G535" s="27">
        <f>IF(OR($A535="",_Engine!$D$41=0),"",INDEX(_Engine!$E593:$X593,1,(_Engine!$J$41-1)*4+3))</f>
        <v/>
      </c>
      <c r="H535" s="27">
        <f>IF(OR($A535="",_Engine!$D$42=0),"",INDEX(_Engine!$E593:$X593,1,(_Engine!$J$42-1)*4+3))</f>
        <v/>
      </c>
      <c r="I535" s="27">
        <f>IF(OR($A535="",_Engine!$D$43=0),"",INDEX(_Engine!$E593:$X593,1,(_Engine!$J$43-1)*4+3))</f>
        <v/>
      </c>
      <c r="J535" s="27">
        <f>IF(OR($A535="",_Engine!$D$44=0),"",INDEX(_Engine!$E593:$X593,1,(_Engine!$J$44-1)*4+3))</f>
        <v/>
      </c>
      <c r="K535" s="27">
        <f>IF(OR($A535="",_Engine!$D$45=0),"",INDEX(_Engine!$E593:$X593,1,(_Engine!$J$45-1)*4+3))</f>
        <v/>
      </c>
    </row>
    <row r="536">
      <c r="A536" s="25">
        <f>IF(533&lt;=_Engine!$B$36,533,"")</f>
        <v/>
      </c>
      <c r="B536" s="26">
        <f>IF($A536="","",EDATE(_Engine!$B$5,$A536-1))</f>
        <v/>
      </c>
      <c r="C536" s="27">
        <f>IF($A536="","",_Engine!$AJ594)</f>
        <v/>
      </c>
      <c r="D536" s="27">
        <f>IF($A536="","",_Engine!$AK594)</f>
        <v/>
      </c>
      <c r="E536" s="27">
        <f>IF($A536="","",_Engine!$AJ594-_Engine!$AK594)</f>
        <v/>
      </c>
      <c r="F536" s="27">
        <f>IF($A536="","",_Engine!$AI594)</f>
        <v/>
      </c>
      <c r="G536" s="27">
        <f>IF(OR($A536="",_Engine!$D$41=0),"",INDEX(_Engine!$E594:$X594,1,(_Engine!$J$41-1)*4+3))</f>
        <v/>
      </c>
      <c r="H536" s="27">
        <f>IF(OR($A536="",_Engine!$D$42=0),"",INDEX(_Engine!$E594:$X594,1,(_Engine!$J$42-1)*4+3))</f>
        <v/>
      </c>
      <c r="I536" s="27">
        <f>IF(OR($A536="",_Engine!$D$43=0),"",INDEX(_Engine!$E594:$X594,1,(_Engine!$J$43-1)*4+3))</f>
        <v/>
      </c>
      <c r="J536" s="27">
        <f>IF(OR($A536="",_Engine!$D$44=0),"",INDEX(_Engine!$E594:$X594,1,(_Engine!$J$44-1)*4+3))</f>
        <v/>
      </c>
      <c r="K536" s="27">
        <f>IF(OR($A536="",_Engine!$D$45=0),"",INDEX(_Engine!$E594:$X594,1,(_Engine!$J$45-1)*4+3))</f>
        <v/>
      </c>
    </row>
    <row r="537">
      <c r="A537" s="25">
        <f>IF(534&lt;=_Engine!$B$36,534,"")</f>
        <v/>
      </c>
      <c r="B537" s="26">
        <f>IF($A537="","",EDATE(_Engine!$B$5,$A537-1))</f>
        <v/>
      </c>
      <c r="C537" s="27">
        <f>IF($A537="","",_Engine!$AJ595)</f>
        <v/>
      </c>
      <c r="D537" s="27">
        <f>IF($A537="","",_Engine!$AK595)</f>
        <v/>
      </c>
      <c r="E537" s="27">
        <f>IF($A537="","",_Engine!$AJ595-_Engine!$AK595)</f>
        <v/>
      </c>
      <c r="F537" s="27">
        <f>IF($A537="","",_Engine!$AI595)</f>
        <v/>
      </c>
      <c r="G537" s="27">
        <f>IF(OR($A537="",_Engine!$D$41=0),"",INDEX(_Engine!$E595:$X595,1,(_Engine!$J$41-1)*4+3))</f>
        <v/>
      </c>
      <c r="H537" s="27">
        <f>IF(OR($A537="",_Engine!$D$42=0),"",INDEX(_Engine!$E595:$X595,1,(_Engine!$J$42-1)*4+3))</f>
        <v/>
      </c>
      <c r="I537" s="27">
        <f>IF(OR($A537="",_Engine!$D$43=0),"",INDEX(_Engine!$E595:$X595,1,(_Engine!$J$43-1)*4+3))</f>
        <v/>
      </c>
      <c r="J537" s="27">
        <f>IF(OR($A537="",_Engine!$D$44=0),"",INDEX(_Engine!$E595:$X595,1,(_Engine!$J$44-1)*4+3))</f>
        <v/>
      </c>
      <c r="K537" s="27">
        <f>IF(OR($A537="",_Engine!$D$45=0),"",INDEX(_Engine!$E595:$X595,1,(_Engine!$J$45-1)*4+3))</f>
        <v/>
      </c>
    </row>
    <row r="538">
      <c r="A538" s="25">
        <f>IF(535&lt;=_Engine!$B$36,535,"")</f>
        <v/>
      </c>
      <c r="B538" s="26">
        <f>IF($A538="","",EDATE(_Engine!$B$5,$A538-1))</f>
        <v/>
      </c>
      <c r="C538" s="27">
        <f>IF($A538="","",_Engine!$AJ596)</f>
        <v/>
      </c>
      <c r="D538" s="27">
        <f>IF($A538="","",_Engine!$AK596)</f>
        <v/>
      </c>
      <c r="E538" s="27">
        <f>IF($A538="","",_Engine!$AJ596-_Engine!$AK596)</f>
        <v/>
      </c>
      <c r="F538" s="27">
        <f>IF($A538="","",_Engine!$AI596)</f>
        <v/>
      </c>
      <c r="G538" s="27">
        <f>IF(OR($A538="",_Engine!$D$41=0),"",INDEX(_Engine!$E596:$X596,1,(_Engine!$J$41-1)*4+3))</f>
        <v/>
      </c>
      <c r="H538" s="27">
        <f>IF(OR($A538="",_Engine!$D$42=0),"",INDEX(_Engine!$E596:$X596,1,(_Engine!$J$42-1)*4+3))</f>
        <v/>
      </c>
      <c r="I538" s="27">
        <f>IF(OR($A538="",_Engine!$D$43=0),"",INDEX(_Engine!$E596:$X596,1,(_Engine!$J$43-1)*4+3))</f>
        <v/>
      </c>
      <c r="J538" s="27">
        <f>IF(OR($A538="",_Engine!$D$44=0),"",INDEX(_Engine!$E596:$X596,1,(_Engine!$J$44-1)*4+3))</f>
        <v/>
      </c>
      <c r="K538" s="27">
        <f>IF(OR($A538="",_Engine!$D$45=0),"",INDEX(_Engine!$E596:$X596,1,(_Engine!$J$45-1)*4+3))</f>
        <v/>
      </c>
    </row>
    <row r="539">
      <c r="A539" s="25">
        <f>IF(536&lt;=_Engine!$B$36,536,"")</f>
        <v/>
      </c>
      <c r="B539" s="26">
        <f>IF($A539="","",EDATE(_Engine!$B$5,$A539-1))</f>
        <v/>
      </c>
      <c r="C539" s="27">
        <f>IF($A539="","",_Engine!$AJ597)</f>
        <v/>
      </c>
      <c r="D539" s="27">
        <f>IF($A539="","",_Engine!$AK597)</f>
        <v/>
      </c>
      <c r="E539" s="27">
        <f>IF($A539="","",_Engine!$AJ597-_Engine!$AK597)</f>
        <v/>
      </c>
      <c r="F539" s="27">
        <f>IF($A539="","",_Engine!$AI597)</f>
        <v/>
      </c>
      <c r="G539" s="27">
        <f>IF(OR($A539="",_Engine!$D$41=0),"",INDEX(_Engine!$E597:$X597,1,(_Engine!$J$41-1)*4+3))</f>
        <v/>
      </c>
      <c r="H539" s="27">
        <f>IF(OR($A539="",_Engine!$D$42=0),"",INDEX(_Engine!$E597:$X597,1,(_Engine!$J$42-1)*4+3))</f>
        <v/>
      </c>
      <c r="I539" s="27">
        <f>IF(OR($A539="",_Engine!$D$43=0),"",INDEX(_Engine!$E597:$X597,1,(_Engine!$J$43-1)*4+3))</f>
        <v/>
      </c>
      <c r="J539" s="27">
        <f>IF(OR($A539="",_Engine!$D$44=0),"",INDEX(_Engine!$E597:$X597,1,(_Engine!$J$44-1)*4+3))</f>
        <v/>
      </c>
      <c r="K539" s="27">
        <f>IF(OR($A539="",_Engine!$D$45=0),"",INDEX(_Engine!$E597:$X597,1,(_Engine!$J$45-1)*4+3))</f>
        <v/>
      </c>
    </row>
    <row r="540">
      <c r="A540" s="25">
        <f>IF(537&lt;=_Engine!$B$36,537,"")</f>
        <v/>
      </c>
      <c r="B540" s="26">
        <f>IF($A540="","",EDATE(_Engine!$B$5,$A540-1))</f>
        <v/>
      </c>
      <c r="C540" s="27">
        <f>IF($A540="","",_Engine!$AJ598)</f>
        <v/>
      </c>
      <c r="D540" s="27">
        <f>IF($A540="","",_Engine!$AK598)</f>
        <v/>
      </c>
      <c r="E540" s="27">
        <f>IF($A540="","",_Engine!$AJ598-_Engine!$AK598)</f>
        <v/>
      </c>
      <c r="F540" s="27">
        <f>IF($A540="","",_Engine!$AI598)</f>
        <v/>
      </c>
      <c r="G540" s="27">
        <f>IF(OR($A540="",_Engine!$D$41=0),"",INDEX(_Engine!$E598:$X598,1,(_Engine!$J$41-1)*4+3))</f>
        <v/>
      </c>
      <c r="H540" s="27">
        <f>IF(OR($A540="",_Engine!$D$42=0),"",INDEX(_Engine!$E598:$X598,1,(_Engine!$J$42-1)*4+3))</f>
        <v/>
      </c>
      <c r="I540" s="27">
        <f>IF(OR($A540="",_Engine!$D$43=0),"",INDEX(_Engine!$E598:$X598,1,(_Engine!$J$43-1)*4+3))</f>
        <v/>
      </c>
      <c r="J540" s="27">
        <f>IF(OR($A540="",_Engine!$D$44=0),"",INDEX(_Engine!$E598:$X598,1,(_Engine!$J$44-1)*4+3))</f>
        <v/>
      </c>
      <c r="K540" s="27">
        <f>IF(OR($A540="",_Engine!$D$45=0),"",INDEX(_Engine!$E598:$X598,1,(_Engine!$J$45-1)*4+3))</f>
        <v/>
      </c>
    </row>
    <row r="541">
      <c r="A541" s="25">
        <f>IF(538&lt;=_Engine!$B$36,538,"")</f>
        <v/>
      </c>
      <c r="B541" s="26">
        <f>IF($A541="","",EDATE(_Engine!$B$5,$A541-1))</f>
        <v/>
      </c>
      <c r="C541" s="27">
        <f>IF($A541="","",_Engine!$AJ599)</f>
        <v/>
      </c>
      <c r="D541" s="27">
        <f>IF($A541="","",_Engine!$AK599)</f>
        <v/>
      </c>
      <c r="E541" s="27">
        <f>IF($A541="","",_Engine!$AJ599-_Engine!$AK599)</f>
        <v/>
      </c>
      <c r="F541" s="27">
        <f>IF($A541="","",_Engine!$AI599)</f>
        <v/>
      </c>
      <c r="G541" s="27">
        <f>IF(OR($A541="",_Engine!$D$41=0),"",INDEX(_Engine!$E599:$X599,1,(_Engine!$J$41-1)*4+3))</f>
        <v/>
      </c>
      <c r="H541" s="27">
        <f>IF(OR($A541="",_Engine!$D$42=0),"",INDEX(_Engine!$E599:$X599,1,(_Engine!$J$42-1)*4+3))</f>
        <v/>
      </c>
      <c r="I541" s="27">
        <f>IF(OR($A541="",_Engine!$D$43=0),"",INDEX(_Engine!$E599:$X599,1,(_Engine!$J$43-1)*4+3))</f>
        <v/>
      </c>
      <c r="J541" s="27">
        <f>IF(OR($A541="",_Engine!$D$44=0),"",INDEX(_Engine!$E599:$X599,1,(_Engine!$J$44-1)*4+3))</f>
        <v/>
      </c>
      <c r="K541" s="27">
        <f>IF(OR($A541="",_Engine!$D$45=0),"",INDEX(_Engine!$E599:$X599,1,(_Engine!$J$45-1)*4+3))</f>
        <v/>
      </c>
    </row>
    <row r="542">
      <c r="A542" s="25">
        <f>IF(539&lt;=_Engine!$B$36,539,"")</f>
        <v/>
      </c>
      <c r="B542" s="26">
        <f>IF($A542="","",EDATE(_Engine!$B$5,$A542-1))</f>
        <v/>
      </c>
      <c r="C542" s="27">
        <f>IF($A542="","",_Engine!$AJ600)</f>
        <v/>
      </c>
      <c r="D542" s="27">
        <f>IF($A542="","",_Engine!$AK600)</f>
        <v/>
      </c>
      <c r="E542" s="27">
        <f>IF($A542="","",_Engine!$AJ600-_Engine!$AK600)</f>
        <v/>
      </c>
      <c r="F542" s="27">
        <f>IF($A542="","",_Engine!$AI600)</f>
        <v/>
      </c>
      <c r="G542" s="27">
        <f>IF(OR($A542="",_Engine!$D$41=0),"",INDEX(_Engine!$E600:$X600,1,(_Engine!$J$41-1)*4+3))</f>
        <v/>
      </c>
      <c r="H542" s="27">
        <f>IF(OR($A542="",_Engine!$D$42=0),"",INDEX(_Engine!$E600:$X600,1,(_Engine!$J$42-1)*4+3))</f>
        <v/>
      </c>
      <c r="I542" s="27">
        <f>IF(OR($A542="",_Engine!$D$43=0),"",INDEX(_Engine!$E600:$X600,1,(_Engine!$J$43-1)*4+3))</f>
        <v/>
      </c>
      <c r="J542" s="27">
        <f>IF(OR($A542="",_Engine!$D$44=0),"",INDEX(_Engine!$E600:$X600,1,(_Engine!$J$44-1)*4+3))</f>
        <v/>
      </c>
      <c r="K542" s="27">
        <f>IF(OR($A542="",_Engine!$D$45=0),"",INDEX(_Engine!$E600:$X600,1,(_Engine!$J$45-1)*4+3))</f>
        <v/>
      </c>
    </row>
    <row r="543">
      <c r="A543" s="25">
        <f>IF(540&lt;=_Engine!$B$36,540,"")</f>
        <v/>
      </c>
      <c r="B543" s="26">
        <f>IF($A543="","",EDATE(_Engine!$B$5,$A543-1))</f>
        <v/>
      </c>
      <c r="C543" s="27">
        <f>IF($A543="","",_Engine!$AJ601)</f>
        <v/>
      </c>
      <c r="D543" s="27">
        <f>IF($A543="","",_Engine!$AK601)</f>
        <v/>
      </c>
      <c r="E543" s="27">
        <f>IF($A543="","",_Engine!$AJ601-_Engine!$AK601)</f>
        <v/>
      </c>
      <c r="F543" s="27">
        <f>IF($A543="","",_Engine!$AI601)</f>
        <v/>
      </c>
      <c r="G543" s="27">
        <f>IF(OR($A543="",_Engine!$D$41=0),"",INDEX(_Engine!$E601:$X601,1,(_Engine!$J$41-1)*4+3))</f>
        <v/>
      </c>
      <c r="H543" s="27">
        <f>IF(OR($A543="",_Engine!$D$42=0),"",INDEX(_Engine!$E601:$X601,1,(_Engine!$J$42-1)*4+3))</f>
        <v/>
      </c>
      <c r="I543" s="27">
        <f>IF(OR($A543="",_Engine!$D$43=0),"",INDEX(_Engine!$E601:$X601,1,(_Engine!$J$43-1)*4+3))</f>
        <v/>
      </c>
      <c r="J543" s="27">
        <f>IF(OR($A543="",_Engine!$D$44=0),"",INDEX(_Engine!$E601:$X601,1,(_Engine!$J$44-1)*4+3))</f>
        <v/>
      </c>
      <c r="K543" s="27">
        <f>IF(OR($A543="",_Engine!$D$45=0),"",INDEX(_Engine!$E601:$X601,1,(_Engine!$J$45-1)*4+3))</f>
        <v/>
      </c>
    </row>
    <row r="544">
      <c r="A544" s="25">
        <f>IF(541&lt;=_Engine!$B$36,541,"")</f>
        <v/>
      </c>
      <c r="B544" s="26">
        <f>IF($A544="","",EDATE(_Engine!$B$5,$A544-1))</f>
        <v/>
      </c>
      <c r="C544" s="27">
        <f>IF($A544="","",_Engine!$AJ602)</f>
        <v/>
      </c>
      <c r="D544" s="27">
        <f>IF($A544="","",_Engine!$AK602)</f>
        <v/>
      </c>
      <c r="E544" s="27">
        <f>IF($A544="","",_Engine!$AJ602-_Engine!$AK602)</f>
        <v/>
      </c>
      <c r="F544" s="27">
        <f>IF($A544="","",_Engine!$AI602)</f>
        <v/>
      </c>
      <c r="G544" s="27">
        <f>IF(OR($A544="",_Engine!$D$41=0),"",INDEX(_Engine!$E602:$X602,1,(_Engine!$J$41-1)*4+3))</f>
        <v/>
      </c>
      <c r="H544" s="27">
        <f>IF(OR($A544="",_Engine!$D$42=0),"",INDEX(_Engine!$E602:$X602,1,(_Engine!$J$42-1)*4+3))</f>
        <v/>
      </c>
      <c r="I544" s="27">
        <f>IF(OR($A544="",_Engine!$D$43=0),"",INDEX(_Engine!$E602:$X602,1,(_Engine!$J$43-1)*4+3))</f>
        <v/>
      </c>
      <c r="J544" s="27">
        <f>IF(OR($A544="",_Engine!$D$44=0),"",INDEX(_Engine!$E602:$X602,1,(_Engine!$J$44-1)*4+3))</f>
        <v/>
      </c>
      <c r="K544" s="27">
        <f>IF(OR($A544="",_Engine!$D$45=0),"",INDEX(_Engine!$E602:$X602,1,(_Engine!$J$45-1)*4+3))</f>
        <v/>
      </c>
    </row>
    <row r="545">
      <c r="A545" s="25">
        <f>IF(542&lt;=_Engine!$B$36,542,"")</f>
        <v/>
      </c>
      <c r="B545" s="26">
        <f>IF($A545="","",EDATE(_Engine!$B$5,$A545-1))</f>
        <v/>
      </c>
      <c r="C545" s="27">
        <f>IF($A545="","",_Engine!$AJ603)</f>
        <v/>
      </c>
      <c r="D545" s="27">
        <f>IF($A545="","",_Engine!$AK603)</f>
        <v/>
      </c>
      <c r="E545" s="27">
        <f>IF($A545="","",_Engine!$AJ603-_Engine!$AK603)</f>
        <v/>
      </c>
      <c r="F545" s="27">
        <f>IF($A545="","",_Engine!$AI603)</f>
        <v/>
      </c>
      <c r="G545" s="27">
        <f>IF(OR($A545="",_Engine!$D$41=0),"",INDEX(_Engine!$E603:$X603,1,(_Engine!$J$41-1)*4+3))</f>
        <v/>
      </c>
      <c r="H545" s="27">
        <f>IF(OR($A545="",_Engine!$D$42=0),"",INDEX(_Engine!$E603:$X603,1,(_Engine!$J$42-1)*4+3))</f>
        <v/>
      </c>
      <c r="I545" s="27">
        <f>IF(OR($A545="",_Engine!$D$43=0),"",INDEX(_Engine!$E603:$X603,1,(_Engine!$J$43-1)*4+3))</f>
        <v/>
      </c>
      <c r="J545" s="27">
        <f>IF(OR($A545="",_Engine!$D$44=0),"",INDEX(_Engine!$E603:$X603,1,(_Engine!$J$44-1)*4+3))</f>
        <v/>
      </c>
      <c r="K545" s="27">
        <f>IF(OR($A545="",_Engine!$D$45=0),"",INDEX(_Engine!$E603:$X603,1,(_Engine!$J$45-1)*4+3))</f>
        <v/>
      </c>
    </row>
    <row r="546">
      <c r="A546" s="25">
        <f>IF(543&lt;=_Engine!$B$36,543,"")</f>
        <v/>
      </c>
      <c r="B546" s="26">
        <f>IF($A546="","",EDATE(_Engine!$B$5,$A546-1))</f>
        <v/>
      </c>
      <c r="C546" s="27">
        <f>IF($A546="","",_Engine!$AJ604)</f>
        <v/>
      </c>
      <c r="D546" s="27">
        <f>IF($A546="","",_Engine!$AK604)</f>
        <v/>
      </c>
      <c r="E546" s="27">
        <f>IF($A546="","",_Engine!$AJ604-_Engine!$AK604)</f>
        <v/>
      </c>
      <c r="F546" s="27">
        <f>IF($A546="","",_Engine!$AI604)</f>
        <v/>
      </c>
      <c r="G546" s="27">
        <f>IF(OR($A546="",_Engine!$D$41=0),"",INDEX(_Engine!$E604:$X604,1,(_Engine!$J$41-1)*4+3))</f>
        <v/>
      </c>
      <c r="H546" s="27">
        <f>IF(OR($A546="",_Engine!$D$42=0),"",INDEX(_Engine!$E604:$X604,1,(_Engine!$J$42-1)*4+3))</f>
        <v/>
      </c>
      <c r="I546" s="27">
        <f>IF(OR($A546="",_Engine!$D$43=0),"",INDEX(_Engine!$E604:$X604,1,(_Engine!$J$43-1)*4+3))</f>
        <v/>
      </c>
      <c r="J546" s="27">
        <f>IF(OR($A546="",_Engine!$D$44=0),"",INDEX(_Engine!$E604:$X604,1,(_Engine!$J$44-1)*4+3))</f>
        <v/>
      </c>
      <c r="K546" s="27">
        <f>IF(OR($A546="",_Engine!$D$45=0),"",INDEX(_Engine!$E604:$X604,1,(_Engine!$J$45-1)*4+3))</f>
        <v/>
      </c>
    </row>
    <row r="547">
      <c r="A547" s="25">
        <f>IF(544&lt;=_Engine!$B$36,544,"")</f>
        <v/>
      </c>
      <c r="B547" s="26">
        <f>IF($A547="","",EDATE(_Engine!$B$5,$A547-1))</f>
        <v/>
      </c>
      <c r="C547" s="27">
        <f>IF($A547="","",_Engine!$AJ605)</f>
        <v/>
      </c>
      <c r="D547" s="27">
        <f>IF($A547="","",_Engine!$AK605)</f>
        <v/>
      </c>
      <c r="E547" s="27">
        <f>IF($A547="","",_Engine!$AJ605-_Engine!$AK605)</f>
        <v/>
      </c>
      <c r="F547" s="27">
        <f>IF($A547="","",_Engine!$AI605)</f>
        <v/>
      </c>
      <c r="G547" s="27">
        <f>IF(OR($A547="",_Engine!$D$41=0),"",INDEX(_Engine!$E605:$X605,1,(_Engine!$J$41-1)*4+3))</f>
        <v/>
      </c>
      <c r="H547" s="27">
        <f>IF(OR($A547="",_Engine!$D$42=0),"",INDEX(_Engine!$E605:$X605,1,(_Engine!$J$42-1)*4+3))</f>
        <v/>
      </c>
      <c r="I547" s="27">
        <f>IF(OR($A547="",_Engine!$D$43=0),"",INDEX(_Engine!$E605:$X605,1,(_Engine!$J$43-1)*4+3))</f>
        <v/>
      </c>
      <c r="J547" s="27">
        <f>IF(OR($A547="",_Engine!$D$44=0),"",INDEX(_Engine!$E605:$X605,1,(_Engine!$J$44-1)*4+3))</f>
        <v/>
      </c>
      <c r="K547" s="27">
        <f>IF(OR($A547="",_Engine!$D$45=0),"",INDEX(_Engine!$E605:$X605,1,(_Engine!$J$45-1)*4+3))</f>
        <v/>
      </c>
    </row>
    <row r="548">
      <c r="A548" s="25">
        <f>IF(545&lt;=_Engine!$B$36,545,"")</f>
        <v/>
      </c>
      <c r="B548" s="26">
        <f>IF($A548="","",EDATE(_Engine!$B$5,$A548-1))</f>
        <v/>
      </c>
      <c r="C548" s="27">
        <f>IF($A548="","",_Engine!$AJ606)</f>
        <v/>
      </c>
      <c r="D548" s="27">
        <f>IF($A548="","",_Engine!$AK606)</f>
        <v/>
      </c>
      <c r="E548" s="27">
        <f>IF($A548="","",_Engine!$AJ606-_Engine!$AK606)</f>
        <v/>
      </c>
      <c r="F548" s="27">
        <f>IF($A548="","",_Engine!$AI606)</f>
        <v/>
      </c>
      <c r="G548" s="27">
        <f>IF(OR($A548="",_Engine!$D$41=0),"",INDEX(_Engine!$E606:$X606,1,(_Engine!$J$41-1)*4+3))</f>
        <v/>
      </c>
      <c r="H548" s="27">
        <f>IF(OR($A548="",_Engine!$D$42=0),"",INDEX(_Engine!$E606:$X606,1,(_Engine!$J$42-1)*4+3))</f>
        <v/>
      </c>
      <c r="I548" s="27">
        <f>IF(OR($A548="",_Engine!$D$43=0),"",INDEX(_Engine!$E606:$X606,1,(_Engine!$J$43-1)*4+3))</f>
        <v/>
      </c>
      <c r="J548" s="27">
        <f>IF(OR($A548="",_Engine!$D$44=0),"",INDEX(_Engine!$E606:$X606,1,(_Engine!$J$44-1)*4+3))</f>
        <v/>
      </c>
      <c r="K548" s="27">
        <f>IF(OR($A548="",_Engine!$D$45=0),"",INDEX(_Engine!$E606:$X606,1,(_Engine!$J$45-1)*4+3))</f>
        <v/>
      </c>
    </row>
    <row r="549">
      <c r="A549" s="25">
        <f>IF(546&lt;=_Engine!$B$36,546,"")</f>
        <v/>
      </c>
      <c r="B549" s="26">
        <f>IF($A549="","",EDATE(_Engine!$B$5,$A549-1))</f>
        <v/>
      </c>
      <c r="C549" s="27">
        <f>IF($A549="","",_Engine!$AJ607)</f>
        <v/>
      </c>
      <c r="D549" s="27">
        <f>IF($A549="","",_Engine!$AK607)</f>
        <v/>
      </c>
      <c r="E549" s="27">
        <f>IF($A549="","",_Engine!$AJ607-_Engine!$AK607)</f>
        <v/>
      </c>
      <c r="F549" s="27">
        <f>IF($A549="","",_Engine!$AI607)</f>
        <v/>
      </c>
      <c r="G549" s="27">
        <f>IF(OR($A549="",_Engine!$D$41=0),"",INDEX(_Engine!$E607:$X607,1,(_Engine!$J$41-1)*4+3))</f>
        <v/>
      </c>
      <c r="H549" s="27">
        <f>IF(OR($A549="",_Engine!$D$42=0),"",INDEX(_Engine!$E607:$X607,1,(_Engine!$J$42-1)*4+3))</f>
        <v/>
      </c>
      <c r="I549" s="27">
        <f>IF(OR($A549="",_Engine!$D$43=0),"",INDEX(_Engine!$E607:$X607,1,(_Engine!$J$43-1)*4+3))</f>
        <v/>
      </c>
      <c r="J549" s="27">
        <f>IF(OR($A549="",_Engine!$D$44=0),"",INDEX(_Engine!$E607:$X607,1,(_Engine!$J$44-1)*4+3))</f>
        <v/>
      </c>
      <c r="K549" s="27">
        <f>IF(OR($A549="",_Engine!$D$45=0),"",INDEX(_Engine!$E607:$X607,1,(_Engine!$J$45-1)*4+3))</f>
        <v/>
      </c>
    </row>
    <row r="550">
      <c r="A550" s="25">
        <f>IF(547&lt;=_Engine!$B$36,547,"")</f>
        <v/>
      </c>
      <c r="B550" s="26">
        <f>IF($A550="","",EDATE(_Engine!$B$5,$A550-1))</f>
        <v/>
      </c>
      <c r="C550" s="27">
        <f>IF($A550="","",_Engine!$AJ608)</f>
        <v/>
      </c>
      <c r="D550" s="27">
        <f>IF($A550="","",_Engine!$AK608)</f>
        <v/>
      </c>
      <c r="E550" s="27">
        <f>IF($A550="","",_Engine!$AJ608-_Engine!$AK608)</f>
        <v/>
      </c>
      <c r="F550" s="27">
        <f>IF($A550="","",_Engine!$AI608)</f>
        <v/>
      </c>
      <c r="G550" s="27">
        <f>IF(OR($A550="",_Engine!$D$41=0),"",INDEX(_Engine!$E608:$X608,1,(_Engine!$J$41-1)*4+3))</f>
        <v/>
      </c>
      <c r="H550" s="27">
        <f>IF(OR($A550="",_Engine!$D$42=0),"",INDEX(_Engine!$E608:$X608,1,(_Engine!$J$42-1)*4+3))</f>
        <v/>
      </c>
      <c r="I550" s="27">
        <f>IF(OR($A550="",_Engine!$D$43=0),"",INDEX(_Engine!$E608:$X608,1,(_Engine!$J$43-1)*4+3))</f>
        <v/>
      </c>
      <c r="J550" s="27">
        <f>IF(OR($A550="",_Engine!$D$44=0),"",INDEX(_Engine!$E608:$X608,1,(_Engine!$J$44-1)*4+3))</f>
        <v/>
      </c>
      <c r="K550" s="27">
        <f>IF(OR($A550="",_Engine!$D$45=0),"",INDEX(_Engine!$E608:$X608,1,(_Engine!$J$45-1)*4+3))</f>
        <v/>
      </c>
    </row>
    <row r="551">
      <c r="A551" s="25">
        <f>IF(548&lt;=_Engine!$B$36,548,"")</f>
        <v/>
      </c>
      <c r="B551" s="26">
        <f>IF($A551="","",EDATE(_Engine!$B$5,$A551-1))</f>
        <v/>
      </c>
      <c r="C551" s="27">
        <f>IF($A551="","",_Engine!$AJ609)</f>
        <v/>
      </c>
      <c r="D551" s="27">
        <f>IF($A551="","",_Engine!$AK609)</f>
        <v/>
      </c>
      <c r="E551" s="27">
        <f>IF($A551="","",_Engine!$AJ609-_Engine!$AK609)</f>
        <v/>
      </c>
      <c r="F551" s="27">
        <f>IF($A551="","",_Engine!$AI609)</f>
        <v/>
      </c>
      <c r="G551" s="27">
        <f>IF(OR($A551="",_Engine!$D$41=0),"",INDEX(_Engine!$E609:$X609,1,(_Engine!$J$41-1)*4+3))</f>
        <v/>
      </c>
      <c r="H551" s="27">
        <f>IF(OR($A551="",_Engine!$D$42=0),"",INDEX(_Engine!$E609:$X609,1,(_Engine!$J$42-1)*4+3))</f>
        <v/>
      </c>
      <c r="I551" s="27">
        <f>IF(OR($A551="",_Engine!$D$43=0),"",INDEX(_Engine!$E609:$X609,1,(_Engine!$J$43-1)*4+3))</f>
        <v/>
      </c>
      <c r="J551" s="27">
        <f>IF(OR($A551="",_Engine!$D$44=0),"",INDEX(_Engine!$E609:$X609,1,(_Engine!$J$44-1)*4+3))</f>
        <v/>
      </c>
      <c r="K551" s="27">
        <f>IF(OR($A551="",_Engine!$D$45=0),"",INDEX(_Engine!$E609:$X609,1,(_Engine!$J$45-1)*4+3))</f>
        <v/>
      </c>
    </row>
    <row r="552">
      <c r="A552" s="25">
        <f>IF(549&lt;=_Engine!$B$36,549,"")</f>
        <v/>
      </c>
      <c r="B552" s="26">
        <f>IF($A552="","",EDATE(_Engine!$B$5,$A552-1))</f>
        <v/>
      </c>
      <c r="C552" s="27">
        <f>IF($A552="","",_Engine!$AJ610)</f>
        <v/>
      </c>
      <c r="D552" s="27">
        <f>IF($A552="","",_Engine!$AK610)</f>
        <v/>
      </c>
      <c r="E552" s="27">
        <f>IF($A552="","",_Engine!$AJ610-_Engine!$AK610)</f>
        <v/>
      </c>
      <c r="F552" s="27">
        <f>IF($A552="","",_Engine!$AI610)</f>
        <v/>
      </c>
      <c r="G552" s="27">
        <f>IF(OR($A552="",_Engine!$D$41=0),"",INDEX(_Engine!$E610:$X610,1,(_Engine!$J$41-1)*4+3))</f>
        <v/>
      </c>
      <c r="H552" s="27">
        <f>IF(OR($A552="",_Engine!$D$42=0),"",INDEX(_Engine!$E610:$X610,1,(_Engine!$J$42-1)*4+3))</f>
        <v/>
      </c>
      <c r="I552" s="27">
        <f>IF(OR($A552="",_Engine!$D$43=0),"",INDEX(_Engine!$E610:$X610,1,(_Engine!$J$43-1)*4+3))</f>
        <v/>
      </c>
      <c r="J552" s="27">
        <f>IF(OR($A552="",_Engine!$D$44=0),"",INDEX(_Engine!$E610:$X610,1,(_Engine!$J$44-1)*4+3))</f>
        <v/>
      </c>
      <c r="K552" s="27">
        <f>IF(OR($A552="",_Engine!$D$45=0),"",INDEX(_Engine!$E610:$X610,1,(_Engine!$J$45-1)*4+3))</f>
        <v/>
      </c>
    </row>
    <row r="553">
      <c r="A553" s="25">
        <f>IF(550&lt;=_Engine!$B$36,550,"")</f>
        <v/>
      </c>
      <c r="B553" s="26">
        <f>IF($A553="","",EDATE(_Engine!$B$5,$A553-1))</f>
        <v/>
      </c>
      <c r="C553" s="27">
        <f>IF($A553="","",_Engine!$AJ611)</f>
        <v/>
      </c>
      <c r="D553" s="27">
        <f>IF($A553="","",_Engine!$AK611)</f>
        <v/>
      </c>
      <c r="E553" s="27">
        <f>IF($A553="","",_Engine!$AJ611-_Engine!$AK611)</f>
        <v/>
      </c>
      <c r="F553" s="27">
        <f>IF($A553="","",_Engine!$AI611)</f>
        <v/>
      </c>
      <c r="G553" s="27">
        <f>IF(OR($A553="",_Engine!$D$41=0),"",INDEX(_Engine!$E611:$X611,1,(_Engine!$J$41-1)*4+3))</f>
        <v/>
      </c>
      <c r="H553" s="27">
        <f>IF(OR($A553="",_Engine!$D$42=0),"",INDEX(_Engine!$E611:$X611,1,(_Engine!$J$42-1)*4+3))</f>
        <v/>
      </c>
      <c r="I553" s="27">
        <f>IF(OR($A553="",_Engine!$D$43=0),"",INDEX(_Engine!$E611:$X611,1,(_Engine!$J$43-1)*4+3))</f>
        <v/>
      </c>
      <c r="J553" s="27">
        <f>IF(OR($A553="",_Engine!$D$44=0),"",INDEX(_Engine!$E611:$X611,1,(_Engine!$J$44-1)*4+3))</f>
        <v/>
      </c>
      <c r="K553" s="27">
        <f>IF(OR($A553="",_Engine!$D$45=0),"",INDEX(_Engine!$E611:$X611,1,(_Engine!$J$45-1)*4+3))</f>
        <v/>
      </c>
    </row>
    <row r="554">
      <c r="A554" s="25">
        <f>IF(551&lt;=_Engine!$B$36,551,"")</f>
        <v/>
      </c>
      <c r="B554" s="26">
        <f>IF($A554="","",EDATE(_Engine!$B$5,$A554-1))</f>
        <v/>
      </c>
      <c r="C554" s="27">
        <f>IF($A554="","",_Engine!$AJ612)</f>
        <v/>
      </c>
      <c r="D554" s="27">
        <f>IF($A554="","",_Engine!$AK612)</f>
        <v/>
      </c>
      <c r="E554" s="27">
        <f>IF($A554="","",_Engine!$AJ612-_Engine!$AK612)</f>
        <v/>
      </c>
      <c r="F554" s="27">
        <f>IF($A554="","",_Engine!$AI612)</f>
        <v/>
      </c>
      <c r="G554" s="27">
        <f>IF(OR($A554="",_Engine!$D$41=0),"",INDEX(_Engine!$E612:$X612,1,(_Engine!$J$41-1)*4+3))</f>
        <v/>
      </c>
      <c r="H554" s="27">
        <f>IF(OR($A554="",_Engine!$D$42=0),"",INDEX(_Engine!$E612:$X612,1,(_Engine!$J$42-1)*4+3))</f>
        <v/>
      </c>
      <c r="I554" s="27">
        <f>IF(OR($A554="",_Engine!$D$43=0),"",INDEX(_Engine!$E612:$X612,1,(_Engine!$J$43-1)*4+3))</f>
        <v/>
      </c>
      <c r="J554" s="27">
        <f>IF(OR($A554="",_Engine!$D$44=0),"",INDEX(_Engine!$E612:$X612,1,(_Engine!$J$44-1)*4+3))</f>
        <v/>
      </c>
      <c r="K554" s="27">
        <f>IF(OR($A554="",_Engine!$D$45=0),"",INDEX(_Engine!$E612:$X612,1,(_Engine!$J$45-1)*4+3))</f>
        <v/>
      </c>
    </row>
    <row r="555">
      <c r="A555" s="25">
        <f>IF(552&lt;=_Engine!$B$36,552,"")</f>
        <v/>
      </c>
      <c r="B555" s="26">
        <f>IF($A555="","",EDATE(_Engine!$B$5,$A555-1))</f>
        <v/>
      </c>
      <c r="C555" s="27">
        <f>IF($A555="","",_Engine!$AJ613)</f>
        <v/>
      </c>
      <c r="D555" s="27">
        <f>IF($A555="","",_Engine!$AK613)</f>
        <v/>
      </c>
      <c r="E555" s="27">
        <f>IF($A555="","",_Engine!$AJ613-_Engine!$AK613)</f>
        <v/>
      </c>
      <c r="F555" s="27">
        <f>IF($A555="","",_Engine!$AI613)</f>
        <v/>
      </c>
      <c r="G555" s="27">
        <f>IF(OR($A555="",_Engine!$D$41=0),"",INDEX(_Engine!$E613:$X613,1,(_Engine!$J$41-1)*4+3))</f>
        <v/>
      </c>
      <c r="H555" s="27">
        <f>IF(OR($A555="",_Engine!$D$42=0),"",INDEX(_Engine!$E613:$X613,1,(_Engine!$J$42-1)*4+3))</f>
        <v/>
      </c>
      <c r="I555" s="27">
        <f>IF(OR($A555="",_Engine!$D$43=0),"",INDEX(_Engine!$E613:$X613,1,(_Engine!$J$43-1)*4+3))</f>
        <v/>
      </c>
      <c r="J555" s="27">
        <f>IF(OR($A555="",_Engine!$D$44=0),"",INDEX(_Engine!$E613:$X613,1,(_Engine!$J$44-1)*4+3))</f>
        <v/>
      </c>
      <c r="K555" s="27">
        <f>IF(OR($A555="",_Engine!$D$45=0),"",INDEX(_Engine!$E613:$X613,1,(_Engine!$J$45-1)*4+3))</f>
        <v/>
      </c>
    </row>
    <row r="556">
      <c r="A556" s="25">
        <f>IF(553&lt;=_Engine!$B$36,553,"")</f>
        <v/>
      </c>
      <c r="B556" s="26">
        <f>IF($A556="","",EDATE(_Engine!$B$5,$A556-1))</f>
        <v/>
      </c>
      <c r="C556" s="27">
        <f>IF($A556="","",_Engine!$AJ614)</f>
        <v/>
      </c>
      <c r="D556" s="27">
        <f>IF($A556="","",_Engine!$AK614)</f>
        <v/>
      </c>
      <c r="E556" s="27">
        <f>IF($A556="","",_Engine!$AJ614-_Engine!$AK614)</f>
        <v/>
      </c>
      <c r="F556" s="27">
        <f>IF($A556="","",_Engine!$AI614)</f>
        <v/>
      </c>
      <c r="G556" s="27">
        <f>IF(OR($A556="",_Engine!$D$41=0),"",INDEX(_Engine!$E614:$X614,1,(_Engine!$J$41-1)*4+3))</f>
        <v/>
      </c>
      <c r="H556" s="27">
        <f>IF(OR($A556="",_Engine!$D$42=0),"",INDEX(_Engine!$E614:$X614,1,(_Engine!$J$42-1)*4+3))</f>
        <v/>
      </c>
      <c r="I556" s="27">
        <f>IF(OR($A556="",_Engine!$D$43=0),"",INDEX(_Engine!$E614:$X614,1,(_Engine!$J$43-1)*4+3))</f>
        <v/>
      </c>
      <c r="J556" s="27">
        <f>IF(OR($A556="",_Engine!$D$44=0),"",INDEX(_Engine!$E614:$X614,1,(_Engine!$J$44-1)*4+3))</f>
        <v/>
      </c>
      <c r="K556" s="27">
        <f>IF(OR($A556="",_Engine!$D$45=0),"",INDEX(_Engine!$E614:$X614,1,(_Engine!$J$45-1)*4+3))</f>
        <v/>
      </c>
    </row>
    <row r="557">
      <c r="A557" s="25">
        <f>IF(554&lt;=_Engine!$B$36,554,"")</f>
        <v/>
      </c>
      <c r="B557" s="26">
        <f>IF($A557="","",EDATE(_Engine!$B$5,$A557-1))</f>
        <v/>
      </c>
      <c r="C557" s="27">
        <f>IF($A557="","",_Engine!$AJ615)</f>
        <v/>
      </c>
      <c r="D557" s="27">
        <f>IF($A557="","",_Engine!$AK615)</f>
        <v/>
      </c>
      <c r="E557" s="27">
        <f>IF($A557="","",_Engine!$AJ615-_Engine!$AK615)</f>
        <v/>
      </c>
      <c r="F557" s="27">
        <f>IF($A557="","",_Engine!$AI615)</f>
        <v/>
      </c>
      <c r="G557" s="27">
        <f>IF(OR($A557="",_Engine!$D$41=0),"",INDEX(_Engine!$E615:$X615,1,(_Engine!$J$41-1)*4+3))</f>
        <v/>
      </c>
      <c r="H557" s="27">
        <f>IF(OR($A557="",_Engine!$D$42=0),"",INDEX(_Engine!$E615:$X615,1,(_Engine!$J$42-1)*4+3))</f>
        <v/>
      </c>
      <c r="I557" s="27">
        <f>IF(OR($A557="",_Engine!$D$43=0),"",INDEX(_Engine!$E615:$X615,1,(_Engine!$J$43-1)*4+3))</f>
        <v/>
      </c>
      <c r="J557" s="27">
        <f>IF(OR($A557="",_Engine!$D$44=0),"",INDEX(_Engine!$E615:$X615,1,(_Engine!$J$44-1)*4+3))</f>
        <v/>
      </c>
      <c r="K557" s="27">
        <f>IF(OR($A557="",_Engine!$D$45=0),"",INDEX(_Engine!$E615:$X615,1,(_Engine!$J$45-1)*4+3))</f>
        <v/>
      </c>
    </row>
    <row r="558">
      <c r="A558" s="25">
        <f>IF(555&lt;=_Engine!$B$36,555,"")</f>
        <v/>
      </c>
      <c r="B558" s="26">
        <f>IF($A558="","",EDATE(_Engine!$B$5,$A558-1))</f>
        <v/>
      </c>
      <c r="C558" s="27">
        <f>IF($A558="","",_Engine!$AJ616)</f>
        <v/>
      </c>
      <c r="D558" s="27">
        <f>IF($A558="","",_Engine!$AK616)</f>
        <v/>
      </c>
      <c r="E558" s="27">
        <f>IF($A558="","",_Engine!$AJ616-_Engine!$AK616)</f>
        <v/>
      </c>
      <c r="F558" s="27">
        <f>IF($A558="","",_Engine!$AI616)</f>
        <v/>
      </c>
      <c r="G558" s="27">
        <f>IF(OR($A558="",_Engine!$D$41=0),"",INDEX(_Engine!$E616:$X616,1,(_Engine!$J$41-1)*4+3))</f>
        <v/>
      </c>
      <c r="H558" s="27">
        <f>IF(OR($A558="",_Engine!$D$42=0),"",INDEX(_Engine!$E616:$X616,1,(_Engine!$J$42-1)*4+3))</f>
        <v/>
      </c>
      <c r="I558" s="27">
        <f>IF(OR($A558="",_Engine!$D$43=0),"",INDEX(_Engine!$E616:$X616,1,(_Engine!$J$43-1)*4+3))</f>
        <v/>
      </c>
      <c r="J558" s="27">
        <f>IF(OR($A558="",_Engine!$D$44=0),"",INDEX(_Engine!$E616:$X616,1,(_Engine!$J$44-1)*4+3))</f>
        <v/>
      </c>
      <c r="K558" s="27">
        <f>IF(OR($A558="",_Engine!$D$45=0),"",INDEX(_Engine!$E616:$X616,1,(_Engine!$J$45-1)*4+3))</f>
        <v/>
      </c>
    </row>
    <row r="559">
      <c r="A559" s="25">
        <f>IF(556&lt;=_Engine!$B$36,556,"")</f>
        <v/>
      </c>
      <c r="B559" s="26">
        <f>IF($A559="","",EDATE(_Engine!$B$5,$A559-1))</f>
        <v/>
      </c>
      <c r="C559" s="27">
        <f>IF($A559="","",_Engine!$AJ617)</f>
        <v/>
      </c>
      <c r="D559" s="27">
        <f>IF($A559="","",_Engine!$AK617)</f>
        <v/>
      </c>
      <c r="E559" s="27">
        <f>IF($A559="","",_Engine!$AJ617-_Engine!$AK617)</f>
        <v/>
      </c>
      <c r="F559" s="27">
        <f>IF($A559="","",_Engine!$AI617)</f>
        <v/>
      </c>
      <c r="G559" s="27">
        <f>IF(OR($A559="",_Engine!$D$41=0),"",INDEX(_Engine!$E617:$X617,1,(_Engine!$J$41-1)*4+3))</f>
        <v/>
      </c>
      <c r="H559" s="27">
        <f>IF(OR($A559="",_Engine!$D$42=0),"",INDEX(_Engine!$E617:$X617,1,(_Engine!$J$42-1)*4+3))</f>
        <v/>
      </c>
      <c r="I559" s="27">
        <f>IF(OR($A559="",_Engine!$D$43=0),"",INDEX(_Engine!$E617:$X617,1,(_Engine!$J$43-1)*4+3))</f>
        <v/>
      </c>
      <c r="J559" s="27">
        <f>IF(OR($A559="",_Engine!$D$44=0),"",INDEX(_Engine!$E617:$X617,1,(_Engine!$J$44-1)*4+3))</f>
        <v/>
      </c>
      <c r="K559" s="27">
        <f>IF(OR($A559="",_Engine!$D$45=0),"",INDEX(_Engine!$E617:$X617,1,(_Engine!$J$45-1)*4+3))</f>
        <v/>
      </c>
    </row>
    <row r="560">
      <c r="A560" s="25">
        <f>IF(557&lt;=_Engine!$B$36,557,"")</f>
        <v/>
      </c>
      <c r="B560" s="26">
        <f>IF($A560="","",EDATE(_Engine!$B$5,$A560-1))</f>
        <v/>
      </c>
      <c r="C560" s="27">
        <f>IF($A560="","",_Engine!$AJ618)</f>
        <v/>
      </c>
      <c r="D560" s="27">
        <f>IF($A560="","",_Engine!$AK618)</f>
        <v/>
      </c>
      <c r="E560" s="27">
        <f>IF($A560="","",_Engine!$AJ618-_Engine!$AK618)</f>
        <v/>
      </c>
      <c r="F560" s="27">
        <f>IF($A560="","",_Engine!$AI618)</f>
        <v/>
      </c>
      <c r="G560" s="27">
        <f>IF(OR($A560="",_Engine!$D$41=0),"",INDEX(_Engine!$E618:$X618,1,(_Engine!$J$41-1)*4+3))</f>
        <v/>
      </c>
      <c r="H560" s="27">
        <f>IF(OR($A560="",_Engine!$D$42=0),"",INDEX(_Engine!$E618:$X618,1,(_Engine!$J$42-1)*4+3))</f>
        <v/>
      </c>
      <c r="I560" s="27">
        <f>IF(OR($A560="",_Engine!$D$43=0),"",INDEX(_Engine!$E618:$X618,1,(_Engine!$J$43-1)*4+3))</f>
        <v/>
      </c>
      <c r="J560" s="27">
        <f>IF(OR($A560="",_Engine!$D$44=0),"",INDEX(_Engine!$E618:$X618,1,(_Engine!$J$44-1)*4+3))</f>
        <v/>
      </c>
      <c r="K560" s="27">
        <f>IF(OR($A560="",_Engine!$D$45=0),"",INDEX(_Engine!$E618:$X618,1,(_Engine!$J$45-1)*4+3))</f>
        <v/>
      </c>
    </row>
    <row r="561">
      <c r="A561" s="25">
        <f>IF(558&lt;=_Engine!$B$36,558,"")</f>
        <v/>
      </c>
      <c r="B561" s="26">
        <f>IF($A561="","",EDATE(_Engine!$B$5,$A561-1))</f>
        <v/>
      </c>
      <c r="C561" s="27">
        <f>IF($A561="","",_Engine!$AJ619)</f>
        <v/>
      </c>
      <c r="D561" s="27">
        <f>IF($A561="","",_Engine!$AK619)</f>
        <v/>
      </c>
      <c r="E561" s="27">
        <f>IF($A561="","",_Engine!$AJ619-_Engine!$AK619)</f>
        <v/>
      </c>
      <c r="F561" s="27">
        <f>IF($A561="","",_Engine!$AI619)</f>
        <v/>
      </c>
      <c r="G561" s="27">
        <f>IF(OR($A561="",_Engine!$D$41=0),"",INDEX(_Engine!$E619:$X619,1,(_Engine!$J$41-1)*4+3))</f>
        <v/>
      </c>
      <c r="H561" s="27">
        <f>IF(OR($A561="",_Engine!$D$42=0),"",INDEX(_Engine!$E619:$X619,1,(_Engine!$J$42-1)*4+3))</f>
        <v/>
      </c>
      <c r="I561" s="27">
        <f>IF(OR($A561="",_Engine!$D$43=0),"",INDEX(_Engine!$E619:$X619,1,(_Engine!$J$43-1)*4+3))</f>
        <v/>
      </c>
      <c r="J561" s="27">
        <f>IF(OR($A561="",_Engine!$D$44=0),"",INDEX(_Engine!$E619:$X619,1,(_Engine!$J$44-1)*4+3))</f>
        <v/>
      </c>
      <c r="K561" s="27">
        <f>IF(OR($A561="",_Engine!$D$45=0),"",INDEX(_Engine!$E619:$X619,1,(_Engine!$J$45-1)*4+3))</f>
        <v/>
      </c>
    </row>
    <row r="562">
      <c r="A562" s="25">
        <f>IF(559&lt;=_Engine!$B$36,559,"")</f>
        <v/>
      </c>
      <c r="B562" s="26">
        <f>IF($A562="","",EDATE(_Engine!$B$5,$A562-1))</f>
        <v/>
      </c>
      <c r="C562" s="27">
        <f>IF($A562="","",_Engine!$AJ620)</f>
        <v/>
      </c>
      <c r="D562" s="27">
        <f>IF($A562="","",_Engine!$AK620)</f>
        <v/>
      </c>
      <c r="E562" s="27">
        <f>IF($A562="","",_Engine!$AJ620-_Engine!$AK620)</f>
        <v/>
      </c>
      <c r="F562" s="27">
        <f>IF($A562="","",_Engine!$AI620)</f>
        <v/>
      </c>
      <c r="G562" s="27">
        <f>IF(OR($A562="",_Engine!$D$41=0),"",INDEX(_Engine!$E620:$X620,1,(_Engine!$J$41-1)*4+3))</f>
        <v/>
      </c>
      <c r="H562" s="27">
        <f>IF(OR($A562="",_Engine!$D$42=0),"",INDEX(_Engine!$E620:$X620,1,(_Engine!$J$42-1)*4+3))</f>
        <v/>
      </c>
      <c r="I562" s="27">
        <f>IF(OR($A562="",_Engine!$D$43=0),"",INDEX(_Engine!$E620:$X620,1,(_Engine!$J$43-1)*4+3))</f>
        <v/>
      </c>
      <c r="J562" s="27">
        <f>IF(OR($A562="",_Engine!$D$44=0),"",INDEX(_Engine!$E620:$X620,1,(_Engine!$J$44-1)*4+3))</f>
        <v/>
      </c>
      <c r="K562" s="27">
        <f>IF(OR($A562="",_Engine!$D$45=0),"",INDEX(_Engine!$E620:$X620,1,(_Engine!$J$45-1)*4+3))</f>
        <v/>
      </c>
    </row>
    <row r="563">
      <c r="A563" s="25">
        <f>IF(560&lt;=_Engine!$B$36,560,"")</f>
        <v/>
      </c>
      <c r="B563" s="26">
        <f>IF($A563="","",EDATE(_Engine!$B$5,$A563-1))</f>
        <v/>
      </c>
      <c r="C563" s="27">
        <f>IF($A563="","",_Engine!$AJ621)</f>
        <v/>
      </c>
      <c r="D563" s="27">
        <f>IF($A563="","",_Engine!$AK621)</f>
        <v/>
      </c>
      <c r="E563" s="27">
        <f>IF($A563="","",_Engine!$AJ621-_Engine!$AK621)</f>
        <v/>
      </c>
      <c r="F563" s="27">
        <f>IF($A563="","",_Engine!$AI621)</f>
        <v/>
      </c>
      <c r="G563" s="27">
        <f>IF(OR($A563="",_Engine!$D$41=0),"",INDEX(_Engine!$E621:$X621,1,(_Engine!$J$41-1)*4+3))</f>
        <v/>
      </c>
      <c r="H563" s="27">
        <f>IF(OR($A563="",_Engine!$D$42=0),"",INDEX(_Engine!$E621:$X621,1,(_Engine!$J$42-1)*4+3))</f>
        <v/>
      </c>
      <c r="I563" s="27">
        <f>IF(OR($A563="",_Engine!$D$43=0),"",INDEX(_Engine!$E621:$X621,1,(_Engine!$J$43-1)*4+3))</f>
        <v/>
      </c>
      <c r="J563" s="27">
        <f>IF(OR($A563="",_Engine!$D$44=0),"",INDEX(_Engine!$E621:$X621,1,(_Engine!$J$44-1)*4+3))</f>
        <v/>
      </c>
      <c r="K563" s="27">
        <f>IF(OR($A563="",_Engine!$D$45=0),"",INDEX(_Engine!$E621:$X621,1,(_Engine!$J$45-1)*4+3))</f>
        <v/>
      </c>
    </row>
    <row r="564">
      <c r="A564" s="25">
        <f>IF(561&lt;=_Engine!$B$36,561,"")</f>
        <v/>
      </c>
      <c r="B564" s="26">
        <f>IF($A564="","",EDATE(_Engine!$B$5,$A564-1))</f>
        <v/>
      </c>
      <c r="C564" s="27">
        <f>IF($A564="","",_Engine!$AJ622)</f>
        <v/>
      </c>
      <c r="D564" s="27">
        <f>IF($A564="","",_Engine!$AK622)</f>
        <v/>
      </c>
      <c r="E564" s="27">
        <f>IF($A564="","",_Engine!$AJ622-_Engine!$AK622)</f>
        <v/>
      </c>
      <c r="F564" s="27">
        <f>IF($A564="","",_Engine!$AI622)</f>
        <v/>
      </c>
      <c r="G564" s="27">
        <f>IF(OR($A564="",_Engine!$D$41=0),"",INDEX(_Engine!$E622:$X622,1,(_Engine!$J$41-1)*4+3))</f>
        <v/>
      </c>
      <c r="H564" s="27">
        <f>IF(OR($A564="",_Engine!$D$42=0),"",INDEX(_Engine!$E622:$X622,1,(_Engine!$J$42-1)*4+3))</f>
        <v/>
      </c>
      <c r="I564" s="27">
        <f>IF(OR($A564="",_Engine!$D$43=0),"",INDEX(_Engine!$E622:$X622,1,(_Engine!$J$43-1)*4+3))</f>
        <v/>
      </c>
      <c r="J564" s="27">
        <f>IF(OR($A564="",_Engine!$D$44=0),"",INDEX(_Engine!$E622:$X622,1,(_Engine!$J$44-1)*4+3))</f>
        <v/>
      </c>
      <c r="K564" s="27">
        <f>IF(OR($A564="",_Engine!$D$45=0),"",INDEX(_Engine!$E622:$X622,1,(_Engine!$J$45-1)*4+3))</f>
        <v/>
      </c>
    </row>
    <row r="565">
      <c r="A565" s="25">
        <f>IF(562&lt;=_Engine!$B$36,562,"")</f>
        <v/>
      </c>
      <c r="B565" s="26">
        <f>IF($A565="","",EDATE(_Engine!$B$5,$A565-1))</f>
        <v/>
      </c>
      <c r="C565" s="27">
        <f>IF($A565="","",_Engine!$AJ623)</f>
        <v/>
      </c>
      <c r="D565" s="27">
        <f>IF($A565="","",_Engine!$AK623)</f>
        <v/>
      </c>
      <c r="E565" s="27">
        <f>IF($A565="","",_Engine!$AJ623-_Engine!$AK623)</f>
        <v/>
      </c>
      <c r="F565" s="27">
        <f>IF($A565="","",_Engine!$AI623)</f>
        <v/>
      </c>
      <c r="G565" s="27">
        <f>IF(OR($A565="",_Engine!$D$41=0),"",INDEX(_Engine!$E623:$X623,1,(_Engine!$J$41-1)*4+3))</f>
        <v/>
      </c>
      <c r="H565" s="27">
        <f>IF(OR($A565="",_Engine!$D$42=0),"",INDEX(_Engine!$E623:$X623,1,(_Engine!$J$42-1)*4+3))</f>
        <v/>
      </c>
      <c r="I565" s="27">
        <f>IF(OR($A565="",_Engine!$D$43=0),"",INDEX(_Engine!$E623:$X623,1,(_Engine!$J$43-1)*4+3))</f>
        <v/>
      </c>
      <c r="J565" s="27">
        <f>IF(OR($A565="",_Engine!$D$44=0),"",INDEX(_Engine!$E623:$X623,1,(_Engine!$J$44-1)*4+3))</f>
        <v/>
      </c>
      <c r="K565" s="27">
        <f>IF(OR($A565="",_Engine!$D$45=0),"",INDEX(_Engine!$E623:$X623,1,(_Engine!$J$45-1)*4+3))</f>
        <v/>
      </c>
    </row>
    <row r="566">
      <c r="A566" s="25">
        <f>IF(563&lt;=_Engine!$B$36,563,"")</f>
        <v/>
      </c>
      <c r="B566" s="26">
        <f>IF($A566="","",EDATE(_Engine!$B$5,$A566-1))</f>
        <v/>
      </c>
      <c r="C566" s="27">
        <f>IF($A566="","",_Engine!$AJ624)</f>
        <v/>
      </c>
      <c r="D566" s="27">
        <f>IF($A566="","",_Engine!$AK624)</f>
        <v/>
      </c>
      <c r="E566" s="27">
        <f>IF($A566="","",_Engine!$AJ624-_Engine!$AK624)</f>
        <v/>
      </c>
      <c r="F566" s="27">
        <f>IF($A566="","",_Engine!$AI624)</f>
        <v/>
      </c>
      <c r="G566" s="27">
        <f>IF(OR($A566="",_Engine!$D$41=0),"",INDEX(_Engine!$E624:$X624,1,(_Engine!$J$41-1)*4+3))</f>
        <v/>
      </c>
      <c r="H566" s="27">
        <f>IF(OR($A566="",_Engine!$D$42=0),"",INDEX(_Engine!$E624:$X624,1,(_Engine!$J$42-1)*4+3))</f>
        <v/>
      </c>
      <c r="I566" s="27">
        <f>IF(OR($A566="",_Engine!$D$43=0),"",INDEX(_Engine!$E624:$X624,1,(_Engine!$J$43-1)*4+3))</f>
        <v/>
      </c>
      <c r="J566" s="27">
        <f>IF(OR($A566="",_Engine!$D$44=0),"",INDEX(_Engine!$E624:$X624,1,(_Engine!$J$44-1)*4+3))</f>
        <v/>
      </c>
      <c r="K566" s="27">
        <f>IF(OR($A566="",_Engine!$D$45=0),"",INDEX(_Engine!$E624:$X624,1,(_Engine!$J$45-1)*4+3))</f>
        <v/>
      </c>
    </row>
    <row r="567">
      <c r="A567" s="25">
        <f>IF(564&lt;=_Engine!$B$36,564,"")</f>
        <v/>
      </c>
      <c r="B567" s="26">
        <f>IF($A567="","",EDATE(_Engine!$B$5,$A567-1))</f>
        <v/>
      </c>
      <c r="C567" s="27">
        <f>IF($A567="","",_Engine!$AJ625)</f>
        <v/>
      </c>
      <c r="D567" s="27">
        <f>IF($A567="","",_Engine!$AK625)</f>
        <v/>
      </c>
      <c r="E567" s="27">
        <f>IF($A567="","",_Engine!$AJ625-_Engine!$AK625)</f>
        <v/>
      </c>
      <c r="F567" s="27">
        <f>IF($A567="","",_Engine!$AI625)</f>
        <v/>
      </c>
      <c r="G567" s="27">
        <f>IF(OR($A567="",_Engine!$D$41=0),"",INDEX(_Engine!$E625:$X625,1,(_Engine!$J$41-1)*4+3))</f>
        <v/>
      </c>
      <c r="H567" s="27">
        <f>IF(OR($A567="",_Engine!$D$42=0),"",INDEX(_Engine!$E625:$X625,1,(_Engine!$J$42-1)*4+3))</f>
        <v/>
      </c>
      <c r="I567" s="27">
        <f>IF(OR($A567="",_Engine!$D$43=0),"",INDEX(_Engine!$E625:$X625,1,(_Engine!$J$43-1)*4+3))</f>
        <v/>
      </c>
      <c r="J567" s="27">
        <f>IF(OR($A567="",_Engine!$D$44=0),"",INDEX(_Engine!$E625:$X625,1,(_Engine!$J$44-1)*4+3))</f>
        <v/>
      </c>
      <c r="K567" s="27">
        <f>IF(OR($A567="",_Engine!$D$45=0),"",INDEX(_Engine!$E625:$X625,1,(_Engine!$J$45-1)*4+3))</f>
        <v/>
      </c>
    </row>
    <row r="568">
      <c r="A568" s="25">
        <f>IF(565&lt;=_Engine!$B$36,565,"")</f>
        <v/>
      </c>
      <c r="B568" s="26">
        <f>IF($A568="","",EDATE(_Engine!$B$5,$A568-1))</f>
        <v/>
      </c>
      <c r="C568" s="27">
        <f>IF($A568="","",_Engine!$AJ626)</f>
        <v/>
      </c>
      <c r="D568" s="27">
        <f>IF($A568="","",_Engine!$AK626)</f>
        <v/>
      </c>
      <c r="E568" s="27">
        <f>IF($A568="","",_Engine!$AJ626-_Engine!$AK626)</f>
        <v/>
      </c>
      <c r="F568" s="27">
        <f>IF($A568="","",_Engine!$AI626)</f>
        <v/>
      </c>
      <c r="G568" s="27">
        <f>IF(OR($A568="",_Engine!$D$41=0),"",INDEX(_Engine!$E626:$X626,1,(_Engine!$J$41-1)*4+3))</f>
        <v/>
      </c>
      <c r="H568" s="27">
        <f>IF(OR($A568="",_Engine!$D$42=0),"",INDEX(_Engine!$E626:$X626,1,(_Engine!$J$42-1)*4+3))</f>
        <v/>
      </c>
      <c r="I568" s="27">
        <f>IF(OR($A568="",_Engine!$D$43=0),"",INDEX(_Engine!$E626:$X626,1,(_Engine!$J$43-1)*4+3))</f>
        <v/>
      </c>
      <c r="J568" s="27">
        <f>IF(OR($A568="",_Engine!$D$44=0),"",INDEX(_Engine!$E626:$X626,1,(_Engine!$J$44-1)*4+3))</f>
        <v/>
      </c>
      <c r="K568" s="27">
        <f>IF(OR($A568="",_Engine!$D$45=0),"",INDEX(_Engine!$E626:$X626,1,(_Engine!$J$45-1)*4+3))</f>
        <v/>
      </c>
    </row>
    <row r="569">
      <c r="A569" s="25">
        <f>IF(566&lt;=_Engine!$B$36,566,"")</f>
        <v/>
      </c>
      <c r="B569" s="26">
        <f>IF($A569="","",EDATE(_Engine!$B$5,$A569-1))</f>
        <v/>
      </c>
      <c r="C569" s="27">
        <f>IF($A569="","",_Engine!$AJ627)</f>
        <v/>
      </c>
      <c r="D569" s="27">
        <f>IF($A569="","",_Engine!$AK627)</f>
        <v/>
      </c>
      <c r="E569" s="27">
        <f>IF($A569="","",_Engine!$AJ627-_Engine!$AK627)</f>
        <v/>
      </c>
      <c r="F569" s="27">
        <f>IF($A569="","",_Engine!$AI627)</f>
        <v/>
      </c>
      <c r="G569" s="27">
        <f>IF(OR($A569="",_Engine!$D$41=0),"",INDEX(_Engine!$E627:$X627,1,(_Engine!$J$41-1)*4+3))</f>
        <v/>
      </c>
      <c r="H569" s="27">
        <f>IF(OR($A569="",_Engine!$D$42=0),"",INDEX(_Engine!$E627:$X627,1,(_Engine!$J$42-1)*4+3))</f>
        <v/>
      </c>
      <c r="I569" s="27">
        <f>IF(OR($A569="",_Engine!$D$43=0),"",INDEX(_Engine!$E627:$X627,1,(_Engine!$J$43-1)*4+3))</f>
        <v/>
      </c>
      <c r="J569" s="27">
        <f>IF(OR($A569="",_Engine!$D$44=0),"",INDEX(_Engine!$E627:$X627,1,(_Engine!$J$44-1)*4+3))</f>
        <v/>
      </c>
      <c r="K569" s="27">
        <f>IF(OR($A569="",_Engine!$D$45=0),"",INDEX(_Engine!$E627:$X627,1,(_Engine!$J$45-1)*4+3))</f>
        <v/>
      </c>
    </row>
    <row r="570">
      <c r="A570" s="25">
        <f>IF(567&lt;=_Engine!$B$36,567,"")</f>
        <v/>
      </c>
      <c r="B570" s="26">
        <f>IF($A570="","",EDATE(_Engine!$B$5,$A570-1))</f>
        <v/>
      </c>
      <c r="C570" s="27">
        <f>IF($A570="","",_Engine!$AJ628)</f>
        <v/>
      </c>
      <c r="D570" s="27">
        <f>IF($A570="","",_Engine!$AK628)</f>
        <v/>
      </c>
      <c r="E570" s="27">
        <f>IF($A570="","",_Engine!$AJ628-_Engine!$AK628)</f>
        <v/>
      </c>
      <c r="F570" s="27">
        <f>IF($A570="","",_Engine!$AI628)</f>
        <v/>
      </c>
      <c r="G570" s="27">
        <f>IF(OR($A570="",_Engine!$D$41=0),"",INDEX(_Engine!$E628:$X628,1,(_Engine!$J$41-1)*4+3))</f>
        <v/>
      </c>
      <c r="H570" s="27">
        <f>IF(OR($A570="",_Engine!$D$42=0),"",INDEX(_Engine!$E628:$X628,1,(_Engine!$J$42-1)*4+3))</f>
        <v/>
      </c>
      <c r="I570" s="27">
        <f>IF(OR($A570="",_Engine!$D$43=0),"",INDEX(_Engine!$E628:$X628,1,(_Engine!$J$43-1)*4+3))</f>
        <v/>
      </c>
      <c r="J570" s="27">
        <f>IF(OR($A570="",_Engine!$D$44=0),"",INDEX(_Engine!$E628:$X628,1,(_Engine!$J$44-1)*4+3))</f>
        <v/>
      </c>
      <c r="K570" s="27">
        <f>IF(OR($A570="",_Engine!$D$45=0),"",INDEX(_Engine!$E628:$X628,1,(_Engine!$J$45-1)*4+3))</f>
        <v/>
      </c>
    </row>
    <row r="571">
      <c r="A571" s="25">
        <f>IF(568&lt;=_Engine!$B$36,568,"")</f>
        <v/>
      </c>
      <c r="B571" s="26">
        <f>IF($A571="","",EDATE(_Engine!$B$5,$A571-1))</f>
        <v/>
      </c>
      <c r="C571" s="27">
        <f>IF($A571="","",_Engine!$AJ629)</f>
        <v/>
      </c>
      <c r="D571" s="27">
        <f>IF($A571="","",_Engine!$AK629)</f>
        <v/>
      </c>
      <c r="E571" s="27">
        <f>IF($A571="","",_Engine!$AJ629-_Engine!$AK629)</f>
        <v/>
      </c>
      <c r="F571" s="27">
        <f>IF($A571="","",_Engine!$AI629)</f>
        <v/>
      </c>
      <c r="G571" s="27">
        <f>IF(OR($A571="",_Engine!$D$41=0),"",INDEX(_Engine!$E629:$X629,1,(_Engine!$J$41-1)*4+3))</f>
        <v/>
      </c>
      <c r="H571" s="27">
        <f>IF(OR($A571="",_Engine!$D$42=0),"",INDEX(_Engine!$E629:$X629,1,(_Engine!$J$42-1)*4+3))</f>
        <v/>
      </c>
      <c r="I571" s="27">
        <f>IF(OR($A571="",_Engine!$D$43=0),"",INDEX(_Engine!$E629:$X629,1,(_Engine!$J$43-1)*4+3))</f>
        <v/>
      </c>
      <c r="J571" s="27">
        <f>IF(OR($A571="",_Engine!$D$44=0),"",INDEX(_Engine!$E629:$X629,1,(_Engine!$J$44-1)*4+3))</f>
        <v/>
      </c>
      <c r="K571" s="27">
        <f>IF(OR($A571="",_Engine!$D$45=0),"",INDEX(_Engine!$E629:$X629,1,(_Engine!$J$45-1)*4+3))</f>
        <v/>
      </c>
    </row>
    <row r="572">
      <c r="A572" s="25">
        <f>IF(569&lt;=_Engine!$B$36,569,"")</f>
        <v/>
      </c>
      <c r="B572" s="26">
        <f>IF($A572="","",EDATE(_Engine!$B$5,$A572-1))</f>
        <v/>
      </c>
      <c r="C572" s="27">
        <f>IF($A572="","",_Engine!$AJ630)</f>
        <v/>
      </c>
      <c r="D572" s="27">
        <f>IF($A572="","",_Engine!$AK630)</f>
        <v/>
      </c>
      <c r="E572" s="27">
        <f>IF($A572="","",_Engine!$AJ630-_Engine!$AK630)</f>
        <v/>
      </c>
      <c r="F572" s="27">
        <f>IF($A572="","",_Engine!$AI630)</f>
        <v/>
      </c>
      <c r="G572" s="27">
        <f>IF(OR($A572="",_Engine!$D$41=0),"",INDEX(_Engine!$E630:$X630,1,(_Engine!$J$41-1)*4+3))</f>
        <v/>
      </c>
      <c r="H572" s="27">
        <f>IF(OR($A572="",_Engine!$D$42=0),"",INDEX(_Engine!$E630:$X630,1,(_Engine!$J$42-1)*4+3))</f>
        <v/>
      </c>
      <c r="I572" s="27">
        <f>IF(OR($A572="",_Engine!$D$43=0),"",INDEX(_Engine!$E630:$X630,1,(_Engine!$J$43-1)*4+3))</f>
        <v/>
      </c>
      <c r="J572" s="27">
        <f>IF(OR($A572="",_Engine!$D$44=0),"",INDEX(_Engine!$E630:$X630,1,(_Engine!$J$44-1)*4+3))</f>
        <v/>
      </c>
      <c r="K572" s="27">
        <f>IF(OR($A572="",_Engine!$D$45=0),"",INDEX(_Engine!$E630:$X630,1,(_Engine!$J$45-1)*4+3))</f>
        <v/>
      </c>
    </row>
    <row r="573">
      <c r="A573" s="25">
        <f>IF(570&lt;=_Engine!$B$36,570,"")</f>
        <v/>
      </c>
      <c r="B573" s="26">
        <f>IF($A573="","",EDATE(_Engine!$B$5,$A573-1))</f>
        <v/>
      </c>
      <c r="C573" s="27">
        <f>IF($A573="","",_Engine!$AJ631)</f>
        <v/>
      </c>
      <c r="D573" s="27">
        <f>IF($A573="","",_Engine!$AK631)</f>
        <v/>
      </c>
      <c r="E573" s="27">
        <f>IF($A573="","",_Engine!$AJ631-_Engine!$AK631)</f>
        <v/>
      </c>
      <c r="F573" s="27">
        <f>IF($A573="","",_Engine!$AI631)</f>
        <v/>
      </c>
      <c r="G573" s="27">
        <f>IF(OR($A573="",_Engine!$D$41=0),"",INDEX(_Engine!$E631:$X631,1,(_Engine!$J$41-1)*4+3))</f>
        <v/>
      </c>
      <c r="H573" s="27">
        <f>IF(OR($A573="",_Engine!$D$42=0),"",INDEX(_Engine!$E631:$X631,1,(_Engine!$J$42-1)*4+3))</f>
        <v/>
      </c>
      <c r="I573" s="27">
        <f>IF(OR($A573="",_Engine!$D$43=0),"",INDEX(_Engine!$E631:$X631,1,(_Engine!$J$43-1)*4+3))</f>
        <v/>
      </c>
      <c r="J573" s="27">
        <f>IF(OR($A573="",_Engine!$D$44=0),"",INDEX(_Engine!$E631:$X631,1,(_Engine!$J$44-1)*4+3))</f>
        <v/>
      </c>
      <c r="K573" s="27">
        <f>IF(OR($A573="",_Engine!$D$45=0),"",INDEX(_Engine!$E631:$X631,1,(_Engine!$J$45-1)*4+3))</f>
        <v/>
      </c>
    </row>
    <row r="574">
      <c r="A574" s="25">
        <f>IF(571&lt;=_Engine!$B$36,571,"")</f>
        <v/>
      </c>
      <c r="B574" s="26">
        <f>IF($A574="","",EDATE(_Engine!$B$5,$A574-1))</f>
        <v/>
      </c>
      <c r="C574" s="27">
        <f>IF($A574="","",_Engine!$AJ632)</f>
        <v/>
      </c>
      <c r="D574" s="27">
        <f>IF($A574="","",_Engine!$AK632)</f>
        <v/>
      </c>
      <c r="E574" s="27">
        <f>IF($A574="","",_Engine!$AJ632-_Engine!$AK632)</f>
        <v/>
      </c>
      <c r="F574" s="27">
        <f>IF($A574="","",_Engine!$AI632)</f>
        <v/>
      </c>
      <c r="G574" s="27">
        <f>IF(OR($A574="",_Engine!$D$41=0),"",INDEX(_Engine!$E632:$X632,1,(_Engine!$J$41-1)*4+3))</f>
        <v/>
      </c>
      <c r="H574" s="27">
        <f>IF(OR($A574="",_Engine!$D$42=0),"",INDEX(_Engine!$E632:$X632,1,(_Engine!$J$42-1)*4+3))</f>
        <v/>
      </c>
      <c r="I574" s="27">
        <f>IF(OR($A574="",_Engine!$D$43=0),"",INDEX(_Engine!$E632:$X632,1,(_Engine!$J$43-1)*4+3))</f>
        <v/>
      </c>
      <c r="J574" s="27">
        <f>IF(OR($A574="",_Engine!$D$44=0),"",INDEX(_Engine!$E632:$X632,1,(_Engine!$J$44-1)*4+3))</f>
        <v/>
      </c>
      <c r="K574" s="27">
        <f>IF(OR($A574="",_Engine!$D$45=0),"",INDEX(_Engine!$E632:$X632,1,(_Engine!$J$45-1)*4+3))</f>
        <v/>
      </c>
    </row>
    <row r="575">
      <c r="A575" s="25">
        <f>IF(572&lt;=_Engine!$B$36,572,"")</f>
        <v/>
      </c>
      <c r="B575" s="26">
        <f>IF($A575="","",EDATE(_Engine!$B$5,$A575-1))</f>
        <v/>
      </c>
      <c r="C575" s="27">
        <f>IF($A575="","",_Engine!$AJ633)</f>
        <v/>
      </c>
      <c r="D575" s="27">
        <f>IF($A575="","",_Engine!$AK633)</f>
        <v/>
      </c>
      <c r="E575" s="27">
        <f>IF($A575="","",_Engine!$AJ633-_Engine!$AK633)</f>
        <v/>
      </c>
      <c r="F575" s="27">
        <f>IF($A575="","",_Engine!$AI633)</f>
        <v/>
      </c>
      <c r="G575" s="27">
        <f>IF(OR($A575="",_Engine!$D$41=0),"",INDEX(_Engine!$E633:$X633,1,(_Engine!$J$41-1)*4+3))</f>
        <v/>
      </c>
      <c r="H575" s="27">
        <f>IF(OR($A575="",_Engine!$D$42=0),"",INDEX(_Engine!$E633:$X633,1,(_Engine!$J$42-1)*4+3))</f>
        <v/>
      </c>
      <c r="I575" s="27">
        <f>IF(OR($A575="",_Engine!$D$43=0),"",INDEX(_Engine!$E633:$X633,1,(_Engine!$J$43-1)*4+3))</f>
        <v/>
      </c>
      <c r="J575" s="27">
        <f>IF(OR($A575="",_Engine!$D$44=0),"",INDEX(_Engine!$E633:$X633,1,(_Engine!$J$44-1)*4+3))</f>
        <v/>
      </c>
      <c r="K575" s="27">
        <f>IF(OR($A575="",_Engine!$D$45=0),"",INDEX(_Engine!$E633:$X633,1,(_Engine!$J$45-1)*4+3))</f>
        <v/>
      </c>
    </row>
    <row r="576">
      <c r="A576" s="25">
        <f>IF(573&lt;=_Engine!$B$36,573,"")</f>
        <v/>
      </c>
      <c r="B576" s="26">
        <f>IF($A576="","",EDATE(_Engine!$B$5,$A576-1))</f>
        <v/>
      </c>
      <c r="C576" s="27">
        <f>IF($A576="","",_Engine!$AJ634)</f>
        <v/>
      </c>
      <c r="D576" s="27">
        <f>IF($A576="","",_Engine!$AK634)</f>
        <v/>
      </c>
      <c r="E576" s="27">
        <f>IF($A576="","",_Engine!$AJ634-_Engine!$AK634)</f>
        <v/>
      </c>
      <c r="F576" s="27">
        <f>IF($A576="","",_Engine!$AI634)</f>
        <v/>
      </c>
      <c r="G576" s="27">
        <f>IF(OR($A576="",_Engine!$D$41=0),"",INDEX(_Engine!$E634:$X634,1,(_Engine!$J$41-1)*4+3))</f>
        <v/>
      </c>
      <c r="H576" s="27">
        <f>IF(OR($A576="",_Engine!$D$42=0),"",INDEX(_Engine!$E634:$X634,1,(_Engine!$J$42-1)*4+3))</f>
        <v/>
      </c>
      <c r="I576" s="27">
        <f>IF(OR($A576="",_Engine!$D$43=0),"",INDEX(_Engine!$E634:$X634,1,(_Engine!$J$43-1)*4+3))</f>
        <v/>
      </c>
      <c r="J576" s="27">
        <f>IF(OR($A576="",_Engine!$D$44=0),"",INDEX(_Engine!$E634:$X634,1,(_Engine!$J$44-1)*4+3))</f>
        <v/>
      </c>
      <c r="K576" s="27">
        <f>IF(OR($A576="",_Engine!$D$45=0),"",INDEX(_Engine!$E634:$X634,1,(_Engine!$J$45-1)*4+3))</f>
        <v/>
      </c>
    </row>
    <row r="577">
      <c r="A577" s="25">
        <f>IF(574&lt;=_Engine!$B$36,574,"")</f>
        <v/>
      </c>
      <c r="B577" s="26">
        <f>IF($A577="","",EDATE(_Engine!$B$5,$A577-1))</f>
        <v/>
      </c>
      <c r="C577" s="27">
        <f>IF($A577="","",_Engine!$AJ635)</f>
        <v/>
      </c>
      <c r="D577" s="27">
        <f>IF($A577="","",_Engine!$AK635)</f>
        <v/>
      </c>
      <c r="E577" s="27">
        <f>IF($A577="","",_Engine!$AJ635-_Engine!$AK635)</f>
        <v/>
      </c>
      <c r="F577" s="27">
        <f>IF($A577="","",_Engine!$AI635)</f>
        <v/>
      </c>
      <c r="G577" s="27">
        <f>IF(OR($A577="",_Engine!$D$41=0),"",INDEX(_Engine!$E635:$X635,1,(_Engine!$J$41-1)*4+3))</f>
        <v/>
      </c>
      <c r="H577" s="27">
        <f>IF(OR($A577="",_Engine!$D$42=0),"",INDEX(_Engine!$E635:$X635,1,(_Engine!$J$42-1)*4+3))</f>
        <v/>
      </c>
      <c r="I577" s="27">
        <f>IF(OR($A577="",_Engine!$D$43=0),"",INDEX(_Engine!$E635:$X635,1,(_Engine!$J$43-1)*4+3))</f>
        <v/>
      </c>
      <c r="J577" s="27">
        <f>IF(OR($A577="",_Engine!$D$44=0),"",INDEX(_Engine!$E635:$X635,1,(_Engine!$J$44-1)*4+3))</f>
        <v/>
      </c>
      <c r="K577" s="27">
        <f>IF(OR($A577="",_Engine!$D$45=0),"",INDEX(_Engine!$E635:$X635,1,(_Engine!$J$45-1)*4+3))</f>
        <v/>
      </c>
    </row>
    <row r="578">
      <c r="A578" s="25">
        <f>IF(575&lt;=_Engine!$B$36,575,"")</f>
        <v/>
      </c>
      <c r="B578" s="26">
        <f>IF($A578="","",EDATE(_Engine!$B$5,$A578-1))</f>
        <v/>
      </c>
      <c r="C578" s="27">
        <f>IF($A578="","",_Engine!$AJ636)</f>
        <v/>
      </c>
      <c r="D578" s="27">
        <f>IF($A578="","",_Engine!$AK636)</f>
        <v/>
      </c>
      <c r="E578" s="27">
        <f>IF($A578="","",_Engine!$AJ636-_Engine!$AK636)</f>
        <v/>
      </c>
      <c r="F578" s="27">
        <f>IF($A578="","",_Engine!$AI636)</f>
        <v/>
      </c>
      <c r="G578" s="27">
        <f>IF(OR($A578="",_Engine!$D$41=0),"",INDEX(_Engine!$E636:$X636,1,(_Engine!$J$41-1)*4+3))</f>
        <v/>
      </c>
      <c r="H578" s="27">
        <f>IF(OR($A578="",_Engine!$D$42=0),"",INDEX(_Engine!$E636:$X636,1,(_Engine!$J$42-1)*4+3))</f>
        <v/>
      </c>
      <c r="I578" s="27">
        <f>IF(OR($A578="",_Engine!$D$43=0),"",INDEX(_Engine!$E636:$X636,1,(_Engine!$J$43-1)*4+3))</f>
        <v/>
      </c>
      <c r="J578" s="27">
        <f>IF(OR($A578="",_Engine!$D$44=0),"",INDEX(_Engine!$E636:$X636,1,(_Engine!$J$44-1)*4+3))</f>
        <v/>
      </c>
      <c r="K578" s="27">
        <f>IF(OR($A578="",_Engine!$D$45=0),"",INDEX(_Engine!$E636:$X636,1,(_Engine!$J$45-1)*4+3))</f>
        <v/>
      </c>
    </row>
    <row r="579">
      <c r="A579" s="25">
        <f>IF(576&lt;=_Engine!$B$36,576,"")</f>
        <v/>
      </c>
      <c r="B579" s="26">
        <f>IF($A579="","",EDATE(_Engine!$B$5,$A579-1))</f>
        <v/>
      </c>
      <c r="C579" s="27">
        <f>IF($A579="","",_Engine!$AJ637)</f>
        <v/>
      </c>
      <c r="D579" s="27">
        <f>IF($A579="","",_Engine!$AK637)</f>
        <v/>
      </c>
      <c r="E579" s="27">
        <f>IF($A579="","",_Engine!$AJ637-_Engine!$AK637)</f>
        <v/>
      </c>
      <c r="F579" s="27">
        <f>IF($A579="","",_Engine!$AI637)</f>
        <v/>
      </c>
      <c r="G579" s="27">
        <f>IF(OR($A579="",_Engine!$D$41=0),"",INDEX(_Engine!$E637:$X637,1,(_Engine!$J$41-1)*4+3))</f>
        <v/>
      </c>
      <c r="H579" s="27">
        <f>IF(OR($A579="",_Engine!$D$42=0),"",INDEX(_Engine!$E637:$X637,1,(_Engine!$J$42-1)*4+3))</f>
        <v/>
      </c>
      <c r="I579" s="27">
        <f>IF(OR($A579="",_Engine!$D$43=0),"",INDEX(_Engine!$E637:$X637,1,(_Engine!$J$43-1)*4+3))</f>
        <v/>
      </c>
      <c r="J579" s="27">
        <f>IF(OR($A579="",_Engine!$D$44=0),"",INDEX(_Engine!$E637:$X637,1,(_Engine!$J$44-1)*4+3))</f>
        <v/>
      </c>
      <c r="K579" s="27">
        <f>IF(OR($A579="",_Engine!$D$45=0),"",INDEX(_Engine!$E637:$X637,1,(_Engine!$J$45-1)*4+3))</f>
        <v/>
      </c>
    </row>
    <row r="580">
      <c r="A580" s="25">
        <f>IF(577&lt;=_Engine!$B$36,577,"")</f>
        <v/>
      </c>
      <c r="B580" s="26">
        <f>IF($A580="","",EDATE(_Engine!$B$5,$A580-1))</f>
        <v/>
      </c>
      <c r="C580" s="27">
        <f>IF($A580="","",_Engine!$AJ638)</f>
        <v/>
      </c>
      <c r="D580" s="27">
        <f>IF($A580="","",_Engine!$AK638)</f>
        <v/>
      </c>
      <c r="E580" s="27">
        <f>IF($A580="","",_Engine!$AJ638-_Engine!$AK638)</f>
        <v/>
      </c>
      <c r="F580" s="27">
        <f>IF($A580="","",_Engine!$AI638)</f>
        <v/>
      </c>
      <c r="G580" s="27">
        <f>IF(OR($A580="",_Engine!$D$41=0),"",INDEX(_Engine!$E638:$X638,1,(_Engine!$J$41-1)*4+3))</f>
        <v/>
      </c>
      <c r="H580" s="27">
        <f>IF(OR($A580="",_Engine!$D$42=0),"",INDEX(_Engine!$E638:$X638,1,(_Engine!$J$42-1)*4+3))</f>
        <v/>
      </c>
      <c r="I580" s="27">
        <f>IF(OR($A580="",_Engine!$D$43=0),"",INDEX(_Engine!$E638:$X638,1,(_Engine!$J$43-1)*4+3))</f>
        <v/>
      </c>
      <c r="J580" s="27">
        <f>IF(OR($A580="",_Engine!$D$44=0),"",INDEX(_Engine!$E638:$X638,1,(_Engine!$J$44-1)*4+3))</f>
        <v/>
      </c>
      <c r="K580" s="27">
        <f>IF(OR($A580="",_Engine!$D$45=0),"",INDEX(_Engine!$E638:$X638,1,(_Engine!$J$45-1)*4+3))</f>
        <v/>
      </c>
    </row>
    <row r="581">
      <c r="A581" s="25">
        <f>IF(578&lt;=_Engine!$B$36,578,"")</f>
        <v/>
      </c>
      <c r="B581" s="26">
        <f>IF($A581="","",EDATE(_Engine!$B$5,$A581-1))</f>
        <v/>
      </c>
      <c r="C581" s="27">
        <f>IF($A581="","",_Engine!$AJ639)</f>
        <v/>
      </c>
      <c r="D581" s="27">
        <f>IF($A581="","",_Engine!$AK639)</f>
        <v/>
      </c>
      <c r="E581" s="27">
        <f>IF($A581="","",_Engine!$AJ639-_Engine!$AK639)</f>
        <v/>
      </c>
      <c r="F581" s="27">
        <f>IF($A581="","",_Engine!$AI639)</f>
        <v/>
      </c>
      <c r="G581" s="27">
        <f>IF(OR($A581="",_Engine!$D$41=0),"",INDEX(_Engine!$E639:$X639,1,(_Engine!$J$41-1)*4+3))</f>
        <v/>
      </c>
      <c r="H581" s="27">
        <f>IF(OR($A581="",_Engine!$D$42=0),"",INDEX(_Engine!$E639:$X639,1,(_Engine!$J$42-1)*4+3))</f>
        <v/>
      </c>
      <c r="I581" s="27">
        <f>IF(OR($A581="",_Engine!$D$43=0),"",INDEX(_Engine!$E639:$X639,1,(_Engine!$J$43-1)*4+3))</f>
        <v/>
      </c>
      <c r="J581" s="27">
        <f>IF(OR($A581="",_Engine!$D$44=0),"",INDEX(_Engine!$E639:$X639,1,(_Engine!$J$44-1)*4+3))</f>
        <v/>
      </c>
      <c r="K581" s="27">
        <f>IF(OR($A581="",_Engine!$D$45=0),"",INDEX(_Engine!$E639:$X639,1,(_Engine!$J$45-1)*4+3))</f>
        <v/>
      </c>
    </row>
    <row r="582">
      <c r="A582" s="25">
        <f>IF(579&lt;=_Engine!$B$36,579,"")</f>
        <v/>
      </c>
      <c r="B582" s="26">
        <f>IF($A582="","",EDATE(_Engine!$B$5,$A582-1))</f>
        <v/>
      </c>
      <c r="C582" s="27">
        <f>IF($A582="","",_Engine!$AJ640)</f>
        <v/>
      </c>
      <c r="D582" s="27">
        <f>IF($A582="","",_Engine!$AK640)</f>
        <v/>
      </c>
      <c r="E582" s="27">
        <f>IF($A582="","",_Engine!$AJ640-_Engine!$AK640)</f>
        <v/>
      </c>
      <c r="F582" s="27">
        <f>IF($A582="","",_Engine!$AI640)</f>
        <v/>
      </c>
      <c r="G582" s="27">
        <f>IF(OR($A582="",_Engine!$D$41=0),"",INDEX(_Engine!$E640:$X640,1,(_Engine!$J$41-1)*4+3))</f>
        <v/>
      </c>
      <c r="H582" s="27">
        <f>IF(OR($A582="",_Engine!$D$42=0),"",INDEX(_Engine!$E640:$X640,1,(_Engine!$J$42-1)*4+3))</f>
        <v/>
      </c>
      <c r="I582" s="27">
        <f>IF(OR($A582="",_Engine!$D$43=0),"",INDEX(_Engine!$E640:$X640,1,(_Engine!$J$43-1)*4+3))</f>
        <v/>
      </c>
      <c r="J582" s="27">
        <f>IF(OR($A582="",_Engine!$D$44=0),"",INDEX(_Engine!$E640:$X640,1,(_Engine!$J$44-1)*4+3))</f>
        <v/>
      </c>
      <c r="K582" s="27">
        <f>IF(OR($A582="",_Engine!$D$45=0),"",INDEX(_Engine!$E640:$X640,1,(_Engine!$J$45-1)*4+3))</f>
        <v/>
      </c>
    </row>
    <row r="583">
      <c r="A583" s="25">
        <f>IF(580&lt;=_Engine!$B$36,580,"")</f>
        <v/>
      </c>
      <c r="B583" s="26">
        <f>IF($A583="","",EDATE(_Engine!$B$5,$A583-1))</f>
        <v/>
      </c>
      <c r="C583" s="27">
        <f>IF($A583="","",_Engine!$AJ641)</f>
        <v/>
      </c>
      <c r="D583" s="27">
        <f>IF($A583="","",_Engine!$AK641)</f>
        <v/>
      </c>
      <c r="E583" s="27">
        <f>IF($A583="","",_Engine!$AJ641-_Engine!$AK641)</f>
        <v/>
      </c>
      <c r="F583" s="27">
        <f>IF($A583="","",_Engine!$AI641)</f>
        <v/>
      </c>
      <c r="G583" s="27">
        <f>IF(OR($A583="",_Engine!$D$41=0),"",INDEX(_Engine!$E641:$X641,1,(_Engine!$J$41-1)*4+3))</f>
        <v/>
      </c>
      <c r="H583" s="27">
        <f>IF(OR($A583="",_Engine!$D$42=0),"",INDEX(_Engine!$E641:$X641,1,(_Engine!$J$42-1)*4+3))</f>
        <v/>
      </c>
      <c r="I583" s="27">
        <f>IF(OR($A583="",_Engine!$D$43=0),"",INDEX(_Engine!$E641:$X641,1,(_Engine!$J$43-1)*4+3))</f>
        <v/>
      </c>
      <c r="J583" s="27">
        <f>IF(OR($A583="",_Engine!$D$44=0),"",INDEX(_Engine!$E641:$X641,1,(_Engine!$J$44-1)*4+3))</f>
        <v/>
      </c>
      <c r="K583" s="27">
        <f>IF(OR($A583="",_Engine!$D$45=0),"",INDEX(_Engine!$E641:$X641,1,(_Engine!$J$45-1)*4+3))</f>
        <v/>
      </c>
    </row>
    <row r="584">
      <c r="A584" s="25">
        <f>IF(581&lt;=_Engine!$B$36,581,"")</f>
        <v/>
      </c>
      <c r="B584" s="26">
        <f>IF($A584="","",EDATE(_Engine!$B$5,$A584-1))</f>
        <v/>
      </c>
      <c r="C584" s="27">
        <f>IF($A584="","",_Engine!$AJ642)</f>
        <v/>
      </c>
      <c r="D584" s="27">
        <f>IF($A584="","",_Engine!$AK642)</f>
        <v/>
      </c>
      <c r="E584" s="27">
        <f>IF($A584="","",_Engine!$AJ642-_Engine!$AK642)</f>
        <v/>
      </c>
      <c r="F584" s="27">
        <f>IF($A584="","",_Engine!$AI642)</f>
        <v/>
      </c>
      <c r="G584" s="27">
        <f>IF(OR($A584="",_Engine!$D$41=0),"",INDEX(_Engine!$E642:$X642,1,(_Engine!$J$41-1)*4+3))</f>
        <v/>
      </c>
      <c r="H584" s="27">
        <f>IF(OR($A584="",_Engine!$D$42=0),"",INDEX(_Engine!$E642:$X642,1,(_Engine!$J$42-1)*4+3))</f>
        <v/>
      </c>
      <c r="I584" s="27">
        <f>IF(OR($A584="",_Engine!$D$43=0),"",INDEX(_Engine!$E642:$X642,1,(_Engine!$J$43-1)*4+3))</f>
        <v/>
      </c>
      <c r="J584" s="27">
        <f>IF(OR($A584="",_Engine!$D$44=0),"",INDEX(_Engine!$E642:$X642,1,(_Engine!$J$44-1)*4+3))</f>
        <v/>
      </c>
      <c r="K584" s="27">
        <f>IF(OR($A584="",_Engine!$D$45=0),"",INDEX(_Engine!$E642:$X642,1,(_Engine!$J$45-1)*4+3))</f>
        <v/>
      </c>
    </row>
    <row r="585">
      <c r="A585" s="25">
        <f>IF(582&lt;=_Engine!$B$36,582,"")</f>
        <v/>
      </c>
      <c r="B585" s="26">
        <f>IF($A585="","",EDATE(_Engine!$B$5,$A585-1))</f>
        <v/>
      </c>
      <c r="C585" s="27">
        <f>IF($A585="","",_Engine!$AJ643)</f>
        <v/>
      </c>
      <c r="D585" s="27">
        <f>IF($A585="","",_Engine!$AK643)</f>
        <v/>
      </c>
      <c r="E585" s="27">
        <f>IF($A585="","",_Engine!$AJ643-_Engine!$AK643)</f>
        <v/>
      </c>
      <c r="F585" s="27">
        <f>IF($A585="","",_Engine!$AI643)</f>
        <v/>
      </c>
      <c r="G585" s="27">
        <f>IF(OR($A585="",_Engine!$D$41=0),"",INDEX(_Engine!$E643:$X643,1,(_Engine!$J$41-1)*4+3))</f>
        <v/>
      </c>
      <c r="H585" s="27">
        <f>IF(OR($A585="",_Engine!$D$42=0),"",INDEX(_Engine!$E643:$X643,1,(_Engine!$J$42-1)*4+3))</f>
        <v/>
      </c>
      <c r="I585" s="27">
        <f>IF(OR($A585="",_Engine!$D$43=0),"",INDEX(_Engine!$E643:$X643,1,(_Engine!$J$43-1)*4+3))</f>
        <v/>
      </c>
      <c r="J585" s="27">
        <f>IF(OR($A585="",_Engine!$D$44=0),"",INDEX(_Engine!$E643:$X643,1,(_Engine!$J$44-1)*4+3))</f>
        <v/>
      </c>
      <c r="K585" s="27">
        <f>IF(OR($A585="",_Engine!$D$45=0),"",INDEX(_Engine!$E643:$X643,1,(_Engine!$J$45-1)*4+3))</f>
        <v/>
      </c>
    </row>
    <row r="586">
      <c r="A586" s="25">
        <f>IF(583&lt;=_Engine!$B$36,583,"")</f>
        <v/>
      </c>
      <c r="B586" s="26">
        <f>IF($A586="","",EDATE(_Engine!$B$5,$A586-1))</f>
        <v/>
      </c>
      <c r="C586" s="27">
        <f>IF($A586="","",_Engine!$AJ644)</f>
        <v/>
      </c>
      <c r="D586" s="27">
        <f>IF($A586="","",_Engine!$AK644)</f>
        <v/>
      </c>
      <c r="E586" s="27">
        <f>IF($A586="","",_Engine!$AJ644-_Engine!$AK644)</f>
        <v/>
      </c>
      <c r="F586" s="27">
        <f>IF($A586="","",_Engine!$AI644)</f>
        <v/>
      </c>
      <c r="G586" s="27">
        <f>IF(OR($A586="",_Engine!$D$41=0),"",INDEX(_Engine!$E644:$X644,1,(_Engine!$J$41-1)*4+3))</f>
        <v/>
      </c>
      <c r="H586" s="27">
        <f>IF(OR($A586="",_Engine!$D$42=0),"",INDEX(_Engine!$E644:$X644,1,(_Engine!$J$42-1)*4+3))</f>
        <v/>
      </c>
      <c r="I586" s="27">
        <f>IF(OR($A586="",_Engine!$D$43=0),"",INDEX(_Engine!$E644:$X644,1,(_Engine!$J$43-1)*4+3))</f>
        <v/>
      </c>
      <c r="J586" s="27">
        <f>IF(OR($A586="",_Engine!$D$44=0),"",INDEX(_Engine!$E644:$X644,1,(_Engine!$J$44-1)*4+3))</f>
        <v/>
      </c>
      <c r="K586" s="27">
        <f>IF(OR($A586="",_Engine!$D$45=0),"",INDEX(_Engine!$E644:$X644,1,(_Engine!$J$45-1)*4+3))</f>
        <v/>
      </c>
    </row>
    <row r="587">
      <c r="A587" s="25">
        <f>IF(584&lt;=_Engine!$B$36,584,"")</f>
        <v/>
      </c>
      <c r="B587" s="26">
        <f>IF($A587="","",EDATE(_Engine!$B$5,$A587-1))</f>
        <v/>
      </c>
      <c r="C587" s="27">
        <f>IF($A587="","",_Engine!$AJ645)</f>
        <v/>
      </c>
      <c r="D587" s="27">
        <f>IF($A587="","",_Engine!$AK645)</f>
        <v/>
      </c>
      <c r="E587" s="27">
        <f>IF($A587="","",_Engine!$AJ645-_Engine!$AK645)</f>
        <v/>
      </c>
      <c r="F587" s="27">
        <f>IF($A587="","",_Engine!$AI645)</f>
        <v/>
      </c>
      <c r="G587" s="27">
        <f>IF(OR($A587="",_Engine!$D$41=0),"",INDEX(_Engine!$E645:$X645,1,(_Engine!$J$41-1)*4+3))</f>
        <v/>
      </c>
      <c r="H587" s="27">
        <f>IF(OR($A587="",_Engine!$D$42=0),"",INDEX(_Engine!$E645:$X645,1,(_Engine!$J$42-1)*4+3))</f>
        <v/>
      </c>
      <c r="I587" s="27">
        <f>IF(OR($A587="",_Engine!$D$43=0),"",INDEX(_Engine!$E645:$X645,1,(_Engine!$J$43-1)*4+3))</f>
        <v/>
      </c>
      <c r="J587" s="27">
        <f>IF(OR($A587="",_Engine!$D$44=0),"",INDEX(_Engine!$E645:$X645,1,(_Engine!$J$44-1)*4+3))</f>
        <v/>
      </c>
      <c r="K587" s="27">
        <f>IF(OR($A587="",_Engine!$D$45=0),"",INDEX(_Engine!$E645:$X645,1,(_Engine!$J$45-1)*4+3))</f>
        <v/>
      </c>
    </row>
    <row r="588">
      <c r="A588" s="25">
        <f>IF(585&lt;=_Engine!$B$36,585,"")</f>
        <v/>
      </c>
      <c r="B588" s="26">
        <f>IF($A588="","",EDATE(_Engine!$B$5,$A588-1))</f>
        <v/>
      </c>
      <c r="C588" s="27">
        <f>IF($A588="","",_Engine!$AJ646)</f>
        <v/>
      </c>
      <c r="D588" s="27">
        <f>IF($A588="","",_Engine!$AK646)</f>
        <v/>
      </c>
      <c r="E588" s="27">
        <f>IF($A588="","",_Engine!$AJ646-_Engine!$AK646)</f>
        <v/>
      </c>
      <c r="F588" s="27">
        <f>IF($A588="","",_Engine!$AI646)</f>
        <v/>
      </c>
      <c r="G588" s="27">
        <f>IF(OR($A588="",_Engine!$D$41=0),"",INDEX(_Engine!$E646:$X646,1,(_Engine!$J$41-1)*4+3))</f>
        <v/>
      </c>
      <c r="H588" s="27">
        <f>IF(OR($A588="",_Engine!$D$42=0),"",INDEX(_Engine!$E646:$X646,1,(_Engine!$J$42-1)*4+3))</f>
        <v/>
      </c>
      <c r="I588" s="27">
        <f>IF(OR($A588="",_Engine!$D$43=0),"",INDEX(_Engine!$E646:$X646,1,(_Engine!$J$43-1)*4+3))</f>
        <v/>
      </c>
      <c r="J588" s="27">
        <f>IF(OR($A588="",_Engine!$D$44=0),"",INDEX(_Engine!$E646:$X646,1,(_Engine!$J$44-1)*4+3))</f>
        <v/>
      </c>
      <c r="K588" s="27">
        <f>IF(OR($A588="",_Engine!$D$45=0),"",INDEX(_Engine!$E646:$X646,1,(_Engine!$J$45-1)*4+3))</f>
        <v/>
      </c>
    </row>
    <row r="589">
      <c r="A589" s="25">
        <f>IF(586&lt;=_Engine!$B$36,586,"")</f>
        <v/>
      </c>
      <c r="B589" s="26">
        <f>IF($A589="","",EDATE(_Engine!$B$5,$A589-1))</f>
        <v/>
      </c>
      <c r="C589" s="27">
        <f>IF($A589="","",_Engine!$AJ647)</f>
        <v/>
      </c>
      <c r="D589" s="27">
        <f>IF($A589="","",_Engine!$AK647)</f>
        <v/>
      </c>
      <c r="E589" s="27">
        <f>IF($A589="","",_Engine!$AJ647-_Engine!$AK647)</f>
        <v/>
      </c>
      <c r="F589" s="27">
        <f>IF($A589="","",_Engine!$AI647)</f>
        <v/>
      </c>
      <c r="G589" s="27">
        <f>IF(OR($A589="",_Engine!$D$41=0),"",INDEX(_Engine!$E647:$X647,1,(_Engine!$J$41-1)*4+3))</f>
        <v/>
      </c>
      <c r="H589" s="27">
        <f>IF(OR($A589="",_Engine!$D$42=0),"",INDEX(_Engine!$E647:$X647,1,(_Engine!$J$42-1)*4+3))</f>
        <v/>
      </c>
      <c r="I589" s="27">
        <f>IF(OR($A589="",_Engine!$D$43=0),"",INDEX(_Engine!$E647:$X647,1,(_Engine!$J$43-1)*4+3))</f>
        <v/>
      </c>
      <c r="J589" s="27">
        <f>IF(OR($A589="",_Engine!$D$44=0),"",INDEX(_Engine!$E647:$X647,1,(_Engine!$J$44-1)*4+3))</f>
        <v/>
      </c>
      <c r="K589" s="27">
        <f>IF(OR($A589="",_Engine!$D$45=0),"",INDEX(_Engine!$E647:$X647,1,(_Engine!$J$45-1)*4+3))</f>
        <v/>
      </c>
    </row>
    <row r="590">
      <c r="A590" s="25">
        <f>IF(587&lt;=_Engine!$B$36,587,"")</f>
        <v/>
      </c>
      <c r="B590" s="26">
        <f>IF($A590="","",EDATE(_Engine!$B$5,$A590-1))</f>
        <v/>
      </c>
      <c r="C590" s="27">
        <f>IF($A590="","",_Engine!$AJ648)</f>
        <v/>
      </c>
      <c r="D590" s="27">
        <f>IF($A590="","",_Engine!$AK648)</f>
        <v/>
      </c>
      <c r="E590" s="27">
        <f>IF($A590="","",_Engine!$AJ648-_Engine!$AK648)</f>
        <v/>
      </c>
      <c r="F590" s="27">
        <f>IF($A590="","",_Engine!$AI648)</f>
        <v/>
      </c>
      <c r="G590" s="27">
        <f>IF(OR($A590="",_Engine!$D$41=0),"",INDEX(_Engine!$E648:$X648,1,(_Engine!$J$41-1)*4+3))</f>
        <v/>
      </c>
      <c r="H590" s="27">
        <f>IF(OR($A590="",_Engine!$D$42=0),"",INDEX(_Engine!$E648:$X648,1,(_Engine!$J$42-1)*4+3))</f>
        <v/>
      </c>
      <c r="I590" s="27">
        <f>IF(OR($A590="",_Engine!$D$43=0),"",INDEX(_Engine!$E648:$X648,1,(_Engine!$J$43-1)*4+3))</f>
        <v/>
      </c>
      <c r="J590" s="27">
        <f>IF(OR($A590="",_Engine!$D$44=0),"",INDEX(_Engine!$E648:$X648,1,(_Engine!$J$44-1)*4+3))</f>
        <v/>
      </c>
      <c r="K590" s="27">
        <f>IF(OR($A590="",_Engine!$D$45=0),"",INDEX(_Engine!$E648:$X648,1,(_Engine!$J$45-1)*4+3))</f>
        <v/>
      </c>
    </row>
    <row r="591">
      <c r="A591" s="25">
        <f>IF(588&lt;=_Engine!$B$36,588,"")</f>
        <v/>
      </c>
      <c r="B591" s="26">
        <f>IF($A591="","",EDATE(_Engine!$B$5,$A591-1))</f>
        <v/>
      </c>
      <c r="C591" s="27">
        <f>IF($A591="","",_Engine!$AJ649)</f>
        <v/>
      </c>
      <c r="D591" s="27">
        <f>IF($A591="","",_Engine!$AK649)</f>
        <v/>
      </c>
      <c r="E591" s="27">
        <f>IF($A591="","",_Engine!$AJ649-_Engine!$AK649)</f>
        <v/>
      </c>
      <c r="F591" s="27">
        <f>IF($A591="","",_Engine!$AI649)</f>
        <v/>
      </c>
      <c r="G591" s="27">
        <f>IF(OR($A591="",_Engine!$D$41=0),"",INDEX(_Engine!$E649:$X649,1,(_Engine!$J$41-1)*4+3))</f>
        <v/>
      </c>
      <c r="H591" s="27">
        <f>IF(OR($A591="",_Engine!$D$42=0),"",INDEX(_Engine!$E649:$X649,1,(_Engine!$J$42-1)*4+3))</f>
        <v/>
      </c>
      <c r="I591" s="27">
        <f>IF(OR($A591="",_Engine!$D$43=0),"",INDEX(_Engine!$E649:$X649,1,(_Engine!$J$43-1)*4+3))</f>
        <v/>
      </c>
      <c r="J591" s="27">
        <f>IF(OR($A591="",_Engine!$D$44=0),"",INDEX(_Engine!$E649:$X649,1,(_Engine!$J$44-1)*4+3))</f>
        <v/>
      </c>
      <c r="K591" s="27">
        <f>IF(OR($A591="",_Engine!$D$45=0),"",INDEX(_Engine!$E649:$X649,1,(_Engine!$J$45-1)*4+3))</f>
        <v/>
      </c>
    </row>
    <row r="592">
      <c r="A592" s="25">
        <f>IF(589&lt;=_Engine!$B$36,589,"")</f>
        <v/>
      </c>
      <c r="B592" s="26">
        <f>IF($A592="","",EDATE(_Engine!$B$5,$A592-1))</f>
        <v/>
      </c>
      <c r="C592" s="27">
        <f>IF($A592="","",_Engine!$AJ650)</f>
        <v/>
      </c>
      <c r="D592" s="27">
        <f>IF($A592="","",_Engine!$AK650)</f>
        <v/>
      </c>
      <c r="E592" s="27">
        <f>IF($A592="","",_Engine!$AJ650-_Engine!$AK650)</f>
        <v/>
      </c>
      <c r="F592" s="27">
        <f>IF($A592="","",_Engine!$AI650)</f>
        <v/>
      </c>
      <c r="G592" s="27">
        <f>IF(OR($A592="",_Engine!$D$41=0),"",INDEX(_Engine!$E650:$X650,1,(_Engine!$J$41-1)*4+3))</f>
        <v/>
      </c>
      <c r="H592" s="27">
        <f>IF(OR($A592="",_Engine!$D$42=0),"",INDEX(_Engine!$E650:$X650,1,(_Engine!$J$42-1)*4+3))</f>
        <v/>
      </c>
      <c r="I592" s="27">
        <f>IF(OR($A592="",_Engine!$D$43=0),"",INDEX(_Engine!$E650:$X650,1,(_Engine!$J$43-1)*4+3))</f>
        <v/>
      </c>
      <c r="J592" s="27">
        <f>IF(OR($A592="",_Engine!$D$44=0),"",INDEX(_Engine!$E650:$X650,1,(_Engine!$J$44-1)*4+3))</f>
        <v/>
      </c>
      <c r="K592" s="27">
        <f>IF(OR($A592="",_Engine!$D$45=0),"",INDEX(_Engine!$E650:$X650,1,(_Engine!$J$45-1)*4+3))</f>
        <v/>
      </c>
    </row>
    <row r="593">
      <c r="A593" s="25">
        <f>IF(590&lt;=_Engine!$B$36,590,"")</f>
        <v/>
      </c>
      <c r="B593" s="26">
        <f>IF($A593="","",EDATE(_Engine!$B$5,$A593-1))</f>
        <v/>
      </c>
      <c r="C593" s="27">
        <f>IF($A593="","",_Engine!$AJ651)</f>
        <v/>
      </c>
      <c r="D593" s="27">
        <f>IF($A593="","",_Engine!$AK651)</f>
        <v/>
      </c>
      <c r="E593" s="27">
        <f>IF($A593="","",_Engine!$AJ651-_Engine!$AK651)</f>
        <v/>
      </c>
      <c r="F593" s="27">
        <f>IF($A593="","",_Engine!$AI651)</f>
        <v/>
      </c>
      <c r="G593" s="27">
        <f>IF(OR($A593="",_Engine!$D$41=0),"",INDEX(_Engine!$E651:$X651,1,(_Engine!$J$41-1)*4+3))</f>
        <v/>
      </c>
      <c r="H593" s="27">
        <f>IF(OR($A593="",_Engine!$D$42=0),"",INDEX(_Engine!$E651:$X651,1,(_Engine!$J$42-1)*4+3))</f>
        <v/>
      </c>
      <c r="I593" s="27">
        <f>IF(OR($A593="",_Engine!$D$43=0),"",INDEX(_Engine!$E651:$X651,1,(_Engine!$J$43-1)*4+3))</f>
        <v/>
      </c>
      <c r="J593" s="27">
        <f>IF(OR($A593="",_Engine!$D$44=0),"",INDEX(_Engine!$E651:$X651,1,(_Engine!$J$44-1)*4+3))</f>
        <v/>
      </c>
      <c r="K593" s="27">
        <f>IF(OR($A593="",_Engine!$D$45=0),"",INDEX(_Engine!$E651:$X651,1,(_Engine!$J$45-1)*4+3))</f>
        <v/>
      </c>
    </row>
    <row r="594">
      <c r="A594" s="25">
        <f>IF(591&lt;=_Engine!$B$36,591,"")</f>
        <v/>
      </c>
      <c r="B594" s="26">
        <f>IF($A594="","",EDATE(_Engine!$B$5,$A594-1))</f>
        <v/>
      </c>
      <c r="C594" s="27">
        <f>IF($A594="","",_Engine!$AJ652)</f>
        <v/>
      </c>
      <c r="D594" s="27">
        <f>IF($A594="","",_Engine!$AK652)</f>
        <v/>
      </c>
      <c r="E594" s="27">
        <f>IF($A594="","",_Engine!$AJ652-_Engine!$AK652)</f>
        <v/>
      </c>
      <c r="F594" s="27">
        <f>IF($A594="","",_Engine!$AI652)</f>
        <v/>
      </c>
      <c r="G594" s="27">
        <f>IF(OR($A594="",_Engine!$D$41=0),"",INDEX(_Engine!$E652:$X652,1,(_Engine!$J$41-1)*4+3))</f>
        <v/>
      </c>
      <c r="H594" s="27">
        <f>IF(OR($A594="",_Engine!$D$42=0),"",INDEX(_Engine!$E652:$X652,1,(_Engine!$J$42-1)*4+3))</f>
        <v/>
      </c>
      <c r="I594" s="27">
        <f>IF(OR($A594="",_Engine!$D$43=0),"",INDEX(_Engine!$E652:$X652,1,(_Engine!$J$43-1)*4+3))</f>
        <v/>
      </c>
      <c r="J594" s="27">
        <f>IF(OR($A594="",_Engine!$D$44=0),"",INDEX(_Engine!$E652:$X652,1,(_Engine!$J$44-1)*4+3))</f>
        <v/>
      </c>
      <c r="K594" s="27">
        <f>IF(OR($A594="",_Engine!$D$45=0),"",INDEX(_Engine!$E652:$X652,1,(_Engine!$J$45-1)*4+3))</f>
        <v/>
      </c>
    </row>
    <row r="595">
      <c r="A595" s="25">
        <f>IF(592&lt;=_Engine!$B$36,592,"")</f>
        <v/>
      </c>
      <c r="B595" s="26">
        <f>IF($A595="","",EDATE(_Engine!$B$5,$A595-1))</f>
        <v/>
      </c>
      <c r="C595" s="27">
        <f>IF($A595="","",_Engine!$AJ653)</f>
        <v/>
      </c>
      <c r="D595" s="27">
        <f>IF($A595="","",_Engine!$AK653)</f>
        <v/>
      </c>
      <c r="E595" s="27">
        <f>IF($A595="","",_Engine!$AJ653-_Engine!$AK653)</f>
        <v/>
      </c>
      <c r="F595" s="27">
        <f>IF($A595="","",_Engine!$AI653)</f>
        <v/>
      </c>
      <c r="G595" s="27">
        <f>IF(OR($A595="",_Engine!$D$41=0),"",INDEX(_Engine!$E653:$X653,1,(_Engine!$J$41-1)*4+3))</f>
        <v/>
      </c>
      <c r="H595" s="27">
        <f>IF(OR($A595="",_Engine!$D$42=0),"",INDEX(_Engine!$E653:$X653,1,(_Engine!$J$42-1)*4+3))</f>
        <v/>
      </c>
      <c r="I595" s="27">
        <f>IF(OR($A595="",_Engine!$D$43=0),"",INDEX(_Engine!$E653:$X653,1,(_Engine!$J$43-1)*4+3))</f>
        <v/>
      </c>
      <c r="J595" s="27">
        <f>IF(OR($A595="",_Engine!$D$44=0),"",INDEX(_Engine!$E653:$X653,1,(_Engine!$J$44-1)*4+3))</f>
        <v/>
      </c>
      <c r="K595" s="27">
        <f>IF(OR($A595="",_Engine!$D$45=0),"",INDEX(_Engine!$E653:$X653,1,(_Engine!$J$45-1)*4+3))</f>
        <v/>
      </c>
    </row>
    <row r="596">
      <c r="A596" s="25">
        <f>IF(593&lt;=_Engine!$B$36,593,"")</f>
        <v/>
      </c>
      <c r="B596" s="26">
        <f>IF($A596="","",EDATE(_Engine!$B$5,$A596-1))</f>
        <v/>
      </c>
      <c r="C596" s="27">
        <f>IF($A596="","",_Engine!$AJ654)</f>
        <v/>
      </c>
      <c r="D596" s="27">
        <f>IF($A596="","",_Engine!$AK654)</f>
        <v/>
      </c>
      <c r="E596" s="27">
        <f>IF($A596="","",_Engine!$AJ654-_Engine!$AK654)</f>
        <v/>
      </c>
      <c r="F596" s="27">
        <f>IF($A596="","",_Engine!$AI654)</f>
        <v/>
      </c>
      <c r="G596" s="27">
        <f>IF(OR($A596="",_Engine!$D$41=0),"",INDEX(_Engine!$E654:$X654,1,(_Engine!$J$41-1)*4+3))</f>
        <v/>
      </c>
      <c r="H596" s="27">
        <f>IF(OR($A596="",_Engine!$D$42=0),"",INDEX(_Engine!$E654:$X654,1,(_Engine!$J$42-1)*4+3))</f>
        <v/>
      </c>
      <c r="I596" s="27">
        <f>IF(OR($A596="",_Engine!$D$43=0),"",INDEX(_Engine!$E654:$X654,1,(_Engine!$J$43-1)*4+3))</f>
        <v/>
      </c>
      <c r="J596" s="27">
        <f>IF(OR($A596="",_Engine!$D$44=0),"",INDEX(_Engine!$E654:$X654,1,(_Engine!$J$44-1)*4+3))</f>
        <v/>
      </c>
      <c r="K596" s="27">
        <f>IF(OR($A596="",_Engine!$D$45=0),"",INDEX(_Engine!$E654:$X654,1,(_Engine!$J$45-1)*4+3))</f>
        <v/>
      </c>
    </row>
    <row r="597">
      <c r="A597" s="25">
        <f>IF(594&lt;=_Engine!$B$36,594,"")</f>
        <v/>
      </c>
      <c r="B597" s="26">
        <f>IF($A597="","",EDATE(_Engine!$B$5,$A597-1))</f>
        <v/>
      </c>
      <c r="C597" s="27">
        <f>IF($A597="","",_Engine!$AJ655)</f>
        <v/>
      </c>
      <c r="D597" s="27">
        <f>IF($A597="","",_Engine!$AK655)</f>
        <v/>
      </c>
      <c r="E597" s="27">
        <f>IF($A597="","",_Engine!$AJ655-_Engine!$AK655)</f>
        <v/>
      </c>
      <c r="F597" s="27">
        <f>IF($A597="","",_Engine!$AI655)</f>
        <v/>
      </c>
      <c r="G597" s="27">
        <f>IF(OR($A597="",_Engine!$D$41=0),"",INDEX(_Engine!$E655:$X655,1,(_Engine!$J$41-1)*4+3))</f>
        <v/>
      </c>
      <c r="H597" s="27">
        <f>IF(OR($A597="",_Engine!$D$42=0),"",INDEX(_Engine!$E655:$X655,1,(_Engine!$J$42-1)*4+3))</f>
        <v/>
      </c>
      <c r="I597" s="27">
        <f>IF(OR($A597="",_Engine!$D$43=0),"",INDEX(_Engine!$E655:$X655,1,(_Engine!$J$43-1)*4+3))</f>
        <v/>
      </c>
      <c r="J597" s="27">
        <f>IF(OR($A597="",_Engine!$D$44=0),"",INDEX(_Engine!$E655:$X655,1,(_Engine!$J$44-1)*4+3))</f>
        <v/>
      </c>
      <c r="K597" s="27">
        <f>IF(OR($A597="",_Engine!$D$45=0),"",INDEX(_Engine!$E655:$X655,1,(_Engine!$J$45-1)*4+3))</f>
        <v/>
      </c>
    </row>
    <row r="598">
      <c r="A598" s="25">
        <f>IF(595&lt;=_Engine!$B$36,595,"")</f>
        <v/>
      </c>
      <c r="B598" s="26">
        <f>IF($A598="","",EDATE(_Engine!$B$5,$A598-1))</f>
        <v/>
      </c>
      <c r="C598" s="27">
        <f>IF($A598="","",_Engine!$AJ656)</f>
        <v/>
      </c>
      <c r="D598" s="27">
        <f>IF($A598="","",_Engine!$AK656)</f>
        <v/>
      </c>
      <c r="E598" s="27">
        <f>IF($A598="","",_Engine!$AJ656-_Engine!$AK656)</f>
        <v/>
      </c>
      <c r="F598" s="27">
        <f>IF($A598="","",_Engine!$AI656)</f>
        <v/>
      </c>
      <c r="G598" s="27">
        <f>IF(OR($A598="",_Engine!$D$41=0),"",INDEX(_Engine!$E656:$X656,1,(_Engine!$J$41-1)*4+3))</f>
        <v/>
      </c>
      <c r="H598" s="27">
        <f>IF(OR($A598="",_Engine!$D$42=0),"",INDEX(_Engine!$E656:$X656,1,(_Engine!$J$42-1)*4+3))</f>
        <v/>
      </c>
      <c r="I598" s="27">
        <f>IF(OR($A598="",_Engine!$D$43=0),"",INDEX(_Engine!$E656:$X656,1,(_Engine!$J$43-1)*4+3))</f>
        <v/>
      </c>
      <c r="J598" s="27">
        <f>IF(OR($A598="",_Engine!$D$44=0),"",INDEX(_Engine!$E656:$X656,1,(_Engine!$J$44-1)*4+3))</f>
        <v/>
      </c>
      <c r="K598" s="27">
        <f>IF(OR($A598="",_Engine!$D$45=0),"",INDEX(_Engine!$E656:$X656,1,(_Engine!$J$45-1)*4+3))</f>
        <v/>
      </c>
    </row>
    <row r="599">
      <c r="A599" s="25">
        <f>IF(596&lt;=_Engine!$B$36,596,"")</f>
        <v/>
      </c>
      <c r="B599" s="26">
        <f>IF($A599="","",EDATE(_Engine!$B$5,$A599-1))</f>
        <v/>
      </c>
      <c r="C599" s="27">
        <f>IF($A599="","",_Engine!$AJ657)</f>
        <v/>
      </c>
      <c r="D599" s="27">
        <f>IF($A599="","",_Engine!$AK657)</f>
        <v/>
      </c>
      <c r="E599" s="27">
        <f>IF($A599="","",_Engine!$AJ657-_Engine!$AK657)</f>
        <v/>
      </c>
      <c r="F599" s="27">
        <f>IF($A599="","",_Engine!$AI657)</f>
        <v/>
      </c>
      <c r="G599" s="27">
        <f>IF(OR($A599="",_Engine!$D$41=0),"",INDEX(_Engine!$E657:$X657,1,(_Engine!$J$41-1)*4+3))</f>
        <v/>
      </c>
      <c r="H599" s="27">
        <f>IF(OR($A599="",_Engine!$D$42=0),"",INDEX(_Engine!$E657:$X657,1,(_Engine!$J$42-1)*4+3))</f>
        <v/>
      </c>
      <c r="I599" s="27">
        <f>IF(OR($A599="",_Engine!$D$43=0),"",INDEX(_Engine!$E657:$X657,1,(_Engine!$J$43-1)*4+3))</f>
        <v/>
      </c>
      <c r="J599" s="27">
        <f>IF(OR($A599="",_Engine!$D$44=0),"",INDEX(_Engine!$E657:$X657,1,(_Engine!$J$44-1)*4+3))</f>
        <v/>
      </c>
      <c r="K599" s="27">
        <f>IF(OR($A599="",_Engine!$D$45=0),"",INDEX(_Engine!$E657:$X657,1,(_Engine!$J$45-1)*4+3))</f>
        <v/>
      </c>
    </row>
    <row r="600">
      <c r="A600" s="25">
        <f>IF(597&lt;=_Engine!$B$36,597,"")</f>
        <v/>
      </c>
      <c r="B600" s="26">
        <f>IF($A600="","",EDATE(_Engine!$B$5,$A600-1))</f>
        <v/>
      </c>
      <c r="C600" s="27">
        <f>IF($A600="","",_Engine!$AJ658)</f>
        <v/>
      </c>
      <c r="D600" s="27">
        <f>IF($A600="","",_Engine!$AK658)</f>
        <v/>
      </c>
      <c r="E600" s="27">
        <f>IF($A600="","",_Engine!$AJ658-_Engine!$AK658)</f>
        <v/>
      </c>
      <c r="F600" s="27">
        <f>IF($A600="","",_Engine!$AI658)</f>
        <v/>
      </c>
      <c r="G600" s="27">
        <f>IF(OR($A600="",_Engine!$D$41=0),"",INDEX(_Engine!$E658:$X658,1,(_Engine!$J$41-1)*4+3))</f>
        <v/>
      </c>
      <c r="H600" s="27">
        <f>IF(OR($A600="",_Engine!$D$42=0),"",INDEX(_Engine!$E658:$X658,1,(_Engine!$J$42-1)*4+3))</f>
        <v/>
      </c>
      <c r="I600" s="27">
        <f>IF(OR($A600="",_Engine!$D$43=0),"",INDEX(_Engine!$E658:$X658,1,(_Engine!$J$43-1)*4+3))</f>
        <v/>
      </c>
      <c r="J600" s="27">
        <f>IF(OR($A600="",_Engine!$D$44=0),"",INDEX(_Engine!$E658:$X658,1,(_Engine!$J$44-1)*4+3))</f>
        <v/>
      </c>
      <c r="K600" s="27">
        <f>IF(OR($A600="",_Engine!$D$45=0),"",INDEX(_Engine!$E658:$X658,1,(_Engine!$J$45-1)*4+3))</f>
        <v/>
      </c>
    </row>
    <row r="601">
      <c r="A601" s="25">
        <f>IF(598&lt;=_Engine!$B$36,598,"")</f>
        <v/>
      </c>
      <c r="B601" s="26">
        <f>IF($A601="","",EDATE(_Engine!$B$5,$A601-1))</f>
        <v/>
      </c>
      <c r="C601" s="27">
        <f>IF($A601="","",_Engine!$AJ659)</f>
        <v/>
      </c>
      <c r="D601" s="27">
        <f>IF($A601="","",_Engine!$AK659)</f>
        <v/>
      </c>
      <c r="E601" s="27">
        <f>IF($A601="","",_Engine!$AJ659-_Engine!$AK659)</f>
        <v/>
      </c>
      <c r="F601" s="27">
        <f>IF($A601="","",_Engine!$AI659)</f>
        <v/>
      </c>
      <c r="G601" s="27">
        <f>IF(OR($A601="",_Engine!$D$41=0),"",INDEX(_Engine!$E659:$X659,1,(_Engine!$J$41-1)*4+3))</f>
        <v/>
      </c>
      <c r="H601" s="27">
        <f>IF(OR($A601="",_Engine!$D$42=0),"",INDEX(_Engine!$E659:$X659,1,(_Engine!$J$42-1)*4+3))</f>
        <v/>
      </c>
      <c r="I601" s="27">
        <f>IF(OR($A601="",_Engine!$D$43=0),"",INDEX(_Engine!$E659:$X659,1,(_Engine!$J$43-1)*4+3))</f>
        <v/>
      </c>
      <c r="J601" s="27">
        <f>IF(OR($A601="",_Engine!$D$44=0),"",INDEX(_Engine!$E659:$X659,1,(_Engine!$J$44-1)*4+3))</f>
        <v/>
      </c>
      <c r="K601" s="27">
        <f>IF(OR($A601="",_Engine!$D$45=0),"",INDEX(_Engine!$E659:$X659,1,(_Engine!$J$45-1)*4+3))</f>
        <v/>
      </c>
    </row>
    <row r="602">
      <c r="A602" s="25">
        <f>IF(599&lt;=_Engine!$B$36,599,"")</f>
        <v/>
      </c>
      <c r="B602" s="26">
        <f>IF($A602="","",EDATE(_Engine!$B$5,$A602-1))</f>
        <v/>
      </c>
      <c r="C602" s="27">
        <f>IF($A602="","",_Engine!$AJ660)</f>
        <v/>
      </c>
      <c r="D602" s="27">
        <f>IF($A602="","",_Engine!$AK660)</f>
        <v/>
      </c>
      <c r="E602" s="27">
        <f>IF($A602="","",_Engine!$AJ660-_Engine!$AK660)</f>
        <v/>
      </c>
      <c r="F602" s="27">
        <f>IF($A602="","",_Engine!$AI660)</f>
        <v/>
      </c>
      <c r="G602" s="27">
        <f>IF(OR($A602="",_Engine!$D$41=0),"",INDEX(_Engine!$E660:$X660,1,(_Engine!$J$41-1)*4+3))</f>
        <v/>
      </c>
      <c r="H602" s="27">
        <f>IF(OR($A602="",_Engine!$D$42=0),"",INDEX(_Engine!$E660:$X660,1,(_Engine!$J$42-1)*4+3))</f>
        <v/>
      </c>
      <c r="I602" s="27">
        <f>IF(OR($A602="",_Engine!$D$43=0),"",INDEX(_Engine!$E660:$X660,1,(_Engine!$J$43-1)*4+3))</f>
        <v/>
      </c>
      <c r="J602" s="27">
        <f>IF(OR($A602="",_Engine!$D$44=0),"",INDEX(_Engine!$E660:$X660,1,(_Engine!$J$44-1)*4+3))</f>
        <v/>
      </c>
      <c r="K602" s="27">
        <f>IF(OR($A602="",_Engine!$D$45=0),"",INDEX(_Engine!$E660:$X660,1,(_Engine!$J$45-1)*4+3))</f>
        <v/>
      </c>
    </row>
    <row r="603">
      <c r="A603" s="25">
        <f>IF(600&lt;=_Engine!$B$36,600,"")</f>
        <v/>
      </c>
      <c r="B603" s="26">
        <f>IF($A603="","",EDATE(_Engine!$B$5,$A603-1))</f>
        <v/>
      </c>
      <c r="C603" s="27">
        <f>IF($A603="","",_Engine!$AJ661)</f>
        <v/>
      </c>
      <c r="D603" s="27">
        <f>IF($A603="","",_Engine!$AK661)</f>
        <v/>
      </c>
      <c r="E603" s="27">
        <f>IF($A603="","",_Engine!$AJ661-_Engine!$AK661)</f>
        <v/>
      </c>
      <c r="F603" s="27">
        <f>IF($A603="","",_Engine!$AI661)</f>
        <v/>
      </c>
      <c r="G603" s="27">
        <f>IF(OR($A603="",_Engine!$D$41=0),"",INDEX(_Engine!$E661:$X661,1,(_Engine!$J$41-1)*4+3))</f>
        <v/>
      </c>
      <c r="H603" s="27">
        <f>IF(OR($A603="",_Engine!$D$42=0),"",INDEX(_Engine!$E661:$X661,1,(_Engine!$J$42-1)*4+3))</f>
        <v/>
      </c>
      <c r="I603" s="27">
        <f>IF(OR($A603="",_Engine!$D$43=0),"",INDEX(_Engine!$E661:$X661,1,(_Engine!$J$43-1)*4+3))</f>
        <v/>
      </c>
      <c r="J603" s="27">
        <f>IF(OR($A603="",_Engine!$D$44=0),"",INDEX(_Engine!$E661:$X661,1,(_Engine!$J$44-1)*4+3))</f>
        <v/>
      </c>
      <c r="K603" s="27">
        <f>IF(OR($A603="",_Engine!$D$45=0),"",INDEX(_Engine!$E661:$X661,1,(_Engine!$J$45-1)*4+3))</f>
        <v/>
      </c>
    </row>
    <row r="604">
      <c r="A604" s="25">
        <f>IF(601&lt;=_Engine!$B$36,601,"")</f>
        <v/>
      </c>
      <c r="B604" s="26">
        <f>IF($A604="","",EDATE(_Engine!$B$5,$A604-1))</f>
        <v/>
      </c>
      <c r="C604" s="27">
        <f>IF($A604="","",_Engine!$AJ662)</f>
        <v/>
      </c>
      <c r="D604" s="27">
        <f>IF($A604="","",_Engine!$AK662)</f>
        <v/>
      </c>
      <c r="E604" s="27">
        <f>IF($A604="","",_Engine!$AJ662-_Engine!$AK662)</f>
        <v/>
      </c>
      <c r="F604" s="27">
        <f>IF($A604="","",_Engine!$AI662)</f>
        <v/>
      </c>
      <c r="G604" s="27">
        <f>IF(OR($A604="",_Engine!$D$41=0),"",INDEX(_Engine!$E662:$X662,1,(_Engine!$J$41-1)*4+3))</f>
        <v/>
      </c>
      <c r="H604" s="27">
        <f>IF(OR($A604="",_Engine!$D$42=0),"",INDEX(_Engine!$E662:$X662,1,(_Engine!$J$42-1)*4+3))</f>
        <v/>
      </c>
      <c r="I604" s="27">
        <f>IF(OR($A604="",_Engine!$D$43=0),"",INDEX(_Engine!$E662:$X662,1,(_Engine!$J$43-1)*4+3))</f>
        <v/>
      </c>
      <c r="J604" s="27">
        <f>IF(OR($A604="",_Engine!$D$44=0),"",INDEX(_Engine!$E662:$X662,1,(_Engine!$J$44-1)*4+3))</f>
        <v/>
      </c>
      <c r="K604" s="27">
        <f>IF(OR($A604="",_Engine!$D$45=0),"",INDEX(_Engine!$E662:$X662,1,(_Engine!$J$45-1)*4+3))</f>
        <v/>
      </c>
    </row>
    <row r="605">
      <c r="A605" s="25">
        <f>IF(602&lt;=_Engine!$B$36,602,"")</f>
        <v/>
      </c>
      <c r="B605" s="26">
        <f>IF($A605="","",EDATE(_Engine!$B$5,$A605-1))</f>
        <v/>
      </c>
      <c r="C605" s="27">
        <f>IF($A605="","",_Engine!$AJ663)</f>
        <v/>
      </c>
      <c r="D605" s="27">
        <f>IF($A605="","",_Engine!$AK663)</f>
        <v/>
      </c>
      <c r="E605" s="27">
        <f>IF($A605="","",_Engine!$AJ663-_Engine!$AK663)</f>
        <v/>
      </c>
      <c r="F605" s="27">
        <f>IF($A605="","",_Engine!$AI663)</f>
        <v/>
      </c>
      <c r="G605" s="27">
        <f>IF(OR($A605="",_Engine!$D$41=0),"",INDEX(_Engine!$E663:$X663,1,(_Engine!$J$41-1)*4+3))</f>
        <v/>
      </c>
      <c r="H605" s="27">
        <f>IF(OR($A605="",_Engine!$D$42=0),"",INDEX(_Engine!$E663:$X663,1,(_Engine!$J$42-1)*4+3))</f>
        <v/>
      </c>
      <c r="I605" s="27">
        <f>IF(OR($A605="",_Engine!$D$43=0),"",INDEX(_Engine!$E663:$X663,1,(_Engine!$J$43-1)*4+3))</f>
        <v/>
      </c>
      <c r="J605" s="27">
        <f>IF(OR($A605="",_Engine!$D$44=0),"",INDEX(_Engine!$E663:$X663,1,(_Engine!$J$44-1)*4+3))</f>
        <v/>
      </c>
      <c r="K605" s="27">
        <f>IF(OR($A605="",_Engine!$D$45=0),"",INDEX(_Engine!$E663:$X663,1,(_Engine!$J$45-1)*4+3))</f>
        <v/>
      </c>
    </row>
    <row r="606">
      <c r="A606" s="25">
        <f>IF(603&lt;=_Engine!$B$36,603,"")</f>
        <v/>
      </c>
      <c r="B606" s="26">
        <f>IF($A606="","",EDATE(_Engine!$B$5,$A606-1))</f>
        <v/>
      </c>
      <c r="C606" s="27">
        <f>IF($A606="","",_Engine!$AJ664)</f>
        <v/>
      </c>
      <c r="D606" s="27">
        <f>IF($A606="","",_Engine!$AK664)</f>
        <v/>
      </c>
      <c r="E606" s="27">
        <f>IF($A606="","",_Engine!$AJ664-_Engine!$AK664)</f>
        <v/>
      </c>
      <c r="F606" s="27">
        <f>IF($A606="","",_Engine!$AI664)</f>
        <v/>
      </c>
      <c r="G606" s="27">
        <f>IF(OR($A606="",_Engine!$D$41=0),"",INDEX(_Engine!$E664:$X664,1,(_Engine!$J$41-1)*4+3))</f>
        <v/>
      </c>
      <c r="H606" s="27">
        <f>IF(OR($A606="",_Engine!$D$42=0),"",INDEX(_Engine!$E664:$X664,1,(_Engine!$J$42-1)*4+3))</f>
        <v/>
      </c>
      <c r="I606" s="27">
        <f>IF(OR($A606="",_Engine!$D$43=0),"",INDEX(_Engine!$E664:$X664,1,(_Engine!$J$43-1)*4+3))</f>
        <v/>
      </c>
      <c r="J606" s="27">
        <f>IF(OR($A606="",_Engine!$D$44=0),"",INDEX(_Engine!$E664:$X664,1,(_Engine!$J$44-1)*4+3))</f>
        <v/>
      </c>
      <c r="K606" s="27">
        <f>IF(OR($A606="",_Engine!$D$45=0),"",INDEX(_Engine!$E664:$X664,1,(_Engine!$J$45-1)*4+3))</f>
        <v/>
      </c>
    </row>
    <row r="607">
      <c r="A607" s="25">
        <f>IF(604&lt;=_Engine!$B$36,604,"")</f>
        <v/>
      </c>
      <c r="B607" s="26">
        <f>IF($A607="","",EDATE(_Engine!$B$5,$A607-1))</f>
        <v/>
      </c>
      <c r="C607" s="27">
        <f>IF($A607="","",_Engine!$AJ665)</f>
        <v/>
      </c>
      <c r="D607" s="27">
        <f>IF($A607="","",_Engine!$AK665)</f>
        <v/>
      </c>
      <c r="E607" s="27">
        <f>IF($A607="","",_Engine!$AJ665-_Engine!$AK665)</f>
        <v/>
      </c>
      <c r="F607" s="27">
        <f>IF($A607="","",_Engine!$AI665)</f>
        <v/>
      </c>
      <c r="G607" s="27">
        <f>IF(OR($A607="",_Engine!$D$41=0),"",INDEX(_Engine!$E665:$X665,1,(_Engine!$J$41-1)*4+3))</f>
        <v/>
      </c>
      <c r="H607" s="27">
        <f>IF(OR($A607="",_Engine!$D$42=0),"",INDEX(_Engine!$E665:$X665,1,(_Engine!$J$42-1)*4+3))</f>
        <v/>
      </c>
      <c r="I607" s="27">
        <f>IF(OR($A607="",_Engine!$D$43=0),"",INDEX(_Engine!$E665:$X665,1,(_Engine!$J$43-1)*4+3))</f>
        <v/>
      </c>
      <c r="J607" s="27">
        <f>IF(OR($A607="",_Engine!$D$44=0),"",INDEX(_Engine!$E665:$X665,1,(_Engine!$J$44-1)*4+3))</f>
        <v/>
      </c>
      <c r="K607" s="27">
        <f>IF(OR($A607="",_Engine!$D$45=0),"",INDEX(_Engine!$E665:$X665,1,(_Engine!$J$45-1)*4+3))</f>
        <v/>
      </c>
    </row>
    <row r="608">
      <c r="A608" s="25">
        <f>IF(605&lt;=_Engine!$B$36,605,"")</f>
        <v/>
      </c>
      <c r="B608" s="26">
        <f>IF($A608="","",EDATE(_Engine!$B$5,$A608-1))</f>
        <v/>
      </c>
      <c r="C608" s="27">
        <f>IF($A608="","",_Engine!$AJ666)</f>
        <v/>
      </c>
      <c r="D608" s="27">
        <f>IF($A608="","",_Engine!$AK666)</f>
        <v/>
      </c>
      <c r="E608" s="27">
        <f>IF($A608="","",_Engine!$AJ666-_Engine!$AK666)</f>
        <v/>
      </c>
      <c r="F608" s="27">
        <f>IF($A608="","",_Engine!$AI666)</f>
        <v/>
      </c>
      <c r="G608" s="27">
        <f>IF(OR($A608="",_Engine!$D$41=0),"",INDEX(_Engine!$E666:$X666,1,(_Engine!$J$41-1)*4+3))</f>
        <v/>
      </c>
      <c r="H608" s="27">
        <f>IF(OR($A608="",_Engine!$D$42=0),"",INDEX(_Engine!$E666:$X666,1,(_Engine!$J$42-1)*4+3))</f>
        <v/>
      </c>
      <c r="I608" s="27">
        <f>IF(OR($A608="",_Engine!$D$43=0),"",INDEX(_Engine!$E666:$X666,1,(_Engine!$J$43-1)*4+3))</f>
        <v/>
      </c>
      <c r="J608" s="27">
        <f>IF(OR($A608="",_Engine!$D$44=0),"",INDEX(_Engine!$E666:$X666,1,(_Engine!$J$44-1)*4+3))</f>
        <v/>
      </c>
      <c r="K608" s="27">
        <f>IF(OR($A608="",_Engine!$D$45=0),"",INDEX(_Engine!$E666:$X666,1,(_Engine!$J$45-1)*4+3))</f>
        <v/>
      </c>
    </row>
    <row r="609">
      <c r="A609" s="25">
        <f>IF(606&lt;=_Engine!$B$36,606,"")</f>
        <v/>
      </c>
      <c r="B609" s="26">
        <f>IF($A609="","",EDATE(_Engine!$B$5,$A609-1))</f>
        <v/>
      </c>
      <c r="C609" s="27">
        <f>IF($A609="","",_Engine!$AJ667)</f>
        <v/>
      </c>
      <c r="D609" s="27">
        <f>IF($A609="","",_Engine!$AK667)</f>
        <v/>
      </c>
      <c r="E609" s="27">
        <f>IF($A609="","",_Engine!$AJ667-_Engine!$AK667)</f>
        <v/>
      </c>
      <c r="F609" s="27">
        <f>IF($A609="","",_Engine!$AI667)</f>
        <v/>
      </c>
      <c r="G609" s="27">
        <f>IF(OR($A609="",_Engine!$D$41=0),"",INDEX(_Engine!$E667:$X667,1,(_Engine!$J$41-1)*4+3))</f>
        <v/>
      </c>
      <c r="H609" s="27">
        <f>IF(OR($A609="",_Engine!$D$42=0),"",INDEX(_Engine!$E667:$X667,1,(_Engine!$J$42-1)*4+3))</f>
        <v/>
      </c>
      <c r="I609" s="27">
        <f>IF(OR($A609="",_Engine!$D$43=0),"",INDEX(_Engine!$E667:$X667,1,(_Engine!$J$43-1)*4+3))</f>
        <v/>
      </c>
      <c r="J609" s="27">
        <f>IF(OR($A609="",_Engine!$D$44=0),"",INDEX(_Engine!$E667:$X667,1,(_Engine!$J$44-1)*4+3))</f>
        <v/>
      </c>
      <c r="K609" s="27">
        <f>IF(OR($A609="",_Engine!$D$45=0),"",INDEX(_Engine!$E667:$X667,1,(_Engine!$J$45-1)*4+3))</f>
        <v/>
      </c>
    </row>
    <row r="610">
      <c r="A610" s="25">
        <f>IF(607&lt;=_Engine!$B$36,607,"")</f>
        <v/>
      </c>
      <c r="B610" s="26">
        <f>IF($A610="","",EDATE(_Engine!$B$5,$A610-1))</f>
        <v/>
      </c>
      <c r="C610" s="27">
        <f>IF($A610="","",_Engine!$AJ668)</f>
        <v/>
      </c>
      <c r="D610" s="27">
        <f>IF($A610="","",_Engine!$AK668)</f>
        <v/>
      </c>
      <c r="E610" s="27">
        <f>IF($A610="","",_Engine!$AJ668-_Engine!$AK668)</f>
        <v/>
      </c>
      <c r="F610" s="27">
        <f>IF($A610="","",_Engine!$AI668)</f>
        <v/>
      </c>
      <c r="G610" s="27">
        <f>IF(OR($A610="",_Engine!$D$41=0),"",INDEX(_Engine!$E668:$X668,1,(_Engine!$J$41-1)*4+3))</f>
        <v/>
      </c>
      <c r="H610" s="27">
        <f>IF(OR($A610="",_Engine!$D$42=0),"",INDEX(_Engine!$E668:$X668,1,(_Engine!$J$42-1)*4+3))</f>
        <v/>
      </c>
      <c r="I610" s="27">
        <f>IF(OR($A610="",_Engine!$D$43=0),"",INDEX(_Engine!$E668:$X668,1,(_Engine!$J$43-1)*4+3))</f>
        <v/>
      </c>
      <c r="J610" s="27">
        <f>IF(OR($A610="",_Engine!$D$44=0),"",INDEX(_Engine!$E668:$X668,1,(_Engine!$J$44-1)*4+3))</f>
        <v/>
      </c>
      <c r="K610" s="27">
        <f>IF(OR($A610="",_Engine!$D$45=0),"",INDEX(_Engine!$E668:$X668,1,(_Engine!$J$45-1)*4+3))</f>
        <v/>
      </c>
    </row>
    <row r="611">
      <c r="A611" s="25">
        <f>IF(608&lt;=_Engine!$B$36,608,"")</f>
        <v/>
      </c>
      <c r="B611" s="26">
        <f>IF($A611="","",EDATE(_Engine!$B$5,$A611-1))</f>
        <v/>
      </c>
      <c r="C611" s="27">
        <f>IF($A611="","",_Engine!$AJ669)</f>
        <v/>
      </c>
      <c r="D611" s="27">
        <f>IF($A611="","",_Engine!$AK669)</f>
        <v/>
      </c>
      <c r="E611" s="27">
        <f>IF($A611="","",_Engine!$AJ669-_Engine!$AK669)</f>
        <v/>
      </c>
      <c r="F611" s="27">
        <f>IF($A611="","",_Engine!$AI669)</f>
        <v/>
      </c>
      <c r="G611" s="27">
        <f>IF(OR($A611="",_Engine!$D$41=0),"",INDEX(_Engine!$E669:$X669,1,(_Engine!$J$41-1)*4+3))</f>
        <v/>
      </c>
      <c r="H611" s="27">
        <f>IF(OR($A611="",_Engine!$D$42=0),"",INDEX(_Engine!$E669:$X669,1,(_Engine!$J$42-1)*4+3))</f>
        <v/>
      </c>
      <c r="I611" s="27">
        <f>IF(OR($A611="",_Engine!$D$43=0),"",INDEX(_Engine!$E669:$X669,1,(_Engine!$J$43-1)*4+3))</f>
        <v/>
      </c>
      <c r="J611" s="27">
        <f>IF(OR($A611="",_Engine!$D$44=0),"",INDEX(_Engine!$E669:$X669,1,(_Engine!$J$44-1)*4+3))</f>
        <v/>
      </c>
      <c r="K611" s="27">
        <f>IF(OR($A611="",_Engine!$D$45=0),"",INDEX(_Engine!$E669:$X669,1,(_Engine!$J$45-1)*4+3))</f>
        <v/>
      </c>
    </row>
    <row r="612">
      <c r="A612" s="25">
        <f>IF(609&lt;=_Engine!$B$36,609,"")</f>
        <v/>
      </c>
      <c r="B612" s="26">
        <f>IF($A612="","",EDATE(_Engine!$B$5,$A612-1))</f>
        <v/>
      </c>
      <c r="C612" s="27">
        <f>IF($A612="","",_Engine!$AJ670)</f>
        <v/>
      </c>
      <c r="D612" s="27">
        <f>IF($A612="","",_Engine!$AK670)</f>
        <v/>
      </c>
      <c r="E612" s="27">
        <f>IF($A612="","",_Engine!$AJ670-_Engine!$AK670)</f>
        <v/>
      </c>
      <c r="F612" s="27">
        <f>IF($A612="","",_Engine!$AI670)</f>
        <v/>
      </c>
      <c r="G612" s="27">
        <f>IF(OR($A612="",_Engine!$D$41=0),"",INDEX(_Engine!$E670:$X670,1,(_Engine!$J$41-1)*4+3))</f>
        <v/>
      </c>
      <c r="H612" s="27">
        <f>IF(OR($A612="",_Engine!$D$42=0),"",INDEX(_Engine!$E670:$X670,1,(_Engine!$J$42-1)*4+3))</f>
        <v/>
      </c>
      <c r="I612" s="27">
        <f>IF(OR($A612="",_Engine!$D$43=0),"",INDEX(_Engine!$E670:$X670,1,(_Engine!$J$43-1)*4+3))</f>
        <v/>
      </c>
      <c r="J612" s="27">
        <f>IF(OR($A612="",_Engine!$D$44=0),"",INDEX(_Engine!$E670:$X670,1,(_Engine!$J$44-1)*4+3))</f>
        <v/>
      </c>
      <c r="K612" s="27">
        <f>IF(OR($A612="",_Engine!$D$45=0),"",INDEX(_Engine!$E670:$X670,1,(_Engine!$J$45-1)*4+3))</f>
        <v/>
      </c>
    </row>
    <row r="613">
      <c r="A613" s="25">
        <f>IF(610&lt;=_Engine!$B$36,610,"")</f>
        <v/>
      </c>
      <c r="B613" s="26">
        <f>IF($A613="","",EDATE(_Engine!$B$5,$A613-1))</f>
        <v/>
      </c>
      <c r="C613" s="27">
        <f>IF($A613="","",_Engine!$AJ671)</f>
        <v/>
      </c>
      <c r="D613" s="27">
        <f>IF($A613="","",_Engine!$AK671)</f>
        <v/>
      </c>
      <c r="E613" s="27">
        <f>IF($A613="","",_Engine!$AJ671-_Engine!$AK671)</f>
        <v/>
      </c>
      <c r="F613" s="27">
        <f>IF($A613="","",_Engine!$AI671)</f>
        <v/>
      </c>
      <c r="G613" s="27">
        <f>IF(OR($A613="",_Engine!$D$41=0),"",INDEX(_Engine!$E671:$X671,1,(_Engine!$J$41-1)*4+3))</f>
        <v/>
      </c>
      <c r="H613" s="27">
        <f>IF(OR($A613="",_Engine!$D$42=0),"",INDEX(_Engine!$E671:$X671,1,(_Engine!$J$42-1)*4+3))</f>
        <v/>
      </c>
      <c r="I613" s="27">
        <f>IF(OR($A613="",_Engine!$D$43=0),"",INDEX(_Engine!$E671:$X671,1,(_Engine!$J$43-1)*4+3))</f>
        <v/>
      </c>
      <c r="J613" s="27">
        <f>IF(OR($A613="",_Engine!$D$44=0),"",INDEX(_Engine!$E671:$X671,1,(_Engine!$J$44-1)*4+3))</f>
        <v/>
      </c>
      <c r="K613" s="27">
        <f>IF(OR($A613="",_Engine!$D$45=0),"",INDEX(_Engine!$E671:$X671,1,(_Engine!$J$45-1)*4+3))</f>
        <v/>
      </c>
    </row>
    <row r="614">
      <c r="A614" s="25">
        <f>IF(611&lt;=_Engine!$B$36,611,"")</f>
        <v/>
      </c>
      <c r="B614" s="26">
        <f>IF($A614="","",EDATE(_Engine!$B$5,$A614-1))</f>
        <v/>
      </c>
      <c r="C614" s="27">
        <f>IF($A614="","",_Engine!$AJ672)</f>
        <v/>
      </c>
      <c r="D614" s="27">
        <f>IF($A614="","",_Engine!$AK672)</f>
        <v/>
      </c>
      <c r="E614" s="27">
        <f>IF($A614="","",_Engine!$AJ672-_Engine!$AK672)</f>
        <v/>
      </c>
      <c r="F614" s="27">
        <f>IF($A614="","",_Engine!$AI672)</f>
        <v/>
      </c>
      <c r="G614" s="27">
        <f>IF(OR($A614="",_Engine!$D$41=0),"",INDEX(_Engine!$E672:$X672,1,(_Engine!$J$41-1)*4+3))</f>
        <v/>
      </c>
      <c r="H614" s="27">
        <f>IF(OR($A614="",_Engine!$D$42=0),"",INDEX(_Engine!$E672:$X672,1,(_Engine!$J$42-1)*4+3))</f>
        <v/>
      </c>
      <c r="I614" s="27">
        <f>IF(OR($A614="",_Engine!$D$43=0),"",INDEX(_Engine!$E672:$X672,1,(_Engine!$J$43-1)*4+3))</f>
        <v/>
      </c>
      <c r="J614" s="27">
        <f>IF(OR($A614="",_Engine!$D$44=0),"",INDEX(_Engine!$E672:$X672,1,(_Engine!$J$44-1)*4+3))</f>
        <v/>
      </c>
      <c r="K614" s="27">
        <f>IF(OR($A614="",_Engine!$D$45=0),"",INDEX(_Engine!$E672:$X672,1,(_Engine!$J$45-1)*4+3))</f>
        <v/>
      </c>
    </row>
    <row r="615">
      <c r="A615" s="25">
        <f>IF(612&lt;=_Engine!$B$36,612,"")</f>
        <v/>
      </c>
      <c r="B615" s="26">
        <f>IF($A615="","",EDATE(_Engine!$B$5,$A615-1))</f>
        <v/>
      </c>
      <c r="C615" s="27">
        <f>IF($A615="","",_Engine!$AJ673)</f>
        <v/>
      </c>
      <c r="D615" s="27">
        <f>IF($A615="","",_Engine!$AK673)</f>
        <v/>
      </c>
      <c r="E615" s="27">
        <f>IF($A615="","",_Engine!$AJ673-_Engine!$AK673)</f>
        <v/>
      </c>
      <c r="F615" s="27">
        <f>IF($A615="","",_Engine!$AI673)</f>
        <v/>
      </c>
      <c r="G615" s="27">
        <f>IF(OR($A615="",_Engine!$D$41=0),"",INDEX(_Engine!$E673:$X673,1,(_Engine!$J$41-1)*4+3))</f>
        <v/>
      </c>
      <c r="H615" s="27">
        <f>IF(OR($A615="",_Engine!$D$42=0),"",INDEX(_Engine!$E673:$X673,1,(_Engine!$J$42-1)*4+3))</f>
        <v/>
      </c>
      <c r="I615" s="27">
        <f>IF(OR($A615="",_Engine!$D$43=0),"",INDEX(_Engine!$E673:$X673,1,(_Engine!$J$43-1)*4+3))</f>
        <v/>
      </c>
      <c r="J615" s="27">
        <f>IF(OR($A615="",_Engine!$D$44=0),"",INDEX(_Engine!$E673:$X673,1,(_Engine!$J$44-1)*4+3))</f>
        <v/>
      </c>
      <c r="K615" s="27">
        <f>IF(OR($A615="",_Engine!$D$45=0),"",INDEX(_Engine!$E673:$X673,1,(_Engine!$J$45-1)*4+3))</f>
        <v/>
      </c>
    </row>
    <row r="616">
      <c r="A616" s="25">
        <f>IF(613&lt;=_Engine!$B$36,613,"")</f>
        <v/>
      </c>
      <c r="B616" s="26">
        <f>IF($A616="","",EDATE(_Engine!$B$5,$A616-1))</f>
        <v/>
      </c>
      <c r="C616" s="27">
        <f>IF($A616="","",_Engine!$AJ674)</f>
        <v/>
      </c>
      <c r="D616" s="27">
        <f>IF($A616="","",_Engine!$AK674)</f>
        <v/>
      </c>
      <c r="E616" s="27">
        <f>IF($A616="","",_Engine!$AJ674-_Engine!$AK674)</f>
        <v/>
      </c>
      <c r="F616" s="27">
        <f>IF($A616="","",_Engine!$AI674)</f>
        <v/>
      </c>
      <c r="G616" s="27">
        <f>IF(OR($A616="",_Engine!$D$41=0),"",INDEX(_Engine!$E674:$X674,1,(_Engine!$J$41-1)*4+3))</f>
        <v/>
      </c>
      <c r="H616" s="27">
        <f>IF(OR($A616="",_Engine!$D$42=0),"",INDEX(_Engine!$E674:$X674,1,(_Engine!$J$42-1)*4+3))</f>
        <v/>
      </c>
      <c r="I616" s="27">
        <f>IF(OR($A616="",_Engine!$D$43=0),"",INDEX(_Engine!$E674:$X674,1,(_Engine!$J$43-1)*4+3))</f>
        <v/>
      </c>
      <c r="J616" s="27">
        <f>IF(OR($A616="",_Engine!$D$44=0),"",INDEX(_Engine!$E674:$X674,1,(_Engine!$J$44-1)*4+3))</f>
        <v/>
      </c>
      <c r="K616" s="27">
        <f>IF(OR($A616="",_Engine!$D$45=0),"",INDEX(_Engine!$E674:$X674,1,(_Engine!$J$45-1)*4+3))</f>
        <v/>
      </c>
    </row>
    <row r="617">
      <c r="A617" s="25">
        <f>IF(614&lt;=_Engine!$B$36,614,"")</f>
        <v/>
      </c>
      <c r="B617" s="26">
        <f>IF($A617="","",EDATE(_Engine!$B$5,$A617-1))</f>
        <v/>
      </c>
      <c r="C617" s="27">
        <f>IF($A617="","",_Engine!$AJ675)</f>
        <v/>
      </c>
      <c r="D617" s="27">
        <f>IF($A617="","",_Engine!$AK675)</f>
        <v/>
      </c>
      <c r="E617" s="27">
        <f>IF($A617="","",_Engine!$AJ675-_Engine!$AK675)</f>
        <v/>
      </c>
      <c r="F617" s="27">
        <f>IF($A617="","",_Engine!$AI675)</f>
        <v/>
      </c>
      <c r="G617" s="27">
        <f>IF(OR($A617="",_Engine!$D$41=0),"",INDEX(_Engine!$E675:$X675,1,(_Engine!$J$41-1)*4+3))</f>
        <v/>
      </c>
      <c r="H617" s="27">
        <f>IF(OR($A617="",_Engine!$D$42=0),"",INDEX(_Engine!$E675:$X675,1,(_Engine!$J$42-1)*4+3))</f>
        <v/>
      </c>
      <c r="I617" s="27">
        <f>IF(OR($A617="",_Engine!$D$43=0),"",INDEX(_Engine!$E675:$X675,1,(_Engine!$J$43-1)*4+3))</f>
        <v/>
      </c>
      <c r="J617" s="27">
        <f>IF(OR($A617="",_Engine!$D$44=0),"",INDEX(_Engine!$E675:$X675,1,(_Engine!$J$44-1)*4+3))</f>
        <v/>
      </c>
      <c r="K617" s="27">
        <f>IF(OR($A617="",_Engine!$D$45=0),"",INDEX(_Engine!$E675:$X675,1,(_Engine!$J$45-1)*4+3))</f>
        <v/>
      </c>
    </row>
    <row r="618">
      <c r="A618" s="25">
        <f>IF(615&lt;=_Engine!$B$36,615,"")</f>
        <v/>
      </c>
      <c r="B618" s="26">
        <f>IF($A618="","",EDATE(_Engine!$B$5,$A618-1))</f>
        <v/>
      </c>
      <c r="C618" s="27">
        <f>IF($A618="","",_Engine!$AJ676)</f>
        <v/>
      </c>
      <c r="D618" s="27">
        <f>IF($A618="","",_Engine!$AK676)</f>
        <v/>
      </c>
      <c r="E618" s="27">
        <f>IF($A618="","",_Engine!$AJ676-_Engine!$AK676)</f>
        <v/>
      </c>
      <c r="F618" s="27">
        <f>IF($A618="","",_Engine!$AI676)</f>
        <v/>
      </c>
      <c r="G618" s="27">
        <f>IF(OR($A618="",_Engine!$D$41=0),"",INDEX(_Engine!$E676:$X676,1,(_Engine!$J$41-1)*4+3))</f>
        <v/>
      </c>
      <c r="H618" s="27">
        <f>IF(OR($A618="",_Engine!$D$42=0),"",INDEX(_Engine!$E676:$X676,1,(_Engine!$J$42-1)*4+3))</f>
        <v/>
      </c>
      <c r="I618" s="27">
        <f>IF(OR($A618="",_Engine!$D$43=0),"",INDEX(_Engine!$E676:$X676,1,(_Engine!$J$43-1)*4+3))</f>
        <v/>
      </c>
      <c r="J618" s="27">
        <f>IF(OR($A618="",_Engine!$D$44=0),"",INDEX(_Engine!$E676:$X676,1,(_Engine!$J$44-1)*4+3))</f>
        <v/>
      </c>
      <c r="K618" s="27">
        <f>IF(OR($A618="",_Engine!$D$45=0),"",INDEX(_Engine!$E676:$X676,1,(_Engine!$J$45-1)*4+3))</f>
        <v/>
      </c>
    </row>
    <row r="619">
      <c r="A619" s="25">
        <f>IF(616&lt;=_Engine!$B$36,616,"")</f>
        <v/>
      </c>
      <c r="B619" s="26">
        <f>IF($A619="","",EDATE(_Engine!$B$5,$A619-1))</f>
        <v/>
      </c>
      <c r="C619" s="27">
        <f>IF($A619="","",_Engine!$AJ677)</f>
        <v/>
      </c>
      <c r="D619" s="27">
        <f>IF($A619="","",_Engine!$AK677)</f>
        <v/>
      </c>
      <c r="E619" s="27">
        <f>IF($A619="","",_Engine!$AJ677-_Engine!$AK677)</f>
        <v/>
      </c>
      <c r="F619" s="27">
        <f>IF($A619="","",_Engine!$AI677)</f>
        <v/>
      </c>
      <c r="G619" s="27">
        <f>IF(OR($A619="",_Engine!$D$41=0),"",INDEX(_Engine!$E677:$X677,1,(_Engine!$J$41-1)*4+3))</f>
        <v/>
      </c>
      <c r="H619" s="27">
        <f>IF(OR($A619="",_Engine!$D$42=0),"",INDEX(_Engine!$E677:$X677,1,(_Engine!$J$42-1)*4+3))</f>
        <v/>
      </c>
      <c r="I619" s="27">
        <f>IF(OR($A619="",_Engine!$D$43=0),"",INDEX(_Engine!$E677:$X677,1,(_Engine!$J$43-1)*4+3))</f>
        <v/>
      </c>
      <c r="J619" s="27">
        <f>IF(OR($A619="",_Engine!$D$44=0),"",INDEX(_Engine!$E677:$X677,1,(_Engine!$J$44-1)*4+3))</f>
        <v/>
      </c>
      <c r="K619" s="27">
        <f>IF(OR($A619="",_Engine!$D$45=0),"",INDEX(_Engine!$E677:$X677,1,(_Engine!$J$45-1)*4+3))</f>
        <v/>
      </c>
    </row>
    <row r="620">
      <c r="A620" s="25">
        <f>IF(617&lt;=_Engine!$B$36,617,"")</f>
        <v/>
      </c>
      <c r="B620" s="26">
        <f>IF($A620="","",EDATE(_Engine!$B$5,$A620-1))</f>
        <v/>
      </c>
      <c r="C620" s="27">
        <f>IF($A620="","",_Engine!$AJ678)</f>
        <v/>
      </c>
      <c r="D620" s="27">
        <f>IF($A620="","",_Engine!$AK678)</f>
        <v/>
      </c>
      <c r="E620" s="27">
        <f>IF($A620="","",_Engine!$AJ678-_Engine!$AK678)</f>
        <v/>
      </c>
      <c r="F620" s="27">
        <f>IF($A620="","",_Engine!$AI678)</f>
        <v/>
      </c>
      <c r="G620" s="27">
        <f>IF(OR($A620="",_Engine!$D$41=0),"",INDEX(_Engine!$E678:$X678,1,(_Engine!$J$41-1)*4+3))</f>
        <v/>
      </c>
      <c r="H620" s="27">
        <f>IF(OR($A620="",_Engine!$D$42=0),"",INDEX(_Engine!$E678:$X678,1,(_Engine!$J$42-1)*4+3))</f>
        <v/>
      </c>
      <c r="I620" s="27">
        <f>IF(OR($A620="",_Engine!$D$43=0),"",INDEX(_Engine!$E678:$X678,1,(_Engine!$J$43-1)*4+3))</f>
        <v/>
      </c>
      <c r="J620" s="27">
        <f>IF(OR($A620="",_Engine!$D$44=0),"",INDEX(_Engine!$E678:$X678,1,(_Engine!$J$44-1)*4+3))</f>
        <v/>
      </c>
      <c r="K620" s="27">
        <f>IF(OR($A620="",_Engine!$D$45=0),"",INDEX(_Engine!$E678:$X678,1,(_Engine!$J$45-1)*4+3))</f>
        <v/>
      </c>
    </row>
    <row r="621">
      <c r="A621" s="25">
        <f>IF(618&lt;=_Engine!$B$36,618,"")</f>
        <v/>
      </c>
      <c r="B621" s="26">
        <f>IF($A621="","",EDATE(_Engine!$B$5,$A621-1))</f>
        <v/>
      </c>
      <c r="C621" s="27">
        <f>IF($A621="","",_Engine!$AJ679)</f>
        <v/>
      </c>
      <c r="D621" s="27">
        <f>IF($A621="","",_Engine!$AK679)</f>
        <v/>
      </c>
      <c r="E621" s="27">
        <f>IF($A621="","",_Engine!$AJ679-_Engine!$AK679)</f>
        <v/>
      </c>
      <c r="F621" s="27">
        <f>IF($A621="","",_Engine!$AI679)</f>
        <v/>
      </c>
      <c r="G621" s="27">
        <f>IF(OR($A621="",_Engine!$D$41=0),"",INDEX(_Engine!$E679:$X679,1,(_Engine!$J$41-1)*4+3))</f>
        <v/>
      </c>
      <c r="H621" s="27">
        <f>IF(OR($A621="",_Engine!$D$42=0),"",INDEX(_Engine!$E679:$X679,1,(_Engine!$J$42-1)*4+3))</f>
        <v/>
      </c>
      <c r="I621" s="27">
        <f>IF(OR($A621="",_Engine!$D$43=0),"",INDEX(_Engine!$E679:$X679,1,(_Engine!$J$43-1)*4+3))</f>
        <v/>
      </c>
      <c r="J621" s="27">
        <f>IF(OR($A621="",_Engine!$D$44=0),"",INDEX(_Engine!$E679:$X679,1,(_Engine!$J$44-1)*4+3))</f>
        <v/>
      </c>
      <c r="K621" s="27">
        <f>IF(OR($A621="",_Engine!$D$45=0),"",INDEX(_Engine!$E679:$X679,1,(_Engine!$J$45-1)*4+3))</f>
        <v/>
      </c>
    </row>
    <row r="622">
      <c r="A622" s="25">
        <f>IF(619&lt;=_Engine!$B$36,619,"")</f>
        <v/>
      </c>
      <c r="B622" s="26">
        <f>IF($A622="","",EDATE(_Engine!$B$5,$A622-1))</f>
        <v/>
      </c>
      <c r="C622" s="27">
        <f>IF($A622="","",_Engine!$AJ680)</f>
        <v/>
      </c>
      <c r="D622" s="27">
        <f>IF($A622="","",_Engine!$AK680)</f>
        <v/>
      </c>
      <c r="E622" s="27">
        <f>IF($A622="","",_Engine!$AJ680-_Engine!$AK680)</f>
        <v/>
      </c>
      <c r="F622" s="27">
        <f>IF($A622="","",_Engine!$AI680)</f>
        <v/>
      </c>
      <c r="G622" s="27">
        <f>IF(OR($A622="",_Engine!$D$41=0),"",INDEX(_Engine!$E680:$X680,1,(_Engine!$J$41-1)*4+3))</f>
        <v/>
      </c>
      <c r="H622" s="27">
        <f>IF(OR($A622="",_Engine!$D$42=0),"",INDEX(_Engine!$E680:$X680,1,(_Engine!$J$42-1)*4+3))</f>
        <v/>
      </c>
      <c r="I622" s="27">
        <f>IF(OR($A622="",_Engine!$D$43=0),"",INDEX(_Engine!$E680:$X680,1,(_Engine!$J$43-1)*4+3))</f>
        <v/>
      </c>
      <c r="J622" s="27">
        <f>IF(OR($A622="",_Engine!$D$44=0),"",INDEX(_Engine!$E680:$X680,1,(_Engine!$J$44-1)*4+3))</f>
        <v/>
      </c>
      <c r="K622" s="27">
        <f>IF(OR($A622="",_Engine!$D$45=0),"",INDEX(_Engine!$E680:$X680,1,(_Engine!$J$45-1)*4+3))</f>
        <v/>
      </c>
    </row>
    <row r="623">
      <c r="A623" s="25">
        <f>IF(620&lt;=_Engine!$B$36,620,"")</f>
        <v/>
      </c>
      <c r="B623" s="26">
        <f>IF($A623="","",EDATE(_Engine!$B$5,$A623-1))</f>
        <v/>
      </c>
      <c r="C623" s="27">
        <f>IF($A623="","",_Engine!$AJ681)</f>
        <v/>
      </c>
      <c r="D623" s="27">
        <f>IF($A623="","",_Engine!$AK681)</f>
        <v/>
      </c>
      <c r="E623" s="27">
        <f>IF($A623="","",_Engine!$AJ681-_Engine!$AK681)</f>
        <v/>
      </c>
      <c r="F623" s="27">
        <f>IF($A623="","",_Engine!$AI681)</f>
        <v/>
      </c>
      <c r="G623" s="27">
        <f>IF(OR($A623="",_Engine!$D$41=0),"",INDEX(_Engine!$E681:$X681,1,(_Engine!$J$41-1)*4+3))</f>
        <v/>
      </c>
      <c r="H623" s="27">
        <f>IF(OR($A623="",_Engine!$D$42=0),"",INDEX(_Engine!$E681:$X681,1,(_Engine!$J$42-1)*4+3))</f>
        <v/>
      </c>
      <c r="I623" s="27">
        <f>IF(OR($A623="",_Engine!$D$43=0),"",INDEX(_Engine!$E681:$X681,1,(_Engine!$J$43-1)*4+3))</f>
        <v/>
      </c>
      <c r="J623" s="27">
        <f>IF(OR($A623="",_Engine!$D$44=0),"",INDEX(_Engine!$E681:$X681,1,(_Engine!$J$44-1)*4+3))</f>
        <v/>
      </c>
      <c r="K623" s="27">
        <f>IF(OR($A623="",_Engine!$D$45=0),"",INDEX(_Engine!$E681:$X681,1,(_Engine!$J$45-1)*4+3))</f>
        <v/>
      </c>
    </row>
    <row r="624">
      <c r="A624" s="25">
        <f>IF(621&lt;=_Engine!$B$36,621,"")</f>
        <v/>
      </c>
      <c r="B624" s="26">
        <f>IF($A624="","",EDATE(_Engine!$B$5,$A624-1))</f>
        <v/>
      </c>
      <c r="C624" s="27">
        <f>IF($A624="","",_Engine!$AJ682)</f>
        <v/>
      </c>
      <c r="D624" s="27">
        <f>IF($A624="","",_Engine!$AK682)</f>
        <v/>
      </c>
      <c r="E624" s="27">
        <f>IF($A624="","",_Engine!$AJ682-_Engine!$AK682)</f>
        <v/>
      </c>
      <c r="F624" s="27">
        <f>IF($A624="","",_Engine!$AI682)</f>
        <v/>
      </c>
      <c r="G624" s="27">
        <f>IF(OR($A624="",_Engine!$D$41=0),"",INDEX(_Engine!$E682:$X682,1,(_Engine!$J$41-1)*4+3))</f>
        <v/>
      </c>
      <c r="H624" s="27">
        <f>IF(OR($A624="",_Engine!$D$42=0),"",INDEX(_Engine!$E682:$X682,1,(_Engine!$J$42-1)*4+3))</f>
        <v/>
      </c>
      <c r="I624" s="27">
        <f>IF(OR($A624="",_Engine!$D$43=0),"",INDEX(_Engine!$E682:$X682,1,(_Engine!$J$43-1)*4+3))</f>
        <v/>
      </c>
      <c r="J624" s="27">
        <f>IF(OR($A624="",_Engine!$D$44=0),"",INDEX(_Engine!$E682:$X682,1,(_Engine!$J$44-1)*4+3))</f>
        <v/>
      </c>
      <c r="K624" s="27">
        <f>IF(OR($A624="",_Engine!$D$45=0),"",INDEX(_Engine!$E682:$X682,1,(_Engine!$J$45-1)*4+3))</f>
        <v/>
      </c>
    </row>
    <row r="625">
      <c r="A625" s="25">
        <f>IF(622&lt;=_Engine!$B$36,622,"")</f>
        <v/>
      </c>
      <c r="B625" s="26">
        <f>IF($A625="","",EDATE(_Engine!$B$5,$A625-1))</f>
        <v/>
      </c>
      <c r="C625" s="27">
        <f>IF($A625="","",_Engine!$AJ683)</f>
        <v/>
      </c>
      <c r="D625" s="27">
        <f>IF($A625="","",_Engine!$AK683)</f>
        <v/>
      </c>
      <c r="E625" s="27">
        <f>IF($A625="","",_Engine!$AJ683-_Engine!$AK683)</f>
        <v/>
      </c>
      <c r="F625" s="27">
        <f>IF($A625="","",_Engine!$AI683)</f>
        <v/>
      </c>
      <c r="G625" s="27">
        <f>IF(OR($A625="",_Engine!$D$41=0),"",INDEX(_Engine!$E683:$X683,1,(_Engine!$J$41-1)*4+3))</f>
        <v/>
      </c>
      <c r="H625" s="27">
        <f>IF(OR($A625="",_Engine!$D$42=0),"",INDEX(_Engine!$E683:$X683,1,(_Engine!$J$42-1)*4+3))</f>
        <v/>
      </c>
      <c r="I625" s="27">
        <f>IF(OR($A625="",_Engine!$D$43=0),"",INDEX(_Engine!$E683:$X683,1,(_Engine!$J$43-1)*4+3))</f>
        <v/>
      </c>
      <c r="J625" s="27">
        <f>IF(OR($A625="",_Engine!$D$44=0),"",INDEX(_Engine!$E683:$X683,1,(_Engine!$J$44-1)*4+3))</f>
        <v/>
      </c>
      <c r="K625" s="27">
        <f>IF(OR($A625="",_Engine!$D$45=0),"",INDEX(_Engine!$E683:$X683,1,(_Engine!$J$45-1)*4+3))</f>
        <v/>
      </c>
    </row>
    <row r="626">
      <c r="A626" s="25">
        <f>IF(623&lt;=_Engine!$B$36,623,"")</f>
        <v/>
      </c>
      <c r="B626" s="26">
        <f>IF($A626="","",EDATE(_Engine!$B$5,$A626-1))</f>
        <v/>
      </c>
      <c r="C626" s="27">
        <f>IF($A626="","",_Engine!$AJ684)</f>
        <v/>
      </c>
      <c r="D626" s="27">
        <f>IF($A626="","",_Engine!$AK684)</f>
        <v/>
      </c>
      <c r="E626" s="27">
        <f>IF($A626="","",_Engine!$AJ684-_Engine!$AK684)</f>
        <v/>
      </c>
      <c r="F626" s="27">
        <f>IF($A626="","",_Engine!$AI684)</f>
        <v/>
      </c>
      <c r="G626" s="27">
        <f>IF(OR($A626="",_Engine!$D$41=0),"",INDEX(_Engine!$E684:$X684,1,(_Engine!$J$41-1)*4+3))</f>
        <v/>
      </c>
      <c r="H626" s="27">
        <f>IF(OR($A626="",_Engine!$D$42=0),"",INDEX(_Engine!$E684:$X684,1,(_Engine!$J$42-1)*4+3))</f>
        <v/>
      </c>
      <c r="I626" s="27">
        <f>IF(OR($A626="",_Engine!$D$43=0),"",INDEX(_Engine!$E684:$X684,1,(_Engine!$J$43-1)*4+3))</f>
        <v/>
      </c>
      <c r="J626" s="27">
        <f>IF(OR($A626="",_Engine!$D$44=0),"",INDEX(_Engine!$E684:$X684,1,(_Engine!$J$44-1)*4+3))</f>
        <v/>
      </c>
      <c r="K626" s="27">
        <f>IF(OR($A626="",_Engine!$D$45=0),"",INDEX(_Engine!$E684:$X684,1,(_Engine!$J$45-1)*4+3))</f>
        <v/>
      </c>
    </row>
    <row r="627">
      <c r="A627" s="25">
        <f>IF(624&lt;=_Engine!$B$36,624,"")</f>
        <v/>
      </c>
      <c r="B627" s="26">
        <f>IF($A627="","",EDATE(_Engine!$B$5,$A627-1))</f>
        <v/>
      </c>
      <c r="C627" s="27">
        <f>IF($A627="","",_Engine!$AJ685)</f>
        <v/>
      </c>
      <c r="D627" s="27">
        <f>IF($A627="","",_Engine!$AK685)</f>
        <v/>
      </c>
      <c r="E627" s="27">
        <f>IF($A627="","",_Engine!$AJ685-_Engine!$AK685)</f>
        <v/>
      </c>
      <c r="F627" s="27">
        <f>IF($A627="","",_Engine!$AI685)</f>
        <v/>
      </c>
      <c r="G627" s="27">
        <f>IF(OR($A627="",_Engine!$D$41=0),"",INDEX(_Engine!$E685:$X685,1,(_Engine!$J$41-1)*4+3))</f>
        <v/>
      </c>
      <c r="H627" s="27">
        <f>IF(OR($A627="",_Engine!$D$42=0),"",INDEX(_Engine!$E685:$X685,1,(_Engine!$J$42-1)*4+3))</f>
        <v/>
      </c>
      <c r="I627" s="27">
        <f>IF(OR($A627="",_Engine!$D$43=0),"",INDEX(_Engine!$E685:$X685,1,(_Engine!$J$43-1)*4+3))</f>
        <v/>
      </c>
      <c r="J627" s="27">
        <f>IF(OR($A627="",_Engine!$D$44=0),"",INDEX(_Engine!$E685:$X685,1,(_Engine!$J$44-1)*4+3))</f>
        <v/>
      </c>
      <c r="K627" s="27">
        <f>IF(OR($A627="",_Engine!$D$45=0),"",INDEX(_Engine!$E685:$X685,1,(_Engine!$J$45-1)*4+3))</f>
        <v/>
      </c>
    </row>
    <row r="628">
      <c r="A628" s="25">
        <f>IF(625&lt;=_Engine!$B$36,625,"")</f>
        <v/>
      </c>
      <c r="B628" s="26">
        <f>IF($A628="","",EDATE(_Engine!$B$5,$A628-1))</f>
        <v/>
      </c>
      <c r="C628" s="27">
        <f>IF($A628="","",_Engine!$AJ686)</f>
        <v/>
      </c>
      <c r="D628" s="27">
        <f>IF($A628="","",_Engine!$AK686)</f>
        <v/>
      </c>
      <c r="E628" s="27">
        <f>IF($A628="","",_Engine!$AJ686-_Engine!$AK686)</f>
        <v/>
      </c>
      <c r="F628" s="27">
        <f>IF($A628="","",_Engine!$AI686)</f>
        <v/>
      </c>
      <c r="G628" s="27">
        <f>IF(OR($A628="",_Engine!$D$41=0),"",INDEX(_Engine!$E686:$X686,1,(_Engine!$J$41-1)*4+3))</f>
        <v/>
      </c>
      <c r="H628" s="27">
        <f>IF(OR($A628="",_Engine!$D$42=0),"",INDEX(_Engine!$E686:$X686,1,(_Engine!$J$42-1)*4+3))</f>
        <v/>
      </c>
      <c r="I628" s="27">
        <f>IF(OR($A628="",_Engine!$D$43=0),"",INDEX(_Engine!$E686:$X686,1,(_Engine!$J$43-1)*4+3))</f>
        <v/>
      </c>
      <c r="J628" s="27">
        <f>IF(OR($A628="",_Engine!$D$44=0),"",INDEX(_Engine!$E686:$X686,1,(_Engine!$J$44-1)*4+3))</f>
        <v/>
      </c>
      <c r="K628" s="27">
        <f>IF(OR($A628="",_Engine!$D$45=0),"",INDEX(_Engine!$E686:$X686,1,(_Engine!$J$45-1)*4+3))</f>
        <v/>
      </c>
    </row>
    <row r="629">
      <c r="A629" s="25">
        <f>IF(626&lt;=_Engine!$B$36,626,"")</f>
        <v/>
      </c>
      <c r="B629" s="26">
        <f>IF($A629="","",EDATE(_Engine!$B$5,$A629-1))</f>
        <v/>
      </c>
      <c r="C629" s="27">
        <f>IF($A629="","",_Engine!$AJ687)</f>
        <v/>
      </c>
      <c r="D629" s="27">
        <f>IF($A629="","",_Engine!$AK687)</f>
        <v/>
      </c>
      <c r="E629" s="27">
        <f>IF($A629="","",_Engine!$AJ687-_Engine!$AK687)</f>
        <v/>
      </c>
      <c r="F629" s="27">
        <f>IF($A629="","",_Engine!$AI687)</f>
        <v/>
      </c>
      <c r="G629" s="27">
        <f>IF(OR($A629="",_Engine!$D$41=0),"",INDEX(_Engine!$E687:$X687,1,(_Engine!$J$41-1)*4+3))</f>
        <v/>
      </c>
      <c r="H629" s="27">
        <f>IF(OR($A629="",_Engine!$D$42=0),"",INDEX(_Engine!$E687:$X687,1,(_Engine!$J$42-1)*4+3))</f>
        <v/>
      </c>
      <c r="I629" s="27">
        <f>IF(OR($A629="",_Engine!$D$43=0),"",INDEX(_Engine!$E687:$X687,1,(_Engine!$J$43-1)*4+3))</f>
        <v/>
      </c>
      <c r="J629" s="27">
        <f>IF(OR($A629="",_Engine!$D$44=0),"",INDEX(_Engine!$E687:$X687,1,(_Engine!$J$44-1)*4+3))</f>
        <v/>
      </c>
      <c r="K629" s="27">
        <f>IF(OR($A629="",_Engine!$D$45=0),"",INDEX(_Engine!$E687:$X687,1,(_Engine!$J$45-1)*4+3))</f>
        <v/>
      </c>
    </row>
    <row r="630">
      <c r="A630" s="25">
        <f>IF(627&lt;=_Engine!$B$36,627,"")</f>
        <v/>
      </c>
      <c r="B630" s="26">
        <f>IF($A630="","",EDATE(_Engine!$B$5,$A630-1))</f>
        <v/>
      </c>
      <c r="C630" s="27">
        <f>IF($A630="","",_Engine!$AJ688)</f>
        <v/>
      </c>
      <c r="D630" s="27">
        <f>IF($A630="","",_Engine!$AK688)</f>
        <v/>
      </c>
      <c r="E630" s="27">
        <f>IF($A630="","",_Engine!$AJ688-_Engine!$AK688)</f>
        <v/>
      </c>
      <c r="F630" s="27">
        <f>IF($A630="","",_Engine!$AI688)</f>
        <v/>
      </c>
      <c r="G630" s="27">
        <f>IF(OR($A630="",_Engine!$D$41=0),"",INDEX(_Engine!$E688:$X688,1,(_Engine!$J$41-1)*4+3))</f>
        <v/>
      </c>
      <c r="H630" s="27">
        <f>IF(OR($A630="",_Engine!$D$42=0),"",INDEX(_Engine!$E688:$X688,1,(_Engine!$J$42-1)*4+3))</f>
        <v/>
      </c>
      <c r="I630" s="27">
        <f>IF(OR($A630="",_Engine!$D$43=0),"",INDEX(_Engine!$E688:$X688,1,(_Engine!$J$43-1)*4+3))</f>
        <v/>
      </c>
      <c r="J630" s="27">
        <f>IF(OR($A630="",_Engine!$D$44=0),"",INDEX(_Engine!$E688:$X688,1,(_Engine!$J$44-1)*4+3))</f>
        <v/>
      </c>
      <c r="K630" s="27">
        <f>IF(OR($A630="",_Engine!$D$45=0),"",INDEX(_Engine!$E688:$X688,1,(_Engine!$J$45-1)*4+3))</f>
        <v/>
      </c>
    </row>
    <row r="631">
      <c r="A631" s="25">
        <f>IF(628&lt;=_Engine!$B$36,628,"")</f>
        <v/>
      </c>
      <c r="B631" s="26">
        <f>IF($A631="","",EDATE(_Engine!$B$5,$A631-1))</f>
        <v/>
      </c>
      <c r="C631" s="27">
        <f>IF($A631="","",_Engine!$AJ689)</f>
        <v/>
      </c>
      <c r="D631" s="27">
        <f>IF($A631="","",_Engine!$AK689)</f>
        <v/>
      </c>
      <c r="E631" s="27">
        <f>IF($A631="","",_Engine!$AJ689-_Engine!$AK689)</f>
        <v/>
      </c>
      <c r="F631" s="27">
        <f>IF($A631="","",_Engine!$AI689)</f>
        <v/>
      </c>
      <c r="G631" s="27">
        <f>IF(OR($A631="",_Engine!$D$41=0),"",INDEX(_Engine!$E689:$X689,1,(_Engine!$J$41-1)*4+3))</f>
        <v/>
      </c>
      <c r="H631" s="27">
        <f>IF(OR($A631="",_Engine!$D$42=0),"",INDEX(_Engine!$E689:$X689,1,(_Engine!$J$42-1)*4+3))</f>
        <v/>
      </c>
      <c r="I631" s="27">
        <f>IF(OR($A631="",_Engine!$D$43=0),"",INDEX(_Engine!$E689:$X689,1,(_Engine!$J$43-1)*4+3))</f>
        <v/>
      </c>
      <c r="J631" s="27">
        <f>IF(OR($A631="",_Engine!$D$44=0),"",INDEX(_Engine!$E689:$X689,1,(_Engine!$J$44-1)*4+3))</f>
        <v/>
      </c>
      <c r="K631" s="27">
        <f>IF(OR($A631="",_Engine!$D$45=0),"",INDEX(_Engine!$E689:$X689,1,(_Engine!$J$45-1)*4+3))</f>
        <v/>
      </c>
    </row>
    <row r="632">
      <c r="A632" s="25">
        <f>IF(629&lt;=_Engine!$B$36,629,"")</f>
        <v/>
      </c>
      <c r="B632" s="26">
        <f>IF($A632="","",EDATE(_Engine!$B$5,$A632-1))</f>
        <v/>
      </c>
      <c r="C632" s="27">
        <f>IF($A632="","",_Engine!$AJ690)</f>
        <v/>
      </c>
      <c r="D632" s="27">
        <f>IF($A632="","",_Engine!$AK690)</f>
        <v/>
      </c>
      <c r="E632" s="27">
        <f>IF($A632="","",_Engine!$AJ690-_Engine!$AK690)</f>
        <v/>
      </c>
      <c r="F632" s="27">
        <f>IF($A632="","",_Engine!$AI690)</f>
        <v/>
      </c>
      <c r="G632" s="27">
        <f>IF(OR($A632="",_Engine!$D$41=0),"",INDEX(_Engine!$E690:$X690,1,(_Engine!$J$41-1)*4+3))</f>
        <v/>
      </c>
      <c r="H632" s="27">
        <f>IF(OR($A632="",_Engine!$D$42=0),"",INDEX(_Engine!$E690:$X690,1,(_Engine!$J$42-1)*4+3))</f>
        <v/>
      </c>
      <c r="I632" s="27">
        <f>IF(OR($A632="",_Engine!$D$43=0),"",INDEX(_Engine!$E690:$X690,1,(_Engine!$J$43-1)*4+3))</f>
        <v/>
      </c>
      <c r="J632" s="27">
        <f>IF(OR($A632="",_Engine!$D$44=0),"",INDEX(_Engine!$E690:$X690,1,(_Engine!$J$44-1)*4+3))</f>
        <v/>
      </c>
      <c r="K632" s="27">
        <f>IF(OR($A632="",_Engine!$D$45=0),"",INDEX(_Engine!$E690:$X690,1,(_Engine!$J$45-1)*4+3))</f>
        <v/>
      </c>
    </row>
    <row r="633">
      <c r="A633" s="25">
        <f>IF(630&lt;=_Engine!$B$36,630,"")</f>
        <v/>
      </c>
      <c r="B633" s="26">
        <f>IF($A633="","",EDATE(_Engine!$B$5,$A633-1))</f>
        <v/>
      </c>
      <c r="C633" s="27">
        <f>IF($A633="","",_Engine!$AJ691)</f>
        <v/>
      </c>
      <c r="D633" s="27">
        <f>IF($A633="","",_Engine!$AK691)</f>
        <v/>
      </c>
      <c r="E633" s="27">
        <f>IF($A633="","",_Engine!$AJ691-_Engine!$AK691)</f>
        <v/>
      </c>
      <c r="F633" s="27">
        <f>IF($A633="","",_Engine!$AI691)</f>
        <v/>
      </c>
      <c r="G633" s="27">
        <f>IF(OR($A633="",_Engine!$D$41=0),"",INDEX(_Engine!$E691:$X691,1,(_Engine!$J$41-1)*4+3))</f>
        <v/>
      </c>
      <c r="H633" s="27">
        <f>IF(OR($A633="",_Engine!$D$42=0),"",INDEX(_Engine!$E691:$X691,1,(_Engine!$J$42-1)*4+3))</f>
        <v/>
      </c>
      <c r="I633" s="27">
        <f>IF(OR($A633="",_Engine!$D$43=0),"",INDEX(_Engine!$E691:$X691,1,(_Engine!$J$43-1)*4+3))</f>
        <v/>
      </c>
      <c r="J633" s="27">
        <f>IF(OR($A633="",_Engine!$D$44=0),"",INDEX(_Engine!$E691:$X691,1,(_Engine!$J$44-1)*4+3))</f>
        <v/>
      </c>
      <c r="K633" s="27">
        <f>IF(OR($A633="",_Engine!$D$45=0),"",INDEX(_Engine!$E691:$X691,1,(_Engine!$J$45-1)*4+3))</f>
        <v/>
      </c>
    </row>
    <row r="634">
      <c r="A634" s="25">
        <f>IF(631&lt;=_Engine!$B$36,631,"")</f>
        <v/>
      </c>
      <c r="B634" s="26">
        <f>IF($A634="","",EDATE(_Engine!$B$5,$A634-1))</f>
        <v/>
      </c>
      <c r="C634" s="27">
        <f>IF($A634="","",_Engine!$AJ692)</f>
        <v/>
      </c>
      <c r="D634" s="27">
        <f>IF($A634="","",_Engine!$AK692)</f>
        <v/>
      </c>
      <c r="E634" s="27">
        <f>IF($A634="","",_Engine!$AJ692-_Engine!$AK692)</f>
        <v/>
      </c>
      <c r="F634" s="27">
        <f>IF($A634="","",_Engine!$AI692)</f>
        <v/>
      </c>
      <c r="G634" s="27">
        <f>IF(OR($A634="",_Engine!$D$41=0),"",INDEX(_Engine!$E692:$X692,1,(_Engine!$J$41-1)*4+3))</f>
        <v/>
      </c>
      <c r="H634" s="27">
        <f>IF(OR($A634="",_Engine!$D$42=0),"",INDEX(_Engine!$E692:$X692,1,(_Engine!$J$42-1)*4+3))</f>
        <v/>
      </c>
      <c r="I634" s="27">
        <f>IF(OR($A634="",_Engine!$D$43=0),"",INDEX(_Engine!$E692:$X692,1,(_Engine!$J$43-1)*4+3))</f>
        <v/>
      </c>
      <c r="J634" s="27">
        <f>IF(OR($A634="",_Engine!$D$44=0),"",INDEX(_Engine!$E692:$X692,1,(_Engine!$J$44-1)*4+3))</f>
        <v/>
      </c>
      <c r="K634" s="27">
        <f>IF(OR($A634="",_Engine!$D$45=0),"",INDEX(_Engine!$E692:$X692,1,(_Engine!$J$45-1)*4+3))</f>
        <v/>
      </c>
    </row>
    <row r="635">
      <c r="A635" s="25">
        <f>IF(632&lt;=_Engine!$B$36,632,"")</f>
        <v/>
      </c>
      <c r="B635" s="26">
        <f>IF($A635="","",EDATE(_Engine!$B$5,$A635-1))</f>
        <v/>
      </c>
      <c r="C635" s="27">
        <f>IF($A635="","",_Engine!$AJ693)</f>
        <v/>
      </c>
      <c r="D635" s="27">
        <f>IF($A635="","",_Engine!$AK693)</f>
        <v/>
      </c>
      <c r="E635" s="27">
        <f>IF($A635="","",_Engine!$AJ693-_Engine!$AK693)</f>
        <v/>
      </c>
      <c r="F635" s="27">
        <f>IF($A635="","",_Engine!$AI693)</f>
        <v/>
      </c>
      <c r="G635" s="27">
        <f>IF(OR($A635="",_Engine!$D$41=0),"",INDEX(_Engine!$E693:$X693,1,(_Engine!$J$41-1)*4+3))</f>
        <v/>
      </c>
      <c r="H635" s="27">
        <f>IF(OR($A635="",_Engine!$D$42=0),"",INDEX(_Engine!$E693:$X693,1,(_Engine!$J$42-1)*4+3))</f>
        <v/>
      </c>
      <c r="I635" s="27">
        <f>IF(OR($A635="",_Engine!$D$43=0),"",INDEX(_Engine!$E693:$X693,1,(_Engine!$J$43-1)*4+3))</f>
        <v/>
      </c>
      <c r="J635" s="27">
        <f>IF(OR($A635="",_Engine!$D$44=0),"",INDEX(_Engine!$E693:$X693,1,(_Engine!$J$44-1)*4+3))</f>
        <v/>
      </c>
      <c r="K635" s="27">
        <f>IF(OR($A635="",_Engine!$D$45=0),"",INDEX(_Engine!$E693:$X693,1,(_Engine!$J$45-1)*4+3))</f>
        <v/>
      </c>
    </row>
    <row r="636">
      <c r="A636" s="25">
        <f>IF(633&lt;=_Engine!$B$36,633,"")</f>
        <v/>
      </c>
      <c r="B636" s="26">
        <f>IF($A636="","",EDATE(_Engine!$B$5,$A636-1))</f>
        <v/>
      </c>
      <c r="C636" s="27">
        <f>IF($A636="","",_Engine!$AJ694)</f>
        <v/>
      </c>
      <c r="D636" s="27">
        <f>IF($A636="","",_Engine!$AK694)</f>
        <v/>
      </c>
      <c r="E636" s="27">
        <f>IF($A636="","",_Engine!$AJ694-_Engine!$AK694)</f>
        <v/>
      </c>
      <c r="F636" s="27">
        <f>IF($A636="","",_Engine!$AI694)</f>
        <v/>
      </c>
      <c r="G636" s="27">
        <f>IF(OR($A636="",_Engine!$D$41=0),"",INDEX(_Engine!$E694:$X694,1,(_Engine!$J$41-1)*4+3))</f>
        <v/>
      </c>
      <c r="H636" s="27">
        <f>IF(OR($A636="",_Engine!$D$42=0),"",INDEX(_Engine!$E694:$X694,1,(_Engine!$J$42-1)*4+3))</f>
        <v/>
      </c>
      <c r="I636" s="27">
        <f>IF(OR($A636="",_Engine!$D$43=0),"",INDEX(_Engine!$E694:$X694,1,(_Engine!$J$43-1)*4+3))</f>
        <v/>
      </c>
      <c r="J636" s="27">
        <f>IF(OR($A636="",_Engine!$D$44=0),"",INDEX(_Engine!$E694:$X694,1,(_Engine!$J$44-1)*4+3))</f>
        <v/>
      </c>
      <c r="K636" s="27">
        <f>IF(OR($A636="",_Engine!$D$45=0),"",INDEX(_Engine!$E694:$X694,1,(_Engine!$J$45-1)*4+3))</f>
        <v/>
      </c>
    </row>
    <row r="637">
      <c r="A637" s="25">
        <f>IF(634&lt;=_Engine!$B$36,634,"")</f>
        <v/>
      </c>
      <c r="B637" s="26">
        <f>IF($A637="","",EDATE(_Engine!$B$5,$A637-1))</f>
        <v/>
      </c>
      <c r="C637" s="27">
        <f>IF($A637="","",_Engine!$AJ695)</f>
        <v/>
      </c>
      <c r="D637" s="27">
        <f>IF($A637="","",_Engine!$AK695)</f>
        <v/>
      </c>
      <c r="E637" s="27">
        <f>IF($A637="","",_Engine!$AJ695-_Engine!$AK695)</f>
        <v/>
      </c>
      <c r="F637" s="27">
        <f>IF($A637="","",_Engine!$AI695)</f>
        <v/>
      </c>
      <c r="G637" s="27">
        <f>IF(OR($A637="",_Engine!$D$41=0),"",INDEX(_Engine!$E695:$X695,1,(_Engine!$J$41-1)*4+3))</f>
        <v/>
      </c>
      <c r="H637" s="27">
        <f>IF(OR($A637="",_Engine!$D$42=0),"",INDEX(_Engine!$E695:$X695,1,(_Engine!$J$42-1)*4+3))</f>
        <v/>
      </c>
      <c r="I637" s="27">
        <f>IF(OR($A637="",_Engine!$D$43=0),"",INDEX(_Engine!$E695:$X695,1,(_Engine!$J$43-1)*4+3))</f>
        <v/>
      </c>
      <c r="J637" s="27">
        <f>IF(OR($A637="",_Engine!$D$44=0),"",INDEX(_Engine!$E695:$X695,1,(_Engine!$J$44-1)*4+3))</f>
        <v/>
      </c>
      <c r="K637" s="27">
        <f>IF(OR($A637="",_Engine!$D$45=0),"",INDEX(_Engine!$E695:$X695,1,(_Engine!$J$45-1)*4+3))</f>
        <v/>
      </c>
    </row>
    <row r="638">
      <c r="A638" s="25">
        <f>IF(635&lt;=_Engine!$B$36,635,"")</f>
        <v/>
      </c>
      <c r="B638" s="26">
        <f>IF($A638="","",EDATE(_Engine!$B$5,$A638-1))</f>
        <v/>
      </c>
      <c r="C638" s="27">
        <f>IF($A638="","",_Engine!$AJ696)</f>
        <v/>
      </c>
      <c r="D638" s="27">
        <f>IF($A638="","",_Engine!$AK696)</f>
        <v/>
      </c>
      <c r="E638" s="27">
        <f>IF($A638="","",_Engine!$AJ696-_Engine!$AK696)</f>
        <v/>
      </c>
      <c r="F638" s="27">
        <f>IF($A638="","",_Engine!$AI696)</f>
        <v/>
      </c>
      <c r="G638" s="27">
        <f>IF(OR($A638="",_Engine!$D$41=0),"",INDEX(_Engine!$E696:$X696,1,(_Engine!$J$41-1)*4+3))</f>
        <v/>
      </c>
      <c r="H638" s="27">
        <f>IF(OR($A638="",_Engine!$D$42=0),"",INDEX(_Engine!$E696:$X696,1,(_Engine!$J$42-1)*4+3))</f>
        <v/>
      </c>
      <c r="I638" s="27">
        <f>IF(OR($A638="",_Engine!$D$43=0),"",INDEX(_Engine!$E696:$X696,1,(_Engine!$J$43-1)*4+3))</f>
        <v/>
      </c>
      <c r="J638" s="27">
        <f>IF(OR($A638="",_Engine!$D$44=0),"",INDEX(_Engine!$E696:$X696,1,(_Engine!$J$44-1)*4+3))</f>
        <v/>
      </c>
      <c r="K638" s="27">
        <f>IF(OR($A638="",_Engine!$D$45=0),"",INDEX(_Engine!$E696:$X696,1,(_Engine!$J$45-1)*4+3))</f>
        <v/>
      </c>
    </row>
    <row r="639">
      <c r="A639" s="25">
        <f>IF(636&lt;=_Engine!$B$36,636,"")</f>
        <v/>
      </c>
      <c r="B639" s="26">
        <f>IF($A639="","",EDATE(_Engine!$B$5,$A639-1))</f>
        <v/>
      </c>
      <c r="C639" s="27">
        <f>IF($A639="","",_Engine!$AJ697)</f>
        <v/>
      </c>
      <c r="D639" s="27">
        <f>IF($A639="","",_Engine!$AK697)</f>
        <v/>
      </c>
      <c r="E639" s="27">
        <f>IF($A639="","",_Engine!$AJ697-_Engine!$AK697)</f>
        <v/>
      </c>
      <c r="F639" s="27">
        <f>IF($A639="","",_Engine!$AI697)</f>
        <v/>
      </c>
      <c r="G639" s="27">
        <f>IF(OR($A639="",_Engine!$D$41=0),"",INDEX(_Engine!$E697:$X697,1,(_Engine!$J$41-1)*4+3))</f>
        <v/>
      </c>
      <c r="H639" s="27">
        <f>IF(OR($A639="",_Engine!$D$42=0),"",INDEX(_Engine!$E697:$X697,1,(_Engine!$J$42-1)*4+3))</f>
        <v/>
      </c>
      <c r="I639" s="27">
        <f>IF(OR($A639="",_Engine!$D$43=0),"",INDEX(_Engine!$E697:$X697,1,(_Engine!$J$43-1)*4+3))</f>
        <v/>
      </c>
      <c r="J639" s="27">
        <f>IF(OR($A639="",_Engine!$D$44=0),"",INDEX(_Engine!$E697:$X697,1,(_Engine!$J$44-1)*4+3))</f>
        <v/>
      </c>
      <c r="K639" s="27">
        <f>IF(OR($A639="",_Engine!$D$45=0),"",INDEX(_Engine!$E697:$X697,1,(_Engine!$J$45-1)*4+3))</f>
        <v/>
      </c>
    </row>
    <row r="640">
      <c r="A640" s="25">
        <f>IF(637&lt;=_Engine!$B$36,637,"")</f>
        <v/>
      </c>
      <c r="B640" s="26">
        <f>IF($A640="","",EDATE(_Engine!$B$5,$A640-1))</f>
        <v/>
      </c>
      <c r="C640" s="27">
        <f>IF($A640="","",_Engine!$AJ698)</f>
        <v/>
      </c>
      <c r="D640" s="27">
        <f>IF($A640="","",_Engine!$AK698)</f>
        <v/>
      </c>
      <c r="E640" s="27">
        <f>IF($A640="","",_Engine!$AJ698-_Engine!$AK698)</f>
        <v/>
      </c>
      <c r="F640" s="27">
        <f>IF($A640="","",_Engine!$AI698)</f>
        <v/>
      </c>
      <c r="G640" s="27">
        <f>IF(OR($A640="",_Engine!$D$41=0),"",INDEX(_Engine!$E698:$X698,1,(_Engine!$J$41-1)*4+3))</f>
        <v/>
      </c>
      <c r="H640" s="27">
        <f>IF(OR($A640="",_Engine!$D$42=0),"",INDEX(_Engine!$E698:$X698,1,(_Engine!$J$42-1)*4+3))</f>
        <v/>
      </c>
      <c r="I640" s="27">
        <f>IF(OR($A640="",_Engine!$D$43=0),"",INDEX(_Engine!$E698:$X698,1,(_Engine!$J$43-1)*4+3))</f>
        <v/>
      </c>
      <c r="J640" s="27">
        <f>IF(OR($A640="",_Engine!$D$44=0),"",INDEX(_Engine!$E698:$X698,1,(_Engine!$J$44-1)*4+3))</f>
        <v/>
      </c>
      <c r="K640" s="27">
        <f>IF(OR($A640="",_Engine!$D$45=0),"",INDEX(_Engine!$E698:$X698,1,(_Engine!$J$45-1)*4+3))</f>
        <v/>
      </c>
    </row>
    <row r="641">
      <c r="A641" s="25">
        <f>IF(638&lt;=_Engine!$B$36,638,"")</f>
        <v/>
      </c>
      <c r="B641" s="26">
        <f>IF($A641="","",EDATE(_Engine!$B$5,$A641-1))</f>
        <v/>
      </c>
      <c r="C641" s="27">
        <f>IF($A641="","",_Engine!$AJ699)</f>
        <v/>
      </c>
      <c r="D641" s="27">
        <f>IF($A641="","",_Engine!$AK699)</f>
        <v/>
      </c>
      <c r="E641" s="27">
        <f>IF($A641="","",_Engine!$AJ699-_Engine!$AK699)</f>
        <v/>
      </c>
      <c r="F641" s="27">
        <f>IF($A641="","",_Engine!$AI699)</f>
        <v/>
      </c>
      <c r="G641" s="27">
        <f>IF(OR($A641="",_Engine!$D$41=0),"",INDEX(_Engine!$E699:$X699,1,(_Engine!$J$41-1)*4+3))</f>
        <v/>
      </c>
      <c r="H641" s="27">
        <f>IF(OR($A641="",_Engine!$D$42=0),"",INDEX(_Engine!$E699:$X699,1,(_Engine!$J$42-1)*4+3))</f>
        <v/>
      </c>
      <c r="I641" s="27">
        <f>IF(OR($A641="",_Engine!$D$43=0),"",INDEX(_Engine!$E699:$X699,1,(_Engine!$J$43-1)*4+3))</f>
        <v/>
      </c>
      <c r="J641" s="27">
        <f>IF(OR($A641="",_Engine!$D$44=0),"",INDEX(_Engine!$E699:$X699,1,(_Engine!$J$44-1)*4+3))</f>
        <v/>
      </c>
      <c r="K641" s="27">
        <f>IF(OR($A641="",_Engine!$D$45=0),"",INDEX(_Engine!$E699:$X699,1,(_Engine!$J$45-1)*4+3))</f>
        <v/>
      </c>
    </row>
    <row r="642">
      <c r="A642" s="25">
        <f>IF(639&lt;=_Engine!$B$36,639,"")</f>
        <v/>
      </c>
      <c r="B642" s="26">
        <f>IF($A642="","",EDATE(_Engine!$B$5,$A642-1))</f>
        <v/>
      </c>
      <c r="C642" s="27">
        <f>IF($A642="","",_Engine!$AJ700)</f>
        <v/>
      </c>
      <c r="D642" s="27">
        <f>IF($A642="","",_Engine!$AK700)</f>
        <v/>
      </c>
      <c r="E642" s="27">
        <f>IF($A642="","",_Engine!$AJ700-_Engine!$AK700)</f>
        <v/>
      </c>
      <c r="F642" s="27">
        <f>IF($A642="","",_Engine!$AI700)</f>
        <v/>
      </c>
      <c r="G642" s="27">
        <f>IF(OR($A642="",_Engine!$D$41=0),"",INDEX(_Engine!$E700:$X700,1,(_Engine!$J$41-1)*4+3))</f>
        <v/>
      </c>
      <c r="H642" s="27">
        <f>IF(OR($A642="",_Engine!$D$42=0),"",INDEX(_Engine!$E700:$X700,1,(_Engine!$J$42-1)*4+3))</f>
        <v/>
      </c>
      <c r="I642" s="27">
        <f>IF(OR($A642="",_Engine!$D$43=0),"",INDEX(_Engine!$E700:$X700,1,(_Engine!$J$43-1)*4+3))</f>
        <v/>
      </c>
      <c r="J642" s="27">
        <f>IF(OR($A642="",_Engine!$D$44=0),"",INDEX(_Engine!$E700:$X700,1,(_Engine!$J$44-1)*4+3))</f>
        <v/>
      </c>
      <c r="K642" s="27">
        <f>IF(OR($A642="",_Engine!$D$45=0),"",INDEX(_Engine!$E700:$X700,1,(_Engine!$J$45-1)*4+3))</f>
        <v/>
      </c>
    </row>
    <row r="643">
      <c r="A643" s="25">
        <f>IF(640&lt;=_Engine!$B$36,640,"")</f>
        <v/>
      </c>
      <c r="B643" s="26">
        <f>IF($A643="","",EDATE(_Engine!$B$5,$A643-1))</f>
        <v/>
      </c>
      <c r="C643" s="27">
        <f>IF($A643="","",_Engine!$AJ701)</f>
        <v/>
      </c>
      <c r="D643" s="27">
        <f>IF($A643="","",_Engine!$AK701)</f>
        <v/>
      </c>
      <c r="E643" s="27">
        <f>IF($A643="","",_Engine!$AJ701-_Engine!$AK701)</f>
        <v/>
      </c>
      <c r="F643" s="27">
        <f>IF($A643="","",_Engine!$AI701)</f>
        <v/>
      </c>
      <c r="G643" s="27">
        <f>IF(OR($A643="",_Engine!$D$41=0),"",INDEX(_Engine!$E701:$X701,1,(_Engine!$J$41-1)*4+3))</f>
        <v/>
      </c>
      <c r="H643" s="27">
        <f>IF(OR($A643="",_Engine!$D$42=0),"",INDEX(_Engine!$E701:$X701,1,(_Engine!$J$42-1)*4+3))</f>
        <v/>
      </c>
      <c r="I643" s="27">
        <f>IF(OR($A643="",_Engine!$D$43=0),"",INDEX(_Engine!$E701:$X701,1,(_Engine!$J$43-1)*4+3))</f>
        <v/>
      </c>
      <c r="J643" s="27">
        <f>IF(OR($A643="",_Engine!$D$44=0),"",INDEX(_Engine!$E701:$X701,1,(_Engine!$J$44-1)*4+3))</f>
        <v/>
      </c>
      <c r="K643" s="27">
        <f>IF(OR($A643="",_Engine!$D$45=0),"",INDEX(_Engine!$E701:$X701,1,(_Engine!$J$45-1)*4+3))</f>
        <v/>
      </c>
    </row>
    <row r="644">
      <c r="A644" s="25">
        <f>IF(641&lt;=_Engine!$B$36,641,"")</f>
        <v/>
      </c>
      <c r="B644" s="26">
        <f>IF($A644="","",EDATE(_Engine!$B$5,$A644-1))</f>
        <v/>
      </c>
      <c r="C644" s="27">
        <f>IF($A644="","",_Engine!$AJ702)</f>
        <v/>
      </c>
      <c r="D644" s="27">
        <f>IF($A644="","",_Engine!$AK702)</f>
        <v/>
      </c>
      <c r="E644" s="27">
        <f>IF($A644="","",_Engine!$AJ702-_Engine!$AK702)</f>
        <v/>
      </c>
      <c r="F644" s="27">
        <f>IF($A644="","",_Engine!$AI702)</f>
        <v/>
      </c>
      <c r="G644" s="27">
        <f>IF(OR($A644="",_Engine!$D$41=0),"",INDEX(_Engine!$E702:$X702,1,(_Engine!$J$41-1)*4+3))</f>
        <v/>
      </c>
      <c r="H644" s="27">
        <f>IF(OR($A644="",_Engine!$D$42=0),"",INDEX(_Engine!$E702:$X702,1,(_Engine!$J$42-1)*4+3))</f>
        <v/>
      </c>
      <c r="I644" s="27">
        <f>IF(OR($A644="",_Engine!$D$43=0),"",INDEX(_Engine!$E702:$X702,1,(_Engine!$J$43-1)*4+3))</f>
        <v/>
      </c>
      <c r="J644" s="27">
        <f>IF(OR($A644="",_Engine!$D$44=0),"",INDEX(_Engine!$E702:$X702,1,(_Engine!$J$44-1)*4+3))</f>
        <v/>
      </c>
      <c r="K644" s="27">
        <f>IF(OR($A644="",_Engine!$D$45=0),"",INDEX(_Engine!$E702:$X702,1,(_Engine!$J$45-1)*4+3))</f>
        <v/>
      </c>
    </row>
    <row r="645">
      <c r="A645" s="25">
        <f>IF(642&lt;=_Engine!$B$36,642,"")</f>
        <v/>
      </c>
      <c r="B645" s="26">
        <f>IF($A645="","",EDATE(_Engine!$B$5,$A645-1))</f>
        <v/>
      </c>
      <c r="C645" s="27">
        <f>IF($A645="","",_Engine!$AJ703)</f>
        <v/>
      </c>
      <c r="D645" s="27">
        <f>IF($A645="","",_Engine!$AK703)</f>
        <v/>
      </c>
      <c r="E645" s="27">
        <f>IF($A645="","",_Engine!$AJ703-_Engine!$AK703)</f>
        <v/>
      </c>
      <c r="F645" s="27">
        <f>IF($A645="","",_Engine!$AI703)</f>
        <v/>
      </c>
      <c r="G645" s="27">
        <f>IF(OR($A645="",_Engine!$D$41=0),"",INDEX(_Engine!$E703:$X703,1,(_Engine!$J$41-1)*4+3))</f>
        <v/>
      </c>
      <c r="H645" s="27">
        <f>IF(OR($A645="",_Engine!$D$42=0),"",INDEX(_Engine!$E703:$X703,1,(_Engine!$J$42-1)*4+3))</f>
        <v/>
      </c>
      <c r="I645" s="27">
        <f>IF(OR($A645="",_Engine!$D$43=0),"",INDEX(_Engine!$E703:$X703,1,(_Engine!$J$43-1)*4+3))</f>
        <v/>
      </c>
      <c r="J645" s="27">
        <f>IF(OR($A645="",_Engine!$D$44=0),"",INDEX(_Engine!$E703:$X703,1,(_Engine!$J$44-1)*4+3))</f>
        <v/>
      </c>
      <c r="K645" s="27">
        <f>IF(OR($A645="",_Engine!$D$45=0),"",INDEX(_Engine!$E703:$X703,1,(_Engine!$J$45-1)*4+3))</f>
        <v/>
      </c>
    </row>
    <row r="646">
      <c r="A646" s="25">
        <f>IF(643&lt;=_Engine!$B$36,643,"")</f>
        <v/>
      </c>
      <c r="B646" s="26">
        <f>IF($A646="","",EDATE(_Engine!$B$5,$A646-1))</f>
        <v/>
      </c>
      <c r="C646" s="27">
        <f>IF($A646="","",_Engine!$AJ704)</f>
        <v/>
      </c>
      <c r="D646" s="27">
        <f>IF($A646="","",_Engine!$AK704)</f>
        <v/>
      </c>
      <c r="E646" s="27">
        <f>IF($A646="","",_Engine!$AJ704-_Engine!$AK704)</f>
        <v/>
      </c>
      <c r="F646" s="27">
        <f>IF($A646="","",_Engine!$AI704)</f>
        <v/>
      </c>
      <c r="G646" s="27">
        <f>IF(OR($A646="",_Engine!$D$41=0),"",INDEX(_Engine!$E704:$X704,1,(_Engine!$J$41-1)*4+3))</f>
        <v/>
      </c>
      <c r="H646" s="27">
        <f>IF(OR($A646="",_Engine!$D$42=0),"",INDEX(_Engine!$E704:$X704,1,(_Engine!$J$42-1)*4+3))</f>
        <v/>
      </c>
      <c r="I646" s="27">
        <f>IF(OR($A646="",_Engine!$D$43=0),"",INDEX(_Engine!$E704:$X704,1,(_Engine!$J$43-1)*4+3))</f>
        <v/>
      </c>
      <c r="J646" s="27">
        <f>IF(OR($A646="",_Engine!$D$44=0),"",INDEX(_Engine!$E704:$X704,1,(_Engine!$J$44-1)*4+3))</f>
        <v/>
      </c>
      <c r="K646" s="27">
        <f>IF(OR($A646="",_Engine!$D$45=0),"",INDEX(_Engine!$E704:$X704,1,(_Engine!$J$45-1)*4+3))</f>
        <v/>
      </c>
    </row>
    <row r="647">
      <c r="A647" s="25">
        <f>IF(644&lt;=_Engine!$B$36,644,"")</f>
        <v/>
      </c>
      <c r="B647" s="26">
        <f>IF($A647="","",EDATE(_Engine!$B$5,$A647-1))</f>
        <v/>
      </c>
      <c r="C647" s="27">
        <f>IF($A647="","",_Engine!$AJ705)</f>
        <v/>
      </c>
      <c r="D647" s="27">
        <f>IF($A647="","",_Engine!$AK705)</f>
        <v/>
      </c>
      <c r="E647" s="27">
        <f>IF($A647="","",_Engine!$AJ705-_Engine!$AK705)</f>
        <v/>
      </c>
      <c r="F647" s="27">
        <f>IF($A647="","",_Engine!$AI705)</f>
        <v/>
      </c>
      <c r="G647" s="27">
        <f>IF(OR($A647="",_Engine!$D$41=0),"",INDEX(_Engine!$E705:$X705,1,(_Engine!$J$41-1)*4+3))</f>
        <v/>
      </c>
      <c r="H647" s="27">
        <f>IF(OR($A647="",_Engine!$D$42=0),"",INDEX(_Engine!$E705:$X705,1,(_Engine!$J$42-1)*4+3))</f>
        <v/>
      </c>
      <c r="I647" s="27">
        <f>IF(OR($A647="",_Engine!$D$43=0),"",INDEX(_Engine!$E705:$X705,1,(_Engine!$J$43-1)*4+3))</f>
        <v/>
      </c>
      <c r="J647" s="27">
        <f>IF(OR($A647="",_Engine!$D$44=0),"",INDEX(_Engine!$E705:$X705,1,(_Engine!$J$44-1)*4+3))</f>
        <v/>
      </c>
      <c r="K647" s="27">
        <f>IF(OR($A647="",_Engine!$D$45=0),"",INDEX(_Engine!$E705:$X705,1,(_Engine!$J$45-1)*4+3))</f>
        <v/>
      </c>
    </row>
    <row r="648">
      <c r="A648" s="25">
        <f>IF(645&lt;=_Engine!$B$36,645,"")</f>
        <v/>
      </c>
      <c r="B648" s="26">
        <f>IF($A648="","",EDATE(_Engine!$B$5,$A648-1))</f>
        <v/>
      </c>
      <c r="C648" s="27">
        <f>IF($A648="","",_Engine!$AJ706)</f>
        <v/>
      </c>
      <c r="D648" s="27">
        <f>IF($A648="","",_Engine!$AK706)</f>
        <v/>
      </c>
      <c r="E648" s="27">
        <f>IF($A648="","",_Engine!$AJ706-_Engine!$AK706)</f>
        <v/>
      </c>
      <c r="F648" s="27">
        <f>IF($A648="","",_Engine!$AI706)</f>
        <v/>
      </c>
      <c r="G648" s="27">
        <f>IF(OR($A648="",_Engine!$D$41=0),"",INDEX(_Engine!$E706:$X706,1,(_Engine!$J$41-1)*4+3))</f>
        <v/>
      </c>
      <c r="H648" s="27">
        <f>IF(OR($A648="",_Engine!$D$42=0),"",INDEX(_Engine!$E706:$X706,1,(_Engine!$J$42-1)*4+3))</f>
        <v/>
      </c>
      <c r="I648" s="27">
        <f>IF(OR($A648="",_Engine!$D$43=0),"",INDEX(_Engine!$E706:$X706,1,(_Engine!$J$43-1)*4+3))</f>
        <v/>
      </c>
      <c r="J648" s="27">
        <f>IF(OR($A648="",_Engine!$D$44=0),"",INDEX(_Engine!$E706:$X706,1,(_Engine!$J$44-1)*4+3))</f>
        <v/>
      </c>
      <c r="K648" s="27">
        <f>IF(OR($A648="",_Engine!$D$45=0),"",INDEX(_Engine!$E706:$X706,1,(_Engine!$J$45-1)*4+3))</f>
        <v/>
      </c>
    </row>
    <row r="649">
      <c r="A649" s="25">
        <f>IF(646&lt;=_Engine!$B$36,646,"")</f>
        <v/>
      </c>
      <c r="B649" s="26">
        <f>IF($A649="","",EDATE(_Engine!$B$5,$A649-1))</f>
        <v/>
      </c>
      <c r="C649" s="27">
        <f>IF($A649="","",_Engine!$AJ707)</f>
        <v/>
      </c>
      <c r="D649" s="27">
        <f>IF($A649="","",_Engine!$AK707)</f>
        <v/>
      </c>
      <c r="E649" s="27">
        <f>IF($A649="","",_Engine!$AJ707-_Engine!$AK707)</f>
        <v/>
      </c>
      <c r="F649" s="27">
        <f>IF($A649="","",_Engine!$AI707)</f>
        <v/>
      </c>
      <c r="G649" s="27">
        <f>IF(OR($A649="",_Engine!$D$41=0),"",INDEX(_Engine!$E707:$X707,1,(_Engine!$J$41-1)*4+3))</f>
        <v/>
      </c>
      <c r="H649" s="27">
        <f>IF(OR($A649="",_Engine!$D$42=0),"",INDEX(_Engine!$E707:$X707,1,(_Engine!$J$42-1)*4+3))</f>
        <v/>
      </c>
      <c r="I649" s="27">
        <f>IF(OR($A649="",_Engine!$D$43=0),"",INDEX(_Engine!$E707:$X707,1,(_Engine!$J$43-1)*4+3))</f>
        <v/>
      </c>
      <c r="J649" s="27">
        <f>IF(OR($A649="",_Engine!$D$44=0),"",INDEX(_Engine!$E707:$X707,1,(_Engine!$J$44-1)*4+3))</f>
        <v/>
      </c>
      <c r="K649" s="27">
        <f>IF(OR($A649="",_Engine!$D$45=0),"",INDEX(_Engine!$E707:$X707,1,(_Engine!$J$45-1)*4+3))</f>
        <v/>
      </c>
    </row>
    <row r="650">
      <c r="A650" s="25">
        <f>IF(647&lt;=_Engine!$B$36,647,"")</f>
        <v/>
      </c>
      <c r="B650" s="26">
        <f>IF($A650="","",EDATE(_Engine!$B$5,$A650-1))</f>
        <v/>
      </c>
      <c r="C650" s="27">
        <f>IF($A650="","",_Engine!$AJ708)</f>
        <v/>
      </c>
      <c r="D650" s="27">
        <f>IF($A650="","",_Engine!$AK708)</f>
        <v/>
      </c>
      <c r="E650" s="27">
        <f>IF($A650="","",_Engine!$AJ708-_Engine!$AK708)</f>
        <v/>
      </c>
      <c r="F650" s="27">
        <f>IF($A650="","",_Engine!$AI708)</f>
        <v/>
      </c>
      <c r="G650" s="27">
        <f>IF(OR($A650="",_Engine!$D$41=0),"",INDEX(_Engine!$E708:$X708,1,(_Engine!$J$41-1)*4+3))</f>
        <v/>
      </c>
      <c r="H650" s="27">
        <f>IF(OR($A650="",_Engine!$D$42=0),"",INDEX(_Engine!$E708:$X708,1,(_Engine!$J$42-1)*4+3))</f>
        <v/>
      </c>
      <c r="I650" s="27">
        <f>IF(OR($A650="",_Engine!$D$43=0),"",INDEX(_Engine!$E708:$X708,1,(_Engine!$J$43-1)*4+3))</f>
        <v/>
      </c>
      <c r="J650" s="27">
        <f>IF(OR($A650="",_Engine!$D$44=0),"",INDEX(_Engine!$E708:$X708,1,(_Engine!$J$44-1)*4+3))</f>
        <v/>
      </c>
      <c r="K650" s="27">
        <f>IF(OR($A650="",_Engine!$D$45=0),"",INDEX(_Engine!$E708:$X708,1,(_Engine!$J$45-1)*4+3))</f>
        <v/>
      </c>
    </row>
    <row r="651">
      <c r="A651" s="25">
        <f>IF(648&lt;=_Engine!$B$36,648,"")</f>
        <v/>
      </c>
      <c r="B651" s="26">
        <f>IF($A651="","",EDATE(_Engine!$B$5,$A651-1))</f>
        <v/>
      </c>
      <c r="C651" s="27">
        <f>IF($A651="","",_Engine!$AJ709)</f>
        <v/>
      </c>
      <c r="D651" s="27">
        <f>IF($A651="","",_Engine!$AK709)</f>
        <v/>
      </c>
      <c r="E651" s="27">
        <f>IF($A651="","",_Engine!$AJ709-_Engine!$AK709)</f>
        <v/>
      </c>
      <c r="F651" s="27">
        <f>IF($A651="","",_Engine!$AI709)</f>
        <v/>
      </c>
      <c r="G651" s="27">
        <f>IF(OR($A651="",_Engine!$D$41=0),"",INDEX(_Engine!$E709:$X709,1,(_Engine!$J$41-1)*4+3))</f>
        <v/>
      </c>
      <c r="H651" s="27">
        <f>IF(OR($A651="",_Engine!$D$42=0),"",INDEX(_Engine!$E709:$X709,1,(_Engine!$J$42-1)*4+3))</f>
        <v/>
      </c>
      <c r="I651" s="27">
        <f>IF(OR($A651="",_Engine!$D$43=0),"",INDEX(_Engine!$E709:$X709,1,(_Engine!$J$43-1)*4+3))</f>
        <v/>
      </c>
      <c r="J651" s="27">
        <f>IF(OR($A651="",_Engine!$D$44=0),"",INDEX(_Engine!$E709:$X709,1,(_Engine!$J$44-1)*4+3))</f>
        <v/>
      </c>
      <c r="K651" s="27">
        <f>IF(OR($A651="",_Engine!$D$45=0),"",INDEX(_Engine!$E709:$X709,1,(_Engine!$J$45-1)*4+3))</f>
        <v/>
      </c>
    </row>
    <row r="652">
      <c r="A652" s="25">
        <f>IF(649&lt;=_Engine!$B$36,649,"")</f>
        <v/>
      </c>
      <c r="B652" s="26">
        <f>IF($A652="","",EDATE(_Engine!$B$5,$A652-1))</f>
        <v/>
      </c>
      <c r="C652" s="27">
        <f>IF($A652="","",_Engine!$AJ710)</f>
        <v/>
      </c>
      <c r="D652" s="27">
        <f>IF($A652="","",_Engine!$AK710)</f>
        <v/>
      </c>
      <c r="E652" s="27">
        <f>IF($A652="","",_Engine!$AJ710-_Engine!$AK710)</f>
        <v/>
      </c>
      <c r="F652" s="27">
        <f>IF($A652="","",_Engine!$AI710)</f>
        <v/>
      </c>
      <c r="G652" s="27">
        <f>IF(OR($A652="",_Engine!$D$41=0),"",INDEX(_Engine!$E710:$X710,1,(_Engine!$J$41-1)*4+3))</f>
        <v/>
      </c>
      <c r="H652" s="27">
        <f>IF(OR($A652="",_Engine!$D$42=0),"",INDEX(_Engine!$E710:$X710,1,(_Engine!$J$42-1)*4+3))</f>
        <v/>
      </c>
      <c r="I652" s="27">
        <f>IF(OR($A652="",_Engine!$D$43=0),"",INDEX(_Engine!$E710:$X710,1,(_Engine!$J$43-1)*4+3))</f>
        <v/>
      </c>
      <c r="J652" s="27">
        <f>IF(OR($A652="",_Engine!$D$44=0),"",INDEX(_Engine!$E710:$X710,1,(_Engine!$J$44-1)*4+3))</f>
        <v/>
      </c>
      <c r="K652" s="27">
        <f>IF(OR($A652="",_Engine!$D$45=0),"",INDEX(_Engine!$E710:$X710,1,(_Engine!$J$45-1)*4+3))</f>
        <v/>
      </c>
    </row>
    <row r="653">
      <c r="A653" s="25">
        <f>IF(650&lt;=_Engine!$B$36,650,"")</f>
        <v/>
      </c>
      <c r="B653" s="26">
        <f>IF($A653="","",EDATE(_Engine!$B$5,$A653-1))</f>
        <v/>
      </c>
      <c r="C653" s="27">
        <f>IF($A653="","",_Engine!$AJ711)</f>
        <v/>
      </c>
      <c r="D653" s="27">
        <f>IF($A653="","",_Engine!$AK711)</f>
        <v/>
      </c>
      <c r="E653" s="27">
        <f>IF($A653="","",_Engine!$AJ711-_Engine!$AK711)</f>
        <v/>
      </c>
      <c r="F653" s="27">
        <f>IF($A653="","",_Engine!$AI711)</f>
        <v/>
      </c>
      <c r="G653" s="27">
        <f>IF(OR($A653="",_Engine!$D$41=0),"",INDEX(_Engine!$E711:$X711,1,(_Engine!$J$41-1)*4+3))</f>
        <v/>
      </c>
      <c r="H653" s="27">
        <f>IF(OR($A653="",_Engine!$D$42=0),"",INDEX(_Engine!$E711:$X711,1,(_Engine!$J$42-1)*4+3))</f>
        <v/>
      </c>
      <c r="I653" s="27">
        <f>IF(OR($A653="",_Engine!$D$43=0),"",INDEX(_Engine!$E711:$X711,1,(_Engine!$J$43-1)*4+3))</f>
        <v/>
      </c>
      <c r="J653" s="27">
        <f>IF(OR($A653="",_Engine!$D$44=0),"",INDEX(_Engine!$E711:$X711,1,(_Engine!$J$44-1)*4+3))</f>
        <v/>
      </c>
      <c r="K653" s="27">
        <f>IF(OR($A653="",_Engine!$D$45=0),"",INDEX(_Engine!$E711:$X711,1,(_Engine!$J$45-1)*4+3))</f>
        <v/>
      </c>
    </row>
    <row r="654">
      <c r="A654" s="25">
        <f>IF(651&lt;=_Engine!$B$36,651,"")</f>
        <v/>
      </c>
      <c r="B654" s="26">
        <f>IF($A654="","",EDATE(_Engine!$B$5,$A654-1))</f>
        <v/>
      </c>
      <c r="C654" s="27">
        <f>IF($A654="","",_Engine!$AJ712)</f>
        <v/>
      </c>
      <c r="D654" s="27">
        <f>IF($A654="","",_Engine!$AK712)</f>
        <v/>
      </c>
      <c r="E654" s="27">
        <f>IF($A654="","",_Engine!$AJ712-_Engine!$AK712)</f>
        <v/>
      </c>
      <c r="F654" s="27">
        <f>IF($A654="","",_Engine!$AI712)</f>
        <v/>
      </c>
      <c r="G654" s="27">
        <f>IF(OR($A654="",_Engine!$D$41=0),"",INDEX(_Engine!$E712:$X712,1,(_Engine!$J$41-1)*4+3))</f>
        <v/>
      </c>
      <c r="H654" s="27">
        <f>IF(OR($A654="",_Engine!$D$42=0),"",INDEX(_Engine!$E712:$X712,1,(_Engine!$J$42-1)*4+3))</f>
        <v/>
      </c>
      <c r="I654" s="27">
        <f>IF(OR($A654="",_Engine!$D$43=0),"",INDEX(_Engine!$E712:$X712,1,(_Engine!$J$43-1)*4+3))</f>
        <v/>
      </c>
      <c r="J654" s="27">
        <f>IF(OR($A654="",_Engine!$D$44=0),"",INDEX(_Engine!$E712:$X712,1,(_Engine!$J$44-1)*4+3))</f>
        <v/>
      </c>
      <c r="K654" s="27">
        <f>IF(OR($A654="",_Engine!$D$45=0),"",INDEX(_Engine!$E712:$X712,1,(_Engine!$J$45-1)*4+3))</f>
        <v/>
      </c>
    </row>
    <row r="655">
      <c r="A655" s="25">
        <f>IF(652&lt;=_Engine!$B$36,652,"")</f>
        <v/>
      </c>
      <c r="B655" s="26">
        <f>IF($A655="","",EDATE(_Engine!$B$5,$A655-1))</f>
        <v/>
      </c>
      <c r="C655" s="27">
        <f>IF($A655="","",_Engine!$AJ713)</f>
        <v/>
      </c>
      <c r="D655" s="27">
        <f>IF($A655="","",_Engine!$AK713)</f>
        <v/>
      </c>
      <c r="E655" s="27">
        <f>IF($A655="","",_Engine!$AJ713-_Engine!$AK713)</f>
        <v/>
      </c>
      <c r="F655" s="27">
        <f>IF($A655="","",_Engine!$AI713)</f>
        <v/>
      </c>
      <c r="G655" s="27">
        <f>IF(OR($A655="",_Engine!$D$41=0),"",INDEX(_Engine!$E713:$X713,1,(_Engine!$J$41-1)*4+3))</f>
        <v/>
      </c>
      <c r="H655" s="27">
        <f>IF(OR($A655="",_Engine!$D$42=0),"",INDEX(_Engine!$E713:$X713,1,(_Engine!$J$42-1)*4+3))</f>
        <v/>
      </c>
      <c r="I655" s="27">
        <f>IF(OR($A655="",_Engine!$D$43=0),"",INDEX(_Engine!$E713:$X713,1,(_Engine!$J$43-1)*4+3))</f>
        <v/>
      </c>
      <c r="J655" s="27">
        <f>IF(OR($A655="",_Engine!$D$44=0),"",INDEX(_Engine!$E713:$X713,1,(_Engine!$J$44-1)*4+3))</f>
        <v/>
      </c>
      <c r="K655" s="27">
        <f>IF(OR($A655="",_Engine!$D$45=0),"",INDEX(_Engine!$E713:$X713,1,(_Engine!$J$45-1)*4+3))</f>
        <v/>
      </c>
    </row>
    <row r="656">
      <c r="A656" s="25">
        <f>IF(653&lt;=_Engine!$B$36,653,"")</f>
        <v/>
      </c>
      <c r="B656" s="26">
        <f>IF($A656="","",EDATE(_Engine!$B$5,$A656-1))</f>
        <v/>
      </c>
      <c r="C656" s="27">
        <f>IF($A656="","",_Engine!$AJ714)</f>
        <v/>
      </c>
      <c r="D656" s="27">
        <f>IF($A656="","",_Engine!$AK714)</f>
        <v/>
      </c>
      <c r="E656" s="27">
        <f>IF($A656="","",_Engine!$AJ714-_Engine!$AK714)</f>
        <v/>
      </c>
      <c r="F656" s="27">
        <f>IF($A656="","",_Engine!$AI714)</f>
        <v/>
      </c>
      <c r="G656" s="27">
        <f>IF(OR($A656="",_Engine!$D$41=0),"",INDEX(_Engine!$E714:$X714,1,(_Engine!$J$41-1)*4+3))</f>
        <v/>
      </c>
      <c r="H656" s="27">
        <f>IF(OR($A656="",_Engine!$D$42=0),"",INDEX(_Engine!$E714:$X714,1,(_Engine!$J$42-1)*4+3))</f>
        <v/>
      </c>
      <c r="I656" s="27">
        <f>IF(OR($A656="",_Engine!$D$43=0),"",INDEX(_Engine!$E714:$X714,1,(_Engine!$J$43-1)*4+3))</f>
        <v/>
      </c>
      <c r="J656" s="27">
        <f>IF(OR($A656="",_Engine!$D$44=0),"",INDEX(_Engine!$E714:$X714,1,(_Engine!$J$44-1)*4+3))</f>
        <v/>
      </c>
      <c r="K656" s="27">
        <f>IF(OR($A656="",_Engine!$D$45=0),"",INDEX(_Engine!$E714:$X714,1,(_Engine!$J$45-1)*4+3))</f>
        <v/>
      </c>
    </row>
    <row r="657">
      <c r="A657" s="25">
        <f>IF(654&lt;=_Engine!$B$36,654,"")</f>
        <v/>
      </c>
      <c r="B657" s="26">
        <f>IF($A657="","",EDATE(_Engine!$B$5,$A657-1))</f>
        <v/>
      </c>
      <c r="C657" s="27">
        <f>IF($A657="","",_Engine!$AJ715)</f>
        <v/>
      </c>
      <c r="D657" s="27">
        <f>IF($A657="","",_Engine!$AK715)</f>
        <v/>
      </c>
      <c r="E657" s="27">
        <f>IF($A657="","",_Engine!$AJ715-_Engine!$AK715)</f>
        <v/>
      </c>
      <c r="F657" s="27">
        <f>IF($A657="","",_Engine!$AI715)</f>
        <v/>
      </c>
      <c r="G657" s="27">
        <f>IF(OR($A657="",_Engine!$D$41=0),"",INDEX(_Engine!$E715:$X715,1,(_Engine!$J$41-1)*4+3))</f>
        <v/>
      </c>
      <c r="H657" s="27">
        <f>IF(OR($A657="",_Engine!$D$42=0),"",INDEX(_Engine!$E715:$X715,1,(_Engine!$J$42-1)*4+3))</f>
        <v/>
      </c>
      <c r="I657" s="27">
        <f>IF(OR($A657="",_Engine!$D$43=0),"",INDEX(_Engine!$E715:$X715,1,(_Engine!$J$43-1)*4+3))</f>
        <v/>
      </c>
      <c r="J657" s="27">
        <f>IF(OR($A657="",_Engine!$D$44=0),"",INDEX(_Engine!$E715:$X715,1,(_Engine!$J$44-1)*4+3))</f>
        <v/>
      </c>
      <c r="K657" s="27">
        <f>IF(OR($A657="",_Engine!$D$45=0),"",INDEX(_Engine!$E715:$X715,1,(_Engine!$J$45-1)*4+3))</f>
        <v/>
      </c>
    </row>
    <row r="658">
      <c r="A658" s="25">
        <f>IF(655&lt;=_Engine!$B$36,655,"")</f>
        <v/>
      </c>
      <c r="B658" s="26">
        <f>IF($A658="","",EDATE(_Engine!$B$5,$A658-1))</f>
        <v/>
      </c>
      <c r="C658" s="27">
        <f>IF($A658="","",_Engine!$AJ716)</f>
        <v/>
      </c>
      <c r="D658" s="27">
        <f>IF($A658="","",_Engine!$AK716)</f>
        <v/>
      </c>
      <c r="E658" s="27">
        <f>IF($A658="","",_Engine!$AJ716-_Engine!$AK716)</f>
        <v/>
      </c>
      <c r="F658" s="27">
        <f>IF($A658="","",_Engine!$AI716)</f>
        <v/>
      </c>
      <c r="G658" s="27">
        <f>IF(OR($A658="",_Engine!$D$41=0),"",INDEX(_Engine!$E716:$X716,1,(_Engine!$J$41-1)*4+3))</f>
        <v/>
      </c>
      <c r="H658" s="27">
        <f>IF(OR($A658="",_Engine!$D$42=0),"",INDEX(_Engine!$E716:$X716,1,(_Engine!$J$42-1)*4+3))</f>
        <v/>
      </c>
      <c r="I658" s="27">
        <f>IF(OR($A658="",_Engine!$D$43=0),"",INDEX(_Engine!$E716:$X716,1,(_Engine!$J$43-1)*4+3))</f>
        <v/>
      </c>
      <c r="J658" s="27">
        <f>IF(OR($A658="",_Engine!$D$44=0),"",INDEX(_Engine!$E716:$X716,1,(_Engine!$J$44-1)*4+3))</f>
        <v/>
      </c>
      <c r="K658" s="27">
        <f>IF(OR($A658="",_Engine!$D$45=0),"",INDEX(_Engine!$E716:$X716,1,(_Engine!$J$45-1)*4+3))</f>
        <v/>
      </c>
    </row>
    <row r="659">
      <c r="A659" s="25">
        <f>IF(656&lt;=_Engine!$B$36,656,"")</f>
        <v/>
      </c>
      <c r="B659" s="26">
        <f>IF($A659="","",EDATE(_Engine!$B$5,$A659-1))</f>
        <v/>
      </c>
      <c r="C659" s="27">
        <f>IF($A659="","",_Engine!$AJ717)</f>
        <v/>
      </c>
      <c r="D659" s="27">
        <f>IF($A659="","",_Engine!$AK717)</f>
        <v/>
      </c>
      <c r="E659" s="27">
        <f>IF($A659="","",_Engine!$AJ717-_Engine!$AK717)</f>
        <v/>
      </c>
      <c r="F659" s="27">
        <f>IF($A659="","",_Engine!$AI717)</f>
        <v/>
      </c>
      <c r="G659" s="27">
        <f>IF(OR($A659="",_Engine!$D$41=0),"",INDEX(_Engine!$E717:$X717,1,(_Engine!$J$41-1)*4+3))</f>
        <v/>
      </c>
      <c r="H659" s="27">
        <f>IF(OR($A659="",_Engine!$D$42=0),"",INDEX(_Engine!$E717:$X717,1,(_Engine!$J$42-1)*4+3))</f>
        <v/>
      </c>
      <c r="I659" s="27">
        <f>IF(OR($A659="",_Engine!$D$43=0),"",INDEX(_Engine!$E717:$X717,1,(_Engine!$J$43-1)*4+3))</f>
        <v/>
      </c>
      <c r="J659" s="27">
        <f>IF(OR($A659="",_Engine!$D$44=0),"",INDEX(_Engine!$E717:$X717,1,(_Engine!$J$44-1)*4+3))</f>
        <v/>
      </c>
      <c r="K659" s="27">
        <f>IF(OR($A659="",_Engine!$D$45=0),"",INDEX(_Engine!$E717:$X717,1,(_Engine!$J$45-1)*4+3))</f>
        <v/>
      </c>
    </row>
    <row r="660">
      <c r="A660" s="25">
        <f>IF(657&lt;=_Engine!$B$36,657,"")</f>
        <v/>
      </c>
      <c r="B660" s="26">
        <f>IF($A660="","",EDATE(_Engine!$B$5,$A660-1))</f>
        <v/>
      </c>
      <c r="C660" s="27">
        <f>IF($A660="","",_Engine!$AJ718)</f>
        <v/>
      </c>
      <c r="D660" s="27">
        <f>IF($A660="","",_Engine!$AK718)</f>
        <v/>
      </c>
      <c r="E660" s="27">
        <f>IF($A660="","",_Engine!$AJ718-_Engine!$AK718)</f>
        <v/>
      </c>
      <c r="F660" s="27">
        <f>IF($A660="","",_Engine!$AI718)</f>
        <v/>
      </c>
      <c r="G660" s="27">
        <f>IF(OR($A660="",_Engine!$D$41=0),"",INDEX(_Engine!$E718:$X718,1,(_Engine!$J$41-1)*4+3))</f>
        <v/>
      </c>
      <c r="H660" s="27">
        <f>IF(OR($A660="",_Engine!$D$42=0),"",INDEX(_Engine!$E718:$X718,1,(_Engine!$J$42-1)*4+3))</f>
        <v/>
      </c>
      <c r="I660" s="27">
        <f>IF(OR($A660="",_Engine!$D$43=0),"",INDEX(_Engine!$E718:$X718,1,(_Engine!$J$43-1)*4+3))</f>
        <v/>
      </c>
      <c r="J660" s="27">
        <f>IF(OR($A660="",_Engine!$D$44=0),"",INDEX(_Engine!$E718:$X718,1,(_Engine!$J$44-1)*4+3))</f>
        <v/>
      </c>
      <c r="K660" s="27">
        <f>IF(OR($A660="",_Engine!$D$45=0),"",INDEX(_Engine!$E718:$X718,1,(_Engine!$J$45-1)*4+3))</f>
        <v/>
      </c>
    </row>
    <row r="661">
      <c r="A661" s="25">
        <f>IF(658&lt;=_Engine!$B$36,658,"")</f>
        <v/>
      </c>
      <c r="B661" s="26">
        <f>IF($A661="","",EDATE(_Engine!$B$5,$A661-1))</f>
        <v/>
      </c>
      <c r="C661" s="27">
        <f>IF($A661="","",_Engine!$AJ719)</f>
        <v/>
      </c>
      <c r="D661" s="27">
        <f>IF($A661="","",_Engine!$AK719)</f>
        <v/>
      </c>
      <c r="E661" s="27">
        <f>IF($A661="","",_Engine!$AJ719-_Engine!$AK719)</f>
        <v/>
      </c>
      <c r="F661" s="27">
        <f>IF($A661="","",_Engine!$AI719)</f>
        <v/>
      </c>
      <c r="G661" s="27">
        <f>IF(OR($A661="",_Engine!$D$41=0),"",INDEX(_Engine!$E719:$X719,1,(_Engine!$J$41-1)*4+3))</f>
        <v/>
      </c>
      <c r="H661" s="27">
        <f>IF(OR($A661="",_Engine!$D$42=0),"",INDEX(_Engine!$E719:$X719,1,(_Engine!$J$42-1)*4+3))</f>
        <v/>
      </c>
      <c r="I661" s="27">
        <f>IF(OR($A661="",_Engine!$D$43=0),"",INDEX(_Engine!$E719:$X719,1,(_Engine!$J$43-1)*4+3))</f>
        <v/>
      </c>
      <c r="J661" s="27">
        <f>IF(OR($A661="",_Engine!$D$44=0),"",INDEX(_Engine!$E719:$X719,1,(_Engine!$J$44-1)*4+3))</f>
        <v/>
      </c>
      <c r="K661" s="27">
        <f>IF(OR($A661="",_Engine!$D$45=0),"",INDEX(_Engine!$E719:$X719,1,(_Engine!$J$45-1)*4+3))</f>
        <v/>
      </c>
    </row>
    <row r="662">
      <c r="A662" s="25">
        <f>IF(659&lt;=_Engine!$B$36,659,"")</f>
        <v/>
      </c>
      <c r="B662" s="26">
        <f>IF($A662="","",EDATE(_Engine!$B$5,$A662-1))</f>
        <v/>
      </c>
      <c r="C662" s="27">
        <f>IF($A662="","",_Engine!$AJ720)</f>
        <v/>
      </c>
      <c r="D662" s="27">
        <f>IF($A662="","",_Engine!$AK720)</f>
        <v/>
      </c>
      <c r="E662" s="27">
        <f>IF($A662="","",_Engine!$AJ720-_Engine!$AK720)</f>
        <v/>
      </c>
      <c r="F662" s="27">
        <f>IF($A662="","",_Engine!$AI720)</f>
        <v/>
      </c>
      <c r="G662" s="27">
        <f>IF(OR($A662="",_Engine!$D$41=0),"",INDEX(_Engine!$E720:$X720,1,(_Engine!$J$41-1)*4+3))</f>
        <v/>
      </c>
      <c r="H662" s="27">
        <f>IF(OR($A662="",_Engine!$D$42=0),"",INDEX(_Engine!$E720:$X720,1,(_Engine!$J$42-1)*4+3))</f>
        <v/>
      </c>
      <c r="I662" s="27">
        <f>IF(OR($A662="",_Engine!$D$43=0),"",INDEX(_Engine!$E720:$X720,1,(_Engine!$J$43-1)*4+3))</f>
        <v/>
      </c>
      <c r="J662" s="27">
        <f>IF(OR($A662="",_Engine!$D$44=0),"",INDEX(_Engine!$E720:$X720,1,(_Engine!$J$44-1)*4+3))</f>
        <v/>
      </c>
      <c r="K662" s="27">
        <f>IF(OR($A662="",_Engine!$D$45=0),"",INDEX(_Engine!$E720:$X720,1,(_Engine!$J$45-1)*4+3))</f>
        <v/>
      </c>
    </row>
    <row r="663">
      <c r="A663" s="25">
        <f>IF(660&lt;=_Engine!$B$36,660,"")</f>
        <v/>
      </c>
      <c r="B663" s="26">
        <f>IF($A663="","",EDATE(_Engine!$B$5,$A663-1))</f>
        <v/>
      </c>
      <c r="C663" s="27">
        <f>IF($A663="","",_Engine!$AJ721)</f>
        <v/>
      </c>
      <c r="D663" s="27">
        <f>IF($A663="","",_Engine!$AK721)</f>
        <v/>
      </c>
      <c r="E663" s="27">
        <f>IF($A663="","",_Engine!$AJ721-_Engine!$AK721)</f>
        <v/>
      </c>
      <c r="F663" s="27">
        <f>IF($A663="","",_Engine!$AI721)</f>
        <v/>
      </c>
      <c r="G663" s="27">
        <f>IF(OR($A663="",_Engine!$D$41=0),"",INDEX(_Engine!$E721:$X721,1,(_Engine!$J$41-1)*4+3))</f>
        <v/>
      </c>
      <c r="H663" s="27">
        <f>IF(OR($A663="",_Engine!$D$42=0),"",INDEX(_Engine!$E721:$X721,1,(_Engine!$J$42-1)*4+3))</f>
        <v/>
      </c>
      <c r="I663" s="27">
        <f>IF(OR($A663="",_Engine!$D$43=0),"",INDEX(_Engine!$E721:$X721,1,(_Engine!$J$43-1)*4+3))</f>
        <v/>
      </c>
      <c r="J663" s="27">
        <f>IF(OR($A663="",_Engine!$D$44=0),"",INDEX(_Engine!$E721:$X721,1,(_Engine!$J$44-1)*4+3))</f>
        <v/>
      </c>
      <c r="K663" s="27">
        <f>IF(OR($A663="",_Engine!$D$45=0),"",INDEX(_Engine!$E721:$X721,1,(_Engine!$J$45-1)*4+3))</f>
        <v/>
      </c>
    </row>
    <row r="664">
      <c r="A664" s="25">
        <f>IF(661&lt;=_Engine!$B$36,661,"")</f>
        <v/>
      </c>
      <c r="B664" s="26">
        <f>IF($A664="","",EDATE(_Engine!$B$5,$A664-1))</f>
        <v/>
      </c>
      <c r="C664" s="27">
        <f>IF($A664="","",_Engine!$AJ722)</f>
        <v/>
      </c>
      <c r="D664" s="27">
        <f>IF($A664="","",_Engine!$AK722)</f>
        <v/>
      </c>
      <c r="E664" s="27">
        <f>IF($A664="","",_Engine!$AJ722-_Engine!$AK722)</f>
        <v/>
      </c>
      <c r="F664" s="27">
        <f>IF($A664="","",_Engine!$AI722)</f>
        <v/>
      </c>
      <c r="G664" s="27">
        <f>IF(OR($A664="",_Engine!$D$41=0),"",INDEX(_Engine!$E722:$X722,1,(_Engine!$J$41-1)*4+3))</f>
        <v/>
      </c>
      <c r="H664" s="27">
        <f>IF(OR($A664="",_Engine!$D$42=0),"",INDEX(_Engine!$E722:$X722,1,(_Engine!$J$42-1)*4+3))</f>
        <v/>
      </c>
      <c r="I664" s="27">
        <f>IF(OR($A664="",_Engine!$D$43=0),"",INDEX(_Engine!$E722:$X722,1,(_Engine!$J$43-1)*4+3))</f>
        <v/>
      </c>
      <c r="J664" s="27">
        <f>IF(OR($A664="",_Engine!$D$44=0),"",INDEX(_Engine!$E722:$X722,1,(_Engine!$J$44-1)*4+3))</f>
        <v/>
      </c>
      <c r="K664" s="27">
        <f>IF(OR($A664="",_Engine!$D$45=0),"",INDEX(_Engine!$E722:$X722,1,(_Engine!$J$45-1)*4+3))</f>
        <v/>
      </c>
    </row>
    <row r="665">
      <c r="A665" s="25">
        <f>IF(662&lt;=_Engine!$B$36,662,"")</f>
        <v/>
      </c>
      <c r="B665" s="26">
        <f>IF($A665="","",EDATE(_Engine!$B$5,$A665-1))</f>
        <v/>
      </c>
      <c r="C665" s="27">
        <f>IF($A665="","",_Engine!$AJ723)</f>
        <v/>
      </c>
      <c r="D665" s="27">
        <f>IF($A665="","",_Engine!$AK723)</f>
        <v/>
      </c>
      <c r="E665" s="27">
        <f>IF($A665="","",_Engine!$AJ723-_Engine!$AK723)</f>
        <v/>
      </c>
      <c r="F665" s="27">
        <f>IF($A665="","",_Engine!$AI723)</f>
        <v/>
      </c>
      <c r="G665" s="27">
        <f>IF(OR($A665="",_Engine!$D$41=0),"",INDEX(_Engine!$E723:$X723,1,(_Engine!$J$41-1)*4+3))</f>
        <v/>
      </c>
      <c r="H665" s="27">
        <f>IF(OR($A665="",_Engine!$D$42=0),"",INDEX(_Engine!$E723:$X723,1,(_Engine!$J$42-1)*4+3))</f>
        <v/>
      </c>
      <c r="I665" s="27">
        <f>IF(OR($A665="",_Engine!$D$43=0),"",INDEX(_Engine!$E723:$X723,1,(_Engine!$J$43-1)*4+3))</f>
        <v/>
      </c>
      <c r="J665" s="27">
        <f>IF(OR($A665="",_Engine!$D$44=0),"",INDEX(_Engine!$E723:$X723,1,(_Engine!$J$44-1)*4+3))</f>
        <v/>
      </c>
      <c r="K665" s="27">
        <f>IF(OR($A665="",_Engine!$D$45=0),"",INDEX(_Engine!$E723:$X723,1,(_Engine!$J$45-1)*4+3))</f>
        <v/>
      </c>
    </row>
    <row r="666">
      <c r="A666" s="25">
        <f>IF(663&lt;=_Engine!$B$36,663,"")</f>
        <v/>
      </c>
      <c r="B666" s="26">
        <f>IF($A666="","",EDATE(_Engine!$B$5,$A666-1))</f>
        <v/>
      </c>
      <c r="C666" s="27">
        <f>IF($A666="","",_Engine!$AJ724)</f>
        <v/>
      </c>
      <c r="D666" s="27">
        <f>IF($A666="","",_Engine!$AK724)</f>
        <v/>
      </c>
      <c r="E666" s="27">
        <f>IF($A666="","",_Engine!$AJ724-_Engine!$AK724)</f>
        <v/>
      </c>
      <c r="F666" s="27">
        <f>IF($A666="","",_Engine!$AI724)</f>
        <v/>
      </c>
      <c r="G666" s="27">
        <f>IF(OR($A666="",_Engine!$D$41=0),"",INDEX(_Engine!$E724:$X724,1,(_Engine!$J$41-1)*4+3))</f>
        <v/>
      </c>
      <c r="H666" s="27">
        <f>IF(OR($A666="",_Engine!$D$42=0),"",INDEX(_Engine!$E724:$X724,1,(_Engine!$J$42-1)*4+3))</f>
        <v/>
      </c>
      <c r="I666" s="27">
        <f>IF(OR($A666="",_Engine!$D$43=0),"",INDEX(_Engine!$E724:$X724,1,(_Engine!$J$43-1)*4+3))</f>
        <v/>
      </c>
      <c r="J666" s="27">
        <f>IF(OR($A666="",_Engine!$D$44=0),"",INDEX(_Engine!$E724:$X724,1,(_Engine!$J$44-1)*4+3))</f>
        <v/>
      </c>
      <c r="K666" s="27">
        <f>IF(OR($A666="",_Engine!$D$45=0),"",INDEX(_Engine!$E724:$X724,1,(_Engine!$J$45-1)*4+3))</f>
        <v/>
      </c>
    </row>
    <row r="667">
      <c r="A667" s="25">
        <f>IF(664&lt;=_Engine!$B$36,664,"")</f>
        <v/>
      </c>
      <c r="B667" s="26">
        <f>IF($A667="","",EDATE(_Engine!$B$5,$A667-1))</f>
        <v/>
      </c>
      <c r="C667" s="27">
        <f>IF($A667="","",_Engine!$AJ725)</f>
        <v/>
      </c>
      <c r="D667" s="27">
        <f>IF($A667="","",_Engine!$AK725)</f>
        <v/>
      </c>
      <c r="E667" s="27">
        <f>IF($A667="","",_Engine!$AJ725-_Engine!$AK725)</f>
        <v/>
      </c>
      <c r="F667" s="27">
        <f>IF($A667="","",_Engine!$AI725)</f>
        <v/>
      </c>
      <c r="G667" s="27">
        <f>IF(OR($A667="",_Engine!$D$41=0),"",INDEX(_Engine!$E725:$X725,1,(_Engine!$J$41-1)*4+3))</f>
        <v/>
      </c>
      <c r="H667" s="27">
        <f>IF(OR($A667="",_Engine!$D$42=0),"",INDEX(_Engine!$E725:$X725,1,(_Engine!$J$42-1)*4+3))</f>
        <v/>
      </c>
      <c r="I667" s="27">
        <f>IF(OR($A667="",_Engine!$D$43=0),"",INDEX(_Engine!$E725:$X725,1,(_Engine!$J$43-1)*4+3))</f>
        <v/>
      </c>
      <c r="J667" s="27">
        <f>IF(OR($A667="",_Engine!$D$44=0),"",INDEX(_Engine!$E725:$X725,1,(_Engine!$J$44-1)*4+3))</f>
        <v/>
      </c>
      <c r="K667" s="27">
        <f>IF(OR($A667="",_Engine!$D$45=0),"",INDEX(_Engine!$E725:$X725,1,(_Engine!$J$45-1)*4+3))</f>
        <v/>
      </c>
    </row>
    <row r="668">
      <c r="A668" s="25">
        <f>IF(665&lt;=_Engine!$B$36,665,"")</f>
        <v/>
      </c>
      <c r="B668" s="26">
        <f>IF($A668="","",EDATE(_Engine!$B$5,$A668-1))</f>
        <v/>
      </c>
      <c r="C668" s="27">
        <f>IF($A668="","",_Engine!$AJ726)</f>
        <v/>
      </c>
      <c r="D668" s="27">
        <f>IF($A668="","",_Engine!$AK726)</f>
        <v/>
      </c>
      <c r="E668" s="27">
        <f>IF($A668="","",_Engine!$AJ726-_Engine!$AK726)</f>
        <v/>
      </c>
      <c r="F668" s="27">
        <f>IF($A668="","",_Engine!$AI726)</f>
        <v/>
      </c>
      <c r="G668" s="27">
        <f>IF(OR($A668="",_Engine!$D$41=0),"",INDEX(_Engine!$E726:$X726,1,(_Engine!$J$41-1)*4+3))</f>
        <v/>
      </c>
      <c r="H668" s="27">
        <f>IF(OR($A668="",_Engine!$D$42=0),"",INDEX(_Engine!$E726:$X726,1,(_Engine!$J$42-1)*4+3))</f>
        <v/>
      </c>
      <c r="I668" s="27">
        <f>IF(OR($A668="",_Engine!$D$43=0),"",INDEX(_Engine!$E726:$X726,1,(_Engine!$J$43-1)*4+3))</f>
        <v/>
      </c>
      <c r="J668" s="27">
        <f>IF(OR($A668="",_Engine!$D$44=0),"",INDEX(_Engine!$E726:$X726,1,(_Engine!$J$44-1)*4+3))</f>
        <v/>
      </c>
      <c r="K668" s="27">
        <f>IF(OR($A668="",_Engine!$D$45=0),"",INDEX(_Engine!$E726:$X726,1,(_Engine!$J$45-1)*4+3))</f>
        <v/>
      </c>
    </row>
    <row r="669">
      <c r="A669" s="25">
        <f>IF(666&lt;=_Engine!$B$36,666,"")</f>
        <v/>
      </c>
      <c r="B669" s="26">
        <f>IF($A669="","",EDATE(_Engine!$B$5,$A669-1))</f>
        <v/>
      </c>
      <c r="C669" s="27">
        <f>IF($A669="","",_Engine!$AJ727)</f>
        <v/>
      </c>
      <c r="D669" s="27">
        <f>IF($A669="","",_Engine!$AK727)</f>
        <v/>
      </c>
      <c r="E669" s="27">
        <f>IF($A669="","",_Engine!$AJ727-_Engine!$AK727)</f>
        <v/>
      </c>
      <c r="F669" s="27">
        <f>IF($A669="","",_Engine!$AI727)</f>
        <v/>
      </c>
      <c r="G669" s="27">
        <f>IF(OR($A669="",_Engine!$D$41=0),"",INDEX(_Engine!$E727:$X727,1,(_Engine!$J$41-1)*4+3))</f>
        <v/>
      </c>
      <c r="H669" s="27">
        <f>IF(OR($A669="",_Engine!$D$42=0),"",INDEX(_Engine!$E727:$X727,1,(_Engine!$J$42-1)*4+3))</f>
        <v/>
      </c>
      <c r="I669" s="27">
        <f>IF(OR($A669="",_Engine!$D$43=0),"",INDEX(_Engine!$E727:$X727,1,(_Engine!$J$43-1)*4+3))</f>
        <v/>
      </c>
      <c r="J669" s="27">
        <f>IF(OR($A669="",_Engine!$D$44=0),"",INDEX(_Engine!$E727:$X727,1,(_Engine!$J$44-1)*4+3))</f>
        <v/>
      </c>
      <c r="K669" s="27">
        <f>IF(OR($A669="",_Engine!$D$45=0),"",INDEX(_Engine!$E727:$X727,1,(_Engine!$J$45-1)*4+3))</f>
        <v/>
      </c>
    </row>
    <row r="670">
      <c r="A670" s="25">
        <f>IF(667&lt;=_Engine!$B$36,667,"")</f>
        <v/>
      </c>
      <c r="B670" s="26">
        <f>IF($A670="","",EDATE(_Engine!$B$5,$A670-1))</f>
        <v/>
      </c>
      <c r="C670" s="27">
        <f>IF($A670="","",_Engine!$AJ728)</f>
        <v/>
      </c>
      <c r="D670" s="27">
        <f>IF($A670="","",_Engine!$AK728)</f>
        <v/>
      </c>
      <c r="E670" s="27">
        <f>IF($A670="","",_Engine!$AJ728-_Engine!$AK728)</f>
        <v/>
      </c>
      <c r="F670" s="27">
        <f>IF($A670="","",_Engine!$AI728)</f>
        <v/>
      </c>
      <c r="G670" s="27">
        <f>IF(OR($A670="",_Engine!$D$41=0),"",INDEX(_Engine!$E728:$X728,1,(_Engine!$J$41-1)*4+3))</f>
        <v/>
      </c>
      <c r="H670" s="27">
        <f>IF(OR($A670="",_Engine!$D$42=0),"",INDEX(_Engine!$E728:$X728,1,(_Engine!$J$42-1)*4+3))</f>
        <v/>
      </c>
      <c r="I670" s="27">
        <f>IF(OR($A670="",_Engine!$D$43=0),"",INDEX(_Engine!$E728:$X728,1,(_Engine!$J$43-1)*4+3))</f>
        <v/>
      </c>
      <c r="J670" s="27">
        <f>IF(OR($A670="",_Engine!$D$44=0),"",INDEX(_Engine!$E728:$X728,1,(_Engine!$J$44-1)*4+3))</f>
        <v/>
      </c>
      <c r="K670" s="27">
        <f>IF(OR($A670="",_Engine!$D$45=0),"",INDEX(_Engine!$E728:$X728,1,(_Engine!$J$45-1)*4+3))</f>
        <v/>
      </c>
    </row>
    <row r="671">
      <c r="A671" s="25">
        <f>IF(668&lt;=_Engine!$B$36,668,"")</f>
        <v/>
      </c>
      <c r="B671" s="26">
        <f>IF($A671="","",EDATE(_Engine!$B$5,$A671-1))</f>
        <v/>
      </c>
      <c r="C671" s="27">
        <f>IF($A671="","",_Engine!$AJ729)</f>
        <v/>
      </c>
      <c r="D671" s="27">
        <f>IF($A671="","",_Engine!$AK729)</f>
        <v/>
      </c>
      <c r="E671" s="27">
        <f>IF($A671="","",_Engine!$AJ729-_Engine!$AK729)</f>
        <v/>
      </c>
      <c r="F671" s="27">
        <f>IF($A671="","",_Engine!$AI729)</f>
        <v/>
      </c>
      <c r="G671" s="27">
        <f>IF(OR($A671="",_Engine!$D$41=0),"",INDEX(_Engine!$E729:$X729,1,(_Engine!$J$41-1)*4+3))</f>
        <v/>
      </c>
      <c r="H671" s="27">
        <f>IF(OR($A671="",_Engine!$D$42=0),"",INDEX(_Engine!$E729:$X729,1,(_Engine!$J$42-1)*4+3))</f>
        <v/>
      </c>
      <c r="I671" s="27">
        <f>IF(OR($A671="",_Engine!$D$43=0),"",INDEX(_Engine!$E729:$X729,1,(_Engine!$J$43-1)*4+3))</f>
        <v/>
      </c>
      <c r="J671" s="27">
        <f>IF(OR($A671="",_Engine!$D$44=0),"",INDEX(_Engine!$E729:$X729,1,(_Engine!$J$44-1)*4+3))</f>
        <v/>
      </c>
      <c r="K671" s="27">
        <f>IF(OR($A671="",_Engine!$D$45=0),"",INDEX(_Engine!$E729:$X729,1,(_Engine!$J$45-1)*4+3))</f>
        <v/>
      </c>
    </row>
    <row r="672">
      <c r="A672" s="25">
        <f>IF(669&lt;=_Engine!$B$36,669,"")</f>
        <v/>
      </c>
      <c r="B672" s="26">
        <f>IF($A672="","",EDATE(_Engine!$B$5,$A672-1))</f>
        <v/>
      </c>
      <c r="C672" s="27">
        <f>IF($A672="","",_Engine!$AJ730)</f>
        <v/>
      </c>
      <c r="D672" s="27">
        <f>IF($A672="","",_Engine!$AK730)</f>
        <v/>
      </c>
      <c r="E672" s="27">
        <f>IF($A672="","",_Engine!$AJ730-_Engine!$AK730)</f>
        <v/>
      </c>
      <c r="F672" s="27">
        <f>IF($A672="","",_Engine!$AI730)</f>
        <v/>
      </c>
      <c r="G672" s="27">
        <f>IF(OR($A672="",_Engine!$D$41=0),"",INDEX(_Engine!$E730:$X730,1,(_Engine!$J$41-1)*4+3))</f>
        <v/>
      </c>
      <c r="H672" s="27">
        <f>IF(OR($A672="",_Engine!$D$42=0),"",INDEX(_Engine!$E730:$X730,1,(_Engine!$J$42-1)*4+3))</f>
        <v/>
      </c>
      <c r="I672" s="27">
        <f>IF(OR($A672="",_Engine!$D$43=0),"",INDEX(_Engine!$E730:$X730,1,(_Engine!$J$43-1)*4+3))</f>
        <v/>
      </c>
      <c r="J672" s="27">
        <f>IF(OR($A672="",_Engine!$D$44=0),"",INDEX(_Engine!$E730:$X730,1,(_Engine!$J$44-1)*4+3))</f>
        <v/>
      </c>
      <c r="K672" s="27">
        <f>IF(OR($A672="",_Engine!$D$45=0),"",INDEX(_Engine!$E730:$X730,1,(_Engine!$J$45-1)*4+3))</f>
        <v/>
      </c>
    </row>
    <row r="673">
      <c r="A673" s="25">
        <f>IF(670&lt;=_Engine!$B$36,670,"")</f>
        <v/>
      </c>
      <c r="B673" s="26">
        <f>IF($A673="","",EDATE(_Engine!$B$5,$A673-1))</f>
        <v/>
      </c>
      <c r="C673" s="27">
        <f>IF($A673="","",_Engine!$AJ731)</f>
        <v/>
      </c>
      <c r="D673" s="27">
        <f>IF($A673="","",_Engine!$AK731)</f>
        <v/>
      </c>
      <c r="E673" s="27">
        <f>IF($A673="","",_Engine!$AJ731-_Engine!$AK731)</f>
        <v/>
      </c>
      <c r="F673" s="27">
        <f>IF($A673="","",_Engine!$AI731)</f>
        <v/>
      </c>
      <c r="G673" s="27">
        <f>IF(OR($A673="",_Engine!$D$41=0),"",INDEX(_Engine!$E731:$X731,1,(_Engine!$J$41-1)*4+3))</f>
        <v/>
      </c>
      <c r="H673" s="27">
        <f>IF(OR($A673="",_Engine!$D$42=0),"",INDEX(_Engine!$E731:$X731,1,(_Engine!$J$42-1)*4+3))</f>
        <v/>
      </c>
      <c r="I673" s="27">
        <f>IF(OR($A673="",_Engine!$D$43=0),"",INDEX(_Engine!$E731:$X731,1,(_Engine!$J$43-1)*4+3))</f>
        <v/>
      </c>
      <c r="J673" s="27">
        <f>IF(OR($A673="",_Engine!$D$44=0),"",INDEX(_Engine!$E731:$X731,1,(_Engine!$J$44-1)*4+3))</f>
        <v/>
      </c>
      <c r="K673" s="27">
        <f>IF(OR($A673="",_Engine!$D$45=0),"",INDEX(_Engine!$E731:$X731,1,(_Engine!$J$45-1)*4+3))</f>
        <v/>
      </c>
    </row>
    <row r="674">
      <c r="A674" s="25">
        <f>IF(671&lt;=_Engine!$B$36,671,"")</f>
        <v/>
      </c>
      <c r="B674" s="26">
        <f>IF($A674="","",EDATE(_Engine!$B$5,$A674-1))</f>
        <v/>
      </c>
      <c r="C674" s="27">
        <f>IF($A674="","",_Engine!$AJ732)</f>
        <v/>
      </c>
      <c r="D674" s="27">
        <f>IF($A674="","",_Engine!$AK732)</f>
        <v/>
      </c>
      <c r="E674" s="27">
        <f>IF($A674="","",_Engine!$AJ732-_Engine!$AK732)</f>
        <v/>
      </c>
      <c r="F674" s="27">
        <f>IF($A674="","",_Engine!$AI732)</f>
        <v/>
      </c>
      <c r="G674" s="27">
        <f>IF(OR($A674="",_Engine!$D$41=0),"",INDEX(_Engine!$E732:$X732,1,(_Engine!$J$41-1)*4+3))</f>
        <v/>
      </c>
      <c r="H674" s="27">
        <f>IF(OR($A674="",_Engine!$D$42=0),"",INDEX(_Engine!$E732:$X732,1,(_Engine!$J$42-1)*4+3))</f>
        <v/>
      </c>
      <c r="I674" s="27">
        <f>IF(OR($A674="",_Engine!$D$43=0),"",INDEX(_Engine!$E732:$X732,1,(_Engine!$J$43-1)*4+3))</f>
        <v/>
      </c>
      <c r="J674" s="27">
        <f>IF(OR($A674="",_Engine!$D$44=0),"",INDEX(_Engine!$E732:$X732,1,(_Engine!$J$44-1)*4+3))</f>
        <v/>
      </c>
      <c r="K674" s="27">
        <f>IF(OR($A674="",_Engine!$D$45=0),"",INDEX(_Engine!$E732:$X732,1,(_Engine!$J$45-1)*4+3))</f>
        <v/>
      </c>
    </row>
    <row r="675">
      <c r="A675" s="25">
        <f>IF(672&lt;=_Engine!$B$36,672,"")</f>
        <v/>
      </c>
      <c r="B675" s="26">
        <f>IF($A675="","",EDATE(_Engine!$B$5,$A675-1))</f>
        <v/>
      </c>
      <c r="C675" s="27">
        <f>IF($A675="","",_Engine!$AJ733)</f>
        <v/>
      </c>
      <c r="D675" s="27">
        <f>IF($A675="","",_Engine!$AK733)</f>
        <v/>
      </c>
      <c r="E675" s="27">
        <f>IF($A675="","",_Engine!$AJ733-_Engine!$AK733)</f>
        <v/>
      </c>
      <c r="F675" s="27">
        <f>IF($A675="","",_Engine!$AI733)</f>
        <v/>
      </c>
      <c r="G675" s="27">
        <f>IF(OR($A675="",_Engine!$D$41=0),"",INDEX(_Engine!$E733:$X733,1,(_Engine!$J$41-1)*4+3))</f>
        <v/>
      </c>
      <c r="H675" s="27">
        <f>IF(OR($A675="",_Engine!$D$42=0),"",INDEX(_Engine!$E733:$X733,1,(_Engine!$J$42-1)*4+3))</f>
        <v/>
      </c>
      <c r="I675" s="27">
        <f>IF(OR($A675="",_Engine!$D$43=0),"",INDEX(_Engine!$E733:$X733,1,(_Engine!$J$43-1)*4+3))</f>
        <v/>
      </c>
      <c r="J675" s="27">
        <f>IF(OR($A675="",_Engine!$D$44=0),"",INDEX(_Engine!$E733:$X733,1,(_Engine!$J$44-1)*4+3))</f>
        <v/>
      </c>
      <c r="K675" s="27">
        <f>IF(OR($A675="",_Engine!$D$45=0),"",INDEX(_Engine!$E733:$X733,1,(_Engine!$J$45-1)*4+3))</f>
        <v/>
      </c>
    </row>
    <row r="676">
      <c r="A676" s="25">
        <f>IF(673&lt;=_Engine!$B$36,673,"")</f>
        <v/>
      </c>
      <c r="B676" s="26">
        <f>IF($A676="","",EDATE(_Engine!$B$5,$A676-1))</f>
        <v/>
      </c>
      <c r="C676" s="27">
        <f>IF($A676="","",_Engine!$AJ734)</f>
        <v/>
      </c>
      <c r="D676" s="27">
        <f>IF($A676="","",_Engine!$AK734)</f>
        <v/>
      </c>
      <c r="E676" s="27">
        <f>IF($A676="","",_Engine!$AJ734-_Engine!$AK734)</f>
        <v/>
      </c>
      <c r="F676" s="27">
        <f>IF($A676="","",_Engine!$AI734)</f>
        <v/>
      </c>
      <c r="G676" s="27">
        <f>IF(OR($A676="",_Engine!$D$41=0),"",INDEX(_Engine!$E734:$X734,1,(_Engine!$J$41-1)*4+3))</f>
        <v/>
      </c>
      <c r="H676" s="27">
        <f>IF(OR($A676="",_Engine!$D$42=0),"",INDEX(_Engine!$E734:$X734,1,(_Engine!$J$42-1)*4+3))</f>
        <v/>
      </c>
      <c r="I676" s="27">
        <f>IF(OR($A676="",_Engine!$D$43=0),"",INDEX(_Engine!$E734:$X734,1,(_Engine!$J$43-1)*4+3))</f>
        <v/>
      </c>
      <c r="J676" s="27">
        <f>IF(OR($A676="",_Engine!$D$44=0),"",INDEX(_Engine!$E734:$X734,1,(_Engine!$J$44-1)*4+3))</f>
        <v/>
      </c>
      <c r="K676" s="27">
        <f>IF(OR($A676="",_Engine!$D$45=0),"",INDEX(_Engine!$E734:$X734,1,(_Engine!$J$45-1)*4+3))</f>
        <v/>
      </c>
    </row>
    <row r="677">
      <c r="A677" s="25">
        <f>IF(674&lt;=_Engine!$B$36,674,"")</f>
        <v/>
      </c>
      <c r="B677" s="26">
        <f>IF($A677="","",EDATE(_Engine!$B$5,$A677-1))</f>
        <v/>
      </c>
      <c r="C677" s="27">
        <f>IF($A677="","",_Engine!$AJ735)</f>
        <v/>
      </c>
      <c r="D677" s="27">
        <f>IF($A677="","",_Engine!$AK735)</f>
        <v/>
      </c>
      <c r="E677" s="27">
        <f>IF($A677="","",_Engine!$AJ735-_Engine!$AK735)</f>
        <v/>
      </c>
      <c r="F677" s="27">
        <f>IF($A677="","",_Engine!$AI735)</f>
        <v/>
      </c>
      <c r="G677" s="27">
        <f>IF(OR($A677="",_Engine!$D$41=0),"",INDEX(_Engine!$E735:$X735,1,(_Engine!$J$41-1)*4+3))</f>
        <v/>
      </c>
      <c r="H677" s="27">
        <f>IF(OR($A677="",_Engine!$D$42=0),"",INDEX(_Engine!$E735:$X735,1,(_Engine!$J$42-1)*4+3))</f>
        <v/>
      </c>
      <c r="I677" s="27">
        <f>IF(OR($A677="",_Engine!$D$43=0),"",INDEX(_Engine!$E735:$X735,1,(_Engine!$J$43-1)*4+3))</f>
        <v/>
      </c>
      <c r="J677" s="27">
        <f>IF(OR($A677="",_Engine!$D$44=0),"",INDEX(_Engine!$E735:$X735,1,(_Engine!$J$44-1)*4+3))</f>
        <v/>
      </c>
      <c r="K677" s="27">
        <f>IF(OR($A677="",_Engine!$D$45=0),"",INDEX(_Engine!$E735:$X735,1,(_Engine!$J$45-1)*4+3))</f>
        <v/>
      </c>
    </row>
    <row r="678">
      <c r="A678" s="25">
        <f>IF(675&lt;=_Engine!$B$36,675,"")</f>
        <v/>
      </c>
      <c r="B678" s="26">
        <f>IF($A678="","",EDATE(_Engine!$B$5,$A678-1))</f>
        <v/>
      </c>
      <c r="C678" s="27">
        <f>IF($A678="","",_Engine!$AJ736)</f>
        <v/>
      </c>
      <c r="D678" s="27">
        <f>IF($A678="","",_Engine!$AK736)</f>
        <v/>
      </c>
      <c r="E678" s="27">
        <f>IF($A678="","",_Engine!$AJ736-_Engine!$AK736)</f>
        <v/>
      </c>
      <c r="F678" s="27">
        <f>IF($A678="","",_Engine!$AI736)</f>
        <v/>
      </c>
      <c r="G678" s="27">
        <f>IF(OR($A678="",_Engine!$D$41=0),"",INDEX(_Engine!$E736:$X736,1,(_Engine!$J$41-1)*4+3))</f>
        <v/>
      </c>
      <c r="H678" s="27">
        <f>IF(OR($A678="",_Engine!$D$42=0),"",INDEX(_Engine!$E736:$X736,1,(_Engine!$J$42-1)*4+3))</f>
        <v/>
      </c>
      <c r="I678" s="27">
        <f>IF(OR($A678="",_Engine!$D$43=0),"",INDEX(_Engine!$E736:$X736,1,(_Engine!$J$43-1)*4+3))</f>
        <v/>
      </c>
      <c r="J678" s="27">
        <f>IF(OR($A678="",_Engine!$D$44=0),"",INDEX(_Engine!$E736:$X736,1,(_Engine!$J$44-1)*4+3))</f>
        <v/>
      </c>
      <c r="K678" s="27">
        <f>IF(OR($A678="",_Engine!$D$45=0),"",INDEX(_Engine!$E736:$X736,1,(_Engine!$J$45-1)*4+3))</f>
        <v/>
      </c>
    </row>
    <row r="679">
      <c r="A679" s="25">
        <f>IF(676&lt;=_Engine!$B$36,676,"")</f>
        <v/>
      </c>
      <c r="B679" s="26">
        <f>IF($A679="","",EDATE(_Engine!$B$5,$A679-1))</f>
        <v/>
      </c>
      <c r="C679" s="27">
        <f>IF($A679="","",_Engine!$AJ737)</f>
        <v/>
      </c>
      <c r="D679" s="27">
        <f>IF($A679="","",_Engine!$AK737)</f>
        <v/>
      </c>
      <c r="E679" s="27">
        <f>IF($A679="","",_Engine!$AJ737-_Engine!$AK737)</f>
        <v/>
      </c>
      <c r="F679" s="27">
        <f>IF($A679="","",_Engine!$AI737)</f>
        <v/>
      </c>
      <c r="G679" s="27">
        <f>IF(OR($A679="",_Engine!$D$41=0),"",INDEX(_Engine!$E737:$X737,1,(_Engine!$J$41-1)*4+3))</f>
        <v/>
      </c>
      <c r="H679" s="27">
        <f>IF(OR($A679="",_Engine!$D$42=0),"",INDEX(_Engine!$E737:$X737,1,(_Engine!$J$42-1)*4+3))</f>
        <v/>
      </c>
      <c r="I679" s="27">
        <f>IF(OR($A679="",_Engine!$D$43=0),"",INDEX(_Engine!$E737:$X737,1,(_Engine!$J$43-1)*4+3))</f>
        <v/>
      </c>
      <c r="J679" s="27">
        <f>IF(OR($A679="",_Engine!$D$44=0),"",INDEX(_Engine!$E737:$X737,1,(_Engine!$J$44-1)*4+3))</f>
        <v/>
      </c>
      <c r="K679" s="27">
        <f>IF(OR($A679="",_Engine!$D$45=0),"",INDEX(_Engine!$E737:$X737,1,(_Engine!$J$45-1)*4+3))</f>
        <v/>
      </c>
    </row>
    <row r="680">
      <c r="A680" s="25">
        <f>IF(677&lt;=_Engine!$B$36,677,"")</f>
        <v/>
      </c>
      <c r="B680" s="26">
        <f>IF($A680="","",EDATE(_Engine!$B$5,$A680-1))</f>
        <v/>
      </c>
      <c r="C680" s="27">
        <f>IF($A680="","",_Engine!$AJ738)</f>
        <v/>
      </c>
      <c r="D680" s="27">
        <f>IF($A680="","",_Engine!$AK738)</f>
        <v/>
      </c>
      <c r="E680" s="27">
        <f>IF($A680="","",_Engine!$AJ738-_Engine!$AK738)</f>
        <v/>
      </c>
      <c r="F680" s="27">
        <f>IF($A680="","",_Engine!$AI738)</f>
        <v/>
      </c>
      <c r="G680" s="27">
        <f>IF(OR($A680="",_Engine!$D$41=0),"",INDEX(_Engine!$E738:$X738,1,(_Engine!$J$41-1)*4+3))</f>
        <v/>
      </c>
      <c r="H680" s="27">
        <f>IF(OR($A680="",_Engine!$D$42=0),"",INDEX(_Engine!$E738:$X738,1,(_Engine!$J$42-1)*4+3))</f>
        <v/>
      </c>
      <c r="I680" s="27">
        <f>IF(OR($A680="",_Engine!$D$43=0),"",INDEX(_Engine!$E738:$X738,1,(_Engine!$J$43-1)*4+3))</f>
        <v/>
      </c>
      <c r="J680" s="27">
        <f>IF(OR($A680="",_Engine!$D$44=0),"",INDEX(_Engine!$E738:$X738,1,(_Engine!$J$44-1)*4+3))</f>
        <v/>
      </c>
      <c r="K680" s="27">
        <f>IF(OR($A680="",_Engine!$D$45=0),"",INDEX(_Engine!$E738:$X738,1,(_Engine!$J$45-1)*4+3))</f>
        <v/>
      </c>
    </row>
    <row r="681">
      <c r="A681" s="25">
        <f>IF(678&lt;=_Engine!$B$36,678,"")</f>
        <v/>
      </c>
      <c r="B681" s="26">
        <f>IF($A681="","",EDATE(_Engine!$B$5,$A681-1))</f>
        <v/>
      </c>
      <c r="C681" s="27">
        <f>IF($A681="","",_Engine!$AJ739)</f>
        <v/>
      </c>
      <c r="D681" s="27">
        <f>IF($A681="","",_Engine!$AK739)</f>
        <v/>
      </c>
      <c r="E681" s="27">
        <f>IF($A681="","",_Engine!$AJ739-_Engine!$AK739)</f>
        <v/>
      </c>
      <c r="F681" s="27">
        <f>IF($A681="","",_Engine!$AI739)</f>
        <v/>
      </c>
      <c r="G681" s="27">
        <f>IF(OR($A681="",_Engine!$D$41=0),"",INDEX(_Engine!$E739:$X739,1,(_Engine!$J$41-1)*4+3))</f>
        <v/>
      </c>
      <c r="H681" s="27">
        <f>IF(OR($A681="",_Engine!$D$42=0),"",INDEX(_Engine!$E739:$X739,1,(_Engine!$J$42-1)*4+3))</f>
        <v/>
      </c>
      <c r="I681" s="27">
        <f>IF(OR($A681="",_Engine!$D$43=0),"",INDEX(_Engine!$E739:$X739,1,(_Engine!$J$43-1)*4+3))</f>
        <v/>
      </c>
      <c r="J681" s="27">
        <f>IF(OR($A681="",_Engine!$D$44=0),"",INDEX(_Engine!$E739:$X739,1,(_Engine!$J$44-1)*4+3))</f>
        <v/>
      </c>
      <c r="K681" s="27">
        <f>IF(OR($A681="",_Engine!$D$45=0),"",INDEX(_Engine!$E739:$X739,1,(_Engine!$J$45-1)*4+3))</f>
        <v/>
      </c>
    </row>
    <row r="682">
      <c r="A682" s="25">
        <f>IF(679&lt;=_Engine!$B$36,679,"")</f>
        <v/>
      </c>
      <c r="B682" s="26">
        <f>IF($A682="","",EDATE(_Engine!$B$5,$A682-1))</f>
        <v/>
      </c>
      <c r="C682" s="27">
        <f>IF($A682="","",_Engine!$AJ740)</f>
        <v/>
      </c>
      <c r="D682" s="27">
        <f>IF($A682="","",_Engine!$AK740)</f>
        <v/>
      </c>
      <c r="E682" s="27">
        <f>IF($A682="","",_Engine!$AJ740-_Engine!$AK740)</f>
        <v/>
      </c>
      <c r="F682" s="27">
        <f>IF($A682="","",_Engine!$AI740)</f>
        <v/>
      </c>
      <c r="G682" s="27">
        <f>IF(OR($A682="",_Engine!$D$41=0),"",INDEX(_Engine!$E740:$X740,1,(_Engine!$J$41-1)*4+3))</f>
        <v/>
      </c>
      <c r="H682" s="27">
        <f>IF(OR($A682="",_Engine!$D$42=0),"",INDEX(_Engine!$E740:$X740,1,(_Engine!$J$42-1)*4+3))</f>
        <v/>
      </c>
      <c r="I682" s="27">
        <f>IF(OR($A682="",_Engine!$D$43=0),"",INDEX(_Engine!$E740:$X740,1,(_Engine!$J$43-1)*4+3))</f>
        <v/>
      </c>
      <c r="J682" s="27">
        <f>IF(OR($A682="",_Engine!$D$44=0),"",INDEX(_Engine!$E740:$X740,1,(_Engine!$J$44-1)*4+3))</f>
        <v/>
      </c>
      <c r="K682" s="27">
        <f>IF(OR($A682="",_Engine!$D$45=0),"",INDEX(_Engine!$E740:$X740,1,(_Engine!$J$45-1)*4+3))</f>
        <v/>
      </c>
    </row>
    <row r="683">
      <c r="A683" s="25">
        <f>IF(680&lt;=_Engine!$B$36,680,"")</f>
        <v/>
      </c>
      <c r="B683" s="26">
        <f>IF($A683="","",EDATE(_Engine!$B$5,$A683-1))</f>
        <v/>
      </c>
      <c r="C683" s="27">
        <f>IF($A683="","",_Engine!$AJ741)</f>
        <v/>
      </c>
      <c r="D683" s="27">
        <f>IF($A683="","",_Engine!$AK741)</f>
        <v/>
      </c>
      <c r="E683" s="27">
        <f>IF($A683="","",_Engine!$AJ741-_Engine!$AK741)</f>
        <v/>
      </c>
      <c r="F683" s="27">
        <f>IF($A683="","",_Engine!$AI741)</f>
        <v/>
      </c>
      <c r="G683" s="27">
        <f>IF(OR($A683="",_Engine!$D$41=0),"",INDEX(_Engine!$E741:$X741,1,(_Engine!$J$41-1)*4+3))</f>
        <v/>
      </c>
      <c r="H683" s="27">
        <f>IF(OR($A683="",_Engine!$D$42=0),"",INDEX(_Engine!$E741:$X741,1,(_Engine!$J$42-1)*4+3))</f>
        <v/>
      </c>
      <c r="I683" s="27">
        <f>IF(OR($A683="",_Engine!$D$43=0),"",INDEX(_Engine!$E741:$X741,1,(_Engine!$J$43-1)*4+3))</f>
        <v/>
      </c>
      <c r="J683" s="27">
        <f>IF(OR($A683="",_Engine!$D$44=0),"",INDEX(_Engine!$E741:$X741,1,(_Engine!$J$44-1)*4+3))</f>
        <v/>
      </c>
      <c r="K683" s="27">
        <f>IF(OR($A683="",_Engine!$D$45=0),"",INDEX(_Engine!$E741:$X741,1,(_Engine!$J$45-1)*4+3))</f>
        <v/>
      </c>
    </row>
    <row r="684">
      <c r="A684" s="25">
        <f>IF(681&lt;=_Engine!$B$36,681,"")</f>
        <v/>
      </c>
      <c r="B684" s="26">
        <f>IF($A684="","",EDATE(_Engine!$B$5,$A684-1))</f>
        <v/>
      </c>
      <c r="C684" s="27">
        <f>IF($A684="","",_Engine!$AJ742)</f>
        <v/>
      </c>
      <c r="D684" s="27">
        <f>IF($A684="","",_Engine!$AK742)</f>
        <v/>
      </c>
      <c r="E684" s="27">
        <f>IF($A684="","",_Engine!$AJ742-_Engine!$AK742)</f>
        <v/>
      </c>
      <c r="F684" s="27">
        <f>IF($A684="","",_Engine!$AI742)</f>
        <v/>
      </c>
      <c r="G684" s="27">
        <f>IF(OR($A684="",_Engine!$D$41=0),"",INDEX(_Engine!$E742:$X742,1,(_Engine!$J$41-1)*4+3))</f>
        <v/>
      </c>
      <c r="H684" s="27">
        <f>IF(OR($A684="",_Engine!$D$42=0),"",INDEX(_Engine!$E742:$X742,1,(_Engine!$J$42-1)*4+3))</f>
        <v/>
      </c>
      <c r="I684" s="27">
        <f>IF(OR($A684="",_Engine!$D$43=0),"",INDEX(_Engine!$E742:$X742,1,(_Engine!$J$43-1)*4+3))</f>
        <v/>
      </c>
      <c r="J684" s="27">
        <f>IF(OR($A684="",_Engine!$D$44=0),"",INDEX(_Engine!$E742:$X742,1,(_Engine!$J$44-1)*4+3))</f>
        <v/>
      </c>
      <c r="K684" s="27">
        <f>IF(OR($A684="",_Engine!$D$45=0),"",INDEX(_Engine!$E742:$X742,1,(_Engine!$J$45-1)*4+3))</f>
        <v/>
      </c>
    </row>
    <row r="685">
      <c r="A685" s="25">
        <f>IF(682&lt;=_Engine!$B$36,682,"")</f>
        <v/>
      </c>
      <c r="B685" s="26">
        <f>IF($A685="","",EDATE(_Engine!$B$5,$A685-1))</f>
        <v/>
      </c>
      <c r="C685" s="27">
        <f>IF($A685="","",_Engine!$AJ743)</f>
        <v/>
      </c>
      <c r="D685" s="27">
        <f>IF($A685="","",_Engine!$AK743)</f>
        <v/>
      </c>
      <c r="E685" s="27">
        <f>IF($A685="","",_Engine!$AJ743-_Engine!$AK743)</f>
        <v/>
      </c>
      <c r="F685" s="27">
        <f>IF($A685="","",_Engine!$AI743)</f>
        <v/>
      </c>
      <c r="G685" s="27">
        <f>IF(OR($A685="",_Engine!$D$41=0),"",INDEX(_Engine!$E743:$X743,1,(_Engine!$J$41-1)*4+3))</f>
        <v/>
      </c>
      <c r="H685" s="27">
        <f>IF(OR($A685="",_Engine!$D$42=0),"",INDEX(_Engine!$E743:$X743,1,(_Engine!$J$42-1)*4+3))</f>
        <v/>
      </c>
      <c r="I685" s="27">
        <f>IF(OR($A685="",_Engine!$D$43=0),"",INDEX(_Engine!$E743:$X743,1,(_Engine!$J$43-1)*4+3))</f>
        <v/>
      </c>
      <c r="J685" s="27">
        <f>IF(OR($A685="",_Engine!$D$44=0),"",INDEX(_Engine!$E743:$X743,1,(_Engine!$J$44-1)*4+3))</f>
        <v/>
      </c>
      <c r="K685" s="27">
        <f>IF(OR($A685="",_Engine!$D$45=0),"",INDEX(_Engine!$E743:$X743,1,(_Engine!$J$45-1)*4+3))</f>
        <v/>
      </c>
    </row>
    <row r="686">
      <c r="A686" s="25">
        <f>IF(683&lt;=_Engine!$B$36,683,"")</f>
        <v/>
      </c>
      <c r="B686" s="26">
        <f>IF($A686="","",EDATE(_Engine!$B$5,$A686-1))</f>
        <v/>
      </c>
      <c r="C686" s="27">
        <f>IF($A686="","",_Engine!$AJ744)</f>
        <v/>
      </c>
      <c r="D686" s="27">
        <f>IF($A686="","",_Engine!$AK744)</f>
        <v/>
      </c>
      <c r="E686" s="27">
        <f>IF($A686="","",_Engine!$AJ744-_Engine!$AK744)</f>
        <v/>
      </c>
      <c r="F686" s="27">
        <f>IF($A686="","",_Engine!$AI744)</f>
        <v/>
      </c>
      <c r="G686" s="27">
        <f>IF(OR($A686="",_Engine!$D$41=0),"",INDEX(_Engine!$E744:$X744,1,(_Engine!$J$41-1)*4+3))</f>
        <v/>
      </c>
      <c r="H686" s="27">
        <f>IF(OR($A686="",_Engine!$D$42=0),"",INDEX(_Engine!$E744:$X744,1,(_Engine!$J$42-1)*4+3))</f>
        <v/>
      </c>
      <c r="I686" s="27">
        <f>IF(OR($A686="",_Engine!$D$43=0),"",INDEX(_Engine!$E744:$X744,1,(_Engine!$J$43-1)*4+3))</f>
        <v/>
      </c>
      <c r="J686" s="27">
        <f>IF(OR($A686="",_Engine!$D$44=0),"",INDEX(_Engine!$E744:$X744,1,(_Engine!$J$44-1)*4+3))</f>
        <v/>
      </c>
      <c r="K686" s="27">
        <f>IF(OR($A686="",_Engine!$D$45=0),"",INDEX(_Engine!$E744:$X744,1,(_Engine!$J$45-1)*4+3))</f>
        <v/>
      </c>
    </row>
    <row r="687">
      <c r="A687" s="25">
        <f>IF(684&lt;=_Engine!$B$36,684,"")</f>
        <v/>
      </c>
      <c r="B687" s="26">
        <f>IF($A687="","",EDATE(_Engine!$B$5,$A687-1))</f>
        <v/>
      </c>
      <c r="C687" s="27">
        <f>IF($A687="","",_Engine!$AJ745)</f>
        <v/>
      </c>
      <c r="D687" s="27">
        <f>IF($A687="","",_Engine!$AK745)</f>
        <v/>
      </c>
      <c r="E687" s="27">
        <f>IF($A687="","",_Engine!$AJ745-_Engine!$AK745)</f>
        <v/>
      </c>
      <c r="F687" s="27">
        <f>IF($A687="","",_Engine!$AI745)</f>
        <v/>
      </c>
      <c r="G687" s="27">
        <f>IF(OR($A687="",_Engine!$D$41=0),"",INDEX(_Engine!$E745:$X745,1,(_Engine!$J$41-1)*4+3))</f>
        <v/>
      </c>
      <c r="H687" s="27">
        <f>IF(OR($A687="",_Engine!$D$42=0),"",INDEX(_Engine!$E745:$X745,1,(_Engine!$J$42-1)*4+3))</f>
        <v/>
      </c>
      <c r="I687" s="27">
        <f>IF(OR($A687="",_Engine!$D$43=0),"",INDEX(_Engine!$E745:$X745,1,(_Engine!$J$43-1)*4+3))</f>
        <v/>
      </c>
      <c r="J687" s="27">
        <f>IF(OR($A687="",_Engine!$D$44=0),"",INDEX(_Engine!$E745:$X745,1,(_Engine!$J$44-1)*4+3))</f>
        <v/>
      </c>
      <c r="K687" s="27">
        <f>IF(OR($A687="",_Engine!$D$45=0),"",INDEX(_Engine!$E745:$X745,1,(_Engine!$J$45-1)*4+3))</f>
        <v/>
      </c>
    </row>
    <row r="688">
      <c r="A688" s="25">
        <f>IF(685&lt;=_Engine!$B$36,685,"")</f>
        <v/>
      </c>
      <c r="B688" s="26">
        <f>IF($A688="","",EDATE(_Engine!$B$5,$A688-1))</f>
        <v/>
      </c>
      <c r="C688" s="27">
        <f>IF($A688="","",_Engine!$AJ746)</f>
        <v/>
      </c>
      <c r="D688" s="27">
        <f>IF($A688="","",_Engine!$AK746)</f>
        <v/>
      </c>
      <c r="E688" s="27">
        <f>IF($A688="","",_Engine!$AJ746-_Engine!$AK746)</f>
        <v/>
      </c>
      <c r="F688" s="27">
        <f>IF($A688="","",_Engine!$AI746)</f>
        <v/>
      </c>
      <c r="G688" s="27">
        <f>IF(OR($A688="",_Engine!$D$41=0),"",INDEX(_Engine!$E746:$X746,1,(_Engine!$J$41-1)*4+3))</f>
        <v/>
      </c>
      <c r="H688" s="27">
        <f>IF(OR($A688="",_Engine!$D$42=0),"",INDEX(_Engine!$E746:$X746,1,(_Engine!$J$42-1)*4+3))</f>
        <v/>
      </c>
      <c r="I688" s="27">
        <f>IF(OR($A688="",_Engine!$D$43=0),"",INDEX(_Engine!$E746:$X746,1,(_Engine!$J$43-1)*4+3))</f>
        <v/>
      </c>
      <c r="J688" s="27">
        <f>IF(OR($A688="",_Engine!$D$44=0),"",INDEX(_Engine!$E746:$X746,1,(_Engine!$J$44-1)*4+3))</f>
        <v/>
      </c>
      <c r="K688" s="27">
        <f>IF(OR($A688="",_Engine!$D$45=0),"",INDEX(_Engine!$E746:$X746,1,(_Engine!$J$45-1)*4+3))</f>
        <v/>
      </c>
    </row>
    <row r="689">
      <c r="A689" s="25">
        <f>IF(686&lt;=_Engine!$B$36,686,"")</f>
        <v/>
      </c>
      <c r="B689" s="26">
        <f>IF($A689="","",EDATE(_Engine!$B$5,$A689-1))</f>
        <v/>
      </c>
      <c r="C689" s="27">
        <f>IF($A689="","",_Engine!$AJ747)</f>
        <v/>
      </c>
      <c r="D689" s="27">
        <f>IF($A689="","",_Engine!$AK747)</f>
        <v/>
      </c>
      <c r="E689" s="27">
        <f>IF($A689="","",_Engine!$AJ747-_Engine!$AK747)</f>
        <v/>
      </c>
      <c r="F689" s="27">
        <f>IF($A689="","",_Engine!$AI747)</f>
        <v/>
      </c>
      <c r="G689" s="27">
        <f>IF(OR($A689="",_Engine!$D$41=0),"",INDEX(_Engine!$E747:$X747,1,(_Engine!$J$41-1)*4+3))</f>
        <v/>
      </c>
      <c r="H689" s="27">
        <f>IF(OR($A689="",_Engine!$D$42=0),"",INDEX(_Engine!$E747:$X747,1,(_Engine!$J$42-1)*4+3))</f>
        <v/>
      </c>
      <c r="I689" s="27">
        <f>IF(OR($A689="",_Engine!$D$43=0),"",INDEX(_Engine!$E747:$X747,1,(_Engine!$J$43-1)*4+3))</f>
        <v/>
      </c>
      <c r="J689" s="27">
        <f>IF(OR($A689="",_Engine!$D$44=0),"",INDEX(_Engine!$E747:$X747,1,(_Engine!$J$44-1)*4+3))</f>
        <v/>
      </c>
      <c r="K689" s="27">
        <f>IF(OR($A689="",_Engine!$D$45=0),"",INDEX(_Engine!$E747:$X747,1,(_Engine!$J$45-1)*4+3))</f>
        <v/>
      </c>
    </row>
    <row r="690">
      <c r="A690" s="25">
        <f>IF(687&lt;=_Engine!$B$36,687,"")</f>
        <v/>
      </c>
      <c r="B690" s="26">
        <f>IF($A690="","",EDATE(_Engine!$B$5,$A690-1))</f>
        <v/>
      </c>
      <c r="C690" s="27">
        <f>IF($A690="","",_Engine!$AJ748)</f>
        <v/>
      </c>
      <c r="D690" s="27">
        <f>IF($A690="","",_Engine!$AK748)</f>
        <v/>
      </c>
      <c r="E690" s="27">
        <f>IF($A690="","",_Engine!$AJ748-_Engine!$AK748)</f>
        <v/>
      </c>
      <c r="F690" s="27">
        <f>IF($A690="","",_Engine!$AI748)</f>
        <v/>
      </c>
      <c r="G690" s="27">
        <f>IF(OR($A690="",_Engine!$D$41=0),"",INDEX(_Engine!$E748:$X748,1,(_Engine!$J$41-1)*4+3))</f>
        <v/>
      </c>
      <c r="H690" s="27">
        <f>IF(OR($A690="",_Engine!$D$42=0),"",INDEX(_Engine!$E748:$X748,1,(_Engine!$J$42-1)*4+3))</f>
        <v/>
      </c>
      <c r="I690" s="27">
        <f>IF(OR($A690="",_Engine!$D$43=0),"",INDEX(_Engine!$E748:$X748,1,(_Engine!$J$43-1)*4+3))</f>
        <v/>
      </c>
      <c r="J690" s="27">
        <f>IF(OR($A690="",_Engine!$D$44=0),"",INDEX(_Engine!$E748:$X748,1,(_Engine!$J$44-1)*4+3))</f>
        <v/>
      </c>
      <c r="K690" s="27">
        <f>IF(OR($A690="",_Engine!$D$45=0),"",INDEX(_Engine!$E748:$X748,1,(_Engine!$J$45-1)*4+3))</f>
        <v/>
      </c>
    </row>
    <row r="691">
      <c r="A691" s="25">
        <f>IF(688&lt;=_Engine!$B$36,688,"")</f>
        <v/>
      </c>
      <c r="B691" s="26">
        <f>IF($A691="","",EDATE(_Engine!$B$5,$A691-1))</f>
        <v/>
      </c>
      <c r="C691" s="27">
        <f>IF($A691="","",_Engine!$AJ749)</f>
        <v/>
      </c>
      <c r="D691" s="27">
        <f>IF($A691="","",_Engine!$AK749)</f>
        <v/>
      </c>
      <c r="E691" s="27">
        <f>IF($A691="","",_Engine!$AJ749-_Engine!$AK749)</f>
        <v/>
      </c>
      <c r="F691" s="27">
        <f>IF($A691="","",_Engine!$AI749)</f>
        <v/>
      </c>
      <c r="G691" s="27">
        <f>IF(OR($A691="",_Engine!$D$41=0),"",INDEX(_Engine!$E749:$X749,1,(_Engine!$J$41-1)*4+3))</f>
        <v/>
      </c>
      <c r="H691" s="27">
        <f>IF(OR($A691="",_Engine!$D$42=0),"",INDEX(_Engine!$E749:$X749,1,(_Engine!$J$42-1)*4+3))</f>
        <v/>
      </c>
      <c r="I691" s="27">
        <f>IF(OR($A691="",_Engine!$D$43=0),"",INDEX(_Engine!$E749:$X749,1,(_Engine!$J$43-1)*4+3))</f>
        <v/>
      </c>
      <c r="J691" s="27">
        <f>IF(OR($A691="",_Engine!$D$44=0),"",INDEX(_Engine!$E749:$X749,1,(_Engine!$J$44-1)*4+3))</f>
        <v/>
      </c>
      <c r="K691" s="27">
        <f>IF(OR($A691="",_Engine!$D$45=0),"",INDEX(_Engine!$E749:$X749,1,(_Engine!$J$45-1)*4+3))</f>
        <v/>
      </c>
    </row>
    <row r="692">
      <c r="A692" s="25">
        <f>IF(689&lt;=_Engine!$B$36,689,"")</f>
        <v/>
      </c>
      <c r="B692" s="26">
        <f>IF($A692="","",EDATE(_Engine!$B$5,$A692-1))</f>
        <v/>
      </c>
      <c r="C692" s="27">
        <f>IF($A692="","",_Engine!$AJ750)</f>
        <v/>
      </c>
      <c r="D692" s="27">
        <f>IF($A692="","",_Engine!$AK750)</f>
        <v/>
      </c>
      <c r="E692" s="27">
        <f>IF($A692="","",_Engine!$AJ750-_Engine!$AK750)</f>
        <v/>
      </c>
      <c r="F692" s="27">
        <f>IF($A692="","",_Engine!$AI750)</f>
        <v/>
      </c>
      <c r="G692" s="27">
        <f>IF(OR($A692="",_Engine!$D$41=0),"",INDEX(_Engine!$E750:$X750,1,(_Engine!$J$41-1)*4+3))</f>
        <v/>
      </c>
      <c r="H692" s="27">
        <f>IF(OR($A692="",_Engine!$D$42=0),"",INDEX(_Engine!$E750:$X750,1,(_Engine!$J$42-1)*4+3))</f>
        <v/>
      </c>
      <c r="I692" s="27">
        <f>IF(OR($A692="",_Engine!$D$43=0),"",INDEX(_Engine!$E750:$X750,1,(_Engine!$J$43-1)*4+3))</f>
        <v/>
      </c>
      <c r="J692" s="27">
        <f>IF(OR($A692="",_Engine!$D$44=0),"",INDEX(_Engine!$E750:$X750,1,(_Engine!$J$44-1)*4+3))</f>
        <v/>
      </c>
      <c r="K692" s="27">
        <f>IF(OR($A692="",_Engine!$D$45=0),"",INDEX(_Engine!$E750:$X750,1,(_Engine!$J$45-1)*4+3))</f>
        <v/>
      </c>
    </row>
    <row r="693">
      <c r="A693" s="25">
        <f>IF(690&lt;=_Engine!$B$36,690,"")</f>
        <v/>
      </c>
      <c r="B693" s="26">
        <f>IF($A693="","",EDATE(_Engine!$B$5,$A693-1))</f>
        <v/>
      </c>
      <c r="C693" s="27">
        <f>IF($A693="","",_Engine!$AJ751)</f>
        <v/>
      </c>
      <c r="D693" s="27">
        <f>IF($A693="","",_Engine!$AK751)</f>
        <v/>
      </c>
      <c r="E693" s="27">
        <f>IF($A693="","",_Engine!$AJ751-_Engine!$AK751)</f>
        <v/>
      </c>
      <c r="F693" s="27">
        <f>IF($A693="","",_Engine!$AI751)</f>
        <v/>
      </c>
      <c r="G693" s="27">
        <f>IF(OR($A693="",_Engine!$D$41=0),"",INDEX(_Engine!$E751:$X751,1,(_Engine!$J$41-1)*4+3))</f>
        <v/>
      </c>
      <c r="H693" s="27">
        <f>IF(OR($A693="",_Engine!$D$42=0),"",INDEX(_Engine!$E751:$X751,1,(_Engine!$J$42-1)*4+3))</f>
        <v/>
      </c>
      <c r="I693" s="27">
        <f>IF(OR($A693="",_Engine!$D$43=0),"",INDEX(_Engine!$E751:$X751,1,(_Engine!$J$43-1)*4+3))</f>
        <v/>
      </c>
      <c r="J693" s="27">
        <f>IF(OR($A693="",_Engine!$D$44=0),"",INDEX(_Engine!$E751:$X751,1,(_Engine!$J$44-1)*4+3))</f>
        <v/>
      </c>
      <c r="K693" s="27">
        <f>IF(OR($A693="",_Engine!$D$45=0),"",INDEX(_Engine!$E751:$X751,1,(_Engine!$J$45-1)*4+3))</f>
        <v/>
      </c>
    </row>
    <row r="694">
      <c r="A694" s="25">
        <f>IF(691&lt;=_Engine!$B$36,691,"")</f>
        <v/>
      </c>
      <c r="B694" s="26">
        <f>IF($A694="","",EDATE(_Engine!$B$5,$A694-1))</f>
        <v/>
      </c>
      <c r="C694" s="27">
        <f>IF($A694="","",_Engine!$AJ752)</f>
        <v/>
      </c>
      <c r="D694" s="27">
        <f>IF($A694="","",_Engine!$AK752)</f>
        <v/>
      </c>
      <c r="E694" s="27">
        <f>IF($A694="","",_Engine!$AJ752-_Engine!$AK752)</f>
        <v/>
      </c>
      <c r="F694" s="27">
        <f>IF($A694="","",_Engine!$AI752)</f>
        <v/>
      </c>
      <c r="G694" s="27">
        <f>IF(OR($A694="",_Engine!$D$41=0),"",INDEX(_Engine!$E752:$X752,1,(_Engine!$J$41-1)*4+3))</f>
        <v/>
      </c>
      <c r="H694" s="27">
        <f>IF(OR($A694="",_Engine!$D$42=0),"",INDEX(_Engine!$E752:$X752,1,(_Engine!$J$42-1)*4+3))</f>
        <v/>
      </c>
      <c r="I694" s="27">
        <f>IF(OR($A694="",_Engine!$D$43=0),"",INDEX(_Engine!$E752:$X752,1,(_Engine!$J$43-1)*4+3))</f>
        <v/>
      </c>
      <c r="J694" s="27">
        <f>IF(OR($A694="",_Engine!$D$44=0),"",INDEX(_Engine!$E752:$X752,1,(_Engine!$J$44-1)*4+3))</f>
        <v/>
      </c>
      <c r="K694" s="27">
        <f>IF(OR($A694="",_Engine!$D$45=0),"",INDEX(_Engine!$E752:$X752,1,(_Engine!$J$45-1)*4+3))</f>
        <v/>
      </c>
    </row>
    <row r="695">
      <c r="A695" s="25">
        <f>IF(692&lt;=_Engine!$B$36,692,"")</f>
        <v/>
      </c>
      <c r="B695" s="26">
        <f>IF($A695="","",EDATE(_Engine!$B$5,$A695-1))</f>
        <v/>
      </c>
      <c r="C695" s="27">
        <f>IF($A695="","",_Engine!$AJ753)</f>
        <v/>
      </c>
      <c r="D695" s="27">
        <f>IF($A695="","",_Engine!$AK753)</f>
        <v/>
      </c>
      <c r="E695" s="27">
        <f>IF($A695="","",_Engine!$AJ753-_Engine!$AK753)</f>
        <v/>
      </c>
      <c r="F695" s="27">
        <f>IF($A695="","",_Engine!$AI753)</f>
        <v/>
      </c>
      <c r="G695" s="27">
        <f>IF(OR($A695="",_Engine!$D$41=0),"",INDEX(_Engine!$E753:$X753,1,(_Engine!$J$41-1)*4+3))</f>
        <v/>
      </c>
      <c r="H695" s="27">
        <f>IF(OR($A695="",_Engine!$D$42=0),"",INDEX(_Engine!$E753:$X753,1,(_Engine!$J$42-1)*4+3))</f>
        <v/>
      </c>
      <c r="I695" s="27">
        <f>IF(OR($A695="",_Engine!$D$43=0),"",INDEX(_Engine!$E753:$X753,1,(_Engine!$J$43-1)*4+3))</f>
        <v/>
      </c>
      <c r="J695" s="27">
        <f>IF(OR($A695="",_Engine!$D$44=0),"",INDEX(_Engine!$E753:$X753,1,(_Engine!$J$44-1)*4+3))</f>
        <v/>
      </c>
      <c r="K695" s="27">
        <f>IF(OR($A695="",_Engine!$D$45=0),"",INDEX(_Engine!$E753:$X753,1,(_Engine!$J$45-1)*4+3))</f>
        <v/>
      </c>
    </row>
    <row r="696">
      <c r="A696" s="25">
        <f>IF(693&lt;=_Engine!$B$36,693,"")</f>
        <v/>
      </c>
      <c r="B696" s="26">
        <f>IF($A696="","",EDATE(_Engine!$B$5,$A696-1))</f>
        <v/>
      </c>
      <c r="C696" s="27">
        <f>IF($A696="","",_Engine!$AJ754)</f>
        <v/>
      </c>
      <c r="D696" s="27">
        <f>IF($A696="","",_Engine!$AK754)</f>
        <v/>
      </c>
      <c r="E696" s="27">
        <f>IF($A696="","",_Engine!$AJ754-_Engine!$AK754)</f>
        <v/>
      </c>
      <c r="F696" s="27">
        <f>IF($A696="","",_Engine!$AI754)</f>
        <v/>
      </c>
      <c r="G696" s="27">
        <f>IF(OR($A696="",_Engine!$D$41=0),"",INDEX(_Engine!$E754:$X754,1,(_Engine!$J$41-1)*4+3))</f>
        <v/>
      </c>
      <c r="H696" s="27">
        <f>IF(OR($A696="",_Engine!$D$42=0),"",INDEX(_Engine!$E754:$X754,1,(_Engine!$J$42-1)*4+3))</f>
        <v/>
      </c>
      <c r="I696" s="27">
        <f>IF(OR($A696="",_Engine!$D$43=0),"",INDEX(_Engine!$E754:$X754,1,(_Engine!$J$43-1)*4+3))</f>
        <v/>
      </c>
      <c r="J696" s="27">
        <f>IF(OR($A696="",_Engine!$D$44=0),"",INDEX(_Engine!$E754:$X754,1,(_Engine!$J$44-1)*4+3))</f>
        <v/>
      </c>
      <c r="K696" s="27">
        <f>IF(OR($A696="",_Engine!$D$45=0),"",INDEX(_Engine!$E754:$X754,1,(_Engine!$J$45-1)*4+3))</f>
        <v/>
      </c>
    </row>
    <row r="697">
      <c r="A697" s="25">
        <f>IF(694&lt;=_Engine!$B$36,694,"")</f>
        <v/>
      </c>
      <c r="B697" s="26">
        <f>IF($A697="","",EDATE(_Engine!$B$5,$A697-1))</f>
        <v/>
      </c>
      <c r="C697" s="27">
        <f>IF($A697="","",_Engine!$AJ755)</f>
        <v/>
      </c>
      <c r="D697" s="27">
        <f>IF($A697="","",_Engine!$AK755)</f>
        <v/>
      </c>
      <c r="E697" s="27">
        <f>IF($A697="","",_Engine!$AJ755-_Engine!$AK755)</f>
        <v/>
      </c>
      <c r="F697" s="27">
        <f>IF($A697="","",_Engine!$AI755)</f>
        <v/>
      </c>
      <c r="G697" s="27">
        <f>IF(OR($A697="",_Engine!$D$41=0),"",INDEX(_Engine!$E755:$X755,1,(_Engine!$J$41-1)*4+3))</f>
        <v/>
      </c>
      <c r="H697" s="27">
        <f>IF(OR($A697="",_Engine!$D$42=0),"",INDEX(_Engine!$E755:$X755,1,(_Engine!$J$42-1)*4+3))</f>
        <v/>
      </c>
      <c r="I697" s="27">
        <f>IF(OR($A697="",_Engine!$D$43=0),"",INDEX(_Engine!$E755:$X755,1,(_Engine!$J$43-1)*4+3))</f>
        <v/>
      </c>
      <c r="J697" s="27">
        <f>IF(OR($A697="",_Engine!$D$44=0),"",INDEX(_Engine!$E755:$X755,1,(_Engine!$J$44-1)*4+3))</f>
        <v/>
      </c>
      <c r="K697" s="27">
        <f>IF(OR($A697="",_Engine!$D$45=0),"",INDEX(_Engine!$E755:$X755,1,(_Engine!$J$45-1)*4+3))</f>
        <v/>
      </c>
    </row>
    <row r="698">
      <c r="A698" s="25">
        <f>IF(695&lt;=_Engine!$B$36,695,"")</f>
        <v/>
      </c>
      <c r="B698" s="26">
        <f>IF($A698="","",EDATE(_Engine!$B$5,$A698-1))</f>
        <v/>
      </c>
      <c r="C698" s="27">
        <f>IF($A698="","",_Engine!$AJ756)</f>
        <v/>
      </c>
      <c r="D698" s="27">
        <f>IF($A698="","",_Engine!$AK756)</f>
        <v/>
      </c>
      <c r="E698" s="27">
        <f>IF($A698="","",_Engine!$AJ756-_Engine!$AK756)</f>
        <v/>
      </c>
      <c r="F698" s="27">
        <f>IF($A698="","",_Engine!$AI756)</f>
        <v/>
      </c>
      <c r="G698" s="27">
        <f>IF(OR($A698="",_Engine!$D$41=0),"",INDEX(_Engine!$E756:$X756,1,(_Engine!$J$41-1)*4+3))</f>
        <v/>
      </c>
      <c r="H698" s="27">
        <f>IF(OR($A698="",_Engine!$D$42=0),"",INDEX(_Engine!$E756:$X756,1,(_Engine!$J$42-1)*4+3))</f>
        <v/>
      </c>
      <c r="I698" s="27">
        <f>IF(OR($A698="",_Engine!$D$43=0),"",INDEX(_Engine!$E756:$X756,1,(_Engine!$J$43-1)*4+3))</f>
        <v/>
      </c>
      <c r="J698" s="27">
        <f>IF(OR($A698="",_Engine!$D$44=0),"",INDEX(_Engine!$E756:$X756,1,(_Engine!$J$44-1)*4+3))</f>
        <v/>
      </c>
      <c r="K698" s="27">
        <f>IF(OR($A698="",_Engine!$D$45=0),"",INDEX(_Engine!$E756:$X756,1,(_Engine!$J$45-1)*4+3))</f>
        <v/>
      </c>
    </row>
    <row r="699">
      <c r="A699" s="25">
        <f>IF(696&lt;=_Engine!$B$36,696,"")</f>
        <v/>
      </c>
      <c r="B699" s="26">
        <f>IF($A699="","",EDATE(_Engine!$B$5,$A699-1))</f>
        <v/>
      </c>
      <c r="C699" s="27">
        <f>IF($A699="","",_Engine!$AJ757)</f>
        <v/>
      </c>
      <c r="D699" s="27">
        <f>IF($A699="","",_Engine!$AK757)</f>
        <v/>
      </c>
      <c r="E699" s="27">
        <f>IF($A699="","",_Engine!$AJ757-_Engine!$AK757)</f>
        <v/>
      </c>
      <c r="F699" s="27">
        <f>IF($A699="","",_Engine!$AI757)</f>
        <v/>
      </c>
      <c r="G699" s="27">
        <f>IF(OR($A699="",_Engine!$D$41=0),"",INDEX(_Engine!$E757:$X757,1,(_Engine!$J$41-1)*4+3))</f>
        <v/>
      </c>
      <c r="H699" s="27">
        <f>IF(OR($A699="",_Engine!$D$42=0),"",INDEX(_Engine!$E757:$X757,1,(_Engine!$J$42-1)*4+3))</f>
        <v/>
      </c>
      <c r="I699" s="27">
        <f>IF(OR($A699="",_Engine!$D$43=0),"",INDEX(_Engine!$E757:$X757,1,(_Engine!$J$43-1)*4+3))</f>
        <v/>
      </c>
      <c r="J699" s="27">
        <f>IF(OR($A699="",_Engine!$D$44=0),"",INDEX(_Engine!$E757:$X757,1,(_Engine!$J$44-1)*4+3))</f>
        <v/>
      </c>
      <c r="K699" s="27">
        <f>IF(OR($A699="",_Engine!$D$45=0),"",INDEX(_Engine!$E757:$X757,1,(_Engine!$J$45-1)*4+3))</f>
        <v/>
      </c>
    </row>
    <row r="700">
      <c r="A700" s="25">
        <f>IF(697&lt;=_Engine!$B$36,697,"")</f>
        <v/>
      </c>
      <c r="B700" s="26">
        <f>IF($A700="","",EDATE(_Engine!$B$5,$A700-1))</f>
        <v/>
      </c>
      <c r="C700" s="27">
        <f>IF($A700="","",_Engine!$AJ758)</f>
        <v/>
      </c>
      <c r="D700" s="27">
        <f>IF($A700="","",_Engine!$AK758)</f>
        <v/>
      </c>
      <c r="E700" s="27">
        <f>IF($A700="","",_Engine!$AJ758-_Engine!$AK758)</f>
        <v/>
      </c>
      <c r="F700" s="27">
        <f>IF($A700="","",_Engine!$AI758)</f>
        <v/>
      </c>
      <c r="G700" s="27">
        <f>IF(OR($A700="",_Engine!$D$41=0),"",INDEX(_Engine!$E758:$X758,1,(_Engine!$J$41-1)*4+3))</f>
        <v/>
      </c>
      <c r="H700" s="27">
        <f>IF(OR($A700="",_Engine!$D$42=0),"",INDEX(_Engine!$E758:$X758,1,(_Engine!$J$42-1)*4+3))</f>
        <v/>
      </c>
      <c r="I700" s="27">
        <f>IF(OR($A700="",_Engine!$D$43=0),"",INDEX(_Engine!$E758:$X758,1,(_Engine!$J$43-1)*4+3))</f>
        <v/>
      </c>
      <c r="J700" s="27">
        <f>IF(OR($A700="",_Engine!$D$44=0),"",INDEX(_Engine!$E758:$X758,1,(_Engine!$J$44-1)*4+3))</f>
        <v/>
      </c>
      <c r="K700" s="27">
        <f>IF(OR($A700="",_Engine!$D$45=0),"",INDEX(_Engine!$E758:$X758,1,(_Engine!$J$45-1)*4+3))</f>
        <v/>
      </c>
    </row>
    <row r="701">
      <c r="A701" s="25">
        <f>IF(698&lt;=_Engine!$B$36,698,"")</f>
        <v/>
      </c>
      <c r="B701" s="26">
        <f>IF($A701="","",EDATE(_Engine!$B$5,$A701-1))</f>
        <v/>
      </c>
      <c r="C701" s="27">
        <f>IF($A701="","",_Engine!$AJ759)</f>
        <v/>
      </c>
      <c r="D701" s="27">
        <f>IF($A701="","",_Engine!$AK759)</f>
        <v/>
      </c>
      <c r="E701" s="27">
        <f>IF($A701="","",_Engine!$AJ759-_Engine!$AK759)</f>
        <v/>
      </c>
      <c r="F701" s="27">
        <f>IF($A701="","",_Engine!$AI759)</f>
        <v/>
      </c>
      <c r="G701" s="27">
        <f>IF(OR($A701="",_Engine!$D$41=0),"",INDEX(_Engine!$E759:$X759,1,(_Engine!$J$41-1)*4+3))</f>
        <v/>
      </c>
      <c r="H701" s="27">
        <f>IF(OR($A701="",_Engine!$D$42=0),"",INDEX(_Engine!$E759:$X759,1,(_Engine!$J$42-1)*4+3))</f>
        <v/>
      </c>
      <c r="I701" s="27">
        <f>IF(OR($A701="",_Engine!$D$43=0),"",INDEX(_Engine!$E759:$X759,1,(_Engine!$J$43-1)*4+3))</f>
        <v/>
      </c>
      <c r="J701" s="27">
        <f>IF(OR($A701="",_Engine!$D$44=0),"",INDEX(_Engine!$E759:$X759,1,(_Engine!$J$44-1)*4+3))</f>
        <v/>
      </c>
      <c r="K701" s="27">
        <f>IF(OR($A701="",_Engine!$D$45=0),"",INDEX(_Engine!$E759:$X759,1,(_Engine!$J$45-1)*4+3))</f>
        <v/>
      </c>
    </row>
    <row r="702">
      <c r="A702" s="25">
        <f>IF(699&lt;=_Engine!$B$36,699,"")</f>
        <v/>
      </c>
      <c r="B702" s="26">
        <f>IF($A702="","",EDATE(_Engine!$B$5,$A702-1))</f>
        <v/>
      </c>
      <c r="C702" s="27">
        <f>IF($A702="","",_Engine!$AJ760)</f>
        <v/>
      </c>
      <c r="D702" s="27">
        <f>IF($A702="","",_Engine!$AK760)</f>
        <v/>
      </c>
      <c r="E702" s="27">
        <f>IF($A702="","",_Engine!$AJ760-_Engine!$AK760)</f>
        <v/>
      </c>
      <c r="F702" s="27">
        <f>IF($A702="","",_Engine!$AI760)</f>
        <v/>
      </c>
      <c r="G702" s="27">
        <f>IF(OR($A702="",_Engine!$D$41=0),"",INDEX(_Engine!$E760:$X760,1,(_Engine!$J$41-1)*4+3))</f>
        <v/>
      </c>
      <c r="H702" s="27">
        <f>IF(OR($A702="",_Engine!$D$42=0),"",INDEX(_Engine!$E760:$X760,1,(_Engine!$J$42-1)*4+3))</f>
        <v/>
      </c>
      <c r="I702" s="27">
        <f>IF(OR($A702="",_Engine!$D$43=0),"",INDEX(_Engine!$E760:$X760,1,(_Engine!$J$43-1)*4+3))</f>
        <v/>
      </c>
      <c r="J702" s="27">
        <f>IF(OR($A702="",_Engine!$D$44=0),"",INDEX(_Engine!$E760:$X760,1,(_Engine!$J$44-1)*4+3))</f>
        <v/>
      </c>
      <c r="K702" s="27">
        <f>IF(OR($A702="",_Engine!$D$45=0),"",INDEX(_Engine!$E760:$X760,1,(_Engine!$J$45-1)*4+3))</f>
        <v/>
      </c>
    </row>
    <row r="703">
      <c r="A703" s="25">
        <f>IF(700&lt;=_Engine!$B$36,700,"")</f>
        <v/>
      </c>
      <c r="B703" s="26">
        <f>IF($A703="","",EDATE(_Engine!$B$5,$A703-1))</f>
        <v/>
      </c>
      <c r="C703" s="27">
        <f>IF($A703="","",_Engine!$AJ761)</f>
        <v/>
      </c>
      <c r="D703" s="27">
        <f>IF($A703="","",_Engine!$AK761)</f>
        <v/>
      </c>
      <c r="E703" s="27">
        <f>IF($A703="","",_Engine!$AJ761-_Engine!$AK761)</f>
        <v/>
      </c>
      <c r="F703" s="27">
        <f>IF($A703="","",_Engine!$AI761)</f>
        <v/>
      </c>
      <c r="G703" s="27">
        <f>IF(OR($A703="",_Engine!$D$41=0),"",INDEX(_Engine!$E761:$X761,1,(_Engine!$J$41-1)*4+3))</f>
        <v/>
      </c>
      <c r="H703" s="27">
        <f>IF(OR($A703="",_Engine!$D$42=0),"",INDEX(_Engine!$E761:$X761,1,(_Engine!$J$42-1)*4+3))</f>
        <v/>
      </c>
      <c r="I703" s="27">
        <f>IF(OR($A703="",_Engine!$D$43=0),"",INDEX(_Engine!$E761:$X761,1,(_Engine!$J$43-1)*4+3))</f>
        <v/>
      </c>
      <c r="J703" s="27">
        <f>IF(OR($A703="",_Engine!$D$44=0),"",INDEX(_Engine!$E761:$X761,1,(_Engine!$J$44-1)*4+3))</f>
        <v/>
      </c>
      <c r="K703" s="27">
        <f>IF(OR($A703="",_Engine!$D$45=0),"",INDEX(_Engine!$E761:$X761,1,(_Engine!$J$45-1)*4+3))</f>
        <v/>
      </c>
    </row>
    <row r="704">
      <c r="A704" s="25">
        <f>IF(701&lt;=_Engine!$B$36,701,"")</f>
        <v/>
      </c>
      <c r="B704" s="26">
        <f>IF($A704="","",EDATE(_Engine!$B$5,$A704-1))</f>
        <v/>
      </c>
      <c r="C704" s="27">
        <f>IF($A704="","",_Engine!$AJ762)</f>
        <v/>
      </c>
      <c r="D704" s="27">
        <f>IF($A704="","",_Engine!$AK762)</f>
        <v/>
      </c>
      <c r="E704" s="27">
        <f>IF($A704="","",_Engine!$AJ762-_Engine!$AK762)</f>
        <v/>
      </c>
      <c r="F704" s="27">
        <f>IF($A704="","",_Engine!$AI762)</f>
        <v/>
      </c>
      <c r="G704" s="27">
        <f>IF(OR($A704="",_Engine!$D$41=0),"",INDEX(_Engine!$E762:$X762,1,(_Engine!$J$41-1)*4+3))</f>
        <v/>
      </c>
      <c r="H704" s="27">
        <f>IF(OR($A704="",_Engine!$D$42=0),"",INDEX(_Engine!$E762:$X762,1,(_Engine!$J$42-1)*4+3))</f>
        <v/>
      </c>
      <c r="I704" s="27">
        <f>IF(OR($A704="",_Engine!$D$43=0),"",INDEX(_Engine!$E762:$X762,1,(_Engine!$J$43-1)*4+3))</f>
        <v/>
      </c>
      <c r="J704" s="27">
        <f>IF(OR($A704="",_Engine!$D$44=0),"",INDEX(_Engine!$E762:$X762,1,(_Engine!$J$44-1)*4+3))</f>
        <v/>
      </c>
      <c r="K704" s="27">
        <f>IF(OR($A704="",_Engine!$D$45=0),"",INDEX(_Engine!$E762:$X762,1,(_Engine!$J$45-1)*4+3))</f>
        <v/>
      </c>
    </row>
    <row r="705">
      <c r="A705" s="25">
        <f>IF(702&lt;=_Engine!$B$36,702,"")</f>
        <v/>
      </c>
      <c r="B705" s="26">
        <f>IF($A705="","",EDATE(_Engine!$B$5,$A705-1))</f>
        <v/>
      </c>
      <c r="C705" s="27">
        <f>IF($A705="","",_Engine!$AJ763)</f>
        <v/>
      </c>
      <c r="D705" s="27">
        <f>IF($A705="","",_Engine!$AK763)</f>
        <v/>
      </c>
      <c r="E705" s="27">
        <f>IF($A705="","",_Engine!$AJ763-_Engine!$AK763)</f>
        <v/>
      </c>
      <c r="F705" s="27">
        <f>IF($A705="","",_Engine!$AI763)</f>
        <v/>
      </c>
      <c r="G705" s="27">
        <f>IF(OR($A705="",_Engine!$D$41=0),"",INDEX(_Engine!$E763:$X763,1,(_Engine!$J$41-1)*4+3))</f>
        <v/>
      </c>
      <c r="H705" s="27">
        <f>IF(OR($A705="",_Engine!$D$42=0),"",INDEX(_Engine!$E763:$X763,1,(_Engine!$J$42-1)*4+3))</f>
        <v/>
      </c>
      <c r="I705" s="27">
        <f>IF(OR($A705="",_Engine!$D$43=0),"",INDEX(_Engine!$E763:$X763,1,(_Engine!$J$43-1)*4+3))</f>
        <v/>
      </c>
      <c r="J705" s="27">
        <f>IF(OR($A705="",_Engine!$D$44=0),"",INDEX(_Engine!$E763:$X763,1,(_Engine!$J$44-1)*4+3))</f>
        <v/>
      </c>
      <c r="K705" s="27">
        <f>IF(OR($A705="",_Engine!$D$45=0),"",INDEX(_Engine!$E763:$X763,1,(_Engine!$J$45-1)*4+3))</f>
        <v/>
      </c>
    </row>
    <row r="706">
      <c r="A706" s="25">
        <f>IF(703&lt;=_Engine!$B$36,703,"")</f>
        <v/>
      </c>
      <c r="B706" s="26">
        <f>IF($A706="","",EDATE(_Engine!$B$5,$A706-1))</f>
        <v/>
      </c>
      <c r="C706" s="27">
        <f>IF($A706="","",_Engine!$AJ764)</f>
        <v/>
      </c>
      <c r="D706" s="27">
        <f>IF($A706="","",_Engine!$AK764)</f>
        <v/>
      </c>
      <c r="E706" s="27">
        <f>IF($A706="","",_Engine!$AJ764-_Engine!$AK764)</f>
        <v/>
      </c>
      <c r="F706" s="27">
        <f>IF($A706="","",_Engine!$AI764)</f>
        <v/>
      </c>
      <c r="G706" s="27">
        <f>IF(OR($A706="",_Engine!$D$41=0),"",INDEX(_Engine!$E764:$X764,1,(_Engine!$J$41-1)*4+3))</f>
        <v/>
      </c>
      <c r="H706" s="27">
        <f>IF(OR($A706="",_Engine!$D$42=0),"",INDEX(_Engine!$E764:$X764,1,(_Engine!$J$42-1)*4+3))</f>
        <v/>
      </c>
      <c r="I706" s="27">
        <f>IF(OR($A706="",_Engine!$D$43=0),"",INDEX(_Engine!$E764:$X764,1,(_Engine!$J$43-1)*4+3))</f>
        <v/>
      </c>
      <c r="J706" s="27">
        <f>IF(OR($A706="",_Engine!$D$44=0),"",INDEX(_Engine!$E764:$X764,1,(_Engine!$J$44-1)*4+3))</f>
        <v/>
      </c>
      <c r="K706" s="27">
        <f>IF(OR($A706="",_Engine!$D$45=0),"",INDEX(_Engine!$E764:$X764,1,(_Engine!$J$45-1)*4+3))</f>
        <v/>
      </c>
    </row>
    <row r="707">
      <c r="A707" s="25">
        <f>IF(704&lt;=_Engine!$B$36,704,"")</f>
        <v/>
      </c>
      <c r="B707" s="26">
        <f>IF($A707="","",EDATE(_Engine!$B$5,$A707-1))</f>
        <v/>
      </c>
      <c r="C707" s="27">
        <f>IF($A707="","",_Engine!$AJ765)</f>
        <v/>
      </c>
      <c r="D707" s="27">
        <f>IF($A707="","",_Engine!$AK765)</f>
        <v/>
      </c>
      <c r="E707" s="27">
        <f>IF($A707="","",_Engine!$AJ765-_Engine!$AK765)</f>
        <v/>
      </c>
      <c r="F707" s="27">
        <f>IF($A707="","",_Engine!$AI765)</f>
        <v/>
      </c>
      <c r="G707" s="27">
        <f>IF(OR($A707="",_Engine!$D$41=0),"",INDEX(_Engine!$E765:$X765,1,(_Engine!$J$41-1)*4+3))</f>
        <v/>
      </c>
      <c r="H707" s="27">
        <f>IF(OR($A707="",_Engine!$D$42=0),"",INDEX(_Engine!$E765:$X765,1,(_Engine!$J$42-1)*4+3))</f>
        <v/>
      </c>
      <c r="I707" s="27">
        <f>IF(OR($A707="",_Engine!$D$43=0),"",INDEX(_Engine!$E765:$X765,1,(_Engine!$J$43-1)*4+3))</f>
        <v/>
      </c>
      <c r="J707" s="27">
        <f>IF(OR($A707="",_Engine!$D$44=0),"",INDEX(_Engine!$E765:$X765,1,(_Engine!$J$44-1)*4+3))</f>
        <v/>
      </c>
      <c r="K707" s="27">
        <f>IF(OR($A707="",_Engine!$D$45=0),"",INDEX(_Engine!$E765:$X765,1,(_Engine!$J$45-1)*4+3))</f>
        <v/>
      </c>
    </row>
    <row r="708">
      <c r="A708" s="25">
        <f>IF(705&lt;=_Engine!$B$36,705,"")</f>
        <v/>
      </c>
      <c r="B708" s="26">
        <f>IF($A708="","",EDATE(_Engine!$B$5,$A708-1))</f>
        <v/>
      </c>
      <c r="C708" s="27">
        <f>IF($A708="","",_Engine!$AJ766)</f>
        <v/>
      </c>
      <c r="D708" s="27">
        <f>IF($A708="","",_Engine!$AK766)</f>
        <v/>
      </c>
      <c r="E708" s="27">
        <f>IF($A708="","",_Engine!$AJ766-_Engine!$AK766)</f>
        <v/>
      </c>
      <c r="F708" s="27">
        <f>IF($A708="","",_Engine!$AI766)</f>
        <v/>
      </c>
      <c r="G708" s="27">
        <f>IF(OR($A708="",_Engine!$D$41=0),"",INDEX(_Engine!$E766:$X766,1,(_Engine!$J$41-1)*4+3))</f>
        <v/>
      </c>
      <c r="H708" s="27">
        <f>IF(OR($A708="",_Engine!$D$42=0),"",INDEX(_Engine!$E766:$X766,1,(_Engine!$J$42-1)*4+3))</f>
        <v/>
      </c>
      <c r="I708" s="27">
        <f>IF(OR($A708="",_Engine!$D$43=0),"",INDEX(_Engine!$E766:$X766,1,(_Engine!$J$43-1)*4+3))</f>
        <v/>
      </c>
      <c r="J708" s="27">
        <f>IF(OR($A708="",_Engine!$D$44=0),"",INDEX(_Engine!$E766:$X766,1,(_Engine!$J$44-1)*4+3))</f>
        <v/>
      </c>
      <c r="K708" s="27">
        <f>IF(OR($A708="",_Engine!$D$45=0),"",INDEX(_Engine!$E766:$X766,1,(_Engine!$J$45-1)*4+3))</f>
        <v/>
      </c>
    </row>
    <row r="709">
      <c r="A709" s="25">
        <f>IF(706&lt;=_Engine!$B$36,706,"")</f>
        <v/>
      </c>
      <c r="B709" s="26">
        <f>IF($A709="","",EDATE(_Engine!$B$5,$A709-1))</f>
        <v/>
      </c>
      <c r="C709" s="27">
        <f>IF($A709="","",_Engine!$AJ767)</f>
        <v/>
      </c>
      <c r="D709" s="27">
        <f>IF($A709="","",_Engine!$AK767)</f>
        <v/>
      </c>
      <c r="E709" s="27">
        <f>IF($A709="","",_Engine!$AJ767-_Engine!$AK767)</f>
        <v/>
      </c>
      <c r="F709" s="27">
        <f>IF($A709="","",_Engine!$AI767)</f>
        <v/>
      </c>
      <c r="G709" s="27">
        <f>IF(OR($A709="",_Engine!$D$41=0),"",INDEX(_Engine!$E767:$X767,1,(_Engine!$J$41-1)*4+3))</f>
        <v/>
      </c>
      <c r="H709" s="27">
        <f>IF(OR($A709="",_Engine!$D$42=0),"",INDEX(_Engine!$E767:$X767,1,(_Engine!$J$42-1)*4+3))</f>
        <v/>
      </c>
      <c r="I709" s="27">
        <f>IF(OR($A709="",_Engine!$D$43=0),"",INDEX(_Engine!$E767:$X767,1,(_Engine!$J$43-1)*4+3))</f>
        <v/>
      </c>
      <c r="J709" s="27">
        <f>IF(OR($A709="",_Engine!$D$44=0),"",INDEX(_Engine!$E767:$X767,1,(_Engine!$J$44-1)*4+3))</f>
        <v/>
      </c>
      <c r="K709" s="27">
        <f>IF(OR($A709="",_Engine!$D$45=0),"",INDEX(_Engine!$E767:$X767,1,(_Engine!$J$45-1)*4+3))</f>
        <v/>
      </c>
    </row>
    <row r="710">
      <c r="A710" s="25">
        <f>IF(707&lt;=_Engine!$B$36,707,"")</f>
        <v/>
      </c>
      <c r="B710" s="26">
        <f>IF($A710="","",EDATE(_Engine!$B$5,$A710-1))</f>
        <v/>
      </c>
      <c r="C710" s="27">
        <f>IF($A710="","",_Engine!$AJ768)</f>
        <v/>
      </c>
      <c r="D710" s="27">
        <f>IF($A710="","",_Engine!$AK768)</f>
        <v/>
      </c>
      <c r="E710" s="27">
        <f>IF($A710="","",_Engine!$AJ768-_Engine!$AK768)</f>
        <v/>
      </c>
      <c r="F710" s="27">
        <f>IF($A710="","",_Engine!$AI768)</f>
        <v/>
      </c>
      <c r="G710" s="27">
        <f>IF(OR($A710="",_Engine!$D$41=0),"",INDEX(_Engine!$E768:$X768,1,(_Engine!$J$41-1)*4+3))</f>
        <v/>
      </c>
      <c r="H710" s="27">
        <f>IF(OR($A710="",_Engine!$D$42=0),"",INDEX(_Engine!$E768:$X768,1,(_Engine!$J$42-1)*4+3))</f>
        <v/>
      </c>
      <c r="I710" s="27">
        <f>IF(OR($A710="",_Engine!$D$43=0),"",INDEX(_Engine!$E768:$X768,1,(_Engine!$J$43-1)*4+3))</f>
        <v/>
      </c>
      <c r="J710" s="27">
        <f>IF(OR($A710="",_Engine!$D$44=0),"",INDEX(_Engine!$E768:$X768,1,(_Engine!$J$44-1)*4+3))</f>
        <v/>
      </c>
      <c r="K710" s="27">
        <f>IF(OR($A710="",_Engine!$D$45=0),"",INDEX(_Engine!$E768:$X768,1,(_Engine!$J$45-1)*4+3))</f>
        <v/>
      </c>
    </row>
    <row r="711">
      <c r="A711" s="25">
        <f>IF(708&lt;=_Engine!$B$36,708,"")</f>
        <v/>
      </c>
      <c r="B711" s="26">
        <f>IF($A711="","",EDATE(_Engine!$B$5,$A711-1))</f>
        <v/>
      </c>
      <c r="C711" s="27">
        <f>IF($A711="","",_Engine!$AJ769)</f>
        <v/>
      </c>
      <c r="D711" s="27">
        <f>IF($A711="","",_Engine!$AK769)</f>
        <v/>
      </c>
      <c r="E711" s="27">
        <f>IF($A711="","",_Engine!$AJ769-_Engine!$AK769)</f>
        <v/>
      </c>
      <c r="F711" s="27">
        <f>IF($A711="","",_Engine!$AI769)</f>
        <v/>
      </c>
      <c r="G711" s="27">
        <f>IF(OR($A711="",_Engine!$D$41=0),"",INDEX(_Engine!$E769:$X769,1,(_Engine!$J$41-1)*4+3))</f>
        <v/>
      </c>
      <c r="H711" s="27">
        <f>IF(OR($A711="",_Engine!$D$42=0),"",INDEX(_Engine!$E769:$X769,1,(_Engine!$J$42-1)*4+3))</f>
        <v/>
      </c>
      <c r="I711" s="27">
        <f>IF(OR($A711="",_Engine!$D$43=0),"",INDEX(_Engine!$E769:$X769,1,(_Engine!$J$43-1)*4+3))</f>
        <v/>
      </c>
      <c r="J711" s="27">
        <f>IF(OR($A711="",_Engine!$D$44=0),"",INDEX(_Engine!$E769:$X769,1,(_Engine!$J$44-1)*4+3))</f>
        <v/>
      </c>
      <c r="K711" s="27">
        <f>IF(OR($A711="",_Engine!$D$45=0),"",INDEX(_Engine!$E769:$X769,1,(_Engine!$J$45-1)*4+3))</f>
        <v/>
      </c>
    </row>
    <row r="712">
      <c r="A712" s="25">
        <f>IF(709&lt;=_Engine!$B$36,709,"")</f>
        <v/>
      </c>
      <c r="B712" s="26">
        <f>IF($A712="","",EDATE(_Engine!$B$5,$A712-1))</f>
        <v/>
      </c>
      <c r="C712" s="27">
        <f>IF($A712="","",_Engine!$AJ770)</f>
        <v/>
      </c>
      <c r="D712" s="27">
        <f>IF($A712="","",_Engine!$AK770)</f>
        <v/>
      </c>
      <c r="E712" s="27">
        <f>IF($A712="","",_Engine!$AJ770-_Engine!$AK770)</f>
        <v/>
      </c>
      <c r="F712" s="27">
        <f>IF($A712="","",_Engine!$AI770)</f>
        <v/>
      </c>
      <c r="G712" s="27">
        <f>IF(OR($A712="",_Engine!$D$41=0),"",INDEX(_Engine!$E770:$X770,1,(_Engine!$J$41-1)*4+3))</f>
        <v/>
      </c>
      <c r="H712" s="27">
        <f>IF(OR($A712="",_Engine!$D$42=0),"",INDEX(_Engine!$E770:$X770,1,(_Engine!$J$42-1)*4+3))</f>
        <v/>
      </c>
      <c r="I712" s="27">
        <f>IF(OR($A712="",_Engine!$D$43=0),"",INDEX(_Engine!$E770:$X770,1,(_Engine!$J$43-1)*4+3))</f>
        <v/>
      </c>
      <c r="J712" s="27">
        <f>IF(OR($A712="",_Engine!$D$44=0),"",INDEX(_Engine!$E770:$X770,1,(_Engine!$J$44-1)*4+3))</f>
        <v/>
      </c>
      <c r="K712" s="27">
        <f>IF(OR($A712="",_Engine!$D$45=0),"",INDEX(_Engine!$E770:$X770,1,(_Engine!$J$45-1)*4+3))</f>
        <v/>
      </c>
    </row>
    <row r="713">
      <c r="A713" s="25">
        <f>IF(710&lt;=_Engine!$B$36,710,"")</f>
        <v/>
      </c>
      <c r="B713" s="26">
        <f>IF($A713="","",EDATE(_Engine!$B$5,$A713-1))</f>
        <v/>
      </c>
      <c r="C713" s="27">
        <f>IF($A713="","",_Engine!$AJ771)</f>
        <v/>
      </c>
      <c r="D713" s="27">
        <f>IF($A713="","",_Engine!$AK771)</f>
        <v/>
      </c>
      <c r="E713" s="27">
        <f>IF($A713="","",_Engine!$AJ771-_Engine!$AK771)</f>
        <v/>
      </c>
      <c r="F713" s="27">
        <f>IF($A713="","",_Engine!$AI771)</f>
        <v/>
      </c>
      <c r="G713" s="27">
        <f>IF(OR($A713="",_Engine!$D$41=0),"",INDEX(_Engine!$E771:$X771,1,(_Engine!$J$41-1)*4+3))</f>
        <v/>
      </c>
      <c r="H713" s="27">
        <f>IF(OR($A713="",_Engine!$D$42=0),"",INDEX(_Engine!$E771:$X771,1,(_Engine!$J$42-1)*4+3))</f>
        <v/>
      </c>
      <c r="I713" s="27">
        <f>IF(OR($A713="",_Engine!$D$43=0),"",INDEX(_Engine!$E771:$X771,1,(_Engine!$J$43-1)*4+3))</f>
        <v/>
      </c>
      <c r="J713" s="27">
        <f>IF(OR($A713="",_Engine!$D$44=0),"",INDEX(_Engine!$E771:$X771,1,(_Engine!$J$44-1)*4+3))</f>
        <v/>
      </c>
      <c r="K713" s="27">
        <f>IF(OR($A713="",_Engine!$D$45=0),"",INDEX(_Engine!$E771:$X771,1,(_Engine!$J$45-1)*4+3))</f>
        <v/>
      </c>
    </row>
    <row r="714">
      <c r="A714" s="25">
        <f>IF(711&lt;=_Engine!$B$36,711,"")</f>
        <v/>
      </c>
      <c r="B714" s="26">
        <f>IF($A714="","",EDATE(_Engine!$B$5,$A714-1))</f>
        <v/>
      </c>
      <c r="C714" s="27">
        <f>IF($A714="","",_Engine!$AJ772)</f>
        <v/>
      </c>
      <c r="D714" s="27">
        <f>IF($A714="","",_Engine!$AK772)</f>
        <v/>
      </c>
      <c r="E714" s="27">
        <f>IF($A714="","",_Engine!$AJ772-_Engine!$AK772)</f>
        <v/>
      </c>
      <c r="F714" s="27">
        <f>IF($A714="","",_Engine!$AI772)</f>
        <v/>
      </c>
      <c r="G714" s="27">
        <f>IF(OR($A714="",_Engine!$D$41=0),"",INDEX(_Engine!$E772:$X772,1,(_Engine!$J$41-1)*4+3))</f>
        <v/>
      </c>
      <c r="H714" s="27">
        <f>IF(OR($A714="",_Engine!$D$42=0),"",INDEX(_Engine!$E772:$X772,1,(_Engine!$J$42-1)*4+3))</f>
        <v/>
      </c>
      <c r="I714" s="27">
        <f>IF(OR($A714="",_Engine!$D$43=0),"",INDEX(_Engine!$E772:$X772,1,(_Engine!$J$43-1)*4+3))</f>
        <v/>
      </c>
      <c r="J714" s="27">
        <f>IF(OR($A714="",_Engine!$D$44=0),"",INDEX(_Engine!$E772:$X772,1,(_Engine!$J$44-1)*4+3))</f>
        <v/>
      </c>
      <c r="K714" s="27">
        <f>IF(OR($A714="",_Engine!$D$45=0),"",INDEX(_Engine!$E772:$X772,1,(_Engine!$J$45-1)*4+3))</f>
        <v/>
      </c>
    </row>
    <row r="715">
      <c r="A715" s="25">
        <f>IF(712&lt;=_Engine!$B$36,712,"")</f>
        <v/>
      </c>
      <c r="B715" s="26">
        <f>IF($A715="","",EDATE(_Engine!$B$5,$A715-1))</f>
        <v/>
      </c>
      <c r="C715" s="27">
        <f>IF($A715="","",_Engine!$AJ773)</f>
        <v/>
      </c>
      <c r="D715" s="27">
        <f>IF($A715="","",_Engine!$AK773)</f>
        <v/>
      </c>
      <c r="E715" s="27">
        <f>IF($A715="","",_Engine!$AJ773-_Engine!$AK773)</f>
        <v/>
      </c>
      <c r="F715" s="27">
        <f>IF($A715="","",_Engine!$AI773)</f>
        <v/>
      </c>
      <c r="G715" s="27">
        <f>IF(OR($A715="",_Engine!$D$41=0),"",INDEX(_Engine!$E773:$X773,1,(_Engine!$J$41-1)*4+3))</f>
        <v/>
      </c>
      <c r="H715" s="27">
        <f>IF(OR($A715="",_Engine!$D$42=0),"",INDEX(_Engine!$E773:$X773,1,(_Engine!$J$42-1)*4+3))</f>
        <v/>
      </c>
      <c r="I715" s="27">
        <f>IF(OR($A715="",_Engine!$D$43=0),"",INDEX(_Engine!$E773:$X773,1,(_Engine!$J$43-1)*4+3))</f>
        <v/>
      </c>
      <c r="J715" s="27">
        <f>IF(OR($A715="",_Engine!$D$44=0),"",INDEX(_Engine!$E773:$X773,1,(_Engine!$J$44-1)*4+3))</f>
        <v/>
      </c>
      <c r="K715" s="27">
        <f>IF(OR($A715="",_Engine!$D$45=0),"",INDEX(_Engine!$E773:$X773,1,(_Engine!$J$45-1)*4+3))</f>
        <v/>
      </c>
    </row>
    <row r="716">
      <c r="A716" s="25">
        <f>IF(713&lt;=_Engine!$B$36,713,"")</f>
        <v/>
      </c>
      <c r="B716" s="26">
        <f>IF($A716="","",EDATE(_Engine!$B$5,$A716-1))</f>
        <v/>
      </c>
      <c r="C716" s="27">
        <f>IF($A716="","",_Engine!$AJ774)</f>
        <v/>
      </c>
      <c r="D716" s="27">
        <f>IF($A716="","",_Engine!$AK774)</f>
        <v/>
      </c>
      <c r="E716" s="27">
        <f>IF($A716="","",_Engine!$AJ774-_Engine!$AK774)</f>
        <v/>
      </c>
      <c r="F716" s="27">
        <f>IF($A716="","",_Engine!$AI774)</f>
        <v/>
      </c>
      <c r="G716" s="27">
        <f>IF(OR($A716="",_Engine!$D$41=0),"",INDEX(_Engine!$E774:$X774,1,(_Engine!$J$41-1)*4+3))</f>
        <v/>
      </c>
      <c r="H716" s="27">
        <f>IF(OR($A716="",_Engine!$D$42=0),"",INDEX(_Engine!$E774:$X774,1,(_Engine!$J$42-1)*4+3))</f>
        <v/>
      </c>
      <c r="I716" s="27">
        <f>IF(OR($A716="",_Engine!$D$43=0),"",INDEX(_Engine!$E774:$X774,1,(_Engine!$J$43-1)*4+3))</f>
        <v/>
      </c>
      <c r="J716" s="27">
        <f>IF(OR($A716="",_Engine!$D$44=0),"",INDEX(_Engine!$E774:$X774,1,(_Engine!$J$44-1)*4+3))</f>
        <v/>
      </c>
      <c r="K716" s="27">
        <f>IF(OR($A716="",_Engine!$D$45=0),"",INDEX(_Engine!$E774:$X774,1,(_Engine!$J$45-1)*4+3))</f>
        <v/>
      </c>
    </row>
    <row r="717">
      <c r="A717" s="25">
        <f>IF(714&lt;=_Engine!$B$36,714,"")</f>
        <v/>
      </c>
      <c r="B717" s="26">
        <f>IF($A717="","",EDATE(_Engine!$B$5,$A717-1))</f>
        <v/>
      </c>
      <c r="C717" s="27">
        <f>IF($A717="","",_Engine!$AJ775)</f>
        <v/>
      </c>
      <c r="D717" s="27">
        <f>IF($A717="","",_Engine!$AK775)</f>
        <v/>
      </c>
      <c r="E717" s="27">
        <f>IF($A717="","",_Engine!$AJ775-_Engine!$AK775)</f>
        <v/>
      </c>
      <c r="F717" s="27">
        <f>IF($A717="","",_Engine!$AI775)</f>
        <v/>
      </c>
      <c r="G717" s="27">
        <f>IF(OR($A717="",_Engine!$D$41=0),"",INDEX(_Engine!$E775:$X775,1,(_Engine!$J$41-1)*4+3))</f>
        <v/>
      </c>
      <c r="H717" s="27">
        <f>IF(OR($A717="",_Engine!$D$42=0),"",INDEX(_Engine!$E775:$X775,1,(_Engine!$J$42-1)*4+3))</f>
        <v/>
      </c>
      <c r="I717" s="27">
        <f>IF(OR($A717="",_Engine!$D$43=0),"",INDEX(_Engine!$E775:$X775,1,(_Engine!$J$43-1)*4+3))</f>
        <v/>
      </c>
      <c r="J717" s="27">
        <f>IF(OR($A717="",_Engine!$D$44=0),"",INDEX(_Engine!$E775:$X775,1,(_Engine!$J$44-1)*4+3))</f>
        <v/>
      </c>
      <c r="K717" s="27">
        <f>IF(OR($A717="",_Engine!$D$45=0),"",INDEX(_Engine!$E775:$X775,1,(_Engine!$J$45-1)*4+3))</f>
        <v/>
      </c>
    </row>
    <row r="718">
      <c r="A718" s="25">
        <f>IF(715&lt;=_Engine!$B$36,715,"")</f>
        <v/>
      </c>
      <c r="B718" s="26">
        <f>IF($A718="","",EDATE(_Engine!$B$5,$A718-1))</f>
        <v/>
      </c>
      <c r="C718" s="27">
        <f>IF($A718="","",_Engine!$AJ776)</f>
        <v/>
      </c>
      <c r="D718" s="27">
        <f>IF($A718="","",_Engine!$AK776)</f>
        <v/>
      </c>
      <c r="E718" s="27">
        <f>IF($A718="","",_Engine!$AJ776-_Engine!$AK776)</f>
        <v/>
      </c>
      <c r="F718" s="27">
        <f>IF($A718="","",_Engine!$AI776)</f>
        <v/>
      </c>
      <c r="G718" s="27">
        <f>IF(OR($A718="",_Engine!$D$41=0),"",INDEX(_Engine!$E776:$X776,1,(_Engine!$J$41-1)*4+3))</f>
        <v/>
      </c>
      <c r="H718" s="27">
        <f>IF(OR($A718="",_Engine!$D$42=0),"",INDEX(_Engine!$E776:$X776,1,(_Engine!$J$42-1)*4+3))</f>
        <v/>
      </c>
      <c r="I718" s="27">
        <f>IF(OR($A718="",_Engine!$D$43=0),"",INDEX(_Engine!$E776:$X776,1,(_Engine!$J$43-1)*4+3))</f>
        <v/>
      </c>
      <c r="J718" s="27">
        <f>IF(OR($A718="",_Engine!$D$44=0),"",INDEX(_Engine!$E776:$X776,1,(_Engine!$J$44-1)*4+3))</f>
        <v/>
      </c>
      <c r="K718" s="27">
        <f>IF(OR($A718="",_Engine!$D$45=0),"",INDEX(_Engine!$E776:$X776,1,(_Engine!$J$45-1)*4+3))</f>
        <v/>
      </c>
    </row>
    <row r="719">
      <c r="A719" s="25">
        <f>IF(716&lt;=_Engine!$B$36,716,"")</f>
        <v/>
      </c>
      <c r="B719" s="26">
        <f>IF($A719="","",EDATE(_Engine!$B$5,$A719-1))</f>
        <v/>
      </c>
      <c r="C719" s="27">
        <f>IF($A719="","",_Engine!$AJ777)</f>
        <v/>
      </c>
      <c r="D719" s="27">
        <f>IF($A719="","",_Engine!$AK777)</f>
        <v/>
      </c>
      <c r="E719" s="27">
        <f>IF($A719="","",_Engine!$AJ777-_Engine!$AK777)</f>
        <v/>
      </c>
      <c r="F719" s="27">
        <f>IF($A719="","",_Engine!$AI777)</f>
        <v/>
      </c>
      <c r="G719" s="27">
        <f>IF(OR($A719="",_Engine!$D$41=0),"",INDEX(_Engine!$E777:$X777,1,(_Engine!$J$41-1)*4+3))</f>
        <v/>
      </c>
      <c r="H719" s="27">
        <f>IF(OR($A719="",_Engine!$D$42=0),"",INDEX(_Engine!$E777:$X777,1,(_Engine!$J$42-1)*4+3))</f>
        <v/>
      </c>
      <c r="I719" s="27">
        <f>IF(OR($A719="",_Engine!$D$43=0),"",INDEX(_Engine!$E777:$X777,1,(_Engine!$J$43-1)*4+3))</f>
        <v/>
      </c>
      <c r="J719" s="27">
        <f>IF(OR($A719="",_Engine!$D$44=0),"",INDEX(_Engine!$E777:$X777,1,(_Engine!$J$44-1)*4+3))</f>
        <v/>
      </c>
      <c r="K719" s="27">
        <f>IF(OR($A719="",_Engine!$D$45=0),"",INDEX(_Engine!$E777:$X777,1,(_Engine!$J$45-1)*4+3))</f>
        <v/>
      </c>
    </row>
    <row r="720">
      <c r="A720" s="25">
        <f>IF(717&lt;=_Engine!$B$36,717,"")</f>
        <v/>
      </c>
      <c r="B720" s="26">
        <f>IF($A720="","",EDATE(_Engine!$B$5,$A720-1))</f>
        <v/>
      </c>
      <c r="C720" s="27">
        <f>IF($A720="","",_Engine!$AJ778)</f>
        <v/>
      </c>
      <c r="D720" s="27">
        <f>IF($A720="","",_Engine!$AK778)</f>
        <v/>
      </c>
      <c r="E720" s="27">
        <f>IF($A720="","",_Engine!$AJ778-_Engine!$AK778)</f>
        <v/>
      </c>
      <c r="F720" s="27">
        <f>IF($A720="","",_Engine!$AI778)</f>
        <v/>
      </c>
      <c r="G720" s="27">
        <f>IF(OR($A720="",_Engine!$D$41=0),"",INDEX(_Engine!$E778:$X778,1,(_Engine!$J$41-1)*4+3))</f>
        <v/>
      </c>
      <c r="H720" s="27">
        <f>IF(OR($A720="",_Engine!$D$42=0),"",INDEX(_Engine!$E778:$X778,1,(_Engine!$J$42-1)*4+3))</f>
        <v/>
      </c>
      <c r="I720" s="27">
        <f>IF(OR($A720="",_Engine!$D$43=0),"",INDEX(_Engine!$E778:$X778,1,(_Engine!$J$43-1)*4+3))</f>
        <v/>
      </c>
      <c r="J720" s="27">
        <f>IF(OR($A720="",_Engine!$D$44=0),"",INDEX(_Engine!$E778:$X778,1,(_Engine!$J$44-1)*4+3))</f>
        <v/>
      </c>
      <c r="K720" s="27">
        <f>IF(OR($A720="",_Engine!$D$45=0),"",INDEX(_Engine!$E778:$X778,1,(_Engine!$J$45-1)*4+3))</f>
        <v/>
      </c>
    </row>
    <row r="721">
      <c r="A721" s="25">
        <f>IF(718&lt;=_Engine!$B$36,718,"")</f>
        <v/>
      </c>
      <c r="B721" s="26">
        <f>IF($A721="","",EDATE(_Engine!$B$5,$A721-1))</f>
        <v/>
      </c>
      <c r="C721" s="27">
        <f>IF($A721="","",_Engine!$AJ779)</f>
        <v/>
      </c>
      <c r="D721" s="27">
        <f>IF($A721="","",_Engine!$AK779)</f>
        <v/>
      </c>
      <c r="E721" s="27">
        <f>IF($A721="","",_Engine!$AJ779-_Engine!$AK779)</f>
        <v/>
      </c>
      <c r="F721" s="27">
        <f>IF($A721="","",_Engine!$AI779)</f>
        <v/>
      </c>
      <c r="G721" s="27">
        <f>IF(OR($A721="",_Engine!$D$41=0),"",INDEX(_Engine!$E779:$X779,1,(_Engine!$J$41-1)*4+3))</f>
        <v/>
      </c>
      <c r="H721" s="27">
        <f>IF(OR($A721="",_Engine!$D$42=0),"",INDEX(_Engine!$E779:$X779,1,(_Engine!$J$42-1)*4+3))</f>
        <v/>
      </c>
      <c r="I721" s="27">
        <f>IF(OR($A721="",_Engine!$D$43=0),"",INDEX(_Engine!$E779:$X779,1,(_Engine!$J$43-1)*4+3))</f>
        <v/>
      </c>
      <c r="J721" s="27">
        <f>IF(OR($A721="",_Engine!$D$44=0),"",INDEX(_Engine!$E779:$X779,1,(_Engine!$J$44-1)*4+3))</f>
        <v/>
      </c>
      <c r="K721" s="27">
        <f>IF(OR($A721="",_Engine!$D$45=0),"",INDEX(_Engine!$E779:$X779,1,(_Engine!$J$45-1)*4+3))</f>
        <v/>
      </c>
    </row>
    <row r="722">
      <c r="A722" s="25">
        <f>IF(719&lt;=_Engine!$B$36,719,"")</f>
        <v/>
      </c>
      <c r="B722" s="26">
        <f>IF($A722="","",EDATE(_Engine!$B$5,$A722-1))</f>
        <v/>
      </c>
      <c r="C722" s="27">
        <f>IF($A722="","",_Engine!$AJ780)</f>
        <v/>
      </c>
      <c r="D722" s="27">
        <f>IF($A722="","",_Engine!$AK780)</f>
        <v/>
      </c>
      <c r="E722" s="27">
        <f>IF($A722="","",_Engine!$AJ780-_Engine!$AK780)</f>
        <v/>
      </c>
      <c r="F722" s="27">
        <f>IF($A722="","",_Engine!$AI780)</f>
        <v/>
      </c>
      <c r="G722" s="27">
        <f>IF(OR($A722="",_Engine!$D$41=0),"",INDEX(_Engine!$E780:$X780,1,(_Engine!$J$41-1)*4+3))</f>
        <v/>
      </c>
      <c r="H722" s="27">
        <f>IF(OR($A722="",_Engine!$D$42=0),"",INDEX(_Engine!$E780:$X780,1,(_Engine!$J$42-1)*4+3))</f>
        <v/>
      </c>
      <c r="I722" s="27">
        <f>IF(OR($A722="",_Engine!$D$43=0),"",INDEX(_Engine!$E780:$X780,1,(_Engine!$J$43-1)*4+3))</f>
        <v/>
      </c>
      <c r="J722" s="27">
        <f>IF(OR($A722="",_Engine!$D$44=0),"",INDEX(_Engine!$E780:$X780,1,(_Engine!$J$44-1)*4+3))</f>
        <v/>
      </c>
      <c r="K722" s="27">
        <f>IF(OR($A722="",_Engine!$D$45=0),"",INDEX(_Engine!$E780:$X780,1,(_Engine!$J$45-1)*4+3))</f>
        <v/>
      </c>
    </row>
    <row r="723">
      <c r="A723" s="25">
        <f>IF(720&lt;=_Engine!$B$36,720,"")</f>
        <v/>
      </c>
      <c r="B723" s="26">
        <f>IF($A723="","",EDATE(_Engine!$B$5,$A723-1))</f>
        <v/>
      </c>
      <c r="C723" s="27">
        <f>IF($A723="","",_Engine!$AJ781)</f>
        <v/>
      </c>
      <c r="D723" s="27">
        <f>IF($A723="","",_Engine!$AK781)</f>
        <v/>
      </c>
      <c r="E723" s="27">
        <f>IF($A723="","",_Engine!$AJ781-_Engine!$AK781)</f>
        <v/>
      </c>
      <c r="F723" s="27">
        <f>IF($A723="","",_Engine!$AI781)</f>
        <v/>
      </c>
      <c r="G723" s="27">
        <f>IF(OR($A723="",_Engine!$D$41=0),"",INDEX(_Engine!$E781:$X781,1,(_Engine!$J$41-1)*4+3))</f>
        <v/>
      </c>
      <c r="H723" s="27">
        <f>IF(OR($A723="",_Engine!$D$42=0),"",INDEX(_Engine!$E781:$X781,1,(_Engine!$J$42-1)*4+3))</f>
        <v/>
      </c>
      <c r="I723" s="27">
        <f>IF(OR($A723="",_Engine!$D$43=0),"",INDEX(_Engine!$E781:$X781,1,(_Engine!$J$43-1)*4+3))</f>
        <v/>
      </c>
      <c r="J723" s="27">
        <f>IF(OR($A723="",_Engine!$D$44=0),"",INDEX(_Engine!$E781:$X781,1,(_Engine!$J$44-1)*4+3))</f>
        <v/>
      </c>
      <c r="K723" s="27">
        <f>IF(OR($A723="",_Engine!$D$45=0),"",INDEX(_Engine!$E781:$X781,1,(_Engine!$J$45-1)*4+3))</f>
        <v/>
      </c>
    </row>
    <row r="724">
      <c r="A724" s="25">
        <f>IF(721&lt;=_Engine!$B$36,721,"")</f>
        <v/>
      </c>
      <c r="B724" s="26">
        <f>IF($A724="","",EDATE(_Engine!$B$5,$A724-1))</f>
        <v/>
      </c>
      <c r="C724" s="27">
        <f>IF($A724="","",_Engine!$AJ782)</f>
        <v/>
      </c>
      <c r="D724" s="27">
        <f>IF($A724="","",_Engine!$AK782)</f>
        <v/>
      </c>
      <c r="E724" s="27">
        <f>IF($A724="","",_Engine!$AJ782-_Engine!$AK782)</f>
        <v/>
      </c>
      <c r="F724" s="27">
        <f>IF($A724="","",_Engine!$AI782)</f>
        <v/>
      </c>
      <c r="G724" s="27">
        <f>IF(OR($A724="",_Engine!$D$41=0),"",INDEX(_Engine!$E782:$X782,1,(_Engine!$J$41-1)*4+3))</f>
        <v/>
      </c>
      <c r="H724" s="27">
        <f>IF(OR($A724="",_Engine!$D$42=0),"",INDEX(_Engine!$E782:$X782,1,(_Engine!$J$42-1)*4+3))</f>
        <v/>
      </c>
      <c r="I724" s="27">
        <f>IF(OR($A724="",_Engine!$D$43=0),"",INDEX(_Engine!$E782:$X782,1,(_Engine!$J$43-1)*4+3))</f>
        <v/>
      </c>
      <c r="J724" s="27">
        <f>IF(OR($A724="",_Engine!$D$44=0),"",INDEX(_Engine!$E782:$X782,1,(_Engine!$J$44-1)*4+3))</f>
        <v/>
      </c>
      <c r="K724" s="27">
        <f>IF(OR($A724="",_Engine!$D$45=0),"",INDEX(_Engine!$E782:$X782,1,(_Engine!$J$45-1)*4+3))</f>
        <v/>
      </c>
    </row>
    <row r="725">
      <c r="A725" s="25">
        <f>IF(722&lt;=_Engine!$B$36,722,"")</f>
        <v/>
      </c>
      <c r="B725" s="26">
        <f>IF($A725="","",EDATE(_Engine!$B$5,$A725-1))</f>
        <v/>
      </c>
      <c r="C725" s="27">
        <f>IF($A725="","",_Engine!$AJ783)</f>
        <v/>
      </c>
      <c r="D725" s="27">
        <f>IF($A725="","",_Engine!$AK783)</f>
        <v/>
      </c>
      <c r="E725" s="27">
        <f>IF($A725="","",_Engine!$AJ783-_Engine!$AK783)</f>
        <v/>
      </c>
      <c r="F725" s="27">
        <f>IF($A725="","",_Engine!$AI783)</f>
        <v/>
      </c>
      <c r="G725" s="27">
        <f>IF(OR($A725="",_Engine!$D$41=0),"",INDEX(_Engine!$E783:$X783,1,(_Engine!$J$41-1)*4+3))</f>
        <v/>
      </c>
      <c r="H725" s="27">
        <f>IF(OR($A725="",_Engine!$D$42=0),"",INDEX(_Engine!$E783:$X783,1,(_Engine!$J$42-1)*4+3))</f>
        <v/>
      </c>
      <c r="I725" s="27">
        <f>IF(OR($A725="",_Engine!$D$43=0),"",INDEX(_Engine!$E783:$X783,1,(_Engine!$J$43-1)*4+3))</f>
        <v/>
      </c>
      <c r="J725" s="27">
        <f>IF(OR($A725="",_Engine!$D$44=0),"",INDEX(_Engine!$E783:$X783,1,(_Engine!$J$44-1)*4+3))</f>
        <v/>
      </c>
      <c r="K725" s="27">
        <f>IF(OR($A725="",_Engine!$D$45=0),"",INDEX(_Engine!$E783:$X783,1,(_Engine!$J$45-1)*4+3))</f>
        <v/>
      </c>
    </row>
    <row r="726">
      <c r="A726" s="25">
        <f>IF(723&lt;=_Engine!$B$36,723,"")</f>
        <v/>
      </c>
      <c r="B726" s="26">
        <f>IF($A726="","",EDATE(_Engine!$B$5,$A726-1))</f>
        <v/>
      </c>
      <c r="C726" s="27">
        <f>IF($A726="","",_Engine!$AJ784)</f>
        <v/>
      </c>
      <c r="D726" s="27">
        <f>IF($A726="","",_Engine!$AK784)</f>
        <v/>
      </c>
      <c r="E726" s="27">
        <f>IF($A726="","",_Engine!$AJ784-_Engine!$AK784)</f>
        <v/>
      </c>
      <c r="F726" s="27">
        <f>IF($A726="","",_Engine!$AI784)</f>
        <v/>
      </c>
      <c r="G726" s="27">
        <f>IF(OR($A726="",_Engine!$D$41=0),"",INDEX(_Engine!$E784:$X784,1,(_Engine!$J$41-1)*4+3))</f>
        <v/>
      </c>
      <c r="H726" s="27">
        <f>IF(OR($A726="",_Engine!$D$42=0),"",INDEX(_Engine!$E784:$X784,1,(_Engine!$J$42-1)*4+3))</f>
        <v/>
      </c>
      <c r="I726" s="27">
        <f>IF(OR($A726="",_Engine!$D$43=0),"",INDEX(_Engine!$E784:$X784,1,(_Engine!$J$43-1)*4+3))</f>
        <v/>
      </c>
      <c r="J726" s="27">
        <f>IF(OR($A726="",_Engine!$D$44=0),"",INDEX(_Engine!$E784:$X784,1,(_Engine!$J$44-1)*4+3))</f>
        <v/>
      </c>
      <c r="K726" s="27">
        <f>IF(OR($A726="",_Engine!$D$45=0),"",INDEX(_Engine!$E784:$X784,1,(_Engine!$J$45-1)*4+3))</f>
        <v/>
      </c>
    </row>
    <row r="727">
      <c r="A727" s="25">
        <f>IF(724&lt;=_Engine!$B$36,724,"")</f>
        <v/>
      </c>
      <c r="B727" s="26">
        <f>IF($A727="","",EDATE(_Engine!$B$5,$A727-1))</f>
        <v/>
      </c>
      <c r="C727" s="27">
        <f>IF($A727="","",_Engine!$AJ785)</f>
        <v/>
      </c>
      <c r="D727" s="27">
        <f>IF($A727="","",_Engine!$AK785)</f>
        <v/>
      </c>
      <c r="E727" s="27">
        <f>IF($A727="","",_Engine!$AJ785-_Engine!$AK785)</f>
        <v/>
      </c>
      <c r="F727" s="27">
        <f>IF($A727="","",_Engine!$AI785)</f>
        <v/>
      </c>
      <c r="G727" s="27">
        <f>IF(OR($A727="",_Engine!$D$41=0),"",INDEX(_Engine!$E785:$X785,1,(_Engine!$J$41-1)*4+3))</f>
        <v/>
      </c>
      <c r="H727" s="27">
        <f>IF(OR($A727="",_Engine!$D$42=0),"",INDEX(_Engine!$E785:$X785,1,(_Engine!$J$42-1)*4+3))</f>
        <v/>
      </c>
      <c r="I727" s="27">
        <f>IF(OR($A727="",_Engine!$D$43=0),"",INDEX(_Engine!$E785:$X785,1,(_Engine!$J$43-1)*4+3))</f>
        <v/>
      </c>
      <c r="J727" s="27">
        <f>IF(OR($A727="",_Engine!$D$44=0),"",INDEX(_Engine!$E785:$X785,1,(_Engine!$J$44-1)*4+3))</f>
        <v/>
      </c>
      <c r="K727" s="27">
        <f>IF(OR($A727="",_Engine!$D$45=0),"",INDEX(_Engine!$E785:$X785,1,(_Engine!$J$45-1)*4+3))</f>
        <v/>
      </c>
    </row>
    <row r="728">
      <c r="A728" s="25">
        <f>IF(725&lt;=_Engine!$B$36,725,"")</f>
        <v/>
      </c>
      <c r="B728" s="26">
        <f>IF($A728="","",EDATE(_Engine!$B$5,$A728-1))</f>
        <v/>
      </c>
      <c r="C728" s="27">
        <f>IF($A728="","",_Engine!$AJ786)</f>
        <v/>
      </c>
      <c r="D728" s="27">
        <f>IF($A728="","",_Engine!$AK786)</f>
        <v/>
      </c>
      <c r="E728" s="27">
        <f>IF($A728="","",_Engine!$AJ786-_Engine!$AK786)</f>
        <v/>
      </c>
      <c r="F728" s="27">
        <f>IF($A728="","",_Engine!$AI786)</f>
        <v/>
      </c>
      <c r="G728" s="27">
        <f>IF(OR($A728="",_Engine!$D$41=0),"",INDEX(_Engine!$E786:$X786,1,(_Engine!$J$41-1)*4+3))</f>
        <v/>
      </c>
      <c r="H728" s="27">
        <f>IF(OR($A728="",_Engine!$D$42=0),"",INDEX(_Engine!$E786:$X786,1,(_Engine!$J$42-1)*4+3))</f>
        <v/>
      </c>
      <c r="I728" s="27">
        <f>IF(OR($A728="",_Engine!$D$43=0),"",INDEX(_Engine!$E786:$X786,1,(_Engine!$J$43-1)*4+3))</f>
        <v/>
      </c>
      <c r="J728" s="27">
        <f>IF(OR($A728="",_Engine!$D$44=0),"",INDEX(_Engine!$E786:$X786,1,(_Engine!$J$44-1)*4+3))</f>
        <v/>
      </c>
      <c r="K728" s="27">
        <f>IF(OR($A728="",_Engine!$D$45=0),"",INDEX(_Engine!$E786:$X786,1,(_Engine!$J$45-1)*4+3))</f>
        <v/>
      </c>
    </row>
    <row r="729">
      <c r="A729" s="25">
        <f>IF(726&lt;=_Engine!$B$36,726,"")</f>
        <v/>
      </c>
      <c r="B729" s="26">
        <f>IF($A729="","",EDATE(_Engine!$B$5,$A729-1))</f>
        <v/>
      </c>
      <c r="C729" s="27">
        <f>IF($A729="","",_Engine!$AJ787)</f>
        <v/>
      </c>
      <c r="D729" s="27">
        <f>IF($A729="","",_Engine!$AK787)</f>
        <v/>
      </c>
      <c r="E729" s="27">
        <f>IF($A729="","",_Engine!$AJ787-_Engine!$AK787)</f>
        <v/>
      </c>
      <c r="F729" s="27">
        <f>IF($A729="","",_Engine!$AI787)</f>
        <v/>
      </c>
      <c r="G729" s="27">
        <f>IF(OR($A729="",_Engine!$D$41=0),"",INDEX(_Engine!$E787:$X787,1,(_Engine!$J$41-1)*4+3))</f>
        <v/>
      </c>
      <c r="H729" s="27">
        <f>IF(OR($A729="",_Engine!$D$42=0),"",INDEX(_Engine!$E787:$X787,1,(_Engine!$J$42-1)*4+3))</f>
        <v/>
      </c>
      <c r="I729" s="27">
        <f>IF(OR($A729="",_Engine!$D$43=0),"",INDEX(_Engine!$E787:$X787,1,(_Engine!$J$43-1)*4+3))</f>
        <v/>
      </c>
      <c r="J729" s="27">
        <f>IF(OR($A729="",_Engine!$D$44=0),"",INDEX(_Engine!$E787:$X787,1,(_Engine!$J$44-1)*4+3))</f>
        <v/>
      </c>
      <c r="K729" s="27">
        <f>IF(OR($A729="",_Engine!$D$45=0),"",INDEX(_Engine!$E787:$X787,1,(_Engine!$J$45-1)*4+3))</f>
        <v/>
      </c>
    </row>
    <row r="730">
      <c r="A730" s="25">
        <f>IF(727&lt;=_Engine!$B$36,727,"")</f>
        <v/>
      </c>
      <c r="B730" s="26">
        <f>IF($A730="","",EDATE(_Engine!$B$5,$A730-1))</f>
        <v/>
      </c>
      <c r="C730" s="27">
        <f>IF($A730="","",_Engine!$AJ788)</f>
        <v/>
      </c>
      <c r="D730" s="27">
        <f>IF($A730="","",_Engine!$AK788)</f>
        <v/>
      </c>
      <c r="E730" s="27">
        <f>IF($A730="","",_Engine!$AJ788-_Engine!$AK788)</f>
        <v/>
      </c>
      <c r="F730" s="27">
        <f>IF($A730="","",_Engine!$AI788)</f>
        <v/>
      </c>
      <c r="G730" s="27">
        <f>IF(OR($A730="",_Engine!$D$41=0),"",INDEX(_Engine!$E788:$X788,1,(_Engine!$J$41-1)*4+3))</f>
        <v/>
      </c>
      <c r="H730" s="27">
        <f>IF(OR($A730="",_Engine!$D$42=0),"",INDEX(_Engine!$E788:$X788,1,(_Engine!$J$42-1)*4+3))</f>
        <v/>
      </c>
      <c r="I730" s="27">
        <f>IF(OR($A730="",_Engine!$D$43=0),"",INDEX(_Engine!$E788:$X788,1,(_Engine!$J$43-1)*4+3))</f>
        <v/>
      </c>
      <c r="J730" s="27">
        <f>IF(OR($A730="",_Engine!$D$44=0),"",INDEX(_Engine!$E788:$X788,1,(_Engine!$J$44-1)*4+3))</f>
        <v/>
      </c>
      <c r="K730" s="27">
        <f>IF(OR($A730="",_Engine!$D$45=0),"",INDEX(_Engine!$E788:$X788,1,(_Engine!$J$45-1)*4+3))</f>
        <v/>
      </c>
    </row>
    <row r="731">
      <c r="A731" s="25">
        <f>IF(728&lt;=_Engine!$B$36,728,"")</f>
        <v/>
      </c>
      <c r="B731" s="26">
        <f>IF($A731="","",EDATE(_Engine!$B$5,$A731-1))</f>
        <v/>
      </c>
      <c r="C731" s="27">
        <f>IF($A731="","",_Engine!$AJ789)</f>
        <v/>
      </c>
      <c r="D731" s="27">
        <f>IF($A731="","",_Engine!$AK789)</f>
        <v/>
      </c>
      <c r="E731" s="27">
        <f>IF($A731="","",_Engine!$AJ789-_Engine!$AK789)</f>
        <v/>
      </c>
      <c r="F731" s="27">
        <f>IF($A731="","",_Engine!$AI789)</f>
        <v/>
      </c>
      <c r="G731" s="27">
        <f>IF(OR($A731="",_Engine!$D$41=0),"",INDEX(_Engine!$E789:$X789,1,(_Engine!$J$41-1)*4+3))</f>
        <v/>
      </c>
      <c r="H731" s="27">
        <f>IF(OR($A731="",_Engine!$D$42=0),"",INDEX(_Engine!$E789:$X789,1,(_Engine!$J$42-1)*4+3))</f>
        <v/>
      </c>
      <c r="I731" s="27">
        <f>IF(OR($A731="",_Engine!$D$43=0),"",INDEX(_Engine!$E789:$X789,1,(_Engine!$J$43-1)*4+3))</f>
        <v/>
      </c>
      <c r="J731" s="27">
        <f>IF(OR($A731="",_Engine!$D$44=0),"",INDEX(_Engine!$E789:$X789,1,(_Engine!$J$44-1)*4+3))</f>
        <v/>
      </c>
      <c r="K731" s="27">
        <f>IF(OR($A731="",_Engine!$D$45=0),"",INDEX(_Engine!$E789:$X789,1,(_Engine!$J$45-1)*4+3))</f>
        <v/>
      </c>
    </row>
    <row r="732">
      <c r="A732" s="25">
        <f>IF(729&lt;=_Engine!$B$36,729,"")</f>
        <v/>
      </c>
      <c r="B732" s="26">
        <f>IF($A732="","",EDATE(_Engine!$B$5,$A732-1))</f>
        <v/>
      </c>
      <c r="C732" s="27">
        <f>IF($A732="","",_Engine!$AJ790)</f>
        <v/>
      </c>
      <c r="D732" s="27">
        <f>IF($A732="","",_Engine!$AK790)</f>
        <v/>
      </c>
      <c r="E732" s="27">
        <f>IF($A732="","",_Engine!$AJ790-_Engine!$AK790)</f>
        <v/>
      </c>
      <c r="F732" s="27">
        <f>IF($A732="","",_Engine!$AI790)</f>
        <v/>
      </c>
      <c r="G732" s="27">
        <f>IF(OR($A732="",_Engine!$D$41=0),"",INDEX(_Engine!$E790:$X790,1,(_Engine!$J$41-1)*4+3))</f>
        <v/>
      </c>
      <c r="H732" s="27">
        <f>IF(OR($A732="",_Engine!$D$42=0),"",INDEX(_Engine!$E790:$X790,1,(_Engine!$J$42-1)*4+3))</f>
        <v/>
      </c>
      <c r="I732" s="27">
        <f>IF(OR($A732="",_Engine!$D$43=0),"",INDEX(_Engine!$E790:$X790,1,(_Engine!$J$43-1)*4+3))</f>
        <v/>
      </c>
      <c r="J732" s="27">
        <f>IF(OR($A732="",_Engine!$D$44=0),"",INDEX(_Engine!$E790:$X790,1,(_Engine!$J$44-1)*4+3))</f>
        <v/>
      </c>
      <c r="K732" s="27">
        <f>IF(OR($A732="",_Engine!$D$45=0),"",INDEX(_Engine!$E790:$X790,1,(_Engine!$J$45-1)*4+3))</f>
        <v/>
      </c>
    </row>
    <row r="733">
      <c r="A733" s="25">
        <f>IF(730&lt;=_Engine!$B$36,730,"")</f>
        <v/>
      </c>
      <c r="B733" s="26">
        <f>IF($A733="","",EDATE(_Engine!$B$5,$A733-1))</f>
        <v/>
      </c>
      <c r="C733" s="27">
        <f>IF($A733="","",_Engine!$AJ791)</f>
        <v/>
      </c>
      <c r="D733" s="27">
        <f>IF($A733="","",_Engine!$AK791)</f>
        <v/>
      </c>
      <c r="E733" s="27">
        <f>IF($A733="","",_Engine!$AJ791-_Engine!$AK791)</f>
        <v/>
      </c>
      <c r="F733" s="27">
        <f>IF($A733="","",_Engine!$AI791)</f>
        <v/>
      </c>
      <c r="G733" s="27">
        <f>IF(OR($A733="",_Engine!$D$41=0),"",INDEX(_Engine!$E791:$X791,1,(_Engine!$J$41-1)*4+3))</f>
        <v/>
      </c>
      <c r="H733" s="27">
        <f>IF(OR($A733="",_Engine!$D$42=0),"",INDEX(_Engine!$E791:$X791,1,(_Engine!$J$42-1)*4+3))</f>
        <v/>
      </c>
      <c r="I733" s="27">
        <f>IF(OR($A733="",_Engine!$D$43=0),"",INDEX(_Engine!$E791:$X791,1,(_Engine!$J$43-1)*4+3))</f>
        <v/>
      </c>
      <c r="J733" s="27">
        <f>IF(OR($A733="",_Engine!$D$44=0),"",INDEX(_Engine!$E791:$X791,1,(_Engine!$J$44-1)*4+3))</f>
        <v/>
      </c>
      <c r="K733" s="27">
        <f>IF(OR($A733="",_Engine!$D$45=0),"",INDEX(_Engine!$E791:$X791,1,(_Engine!$J$45-1)*4+3))</f>
        <v/>
      </c>
    </row>
    <row r="734">
      <c r="A734" s="25">
        <f>IF(731&lt;=_Engine!$B$36,731,"")</f>
        <v/>
      </c>
      <c r="B734" s="26">
        <f>IF($A734="","",EDATE(_Engine!$B$5,$A734-1))</f>
        <v/>
      </c>
      <c r="C734" s="27">
        <f>IF($A734="","",_Engine!$AJ792)</f>
        <v/>
      </c>
      <c r="D734" s="27">
        <f>IF($A734="","",_Engine!$AK792)</f>
        <v/>
      </c>
      <c r="E734" s="27">
        <f>IF($A734="","",_Engine!$AJ792-_Engine!$AK792)</f>
        <v/>
      </c>
      <c r="F734" s="27">
        <f>IF($A734="","",_Engine!$AI792)</f>
        <v/>
      </c>
      <c r="G734" s="27">
        <f>IF(OR($A734="",_Engine!$D$41=0),"",INDEX(_Engine!$E792:$X792,1,(_Engine!$J$41-1)*4+3))</f>
        <v/>
      </c>
      <c r="H734" s="27">
        <f>IF(OR($A734="",_Engine!$D$42=0),"",INDEX(_Engine!$E792:$X792,1,(_Engine!$J$42-1)*4+3))</f>
        <v/>
      </c>
      <c r="I734" s="27">
        <f>IF(OR($A734="",_Engine!$D$43=0),"",INDEX(_Engine!$E792:$X792,1,(_Engine!$J$43-1)*4+3))</f>
        <v/>
      </c>
      <c r="J734" s="27">
        <f>IF(OR($A734="",_Engine!$D$44=0),"",INDEX(_Engine!$E792:$X792,1,(_Engine!$J$44-1)*4+3))</f>
        <v/>
      </c>
      <c r="K734" s="27">
        <f>IF(OR($A734="",_Engine!$D$45=0),"",INDEX(_Engine!$E792:$X792,1,(_Engine!$J$45-1)*4+3))</f>
        <v/>
      </c>
    </row>
    <row r="735">
      <c r="A735" s="25">
        <f>IF(732&lt;=_Engine!$B$36,732,"")</f>
        <v/>
      </c>
      <c r="B735" s="26">
        <f>IF($A735="","",EDATE(_Engine!$B$5,$A735-1))</f>
        <v/>
      </c>
      <c r="C735" s="27">
        <f>IF($A735="","",_Engine!$AJ793)</f>
        <v/>
      </c>
      <c r="D735" s="27">
        <f>IF($A735="","",_Engine!$AK793)</f>
        <v/>
      </c>
      <c r="E735" s="27">
        <f>IF($A735="","",_Engine!$AJ793-_Engine!$AK793)</f>
        <v/>
      </c>
      <c r="F735" s="27">
        <f>IF($A735="","",_Engine!$AI793)</f>
        <v/>
      </c>
      <c r="G735" s="27">
        <f>IF(OR($A735="",_Engine!$D$41=0),"",INDEX(_Engine!$E793:$X793,1,(_Engine!$J$41-1)*4+3))</f>
        <v/>
      </c>
      <c r="H735" s="27">
        <f>IF(OR($A735="",_Engine!$D$42=0),"",INDEX(_Engine!$E793:$X793,1,(_Engine!$J$42-1)*4+3))</f>
        <v/>
      </c>
      <c r="I735" s="27">
        <f>IF(OR($A735="",_Engine!$D$43=0),"",INDEX(_Engine!$E793:$X793,1,(_Engine!$J$43-1)*4+3))</f>
        <v/>
      </c>
      <c r="J735" s="27">
        <f>IF(OR($A735="",_Engine!$D$44=0),"",INDEX(_Engine!$E793:$X793,1,(_Engine!$J$44-1)*4+3))</f>
        <v/>
      </c>
      <c r="K735" s="27">
        <f>IF(OR($A735="",_Engine!$D$45=0),"",INDEX(_Engine!$E793:$X793,1,(_Engine!$J$45-1)*4+3))</f>
        <v/>
      </c>
    </row>
    <row r="736">
      <c r="A736" s="25">
        <f>IF(733&lt;=_Engine!$B$36,733,"")</f>
        <v/>
      </c>
      <c r="B736" s="26">
        <f>IF($A736="","",EDATE(_Engine!$B$5,$A736-1))</f>
        <v/>
      </c>
      <c r="C736" s="27">
        <f>IF($A736="","",_Engine!$AJ794)</f>
        <v/>
      </c>
      <c r="D736" s="27">
        <f>IF($A736="","",_Engine!$AK794)</f>
        <v/>
      </c>
      <c r="E736" s="27">
        <f>IF($A736="","",_Engine!$AJ794-_Engine!$AK794)</f>
        <v/>
      </c>
      <c r="F736" s="27">
        <f>IF($A736="","",_Engine!$AI794)</f>
        <v/>
      </c>
      <c r="G736" s="27">
        <f>IF(OR($A736="",_Engine!$D$41=0),"",INDEX(_Engine!$E794:$X794,1,(_Engine!$J$41-1)*4+3))</f>
        <v/>
      </c>
      <c r="H736" s="27">
        <f>IF(OR($A736="",_Engine!$D$42=0),"",INDEX(_Engine!$E794:$X794,1,(_Engine!$J$42-1)*4+3))</f>
        <v/>
      </c>
      <c r="I736" s="27">
        <f>IF(OR($A736="",_Engine!$D$43=0),"",INDEX(_Engine!$E794:$X794,1,(_Engine!$J$43-1)*4+3))</f>
        <v/>
      </c>
      <c r="J736" s="27">
        <f>IF(OR($A736="",_Engine!$D$44=0),"",INDEX(_Engine!$E794:$X794,1,(_Engine!$J$44-1)*4+3))</f>
        <v/>
      </c>
      <c r="K736" s="27">
        <f>IF(OR($A736="",_Engine!$D$45=0),"",INDEX(_Engine!$E794:$X794,1,(_Engine!$J$45-1)*4+3))</f>
        <v/>
      </c>
    </row>
    <row r="737">
      <c r="A737" s="25">
        <f>IF(734&lt;=_Engine!$B$36,734,"")</f>
        <v/>
      </c>
      <c r="B737" s="26">
        <f>IF($A737="","",EDATE(_Engine!$B$5,$A737-1))</f>
        <v/>
      </c>
      <c r="C737" s="27">
        <f>IF($A737="","",_Engine!$AJ795)</f>
        <v/>
      </c>
      <c r="D737" s="27">
        <f>IF($A737="","",_Engine!$AK795)</f>
        <v/>
      </c>
      <c r="E737" s="27">
        <f>IF($A737="","",_Engine!$AJ795-_Engine!$AK795)</f>
        <v/>
      </c>
      <c r="F737" s="27">
        <f>IF($A737="","",_Engine!$AI795)</f>
        <v/>
      </c>
      <c r="G737" s="27">
        <f>IF(OR($A737="",_Engine!$D$41=0),"",INDEX(_Engine!$E795:$X795,1,(_Engine!$J$41-1)*4+3))</f>
        <v/>
      </c>
      <c r="H737" s="27">
        <f>IF(OR($A737="",_Engine!$D$42=0),"",INDEX(_Engine!$E795:$X795,1,(_Engine!$J$42-1)*4+3))</f>
        <v/>
      </c>
      <c r="I737" s="27">
        <f>IF(OR($A737="",_Engine!$D$43=0),"",INDEX(_Engine!$E795:$X795,1,(_Engine!$J$43-1)*4+3))</f>
        <v/>
      </c>
      <c r="J737" s="27">
        <f>IF(OR($A737="",_Engine!$D$44=0),"",INDEX(_Engine!$E795:$X795,1,(_Engine!$J$44-1)*4+3))</f>
        <v/>
      </c>
      <c r="K737" s="27">
        <f>IF(OR($A737="",_Engine!$D$45=0),"",INDEX(_Engine!$E795:$X795,1,(_Engine!$J$45-1)*4+3))</f>
        <v/>
      </c>
    </row>
    <row r="738">
      <c r="A738" s="25">
        <f>IF(735&lt;=_Engine!$B$36,735,"")</f>
        <v/>
      </c>
      <c r="B738" s="26">
        <f>IF($A738="","",EDATE(_Engine!$B$5,$A738-1))</f>
        <v/>
      </c>
      <c r="C738" s="27">
        <f>IF($A738="","",_Engine!$AJ796)</f>
        <v/>
      </c>
      <c r="D738" s="27">
        <f>IF($A738="","",_Engine!$AK796)</f>
        <v/>
      </c>
      <c r="E738" s="27">
        <f>IF($A738="","",_Engine!$AJ796-_Engine!$AK796)</f>
        <v/>
      </c>
      <c r="F738" s="27">
        <f>IF($A738="","",_Engine!$AI796)</f>
        <v/>
      </c>
      <c r="G738" s="27">
        <f>IF(OR($A738="",_Engine!$D$41=0),"",INDEX(_Engine!$E796:$X796,1,(_Engine!$J$41-1)*4+3))</f>
        <v/>
      </c>
      <c r="H738" s="27">
        <f>IF(OR($A738="",_Engine!$D$42=0),"",INDEX(_Engine!$E796:$X796,1,(_Engine!$J$42-1)*4+3))</f>
        <v/>
      </c>
      <c r="I738" s="27">
        <f>IF(OR($A738="",_Engine!$D$43=0),"",INDEX(_Engine!$E796:$X796,1,(_Engine!$J$43-1)*4+3))</f>
        <v/>
      </c>
      <c r="J738" s="27">
        <f>IF(OR($A738="",_Engine!$D$44=0),"",INDEX(_Engine!$E796:$X796,1,(_Engine!$J$44-1)*4+3))</f>
        <v/>
      </c>
      <c r="K738" s="27">
        <f>IF(OR($A738="",_Engine!$D$45=0),"",INDEX(_Engine!$E796:$X796,1,(_Engine!$J$45-1)*4+3))</f>
        <v/>
      </c>
    </row>
    <row r="739">
      <c r="A739" s="25">
        <f>IF(736&lt;=_Engine!$B$36,736,"")</f>
        <v/>
      </c>
      <c r="B739" s="26">
        <f>IF($A739="","",EDATE(_Engine!$B$5,$A739-1))</f>
        <v/>
      </c>
      <c r="C739" s="27">
        <f>IF($A739="","",_Engine!$AJ797)</f>
        <v/>
      </c>
      <c r="D739" s="27">
        <f>IF($A739="","",_Engine!$AK797)</f>
        <v/>
      </c>
      <c r="E739" s="27">
        <f>IF($A739="","",_Engine!$AJ797-_Engine!$AK797)</f>
        <v/>
      </c>
      <c r="F739" s="27">
        <f>IF($A739="","",_Engine!$AI797)</f>
        <v/>
      </c>
      <c r="G739" s="27">
        <f>IF(OR($A739="",_Engine!$D$41=0),"",INDEX(_Engine!$E797:$X797,1,(_Engine!$J$41-1)*4+3))</f>
        <v/>
      </c>
      <c r="H739" s="27">
        <f>IF(OR($A739="",_Engine!$D$42=0),"",INDEX(_Engine!$E797:$X797,1,(_Engine!$J$42-1)*4+3))</f>
        <v/>
      </c>
      <c r="I739" s="27">
        <f>IF(OR($A739="",_Engine!$D$43=0),"",INDEX(_Engine!$E797:$X797,1,(_Engine!$J$43-1)*4+3))</f>
        <v/>
      </c>
      <c r="J739" s="27">
        <f>IF(OR($A739="",_Engine!$D$44=0),"",INDEX(_Engine!$E797:$X797,1,(_Engine!$J$44-1)*4+3))</f>
        <v/>
      </c>
      <c r="K739" s="27">
        <f>IF(OR($A739="",_Engine!$D$45=0),"",INDEX(_Engine!$E797:$X797,1,(_Engine!$J$45-1)*4+3))</f>
        <v/>
      </c>
    </row>
    <row r="740">
      <c r="A740" s="25">
        <f>IF(737&lt;=_Engine!$B$36,737,"")</f>
        <v/>
      </c>
      <c r="B740" s="26">
        <f>IF($A740="","",EDATE(_Engine!$B$5,$A740-1))</f>
        <v/>
      </c>
      <c r="C740" s="27">
        <f>IF($A740="","",_Engine!$AJ798)</f>
        <v/>
      </c>
      <c r="D740" s="27">
        <f>IF($A740="","",_Engine!$AK798)</f>
        <v/>
      </c>
      <c r="E740" s="27">
        <f>IF($A740="","",_Engine!$AJ798-_Engine!$AK798)</f>
        <v/>
      </c>
      <c r="F740" s="27">
        <f>IF($A740="","",_Engine!$AI798)</f>
        <v/>
      </c>
      <c r="G740" s="27">
        <f>IF(OR($A740="",_Engine!$D$41=0),"",INDEX(_Engine!$E798:$X798,1,(_Engine!$J$41-1)*4+3))</f>
        <v/>
      </c>
      <c r="H740" s="27">
        <f>IF(OR($A740="",_Engine!$D$42=0),"",INDEX(_Engine!$E798:$X798,1,(_Engine!$J$42-1)*4+3))</f>
        <v/>
      </c>
      <c r="I740" s="27">
        <f>IF(OR($A740="",_Engine!$D$43=0),"",INDEX(_Engine!$E798:$X798,1,(_Engine!$J$43-1)*4+3))</f>
        <v/>
      </c>
      <c r="J740" s="27">
        <f>IF(OR($A740="",_Engine!$D$44=0),"",INDEX(_Engine!$E798:$X798,1,(_Engine!$J$44-1)*4+3))</f>
        <v/>
      </c>
      <c r="K740" s="27">
        <f>IF(OR($A740="",_Engine!$D$45=0),"",INDEX(_Engine!$E798:$X798,1,(_Engine!$J$45-1)*4+3))</f>
        <v/>
      </c>
    </row>
    <row r="741">
      <c r="A741" s="25">
        <f>IF(738&lt;=_Engine!$B$36,738,"")</f>
        <v/>
      </c>
      <c r="B741" s="26">
        <f>IF($A741="","",EDATE(_Engine!$B$5,$A741-1))</f>
        <v/>
      </c>
      <c r="C741" s="27">
        <f>IF($A741="","",_Engine!$AJ799)</f>
        <v/>
      </c>
      <c r="D741" s="27">
        <f>IF($A741="","",_Engine!$AK799)</f>
        <v/>
      </c>
      <c r="E741" s="27">
        <f>IF($A741="","",_Engine!$AJ799-_Engine!$AK799)</f>
        <v/>
      </c>
      <c r="F741" s="27">
        <f>IF($A741="","",_Engine!$AI799)</f>
        <v/>
      </c>
      <c r="G741" s="27">
        <f>IF(OR($A741="",_Engine!$D$41=0),"",INDEX(_Engine!$E799:$X799,1,(_Engine!$J$41-1)*4+3))</f>
        <v/>
      </c>
      <c r="H741" s="27">
        <f>IF(OR($A741="",_Engine!$D$42=0),"",INDEX(_Engine!$E799:$X799,1,(_Engine!$J$42-1)*4+3))</f>
        <v/>
      </c>
      <c r="I741" s="27">
        <f>IF(OR($A741="",_Engine!$D$43=0),"",INDEX(_Engine!$E799:$X799,1,(_Engine!$J$43-1)*4+3))</f>
        <v/>
      </c>
      <c r="J741" s="27">
        <f>IF(OR($A741="",_Engine!$D$44=0),"",INDEX(_Engine!$E799:$X799,1,(_Engine!$J$44-1)*4+3))</f>
        <v/>
      </c>
      <c r="K741" s="27">
        <f>IF(OR($A741="",_Engine!$D$45=0),"",INDEX(_Engine!$E799:$X799,1,(_Engine!$J$45-1)*4+3))</f>
        <v/>
      </c>
    </row>
    <row r="742">
      <c r="A742" s="25">
        <f>IF(739&lt;=_Engine!$B$36,739,"")</f>
        <v/>
      </c>
      <c r="B742" s="26">
        <f>IF($A742="","",EDATE(_Engine!$B$5,$A742-1))</f>
        <v/>
      </c>
      <c r="C742" s="27">
        <f>IF($A742="","",_Engine!$AJ800)</f>
        <v/>
      </c>
      <c r="D742" s="27">
        <f>IF($A742="","",_Engine!$AK800)</f>
        <v/>
      </c>
      <c r="E742" s="27">
        <f>IF($A742="","",_Engine!$AJ800-_Engine!$AK800)</f>
        <v/>
      </c>
      <c r="F742" s="27">
        <f>IF($A742="","",_Engine!$AI800)</f>
        <v/>
      </c>
      <c r="G742" s="27">
        <f>IF(OR($A742="",_Engine!$D$41=0),"",INDEX(_Engine!$E800:$X800,1,(_Engine!$J$41-1)*4+3))</f>
        <v/>
      </c>
      <c r="H742" s="27">
        <f>IF(OR($A742="",_Engine!$D$42=0),"",INDEX(_Engine!$E800:$X800,1,(_Engine!$J$42-1)*4+3))</f>
        <v/>
      </c>
      <c r="I742" s="27">
        <f>IF(OR($A742="",_Engine!$D$43=0),"",INDEX(_Engine!$E800:$X800,1,(_Engine!$J$43-1)*4+3))</f>
        <v/>
      </c>
      <c r="J742" s="27">
        <f>IF(OR($A742="",_Engine!$D$44=0),"",INDEX(_Engine!$E800:$X800,1,(_Engine!$J$44-1)*4+3))</f>
        <v/>
      </c>
      <c r="K742" s="27">
        <f>IF(OR($A742="",_Engine!$D$45=0),"",INDEX(_Engine!$E800:$X800,1,(_Engine!$J$45-1)*4+3))</f>
        <v/>
      </c>
    </row>
    <row r="743">
      <c r="A743" s="25">
        <f>IF(740&lt;=_Engine!$B$36,740,"")</f>
        <v/>
      </c>
      <c r="B743" s="26">
        <f>IF($A743="","",EDATE(_Engine!$B$5,$A743-1))</f>
        <v/>
      </c>
      <c r="C743" s="27">
        <f>IF($A743="","",_Engine!$AJ801)</f>
        <v/>
      </c>
      <c r="D743" s="27">
        <f>IF($A743="","",_Engine!$AK801)</f>
        <v/>
      </c>
      <c r="E743" s="27">
        <f>IF($A743="","",_Engine!$AJ801-_Engine!$AK801)</f>
        <v/>
      </c>
      <c r="F743" s="27">
        <f>IF($A743="","",_Engine!$AI801)</f>
        <v/>
      </c>
      <c r="G743" s="27">
        <f>IF(OR($A743="",_Engine!$D$41=0),"",INDEX(_Engine!$E801:$X801,1,(_Engine!$J$41-1)*4+3))</f>
        <v/>
      </c>
      <c r="H743" s="27">
        <f>IF(OR($A743="",_Engine!$D$42=0),"",INDEX(_Engine!$E801:$X801,1,(_Engine!$J$42-1)*4+3))</f>
        <v/>
      </c>
      <c r="I743" s="27">
        <f>IF(OR($A743="",_Engine!$D$43=0),"",INDEX(_Engine!$E801:$X801,1,(_Engine!$J$43-1)*4+3))</f>
        <v/>
      </c>
      <c r="J743" s="27">
        <f>IF(OR($A743="",_Engine!$D$44=0),"",INDEX(_Engine!$E801:$X801,1,(_Engine!$J$44-1)*4+3))</f>
        <v/>
      </c>
      <c r="K743" s="27">
        <f>IF(OR($A743="",_Engine!$D$45=0),"",INDEX(_Engine!$E801:$X801,1,(_Engine!$J$45-1)*4+3))</f>
        <v/>
      </c>
    </row>
    <row r="744">
      <c r="A744" s="25">
        <f>IF(741&lt;=_Engine!$B$36,741,"")</f>
        <v/>
      </c>
      <c r="B744" s="26">
        <f>IF($A744="","",EDATE(_Engine!$B$5,$A744-1))</f>
        <v/>
      </c>
      <c r="C744" s="27">
        <f>IF($A744="","",_Engine!$AJ802)</f>
        <v/>
      </c>
      <c r="D744" s="27">
        <f>IF($A744="","",_Engine!$AK802)</f>
        <v/>
      </c>
      <c r="E744" s="27">
        <f>IF($A744="","",_Engine!$AJ802-_Engine!$AK802)</f>
        <v/>
      </c>
      <c r="F744" s="27">
        <f>IF($A744="","",_Engine!$AI802)</f>
        <v/>
      </c>
      <c r="G744" s="27">
        <f>IF(OR($A744="",_Engine!$D$41=0),"",INDEX(_Engine!$E802:$X802,1,(_Engine!$J$41-1)*4+3))</f>
        <v/>
      </c>
      <c r="H744" s="27">
        <f>IF(OR($A744="",_Engine!$D$42=0),"",INDEX(_Engine!$E802:$X802,1,(_Engine!$J$42-1)*4+3))</f>
        <v/>
      </c>
      <c r="I744" s="27">
        <f>IF(OR($A744="",_Engine!$D$43=0),"",INDEX(_Engine!$E802:$X802,1,(_Engine!$J$43-1)*4+3))</f>
        <v/>
      </c>
      <c r="J744" s="27">
        <f>IF(OR($A744="",_Engine!$D$44=0),"",INDEX(_Engine!$E802:$X802,1,(_Engine!$J$44-1)*4+3))</f>
        <v/>
      </c>
      <c r="K744" s="27">
        <f>IF(OR($A744="",_Engine!$D$45=0),"",INDEX(_Engine!$E802:$X802,1,(_Engine!$J$45-1)*4+3))</f>
        <v/>
      </c>
    </row>
    <row r="745">
      <c r="A745" s="25">
        <f>IF(742&lt;=_Engine!$B$36,742,"")</f>
        <v/>
      </c>
      <c r="B745" s="26">
        <f>IF($A745="","",EDATE(_Engine!$B$5,$A745-1))</f>
        <v/>
      </c>
      <c r="C745" s="27">
        <f>IF($A745="","",_Engine!$AJ803)</f>
        <v/>
      </c>
      <c r="D745" s="27">
        <f>IF($A745="","",_Engine!$AK803)</f>
        <v/>
      </c>
      <c r="E745" s="27">
        <f>IF($A745="","",_Engine!$AJ803-_Engine!$AK803)</f>
        <v/>
      </c>
      <c r="F745" s="27">
        <f>IF($A745="","",_Engine!$AI803)</f>
        <v/>
      </c>
      <c r="G745" s="27">
        <f>IF(OR($A745="",_Engine!$D$41=0),"",INDEX(_Engine!$E803:$X803,1,(_Engine!$J$41-1)*4+3))</f>
        <v/>
      </c>
      <c r="H745" s="27">
        <f>IF(OR($A745="",_Engine!$D$42=0),"",INDEX(_Engine!$E803:$X803,1,(_Engine!$J$42-1)*4+3))</f>
        <v/>
      </c>
      <c r="I745" s="27">
        <f>IF(OR($A745="",_Engine!$D$43=0),"",INDEX(_Engine!$E803:$X803,1,(_Engine!$J$43-1)*4+3))</f>
        <v/>
      </c>
      <c r="J745" s="27">
        <f>IF(OR($A745="",_Engine!$D$44=0),"",INDEX(_Engine!$E803:$X803,1,(_Engine!$J$44-1)*4+3))</f>
        <v/>
      </c>
      <c r="K745" s="27">
        <f>IF(OR($A745="",_Engine!$D$45=0),"",INDEX(_Engine!$E803:$X803,1,(_Engine!$J$45-1)*4+3))</f>
        <v/>
      </c>
    </row>
    <row r="746">
      <c r="A746" s="25">
        <f>IF(743&lt;=_Engine!$B$36,743,"")</f>
        <v/>
      </c>
      <c r="B746" s="26">
        <f>IF($A746="","",EDATE(_Engine!$B$5,$A746-1))</f>
        <v/>
      </c>
      <c r="C746" s="27">
        <f>IF($A746="","",_Engine!$AJ804)</f>
        <v/>
      </c>
      <c r="D746" s="27">
        <f>IF($A746="","",_Engine!$AK804)</f>
        <v/>
      </c>
      <c r="E746" s="27">
        <f>IF($A746="","",_Engine!$AJ804-_Engine!$AK804)</f>
        <v/>
      </c>
      <c r="F746" s="27">
        <f>IF($A746="","",_Engine!$AI804)</f>
        <v/>
      </c>
      <c r="G746" s="27">
        <f>IF(OR($A746="",_Engine!$D$41=0),"",INDEX(_Engine!$E804:$X804,1,(_Engine!$J$41-1)*4+3))</f>
        <v/>
      </c>
      <c r="H746" s="27">
        <f>IF(OR($A746="",_Engine!$D$42=0),"",INDEX(_Engine!$E804:$X804,1,(_Engine!$J$42-1)*4+3))</f>
        <v/>
      </c>
      <c r="I746" s="27">
        <f>IF(OR($A746="",_Engine!$D$43=0),"",INDEX(_Engine!$E804:$X804,1,(_Engine!$J$43-1)*4+3))</f>
        <v/>
      </c>
      <c r="J746" s="27">
        <f>IF(OR($A746="",_Engine!$D$44=0),"",INDEX(_Engine!$E804:$X804,1,(_Engine!$J$44-1)*4+3))</f>
        <v/>
      </c>
      <c r="K746" s="27">
        <f>IF(OR($A746="",_Engine!$D$45=0),"",INDEX(_Engine!$E804:$X804,1,(_Engine!$J$45-1)*4+3))</f>
        <v/>
      </c>
    </row>
    <row r="747">
      <c r="A747" s="25">
        <f>IF(744&lt;=_Engine!$B$36,744,"")</f>
        <v/>
      </c>
      <c r="B747" s="26">
        <f>IF($A747="","",EDATE(_Engine!$B$5,$A747-1))</f>
        <v/>
      </c>
      <c r="C747" s="27">
        <f>IF($A747="","",_Engine!$AJ805)</f>
        <v/>
      </c>
      <c r="D747" s="27">
        <f>IF($A747="","",_Engine!$AK805)</f>
        <v/>
      </c>
      <c r="E747" s="27">
        <f>IF($A747="","",_Engine!$AJ805-_Engine!$AK805)</f>
        <v/>
      </c>
      <c r="F747" s="27">
        <f>IF($A747="","",_Engine!$AI805)</f>
        <v/>
      </c>
      <c r="G747" s="27">
        <f>IF(OR($A747="",_Engine!$D$41=0),"",INDEX(_Engine!$E805:$X805,1,(_Engine!$J$41-1)*4+3))</f>
        <v/>
      </c>
      <c r="H747" s="27">
        <f>IF(OR($A747="",_Engine!$D$42=0),"",INDEX(_Engine!$E805:$X805,1,(_Engine!$J$42-1)*4+3))</f>
        <v/>
      </c>
      <c r="I747" s="27">
        <f>IF(OR($A747="",_Engine!$D$43=0),"",INDEX(_Engine!$E805:$X805,1,(_Engine!$J$43-1)*4+3))</f>
        <v/>
      </c>
      <c r="J747" s="27">
        <f>IF(OR($A747="",_Engine!$D$44=0),"",INDEX(_Engine!$E805:$X805,1,(_Engine!$J$44-1)*4+3))</f>
        <v/>
      </c>
      <c r="K747" s="27">
        <f>IF(OR($A747="",_Engine!$D$45=0),"",INDEX(_Engine!$E805:$X805,1,(_Engine!$J$45-1)*4+3))</f>
        <v/>
      </c>
    </row>
    <row r="748">
      <c r="A748" s="25">
        <f>IF(745&lt;=_Engine!$B$36,745,"")</f>
        <v/>
      </c>
      <c r="B748" s="26">
        <f>IF($A748="","",EDATE(_Engine!$B$5,$A748-1))</f>
        <v/>
      </c>
      <c r="C748" s="27">
        <f>IF($A748="","",_Engine!$AJ806)</f>
        <v/>
      </c>
      <c r="D748" s="27">
        <f>IF($A748="","",_Engine!$AK806)</f>
        <v/>
      </c>
      <c r="E748" s="27">
        <f>IF($A748="","",_Engine!$AJ806-_Engine!$AK806)</f>
        <v/>
      </c>
      <c r="F748" s="27">
        <f>IF($A748="","",_Engine!$AI806)</f>
        <v/>
      </c>
      <c r="G748" s="27">
        <f>IF(OR($A748="",_Engine!$D$41=0),"",INDEX(_Engine!$E806:$X806,1,(_Engine!$J$41-1)*4+3))</f>
        <v/>
      </c>
      <c r="H748" s="27">
        <f>IF(OR($A748="",_Engine!$D$42=0),"",INDEX(_Engine!$E806:$X806,1,(_Engine!$J$42-1)*4+3))</f>
        <v/>
      </c>
      <c r="I748" s="27">
        <f>IF(OR($A748="",_Engine!$D$43=0),"",INDEX(_Engine!$E806:$X806,1,(_Engine!$J$43-1)*4+3))</f>
        <v/>
      </c>
      <c r="J748" s="27">
        <f>IF(OR($A748="",_Engine!$D$44=0),"",INDEX(_Engine!$E806:$X806,1,(_Engine!$J$44-1)*4+3))</f>
        <v/>
      </c>
      <c r="K748" s="27">
        <f>IF(OR($A748="",_Engine!$D$45=0),"",INDEX(_Engine!$E806:$X806,1,(_Engine!$J$45-1)*4+3))</f>
        <v/>
      </c>
    </row>
    <row r="749">
      <c r="A749" s="25">
        <f>IF(746&lt;=_Engine!$B$36,746,"")</f>
        <v/>
      </c>
      <c r="B749" s="26">
        <f>IF($A749="","",EDATE(_Engine!$B$5,$A749-1))</f>
        <v/>
      </c>
      <c r="C749" s="27">
        <f>IF($A749="","",_Engine!$AJ807)</f>
        <v/>
      </c>
      <c r="D749" s="27">
        <f>IF($A749="","",_Engine!$AK807)</f>
        <v/>
      </c>
      <c r="E749" s="27">
        <f>IF($A749="","",_Engine!$AJ807-_Engine!$AK807)</f>
        <v/>
      </c>
      <c r="F749" s="27">
        <f>IF($A749="","",_Engine!$AI807)</f>
        <v/>
      </c>
      <c r="G749" s="27">
        <f>IF(OR($A749="",_Engine!$D$41=0),"",INDEX(_Engine!$E807:$X807,1,(_Engine!$J$41-1)*4+3))</f>
        <v/>
      </c>
      <c r="H749" s="27">
        <f>IF(OR($A749="",_Engine!$D$42=0),"",INDEX(_Engine!$E807:$X807,1,(_Engine!$J$42-1)*4+3))</f>
        <v/>
      </c>
      <c r="I749" s="27">
        <f>IF(OR($A749="",_Engine!$D$43=0),"",INDEX(_Engine!$E807:$X807,1,(_Engine!$J$43-1)*4+3))</f>
        <v/>
      </c>
      <c r="J749" s="27">
        <f>IF(OR($A749="",_Engine!$D$44=0),"",INDEX(_Engine!$E807:$X807,1,(_Engine!$J$44-1)*4+3))</f>
        <v/>
      </c>
      <c r="K749" s="27">
        <f>IF(OR($A749="",_Engine!$D$45=0),"",INDEX(_Engine!$E807:$X807,1,(_Engine!$J$45-1)*4+3))</f>
        <v/>
      </c>
    </row>
    <row r="750">
      <c r="A750" s="25">
        <f>IF(747&lt;=_Engine!$B$36,747,"")</f>
        <v/>
      </c>
      <c r="B750" s="26">
        <f>IF($A750="","",EDATE(_Engine!$B$5,$A750-1))</f>
        <v/>
      </c>
      <c r="C750" s="27">
        <f>IF($A750="","",_Engine!$AJ808)</f>
        <v/>
      </c>
      <c r="D750" s="27">
        <f>IF($A750="","",_Engine!$AK808)</f>
        <v/>
      </c>
      <c r="E750" s="27">
        <f>IF($A750="","",_Engine!$AJ808-_Engine!$AK808)</f>
        <v/>
      </c>
      <c r="F750" s="27">
        <f>IF($A750="","",_Engine!$AI808)</f>
        <v/>
      </c>
      <c r="G750" s="27">
        <f>IF(OR($A750="",_Engine!$D$41=0),"",INDEX(_Engine!$E808:$X808,1,(_Engine!$J$41-1)*4+3))</f>
        <v/>
      </c>
      <c r="H750" s="27">
        <f>IF(OR($A750="",_Engine!$D$42=0),"",INDEX(_Engine!$E808:$X808,1,(_Engine!$J$42-1)*4+3))</f>
        <v/>
      </c>
      <c r="I750" s="27">
        <f>IF(OR($A750="",_Engine!$D$43=0),"",INDEX(_Engine!$E808:$X808,1,(_Engine!$J$43-1)*4+3))</f>
        <v/>
      </c>
      <c r="J750" s="27">
        <f>IF(OR($A750="",_Engine!$D$44=0),"",INDEX(_Engine!$E808:$X808,1,(_Engine!$J$44-1)*4+3))</f>
        <v/>
      </c>
      <c r="K750" s="27">
        <f>IF(OR($A750="",_Engine!$D$45=0),"",INDEX(_Engine!$E808:$X808,1,(_Engine!$J$45-1)*4+3))</f>
        <v/>
      </c>
    </row>
    <row r="751">
      <c r="A751" s="25">
        <f>IF(748&lt;=_Engine!$B$36,748,"")</f>
        <v/>
      </c>
      <c r="B751" s="26">
        <f>IF($A751="","",EDATE(_Engine!$B$5,$A751-1))</f>
        <v/>
      </c>
      <c r="C751" s="27">
        <f>IF($A751="","",_Engine!$AJ809)</f>
        <v/>
      </c>
      <c r="D751" s="27">
        <f>IF($A751="","",_Engine!$AK809)</f>
        <v/>
      </c>
      <c r="E751" s="27">
        <f>IF($A751="","",_Engine!$AJ809-_Engine!$AK809)</f>
        <v/>
      </c>
      <c r="F751" s="27">
        <f>IF($A751="","",_Engine!$AI809)</f>
        <v/>
      </c>
      <c r="G751" s="27">
        <f>IF(OR($A751="",_Engine!$D$41=0),"",INDEX(_Engine!$E809:$X809,1,(_Engine!$J$41-1)*4+3))</f>
        <v/>
      </c>
      <c r="H751" s="27">
        <f>IF(OR($A751="",_Engine!$D$42=0),"",INDEX(_Engine!$E809:$X809,1,(_Engine!$J$42-1)*4+3))</f>
        <v/>
      </c>
      <c r="I751" s="27">
        <f>IF(OR($A751="",_Engine!$D$43=0),"",INDEX(_Engine!$E809:$X809,1,(_Engine!$J$43-1)*4+3))</f>
        <v/>
      </c>
      <c r="J751" s="27">
        <f>IF(OR($A751="",_Engine!$D$44=0),"",INDEX(_Engine!$E809:$X809,1,(_Engine!$J$44-1)*4+3))</f>
        <v/>
      </c>
      <c r="K751" s="27">
        <f>IF(OR($A751="",_Engine!$D$45=0),"",INDEX(_Engine!$E809:$X809,1,(_Engine!$J$45-1)*4+3))</f>
        <v/>
      </c>
    </row>
    <row r="752">
      <c r="A752" s="25">
        <f>IF(749&lt;=_Engine!$B$36,749,"")</f>
        <v/>
      </c>
      <c r="B752" s="26">
        <f>IF($A752="","",EDATE(_Engine!$B$5,$A752-1))</f>
        <v/>
      </c>
      <c r="C752" s="27">
        <f>IF($A752="","",_Engine!$AJ810)</f>
        <v/>
      </c>
      <c r="D752" s="27">
        <f>IF($A752="","",_Engine!$AK810)</f>
        <v/>
      </c>
      <c r="E752" s="27">
        <f>IF($A752="","",_Engine!$AJ810-_Engine!$AK810)</f>
        <v/>
      </c>
      <c r="F752" s="27">
        <f>IF($A752="","",_Engine!$AI810)</f>
        <v/>
      </c>
      <c r="G752" s="27">
        <f>IF(OR($A752="",_Engine!$D$41=0),"",INDEX(_Engine!$E810:$X810,1,(_Engine!$J$41-1)*4+3))</f>
        <v/>
      </c>
      <c r="H752" s="27">
        <f>IF(OR($A752="",_Engine!$D$42=0),"",INDEX(_Engine!$E810:$X810,1,(_Engine!$J$42-1)*4+3))</f>
        <v/>
      </c>
      <c r="I752" s="27">
        <f>IF(OR($A752="",_Engine!$D$43=0),"",INDEX(_Engine!$E810:$X810,1,(_Engine!$J$43-1)*4+3))</f>
        <v/>
      </c>
      <c r="J752" s="27">
        <f>IF(OR($A752="",_Engine!$D$44=0),"",INDEX(_Engine!$E810:$X810,1,(_Engine!$J$44-1)*4+3))</f>
        <v/>
      </c>
      <c r="K752" s="27">
        <f>IF(OR($A752="",_Engine!$D$45=0),"",INDEX(_Engine!$E810:$X810,1,(_Engine!$J$45-1)*4+3))</f>
        <v/>
      </c>
    </row>
    <row r="753">
      <c r="A753" s="25">
        <f>IF(750&lt;=_Engine!$B$36,750,"")</f>
        <v/>
      </c>
      <c r="B753" s="26">
        <f>IF($A753="","",EDATE(_Engine!$B$5,$A753-1))</f>
        <v/>
      </c>
      <c r="C753" s="27">
        <f>IF($A753="","",_Engine!$AJ811)</f>
        <v/>
      </c>
      <c r="D753" s="27">
        <f>IF($A753="","",_Engine!$AK811)</f>
        <v/>
      </c>
      <c r="E753" s="27">
        <f>IF($A753="","",_Engine!$AJ811-_Engine!$AK811)</f>
        <v/>
      </c>
      <c r="F753" s="27">
        <f>IF($A753="","",_Engine!$AI811)</f>
        <v/>
      </c>
      <c r="G753" s="27">
        <f>IF(OR($A753="",_Engine!$D$41=0),"",INDEX(_Engine!$E811:$X811,1,(_Engine!$J$41-1)*4+3))</f>
        <v/>
      </c>
      <c r="H753" s="27">
        <f>IF(OR($A753="",_Engine!$D$42=0),"",INDEX(_Engine!$E811:$X811,1,(_Engine!$J$42-1)*4+3))</f>
        <v/>
      </c>
      <c r="I753" s="27">
        <f>IF(OR($A753="",_Engine!$D$43=0),"",INDEX(_Engine!$E811:$X811,1,(_Engine!$J$43-1)*4+3))</f>
        <v/>
      </c>
      <c r="J753" s="27">
        <f>IF(OR($A753="",_Engine!$D$44=0),"",INDEX(_Engine!$E811:$X811,1,(_Engine!$J$44-1)*4+3))</f>
        <v/>
      </c>
      <c r="K753" s="27">
        <f>IF(OR($A753="",_Engine!$D$45=0),"",INDEX(_Engine!$E811:$X811,1,(_Engine!$J$45-1)*4+3))</f>
        <v/>
      </c>
    </row>
    <row r="754">
      <c r="A754" s="25">
        <f>IF(751&lt;=_Engine!$B$36,751,"")</f>
        <v/>
      </c>
      <c r="B754" s="26">
        <f>IF($A754="","",EDATE(_Engine!$B$5,$A754-1))</f>
        <v/>
      </c>
      <c r="C754" s="27">
        <f>IF($A754="","",_Engine!$AJ812)</f>
        <v/>
      </c>
      <c r="D754" s="27">
        <f>IF($A754="","",_Engine!$AK812)</f>
        <v/>
      </c>
      <c r="E754" s="27">
        <f>IF($A754="","",_Engine!$AJ812-_Engine!$AK812)</f>
        <v/>
      </c>
      <c r="F754" s="27">
        <f>IF($A754="","",_Engine!$AI812)</f>
        <v/>
      </c>
      <c r="G754" s="27">
        <f>IF(OR($A754="",_Engine!$D$41=0),"",INDEX(_Engine!$E812:$X812,1,(_Engine!$J$41-1)*4+3))</f>
        <v/>
      </c>
      <c r="H754" s="27">
        <f>IF(OR($A754="",_Engine!$D$42=0),"",INDEX(_Engine!$E812:$X812,1,(_Engine!$J$42-1)*4+3))</f>
        <v/>
      </c>
      <c r="I754" s="27">
        <f>IF(OR($A754="",_Engine!$D$43=0),"",INDEX(_Engine!$E812:$X812,1,(_Engine!$J$43-1)*4+3))</f>
        <v/>
      </c>
      <c r="J754" s="27">
        <f>IF(OR($A754="",_Engine!$D$44=0),"",INDEX(_Engine!$E812:$X812,1,(_Engine!$J$44-1)*4+3))</f>
        <v/>
      </c>
      <c r="K754" s="27">
        <f>IF(OR($A754="",_Engine!$D$45=0),"",INDEX(_Engine!$E812:$X812,1,(_Engine!$J$45-1)*4+3))</f>
        <v/>
      </c>
    </row>
    <row r="755">
      <c r="A755" s="25">
        <f>IF(752&lt;=_Engine!$B$36,752,"")</f>
        <v/>
      </c>
      <c r="B755" s="26">
        <f>IF($A755="","",EDATE(_Engine!$B$5,$A755-1))</f>
        <v/>
      </c>
      <c r="C755" s="27">
        <f>IF($A755="","",_Engine!$AJ813)</f>
        <v/>
      </c>
      <c r="D755" s="27">
        <f>IF($A755="","",_Engine!$AK813)</f>
        <v/>
      </c>
      <c r="E755" s="27">
        <f>IF($A755="","",_Engine!$AJ813-_Engine!$AK813)</f>
        <v/>
      </c>
      <c r="F755" s="27">
        <f>IF($A755="","",_Engine!$AI813)</f>
        <v/>
      </c>
      <c r="G755" s="27">
        <f>IF(OR($A755="",_Engine!$D$41=0),"",INDEX(_Engine!$E813:$X813,1,(_Engine!$J$41-1)*4+3))</f>
        <v/>
      </c>
      <c r="H755" s="27">
        <f>IF(OR($A755="",_Engine!$D$42=0),"",INDEX(_Engine!$E813:$X813,1,(_Engine!$J$42-1)*4+3))</f>
        <v/>
      </c>
      <c r="I755" s="27">
        <f>IF(OR($A755="",_Engine!$D$43=0),"",INDEX(_Engine!$E813:$X813,1,(_Engine!$J$43-1)*4+3))</f>
        <v/>
      </c>
      <c r="J755" s="27">
        <f>IF(OR($A755="",_Engine!$D$44=0),"",INDEX(_Engine!$E813:$X813,1,(_Engine!$J$44-1)*4+3))</f>
        <v/>
      </c>
      <c r="K755" s="27">
        <f>IF(OR($A755="",_Engine!$D$45=0),"",INDEX(_Engine!$E813:$X813,1,(_Engine!$J$45-1)*4+3))</f>
        <v/>
      </c>
    </row>
    <row r="756">
      <c r="A756" s="25">
        <f>IF(753&lt;=_Engine!$B$36,753,"")</f>
        <v/>
      </c>
      <c r="B756" s="26">
        <f>IF($A756="","",EDATE(_Engine!$B$5,$A756-1))</f>
        <v/>
      </c>
      <c r="C756" s="27">
        <f>IF($A756="","",_Engine!$AJ814)</f>
        <v/>
      </c>
      <c r="D756" s="27">
        <f>IF($A756="","",_Engine!$AK814)</f>
        <v/>
      </c>
      <c r="E756" s="27">
        <f>IF($A756="","",_Engine!$AJ814-_Engine!$AK814)</f>
        <v/>
      </c>
      <c r="F756" s="27">
        <f>IF($A756="","",_Engine!$AI814)</f>
        <v/>
      </c>
      <c r="G756" s="27">
        <f>IF(OR($A756="",_Engine!$D$41=0),"",INDEX(_Engine!$E814:$X814,1,(_Engine!$J$41-1)*4+3))</f>
        <v/>
      </c>
      <c r="H756" s="27">
        <f>IF(OR($A756="",_Engine!$D$42=0),"",INDEX(_Engine!$E814:$X814,1,(_Engine!$J$42-1)*4+3))</f>
        <v/>
      </c>
      <c r="I756" s="27">
        <f>IF(OR($A756="",_Engine!$D$43=0),"",INDEX(_Engine!$E814:$X814,1,(_Engine!$J$43-1)*4+3))</f>
        <v/>
      </c>
      <c r="J756" s="27">
        <f>IF(OR($A756="",_Engine!$D$44=0),"",INDEX(_Engine!$E814:$X814,1,(_Engine!$J$44-1)*4+3))</f>
        <v/>
      </c>
      <c r="K756" s="27">
        <f>IF(OR($A756="",_Engine!$D$45=0),"",INDEX(_Engine!$E814:$X814,1,(_Engine!$J$45-1)*4+3))</f>
        <v/>
      </c>
    </row>
    <row r="757">
      <c r="A757" s="25">
        <f>IF(754&lt;=_Engine!$B$36,754,"")</f>
        <v/>
      </c>
      <c r="B757" s="26">
        <f>IF($A757="","",EDATE(_Engine!$B$5,$A757-1))</f>
        <v/>
      </c>
      <c r="C757" s="27">
        <f>IF($A757="","",_Engine!$AJ815)</f>
        <v/>
      </c>
      <c r="D757" s="27">
        <f>IF($A757="","",_Engine!$AK815)</f>
        <v/>
      </c>
      <c r="E757" s="27">
        <f>IF($A757="","",_Engine!$AJ815-_Engine!$AK815)</f>
        <v/>
      </c>
      <c r="F757" s="27">
        <f>IF($A757="","",_Engine!$AI815)</f>
        <v/>
      </c>
      <c r="G757" s="27">
        <f>IF(OR($A757="",_Engine!$D$41=0),"",INDEX(_Engine!$E815:$X815,1,(_Engine!$J$41-1)*4+3))</f>
        <v/>
      </c>
      <c r="H757" s="27">
        <f>IF(OR($A757="",_Engine!$D$42=0),"",INDEX(_Engine!$E815:$X815,1,(_Engine!$J$42-1)*4+3))</f>
        <v/>
      </c>
      <c r="I757" s="27">
        <f>IF(OR($A757="",_Engine!$D$43=0),"",INDEX(_Engine!$E815:$X815,1,(_Engine!$J$43-1)*4+3))</f>
        <v/>
      </c>
      <c r="J757" s="27">
        <f>IF(OR($A757="",_Engine!$D$44=0),"",INDEX(_Engine!$E815:$X815,1,(_Engine!$J$44-1)*4+3))</f>
        <v/>
      </c>
      <c r="K757" s="27">
        <f>IF(OR($A757="",_Engine!$D$45=0),"",INDEX(_Engine!$E815:$X815,1,(_Engine!$J$45-1)*4+3))</f>
        <v/>
      </c>
    </row>
    <row r="758">
      <c r="A758" s="25">
        <f>IF(755&lt;=_Engine!$B$36,755,"")</f>
        <v/>
      </c>
      <c r="B758" s="26">
        <f>IF($A758="","",EDATE(_Engine!$B$5,$A758-1))</f>
        <v/>
      </c>
      <c r="C758" s="27">
        <f>IF($A758="","",_Engine!$AJ816)</f>
        <v/>
      </c>
      <c r="D758" s="27">
        <f>IF($A758="","",_Engine!$AK816)</f>
        <v/>
      </c>
      <c r="E758" s="27">
        <f>IF($A758="","",_Engine!$AJ816-_Engine!$AK816)</f>
        <v/>
      </c>
      <c r="F758" s="27">
        <f>IF($A758="","",_Engine!$AI816)</f>
        <v/>
      </c>
      <c r="G758" s="27">
        <f>IF(OR($A758="",_Engine!$D$41=0),"",INDEX(_Engine!$E816:$X816,1,(_Engine!$J$41-1)*4+3))</f>
        <v/>
      </c>
      <c r="H758" s="27">
        <f>IF(OR($A758="",_Engine!$D$42=0),"",INDEX(_Engine!$E816:$X816,1,(_Engine!$J$42-1)*4+3))</f>
        <v/>
      </c>
      <c r="I758" s="27">
        <f>IF(OR($A758="",_Engine!$D$43=0),"",INDEX(_Engine!$E816:$X816,1,(_Engine!$J$43-1)*4+3))</f>
        <v/>
      </c>
      <c r="J758" s="27">
        <f>IF(OR($A758="",_Engine!$D$44=0),"",INDEX(_Engine!$E816:$X816,1,(_Engine!$J$44-1)*4+3))</f>
        <v/>
      </c>
      <c r="K758" s="27">
        <f>IF(OR($A758="",_Engine!$D$45=0),"",INDEX(_Engine!$E816:$X816,1,(_Engine!$J$45-1)*4+3))</f>
        <v/>
      </c>
    </row>
    <row r="759">
      <c r="A759" s="25">
        <f>IF(756&lt;=_Engine!$B$36,756,"")</f>
        <v/>
      </c>
      <c r="B759" s="26">
        <f>IF($A759="","",EDATE(_Engine!$B$5,$A759-1))</f>
        <v/>
      </c>
      <c r="C759" s="27">
        <f>IF($A759="","",_Engine!$AJ817)</f>
        <v/>
      </c>
      <c r="D759" s="27">
        <f>IF($A759="","",_Engine!$AK817)</f>
        <v/>
      </c>
      <c r="E759" s="27">
        <f>IF($A759="","",_Engine!$AJ817-_Engine!$AK817)</f>
        <v/>
      </c>
      <c r="F759" s="27">
        <f>IF($A759="","",_Engine!$AI817)</f>
        <v/>
      </c>
      <c r="G759" s="27">
        <f>IF(OR($A759="",_Engine!$D$41=0),"",INDEX(_Engine!$E817:$X817,1,(_Engine!$J$41-1)*4+3))</f>
        <v/>
      </c>
      <c r="H759" s="27">
        <f>IF(OR($A759="",_Engine!$D$42=0),"",INDEX(_Engine!$E817:$X817,1,(_Engine!$J$42-1)*4+3))</f>
        <v/>
      </c>
      <c r="I759" s="27">
        <f>IF(OR($A759="",_Engine!$D$43=0),"",INDEX(_Engine!$E817:$X817,1,(_Engine!$J$43-1)*4+3))</f>
        <v/>
      </c>
      <c r="J759" s="27">
        <f>IF(OR($A759="",_Engine!$D$44=0),"",INDEX(_Engine!$E817:$X817,1,(_Engine!$J$44-1)*4+3))</f>
        <v/>
      </c>
      <c r="K759" s="27">
        <f>IF(OR($A759="",_Engine!$D$45=0),"",INDEX(_Engine!$E817:$X817,1,(_Engine!$J$45-1)*4+3))</f>
        <v/>
      </c>
    </row>
    <row r="760">
      <c r="A760" s="25">
        <f>IF(757&lt;=_Engine!$B$36,757,"")</f>
        <v/>
      </c>
      <c r="B760" s="26">
        <f>IF($A760="","",EDATE(_Engine!$B$5,$A760-1))</f>
        <v/>
      </c>
      <c r="C760" s="27">
        <f>IF($A760="","",_Engine!$AJ818)</f>
        <v/>
      </c>
      <c r="D760" s="27">
        <f>IF($A760="","",_Engine!$AK818)</f>
        <v/>
      </c>
      <c r="E760" s="27">
        <f>IF($A760="","",_Engine!$AJ818-_Engine!$AK818)</f>
        <v/>
      </c>
      <c r="F760" s="27">
        <f>IF($A760="","",_Engine!$AI818)</f>
        <v/>
      </c>
      <c r="G760" s="27">
        <f>IF(OR($A760="",_Engine!$D$41=0),"",INDEX(_Engine!$E818:$X818,1,(_Engine!$J$41-1)*4+3))</f>
        <v/>
      </c>
      <c r="H760" s="27">
        <f>IF(OR($A760="",_Engine!$D$42=0),"",INDEX(_Engine!$E818:$X818,1,(_Engine!$J$42-1)*4+3))</f>
        <v/>
      </c>
      <c r="I760" s="27">
        <f>IF(OR($A760="",_Engine!$D$43=0),"",INDEX(_Engine!$E818:$X818,1,(_Engine!$J$43-1)*4+3))</f>
        <v/>
      </c>
      <c r="J760" s="27">
        <f>IF(OR($A760="",_Engine!$D$44=0),"",INDEX(_Engine!$E818:$X818,1,(_Engine!$J$44-1)*4+3))</f>
        <v/>
      </c>
      <c r="K760" s="27">
        <f>IF(OR($A760="",_Engine!$D$45=0),"",INDEX(_Engine!$E818:$X818,1,(_Engine!$J$45-1)*4+3))</f>
        <v/>
      </c>
    </row>
    <row r="761">
      <c r="A761" s="25">
        <f>IF(758&lt;=_Engine!$B$36,758,"")</f>
        <v/>
      </c>
      <c r="B761" s="26">
        <f>IF($A761="","",EDATE(_Engine!$B$5,$A761-1))</f>
        <v/>
      </c>
      <c r="C761" s="27">
        <f>IF($A761="","",_Engine!$AJ819)</f>
        <v/>
      </c>
      <c r="D761" s="27">
        <f>IF($A761="","",_Engine!$AK819)</f>
        <v/>
      </c>
      <c r="E761" s="27">
        <f>IF($A761="","",_Engine!$AJ819-_Engine!$AK819)</f>
        <v/>
      </c>
      <c r="F761" s="27">
        <f>IF($A761="","",_Engine!$AI819)</f>
        <v/>
      </c>
      <c r="G761" s="27">
        <f>IF(OR($A761="",_Engine!$D$41=0),"",INDEX(_Engine!$E819:$X819,1,(_Engine!$J$41-1)*4+3))</f>
        <v/>
      </c>
      <c r="H761" s="27">
        <f>IF(OR($A761="",_Engine!$D$42=0),"",INDEX(_Engine!$E819:$X819,1,(_Engine!$J$42-1)*4+3))</f>
        <v/>
      </c>
      <c r="I761" s="27">
        <f>IF(OR($A761="",_Engine!$D$43=0),"",INDEX(_Engine!$E819:$X819,1,(_Engine!$J$43-1)*4+3))</f>
        <v/>
      </c>
      <c r="J761" s="27">
        <f>IF(OR($A761="",_Engine!$D$44=0),"",INDEX(_Engine!$E819:$X819,1,(_Engine!$J$44-1)*4+3))</f>
        <v/>
      </c>
      <c r="K761" s="27">
        <f>IF(OR($A761="",_Engine!$D$45=0),"",INDEX(_Engine!$E819:$X819,1,(_Engine!$J$45-1)*4+3))</f>
        <v/>
      </c>
    </row>
    <row r="762">
      <c r="A762" s="25">
        <f>IF(759&lt;=_Engine!$B$36,759,"")</f>
        <v/>
      </c>
      <c r="B762" s="26">
        <f>IF($A762="","",EDATE(_Engine!$B$5,$A762-1))</f>
        <v/>
      </c>
      <c r="C762" s="27">
        <f>IF($A762="","",_Engine!$AJ820)</f>
        <v/>
      </c>
      <c r="D762" s="27">
        <f>IF($A762="","",_Engine!$AK820)</f>
        <v/>
      </c>
      <c r="E762" s="27">
        <f>IF($A762="","",_Engine!$AJ820-_Engine!$AK820)</f>
        <v/>
      </c>
      <c r="F762" s="27">
        <f>IF($A762="","",_Engine!$AI820)</f>
        <v/>
      </c>
      <c r="G762" s="27">
        <f>IF(OR($A762="",_Engine!$D$41=0),"",INDEX(_Engine!$E820:$X820,1,(_Engine!$J$41-1)*4+3))</f>
        <v/>
      </c>
      <c r="H762" s="27">
        <f>IF(OR($A762="",_Engine!$D$42=0),"",INDEX(_Engine!$E820:$X820,1,(_Engine!$J$42-1)*4+3))</f>
        <v/>
      </c>
      <c r="I762" s="27">
        <f>IF(OR($A762="",_Engine!$D$43=0),"",INDEX(_Engine!$E820:$X820,1,(_Engine!$J$43-1)*4+3))</f>
        <v/>
      </c>
      <c r="J762" s="27">
        <f>IF(OR($A762="",_Engine!$D$44=0),"",INDEX(_Engine!$E820:$X820,1,(_Engine!$J$44-1)*4+3))</f>
        <v/>
      </c>
      <c r="K762" s="27">
        <f>IF(OR($A762="",_Engine!$D$45=0),"",INDEX(_Engine!$E820:$X820,1,(_Engine!$J$45-1)*4+3))</f>
        <v/>
      </c>
    </row>
    <row r="763">
      <c r="A763" s="25">
        <f>IF(760&lt;=_Engine!$B$36,760,"")</f>
        <v/>
      </c>
      <c r="B763" s="26">
        <f>IF($A763="","",EDATE(_Engine!$B$5,$A763-1))</f>
        <v/>
      </c>
      <c r="C763" s="27">
        <f>IF($A763="","",_Engine!$AJ821)</f>
        <v/>
      </c>
      <c r="D763" s="27">
        <f>IF($A763="","",_Engine!$AK821)</f>
        <v/>
      </c>
      <c r="E763" s="27">
        <f>IF($A763="","",_Engine!$AJ821-_Engine!$AK821)</f>
        <v/>
      </c>
      <c r="F763" s="27">
        <f>IF($A763="","",_Engine!$AI821)</f>
        <v/>
      </c>
      <c r="G763" s="27">
        <f>IF(OR($A763="",_Engine!$D$41=0),"",INDEX(_Engine!$E821:$X821,1,(_Engine!$J$41-1)*4+3))</f>
        <v/>
      </c>
      <c r="H763" s="27">
        <f>IF(OR($A763="",_Engine!$D$42=0),"",INDEX(_Engine!$E821:$X821,1,(_Engine!$J$42-1)*4+3))</f>
        <v/>
      </c>
      <c r="I763" s="27">
        <f>IF(OR($A763="",_Engine!$D$43=0),"",INDEX(_Engine!$E821:$X821,1,(_Engine!$J$43-1)*4+3))</f>
        <v/>
      </c>
      <c r="J763" s="27">
        <f>IF(OR($A763="",_Engine!$D$44=0),"",INDEX(_Engine!$E821:$X821,1,(_Engine!$J$44-1)*4+3))</f>
        <v/>
      </c>
      <c r="K763" s="27">
        <f>IF(OR($A763="",_Engine!$D$45=0),"",INDEX(_Engine!$E821:$X821,1,(_Engine!$J$45-1)*4+3))</f>
        <v/>
      </c>
    </row>
    <row r="764">
      <c r="A764" s="25">
        <f>IF(761&lt;=_Engine!$B$36,761,"")</f>
        <v/>
      </c>
      <c r="B764" s="26">
        <f>IF($A764="","",EDATE(_Engine!$B$5,$A764-1))</f>
        <v/>
      </c>
      <c r="C764" s="27">
        <f>IF($A764="","",_Engine!$AJ822)</f>
        <v/>
      </c>
      <c r="D764" s="27">
        <f>IF($A764="","",_Engine!$AK822)</f>
        <v/>
      </c>
      <c r="E764" s="27">
        <f>IF($A764="","",_Engine!$AJ822-_Engine!$AK822)</f>
        <v/>
      </c>
      <c r="F764" s="27">
        <f>IF($A764="","",_Engine!$AI822)</f>
        <v/>
      </c>
      <c r="G764" s="27">
        <f>IF(OR($A764="",_Engine!$D$41=0),"",INDEX(_Engine!$E822:$X822,1,(_Engine!$J$41-1)*4+3))</f>
        <v/>
      </c>
      <c r="H764" s="27">
        <f>IF(OR($A764="",_Engine!$D$42=0),"",INDEX(_Engine!$E822:$X822,1,(_Engine!$J$42-1)*4+3))</f>
        <v/>
      </c>
      <c r="I764" s="27">
        <f>IF(OR($A764="",_Engine!$D$43=0),"",INDEX(_Engine!$E822:$X822,1,(_Engine!$J$43-1)*4+3))</f>
        <v/>
      </c>
      <c r="J764" s="27">
        <f>IF(OR($A764="",_Engine!$D$44=0),"",INDEX(_Engine!$E822:$X822,1,(_Engine!$J$44-1)*4+3))</f>
        <v/>
      </c>
      <c r="K764" s="27">
        <f>IF(OR($A764="",_Engine!$D$45=0),"",INDEX(_Engine!$E822:$X822,1,(_Engine!$J$45-1)*4+3))</f>
        <v/>
      </c>
    </row>
    <row r="765">
      <c r="A765" s="25">
        <f>IF(762&lt;=_Engine!$B$36,762,"")</f>
        <v/>
      </c>
      <c r="B765" s="26">
        <f>IF($A765="","",EDATE(_Engine!$B$5,$A765-1))</f>
        <v/>
      </c>
      <c r="C765" s="27">
        <f>IF($A765="","",_Engine!$AJ823)</f>
        <v/>
      </c>
      <c r="D765" s="27">
        <f>IF($A765="","",_Engine!$AK823)</f>
        <v/>
      </c>
      <c r="E765" s="27">
        <f>IF($A765="","",_Engine!$AJ823-_Engine!$AK823)</f>
        <v/>
      </c>
      <c r="F765" s="27">
        <f>IF($A765="","",_Engine!$AI823)</f>
        <v/>
      </c>
      <c r="G765" s="27">
        <f>IF(OR($A765="",_Engine!$D$41=0),"",INDEX(_Engine!$E823:$X823,1,(_Engine!$J$41-1)*4+3))</f>
        <v/>
      </c>
      <c r="H765" s="27">
        <f>IF(OR($A765="",_Engine!$D$42=0),"",INDEX(_Engine!$E823:$X823,1,(_Engine!$J$42-1)*4+3))</f>
        <v/>
      </c>
      <c r="I765" s="27">
        <f>IF(OR($A765="",_Engine!$D$43=0),"",INDEX(_Engine!$E823:$X823,1,(_Engine!$J$43-1)*4+3))</f>
        <v/>
      </c>
      <c r="J765" s="27">
        <f>IF(OR($A765="",_Engine!$D$44=0),"",INDEX(_Engine!$E823:$X823,1,(_Engine!$J$44-1)*4+3))</f>
        <v/>
      </c>
      <c r="K765" s="27">
        <f>IF(OR($A765="",_Engine!$D$45=0),"",INDEX(_Engine!$E823:$X823,1,(_Engine!$J$45-1)*4+3))</f>
        <v/>
      </c>
    </row>
    <row r="766">
      <c r="A766" s="25">
        <f>IF(763&lt;=_Engine!$B$36,763,"")</f>
        <v/>
      </c>
      <c r="B766" s="26">
        <f>IF($A766="","",EDATE(_Engine!$B$5,$A766-1))</f>
        <v/>
      </c>
      <c r="C766" s="27">
        <f>IF($A766="","",_Engine!$AJ824)</f>
        <v/>
      </c>
      <c r="D766" s="27">
        <f>IF($A766="","",_Engine!$AK824)</f>
        <v/>
      </c>
      <c r="E766" s="27">
        <f>IF($A766="","",_Engine!$AJ824-_Engine!$AK824)</f>
        <v/>
      </c>
      <c r="F766" s="27">
        <f>IF($A766="","",_Engine!$AI824)</f>
        <v/>
      </c>
      <c r="G766" s="27">
        <f>IF(OR($A766="",_Engine!$D$41=0),"",INDEX(_Engine!$E824:$X824,1,(_Engine!$J$41-1)*4+3))</f>
        <v/>
      </c>
      <c r="H766" s="27">
        <f>IF(OR($A766="",_Engine!$D$42=0),"",INDEX(_Engine!$E824:$X824,1,(_Engine!$J$42-1)*4+3))</f>
        <v/>
      </c>
      <c r="I766" s="27">
        <f>IF(OR($A766="",_Engine!$D$43=0),"",INDEX(_Engine!$E824:$X824,1,(_Engine!$J$43-1)*4+3))</f>
        <v/>
      </c>
      <c r="J766" s="27">
        <f>IF(OR($A766="",_Engine!$D$44=0),"",INDEX(_Engine!$E824:$X824,1,(_Engine!$J$44-1)*4+3))</f>
        <v/>
      </c>
      <c r="K766" s="27">
        <f>IF(OR($A766="",_Engine!$D$45=0),"",INDEX(_Engine!$E824:$X824,1,(_Engine!$J$45-1)*4+3))</f>
        <v/>
      </c>
    </row>
    <row r="767">
      <c r="A767" s="25">
        <f>IF(764&lt;=_Engine!$B$36,764,"")</f>
        <v/>
      </c>
      <c r="B767" s="26">
        <f>IF($A767="","",EDATE(_Engine!$B$5,$A767-1))</f>
        <v/>
      </c>
      <c r="C767" s="27">
        <f>IF($A767="","",_Engine!$AJ825)</f>
        <v/>
      </c>
      <c r="D767" s="27">
        <f>IF($A767="","",_Engine!$AK825)</f>
        <v/>
      </c>
      <c r="E767" s="27">
        <f>IF($A767="","",_Engine!$AJ825-_Engine!$AK825)</f>
        <v/>
      </c>
      <c r="F767" s="27">
        <f>IF($A767="","",_Engine!$AI825)</f>
        <v/>
      </c>
      <c r="G767" s="27">
        <f>IF(OR($A767="",_Engine!$D$41=0),"",INDEX(_Engine!$E825:$X825,1,(_Engine!$J$41-1)*4+3))</f>
        <v/>
      </c>
      <c r="H767" s="27">
        <f>IF(OR($A767="",_Engine!$D$42=0),"",INDEX(_Engine!$E825:$X825,1,(_Engine!$J$42-1)*4+3))</f>
        <v/>
      </c>
      <c r="I767" s="27">
        <f>IF(OR($A767="",_Engine!$D$43=0),"",INDEX(_Engine!$E825:$X825,1,(_Engine!$J$43-1)*4+3))</f>
        <v/>
      </c>
      <c r="J767" s="27">
        <f>IF(OR($A767="",_Engine!$D$44=0),"",INDEX(_Engine!$E825:$X825,1,(_Engine!$J$44-1)*4+3))</f>
        <v/>
      </c>
      <c r="K767" s="27">
        <f>IF(OR($A767="",_Engine!$D$45=0),"",INDEX(_Engine!$E825:$X825,1,(_Engine!$J$45-1)*4+3))</f>
        <v/>
      </c>
    </row>
    <row r="768">
      <c r="A768" s="25">
        <f>IF(765&lt;=_Engine!$B$36,765,"")</f>
        <v/>
      </c>
      <c r="B768" s="26">
        <f>IF($A768="","",EDATE(_Engine!$B$5,$A768-1))</f>
        <v/>
      </c>
      <c r="C768" s="27">
        <f>IF($A768="","",_Engine!$AJ826)</f>
        <v/>
      </c>
      <c r="D768" s="27">
        <f>IF($A768="","",_Engine!$AK826)</f>
        <v/>
      </c>
      <c r="E768" s="27">
        <f>IF($A768="","",_Engine!$AJ826-_Engine!$AK826)</f>
        <v/>
      </c>
      <c r="F768" s="27">
        <f>IF($A768="","",_Engine!$AI826)</f>
        <v/>
      </c>
      <c r="G768" s="27">
        <f>IF(OR($A768="",_Engine!$D$41=0),"",INDEX(_Engine!$E826:$X826,1,(_Engine!$J$41-1)*4+3))</f>
        <v/>
      </c>
      <c r="H768" s="27">
        <f>IF(OR($A768="",_Engine!$D$42=0),"",INDEX(_Engine!$E826:$X826,1,(_Engine!$J$42-1)*4+3))</f>
        <v/>
      </c>
      <c r="I768" s="27">
        <f>IF(OR($A768="",_Engine!$D$43=0),"",INDEX(_Engine!$E826:$X826,1,(_Engine!$J$43-1)*4+3))</f>
        <v/>
      </c>
      <c r="J768" s="27">
        <f>IF(OR($A768="",_Engine!$D$44=0),"",INDEX(_Engine!$E826:$X826,1,(_Engine!$J$44-1)*4+3))</f>
        <v/>
      </c>
      <c r="K768" s="27">
        <f>IF(OR($A768="",_Engine!$D$45=0),"",INDEX(_Engine!$E826:$X826,1,(_Engine!$J$45-1)*4+3))</f>
        <v/>
      </c>
    </row>
    <row r="769">
      <c r="A769" s="25">
        <f>IF(766&lt;=_Engine!$B$36,766,"")</f>
        <v/>
      </c>
      <c r="B769" s="26">
        <f>IF($A769="","",EDATE(_Engine!$B$5,$A769-1))</f>
        <v/>
      </c>
      <c r="C769" s="27">
        <f>IF($A769="","",_Engine!$AJ827)</f>
        <v/>
      </c>
      <c r="D769" s="27">
        <f>IF($A769="","",_Engine!$AK827)</f>
        <v/>
      </c>
      <c r="E769" s="27">
        <f>IF($A769="","",_Engine!$AJ827-_Engine!$AK827)</f>
        <v/>
      </c>
      <c r="F769" s="27">
        <f>IF($A769="","",_Engine!$AI827)</f>
        <v/>
      </c>
      <c r="G769" s="27">
        <f>IF(OR($A769="",_Engine!$D$41=0),"",INDEX(_Engine!$E827:$X827,1,(_Engine!$J$41-1)*4+3))</f>
        <v/>
      </c>
      <c r="H769" s="27">
        <f>IF(OR($A769="",_Engine!$D$42=0),"",INDEX(_Engine!$E827:$X827,1,(_Engine!$J$42-1)*4+3))</f>
        <v/>
      </c>
      <c r="I769" s="27">
        <f>IF(OR($A769="",_Engine!$D$43=0),"",INDEX(_Engine!$E827:$X827,1,(_Engine!$J$43-1)*4+3))</f>
        <v/>
      </c>
      <c r="J769" s="27">
        <f>IF(OR($A769="",_Engine!$D$44=0),"",INDEX(_Engine!$E827:$X827,1,(_Engine!$J$44-1)*4+3))</f>
        <v/>
      </c>
      <c r="K769" s="27">
        <f>IF(OR($A769="",_Engine!$D$45=0),"",INDEX(_Engine!$E827:$X827,1,(_Engine!$J$45-1)*4+3))</f>
        <v/>
      </c>
    </row>
    <row r="770">
      <c r="A770" s="25">
        <f>IF(767&lt;=_Engine!$B$36,767,"")</f>
        <v/>
      </c>
      <c r="B770" s="26">
        <f>IF($A770="","",EDATE(_Engine!$B$5,$A770-1))</f>
        <v/>
      </c>
      <c r="C770" s="27">
        <f>IF($A770="","",_Engine!$AJ828)</f>
        <v/>
      </c>
      <c r="D770" s="27">
        <f>IF($A770="","",_Engine!$AK828)</f>
        <v/>
      </c>
      <c r="E770" s="27">
        <f>IF($A770="","",_Engine!$AJ828-_Engine!$AK828)</f>
        <v/>
      </c>
      <c r="F770" s="27">
        <f>IF($A770="","",_Engine!$AI828)</f>
        <v/>
      </c>
      <c r="G770" s="27">
        <f>IF(OR($A770="",_Engine!$D$41=0),"",INDEX(_Engine!$E828:$X828,1,(_Engine!$J$41-1)*4+3))</f>
        <v/>
      </c>
      <c r="H770" s="27">
        <f>IF(OR($A770="",_Engine!$D$42=0),"",INDEX(_Engine!$E828:$X828,1,(_Engine!$J$42-1)*4+3))</f>
        <v/>
      </c>
      <c r="I770" s="27">
        <f>IF(OR($A770="",_Engine!$D$43=0),"",INDEX(_Engine!$E828:$X828,1,(_Engine!$J$43-1)*4+3))</f>
        <v/>
      </c>
      <c r="J770" s="27">
        <f>IF(OR($A770="",_Engine!$D$44=0),"",INDEX(_Engine!$E828:$X828,1,(_Engine!$J$44-1)*4+3))</f>
        <v/>
      </c>
      <c r="K770" s="27">
        <f>IF(OR($A770="",_Engine!$D$45=0),"",INDEX(_Engine!$E828:$X828,1,(_Engine!$J$45-1)*4+3))</f>
        <v/>
      </c>
    </row>
    <row r="771">
      <c r="A771" s="25">
        <f>IF(768&lt;=_Engine!$B$36,768,"")</f>
        <v/>
      </c>
      <c r="B771" s="26">
        <f>IF($A771="","",EDATE(_Engine!$B$5,$A771-1))</f>
        <v/>
      </c>
      <c r="C771" s="27">
        <f>IF($A771="","",_Engine!$AJ829)</f>
        <v/>
      </c>
      <c r="D771" s="27">
        <f>IF($A771="","",_Engine!$AK829)</f>
        <v/>
      </c>
      <c r="E771" s="27">
        <f>IF($A771="","",_Engine!$AJ829-_Engine!$AK829)</f>
        <v/>
      </c>
      <c r="F771" s="27">
        <f>IF($A771="","",_Engine!$AI829)</f>
        <v/>
      </c>
      <c r="G771" s="27">
        <f>IF(OR($A771="",_Engine!$D$41=0),"",INDEX(_Engine!$E829:$X829,1,(_Engine!$J$41-1)*4+3))</f>
        <v/>
      </c>
      <c r="H771" s="27">
        <f>IF(OR($A771="",_Engine!$D$42=0),"",INDEX(_Engine!$E829:$X829,1,(_Engine!$J$42-1)*4+3))</f>
        <v/>
      </c>
      <c r="I771" s="27">
        <f>IF(OR($A771="",_Engine!$D$43=0),"",INDEX(_Engine!$E829:$X829,1,(_Engine!$J$43-1)*4+3))</f>
        <v/>
      </c>
      <c r="J771" s="27">
        <f>IF(OR($A771="",_Engine!$D$44=0),"",INDEX(_Engine!$E829:$X829,1,(_Engine!$J$44-1)*4+3))</f>
        <v/>
      </c>
      <c r="K771" s="27">
        <f>IF(OR($A771="",_Engine!$D$45=0),"",INDEX(_Engine!$E829:$X829,1,(_Engine!$J$45-1)*4+3))</f>
        <v/>
      </c>
    </row>
    <row r="772">
      <c r="A772" s="25">
        <f>IF(769&lt;=_Engine!$B$36,769,"")</f>
        <v/>
      </c>
      <c r="B772" s="26">
        <f>IF($A772="","",EDATE(_Engine!$B$5,$A772-1))</f>
        <v/>
      </c>
      <c r="C772" s="27">
        <f>IF($A772="","",_Engine!$AJ830)</f>
        <v/>
      </c>
      <c r="D772" s="27">
        <f>IF($A772="","",_Engine!$AK830)</f>
        <v/>
      </c>
      <c r="E772" s="27">
        <f>IF($A772="","",_Engine!$AJ830-_Engine!$AK830)</f>
        <v/>
      </c>
      <c r="F772" s="27">
        <f>IF($A772="","",_Engine!$AI830)</f>
        <v/>
      </c>
      <c r="G772" s="27">
        <f>IF(OR($A772="",_Engine!$D$41=0),"",INDEX(_Engine!$E830:$X830,1,(_Engine!$J$41-1)*4+3))</f>
        <v/>
      </c>
      <c r="H772" s="27">
        <f>IF(OR($A772="",_Engine!$D$42=0),"",INDEX(_Engine!$E830:$X830,1,(_Engine!$J$42-1)*4+3))</f>
        <v/>
      </c>
      <c r="I772" s="27">
        <f>IF(OR($A772="",_Engine!$D$43=0),"",INDEX(_Engine!$E830:$X830,1,(_Engine!$J$43-1)*4+3))</f>
        <v/>
      </c>
      <c r="J772" s="27">
        <f>IF(OR($A772="",_Engine!$D$44=0),"",INDEX(_Engine!$E830:$X830,1,(_Engine!$J$44-1)*4+3))</f>
        <v/>
      </c>
      <c r="K772" s="27">
        <f>IF(OR($A772="",_Engine!$D$45=0),"",INDEX(_Engine!$E830:$X830,1,(_Engine!$J$45-1)*4+3))</f>
        <v/>
      </c>
    </row>
    <row r="773">
      <c r="A773" s="25">
        <f>IF(770&lt;=_Engine!$B$36,770,"")</f>
        <v/>
      </c>
      <c r="B773" s="26">
        <f>IF($A773="","",EDATE(_Engine!$B$5,$A773-1))</f>
        <v/>
      </c>
      <c r="C773" s="27">
        <f>IF($A773="","",_Engine!$AJ831)</f>
        <v/>
      </c>
      <c r="D773" s="27">
        <f>IF($A773="","",_Engine!$AK831)</f>
        <v/>
      </c>
      <c r="E773" s="27">
        <f>IF($A773="","",_Engine!$AJ831-_Engine!$AK831)</f>
        <v/>
      </c>
      <c r="F773" s="27">
        <f>IF($A773="","",_Engine!$AI831)</f>
        <v/>
      </c>
      <c r="G773" s="27">
        <f>IF(OR($A773="",_Engine!$D$41=0),"",INDEX(_Engine!$E831:$X831,1,(_Engine!$J$41-1)*4+3))</f>
        <v/>
      </c>
      <c r="H773" s="27">
        <f>IF(OR($A773="",_Engine!$D$42=0),"",INDEX(_Engine!$E831:$X831,1,(_Engine!$J$42-1)*4+3))</f>
        <v/>
      </c>
      <c r="I773" s="27">
        <f>IF(OR($A773="",_Engine!$D$43=0),"",INDEX(_Engine!$E831:$X831,1,(_Engine!$J$43-1)*4+3))</f>
        <v/>
      </c>
      <c r="J773" s="27">
        <f>IF(OR($A773="",_Engine!$D$44=0),"",INDEX(_Engine!$E831:$X831,1,(_Engine!$J$44-1)*4+3))</f>
        <v/>
      </c>
      <c r="K773" s="27">
        <f>IF(OR($A773="",_Engine!$D$45=0),"",INDEX(_Engine!$E831:$X831,1,(_Engine!$J$45-1)*4+3))</f>
        <v/>
      </c>
    </row>
    <row r="774">
      <c r="A774" s="25">
        <f>IF(771&lt;=_Engine!$B$36,771,"")</f>
        <v/>
      </c>
      <c r="B774" s="26">
        <f>IF($A774="","",EDATE(_Engine!$B$5,$A774-1))</f>
        <v/>
      </c>
      <c r="C774" s="27">
        <f>IF($A774="","",_Engine!$AJ832)</f>
        <v/>
      </c>
      <c r="D774" s="27">
        <f>IF($A774="","",_Engine!$AK832)</f>
        <v/>
      </c>
      <c r="E774" s="27">
        <f>IF($A774="","",_Engine!$AJ832-_Engine!$AK832)</f>
        <v/>
      </c>
      <c r="F774" s="27">
        <f>IF($A774="","",_Engine!$AI832)</f>
        <v/>
      </c>
      <c r="G774" s="27">
        <f>IF(OR($A774="",_Engine!$D$41=0),"",INDEX(_Engine!$E832:$X832,1,(_Engine!$J$41-1)*4+3))</f>
        <v/>
      </c>
      <c r="H774" s="27">
        <f>IF(OR($A774="",_Engine!$D$42=0),"",INDEX(_Engine!$E832:$X832,1,(_Engine!$J$42-1)*4+3))</f>
        <v/>
      </c>
      <c r="I774" s="27">
        <f>IF(OR($A774="",_Engine!$D$43=0),"",INDEX(_Engine!$E832:$X832,1,(_Engine!$J$43-1)*4+3))</f>
        <v/>
      </c>
      <c r="J774" s="27">
        <f>IF(OR($A774="",_Engine!$D$44=0),"",INDEX(_Engine!$E832:$X832,1,(_Engine!$J$44-1)*4+3))</f>
        <v/>
      </c>
      <c r="K774" s="27">
        <f>IF(OR($A774="",_Engine!$D$45=0),"",INDEX(_Engine!$E832:$X832,1,(_Engine!$J$45-1)*4+3))</f>
        <v/>
      </c>
    </row>
    <row r="775">
      <c r="A775" s="25">
        <f>IF(772&lt;=_Engine!$B$36,772,"")</f>
        <v/>
      </c>
      <c r="B775" s="26">
        <f>IF($A775="","",EDATE(_Engine!$B$5,$A775-1))</f>
        <v/>
      </c>
      <c r="C775" s="27">
        <f>IF($A775="","",_Engine!$AJ833)</f>
        <v/>
      </c>
      <c r="D775" s="27">
        <f>IF($A775="","",_Engine!$AK833)</f>
        <v/>
      </c>
      <c r="E775" s="27">
        <f>IF($A775="","",_Engine!$AJ833-_Engine!$AK833)</f>
        <v/>
      </c>
      <c r="F775" s="27">
        <f>IF($A775="","",_Engine!$AI833)</f>
        <v/>
      </c>
      <c r="G775" s="27">
        <f>IF(OR($A775="",_Engine!$D$41=0),"",INDEX(_Engine!$E833:$X833,1,(_Engine!$J$41-1)*4+3))</f>
        <v/>
      </c>
      <c r="H775" s="27">
        <f>IF(OR($A775="",_Engine!$D$42=0),"",INDEX(_Engine!$E833:$X833,1,(_Engine!$J$42-1)*4+3))</f>
        <v/>
      </c>
      <c r="I775" s="27">
        <f>IF(OR($A775="",_Engine!$D$43=0),"",INDEX(_Engine!$E833:$X833,1,(_Engine!$J$43-1)*4+3))</f>
        <v/>
      </c>
      <c r="J775" s="27">
        <f>IF(OR($A775="",_Engine!$D$44=0),"",INDEX(_Engine!$E833:$X833,1,(_Engine!$J$44-1)*4+3))</f>
        <v/>
      </c>
      <c r="K775" s="27">
        <f>IF(OR($A775="",_Engine!$D$45=0),"",INDEX(_Engine!$E833:$X833,1,(_Engine!$J$45-1)*4+3))</f>
        <v/>
      </c>
    </row>
    <row r="776">
      <c r="A776" s="25">
        <f>IF(773&lt;=_Engine!$B$36,773,"")</f>
        <v/>
      </c>
      <c r="B776" s="26">
        <f>IF($A776="","",EDATE(_Engine!$B$5,$A776-1))</f>
        <v/>
      </c>
      <c r="C776" s="27">
        <f>IF($A776="","",_Engine!$AJ834)</f>
        <v/>
      </c>
      <c r="D776" s="27">
        <f>IF($A776="","",_Engine!$AK834)</f>
        <v/>
      </c>
      <c r="E776" s="27">
        <f>IF($A776="","",_Engine!$AJ834-_Engine!$AK834)</f>
        <v/>
      </c>
      <c r="F776" s="27">
        <f>IF($A776="","",_Engine!$AI834)</f>
        <v/>
      </c>
      <c r="G776" s="27">
        <f>IF(OR($A776="",_Engine!$D$41=0),"",INDEX(_Engine!$E834:$X834,1,(_Engine!$J$41-1)*4+3))</f>
        <v/>
      </c>
      <c r="H776" s="27">
        <f>IF(OR($A776="",_Engine!$D$42=0),"",INDEX(_Engine!$E834:$X834,1,(_Engine!$J$42-1)*4+3))</f>
        <v/>
      </c>
      <c r="I776" s="27">
        <f>IF(OR($A776="",_Engine!$D$43=0),"",INDEX(_Engine!$E834:$X834,1,(_Engine!$J$43-1)*4+3))</f>
        <v/>
      </c>
      <c r="J776" s="27">
        <f>IF(OR($A776="",_Engine!$D$44=0),"",INDEX(_Engine!$E834:$X834,1,(_Engine!$J$44-1)*4+3))</f>
        <v/>
      </c>
      <c r="K776" s="27">
        <f>IF(OR($A776="",_Engine!$D$45=0),"",INDEX(_Engine!$E834:$X834,1,(_Engine!$J$45-1)*4+3))</f>
        <v/>
      </c>
    </row>
    <row r="777">
      <c r="A777" s="25">
        <f>IF(774&lt;=_Engine!$B$36,774,"")</f>
        <v/>
      </c>
      <c r="B777" s="26">
        <f>IF($A777="","",EDATE(_Engine!$B$5,$A777-1))</f>
        <v/>
      </c>
      <c r="C777" s="27">
        <f>IF($A777="","",_Engine!$AJ835)</f>
        <v/>
      </c>
      <c r="D777" s="27">
        <f>IF($A777="","",_Engine!$AK835)</f>
        <v/>
      </c>
      <c r="E777" s="27">
        <f>IF($A777="","",_Engine!$AJ835-_Engine!$AK835)</f>
        <v/>
      </c>
      <c r="F777" s="27">
        <f>IF($A777="","",_Engine!$AI835)</f>
        <v/>
      </c>
      <c r="G777" s="27">
        <f>IF(OR($A777="",_Engine!$D$41=0),"",INDEX(_Engine!$E835:$X835,1,(_Engine!$J$41-1)*4+3))</f>
        <v/>
      </c>
      <c r="H777" s="27">
        <f>IF(OR($A777="",_Engine!$D$42=0),"",INDEX(_Engine!$E835:$X835,1,(_Engine!$J$42-1)*4+3))</f>
        <v/>
      </c>
      <c r="I777" s="27">
        <f>IF(OR($A777="",_Engine!$D$43=0),"",INDEX(_Engine!$E835:$X835,1,(_Engine!$J$43-1)*4+3))</f>
        <v/>
      </c>
      <c r="J777" s="27">
        <f>IF(OR($A777="",_Engine!$D$44=0),"",INDEX(_Engine!$E835:$X835,1,(_Engine!$J$44-1)*4+3))</f>
        <v/>
      </c>
      <c r="K777" s="27">
        <f>IF(OR($A777="",_Engine!$D$45=0),"",INDEX(_Engine!$E835:$X835,1,(_Engine!$J$45-1)*4+3))</f>
        <v/>
      </c>
    </row>
    <row r="778">
      <c r="A778" s="25">
        <f>IF(775&lt;=_Engine!$B$36,775,"")</f>
        <v/>
      </c>
      <c r="B778" s="26">
        <f>IF($A778="","",EDATE(_Engine!$B$5,$A778-1))</f>
        <v/>
      </c>
      <c r="C778" s="27">
        <f>IF($A778="","",_Engine!$AJ836)</f>
        <v/>
      </c>
      <c r="D778" s="27">
        <f>IF($A778="","",_Engine!$AK836)</f>
        <v/>
      </c>
      <c r="E778" s="27">
        <f>IF($A778="","",_Engine!$AJ836-_Engine!$AK836)</f>
        <v/>
      </c>
      <c r="F778" s="27">
        <f>IF($A778="","",_Engine!$AI836)</f>
        <v/>
      </c>
      <c r="G778" s="27">
        <f>IF(OR($A778="",_Engine!$D$41=0),"",INDEX(_Engine!$E836:$X836,1,(_Engine!$J$41-1)*4+3))</f>
        <v/>
      </c>
      <c r="H778" s="27">
        <f>IF(OR($A778="",_Engine!$D$42=0),"",INDEX(_Engine!$E836:$X836,1,(_Engine!$J$42-1)*4+3))</f>
        <v/>
      </c>
      <c r="I778" s="27">
        <f>IF(OR($A778="",_Engine!$D$43=0),"",INDEX(_Engine!$E836:$X836,1,(_Engine!$J$43-1)*4+3))</f>
        <v/>
      </c>
      <c r="J778" s="27">
        <f>IF(OR($A778="",_Engine!$D$44=0),"",INDEX(_Engine!$E836:$X836,1,(_Engine!$J$44-1)*4+3))</f>
        <v/>
      </c>
      <c r="K778" s="27">
        <f>IF(OR($A778="",_Engine!$D$45=0),"",INDEX(_Engine!$E836:$X836,1,(_Engine!$J$45-1)*4+3))</f>
        <v/>
      </c>
    </row>
    <row r="779">
      <c r="A779" s="25">
        <f>IF(776&lt;=_Engine!$B$36,776,"")</f>
        <v/>
      </c>
      <c r="B779" s="26">
        <f>IF($A779="","",EDATE(_Engine!$B$5,$A779-1))</f>
        <v/>
      </c>
      <c r="C779" s="27">
        <f>IF($A779="","",_Engine!$AJ837)</f>
        <v/>
      </c>
      <c r="D779" s="27">
        <f>IF($A779="","",_Engine!$AK837)</f>
        <v/>
      </c>
      <c r="E779" s="27">
        <f>IF($A779="","",_Engine!$AJ837-_Engine!$AK837)</f>
        <v/>
      </c>
      <c r="F779" s="27">
        <f>IF($A779="","",_Engine!$AI837)</f>
        <v/>
      </c>
      <c r="G779" s="27">
        <f>IF(OR($A779="",_Engine!$D$41=0),"",INDEX(_Engine!$E837:$X837,1,(_Engine!$J$41-1)*4+3))</f>
        <v/>
      </c>
      <c r="H779" s="27">
        <f>IF(OR($A779="",_Engine!$D$42=0),"",INDEX(_Engine!$E837:$X837,1,(_Engine!$J$42-1)*4+3))</f>
        <v/>
      </c>
      <c r="I779" s="27">
        <f>IF(OR($A779="",_Engine!$D$43=0),"",INDEX(_Engine!$E837:$X837,1,(_Engine!$J$43-1)*4+3))</f>
        <v/>
      </c>
      <c r="J779" s="27">
        <f>IF(OR($A779="",_Engine!$D$44=0),"",INDEX(_Engine!$E837:$X837,1,(_Engine!$J$44-1)*4+3))</f>
        <v/>
      </c>
      <c r="K779" s="27">
        <f>IF(OR($A779="",_Engine!$D$45=0),"",INDEX(_Engine!$E837:$X837,1,(_Engine!$J$45-1)*4+3))</f>
        <v/>
      </c>
    </row>
    <row r="780">
      <c r="A780" s="25">
        <f>IF(777&lt;=_Engine!$B$36,777,"")</f>
        <v/>
      </c>
      <c r="B780" s="26">
        <f>IF($A780="","",EDATE(_Engine!$B$5,$A780-1))</f>
        <v/>
      </c>
      <c r="C780" s="27">
        <f>IF($A780="","",_Engine!$AJ838)</f>
        <v/>
      </c>
      <c r="D780" s="27">
        <f>IF($A780="","",_Engine!$AK838)</f>
        <v/>
      </c>
      <c r="E780" s="27">
        <f>IF($A780="","",_Engine!$AJ838-_Engine!$AK838)</f>
        <v/>
      </c>
      <c r="F780" s="27">
        <f>IF($A780="","",_Engine!$AI838)</f>
        <v/>
      </c>
      <c r="G780" s="27">
        <f>IF(OR($A780="",_Engine!$D$41=0),"",INDEX(_Engine!$E838:$X838,1,(_Engine!$J$41-1)*4+3))</f>
        <v/>
      </c>
      <c r="H780" s="27">
        <f>IF(OR($A780="",_Engine!$D$42=0),"",INDEX(_Engine!$E838:$X838,1,(_Engine!$J$42-1)*4+3))</f>
        <v/>
      </c>
      <c r="I780" s="27">
        <f>IF(OR($A780="",_Engine!$D$43=0),"",INDEX(_Engine!$E838:$X838,1,(_Engine!$J$43-1)*4+3))</f>
        <v/>
      </c>
      <c r="J780" s="27">
        <f>IF(OR($A780="",_Engine!$D$44=0),"",INDEX(_Engine!$E838:$X838,1,(_Engine!$J$44-1)*4+3))</f>
        <v/>
      </c>
      <c r="K780" s="27">
        <f>IF(OR($A780="",_Engine!$D$45=0),"",INDEX(_Engine!$E838:$X838,1,(_Engine!$J$45-1)*4+3))</f>
        <v/>
      </c>
    </row>
    <row r="781">
      <c r="A781" s="25">
        <f>IF(778&lt;=_Engine!$B$36,778,"")</f>
        <v/>
      </c>
      <c r="B781" s="26">
        <f>IF($A781="","",EDATE(_Engine!$B$5,$A781-1))</f>
        <v/>
      </c>
      <c r="C781" s="27">
        <f>IF($A781="","",_Engine!$AJ839)</f>
        <v/>
      </c>
      <c r="D781" s="27">
        <f>IF($A781="","",_Engine!$AK839)</f>
        <v/>
      </c>
      <c r="E781" s="27">
        <f>IF($A781="","",_Engine!$AJ839-_Engine!$AK839)</f>
        <v/>
      </c>
      <c r="F781" s="27">
        <f>IF($A781="","",_Engine!$AI839)</f>
        <v/>
      </c>
      <c r="G781" s="27">
        <f>IF(OR($A781="",_Engine!$D$41=0),"",INDEX(_Engine!$E839:$X839,1,(_Engine!$J$41-1)*4+3))</f>
        <v/>
      </c>
      <c r="H781" s="27">
        <f>IF(OR($A781="",_Engine!$D$42=0),"",INDEX(_Engine!$E839:$X839,1,(_Engine!$J$42-1)*4+3))</f>
        <v/>
      </c>
      <c r="I781" s="27">
        <f>IF(OR($A781="",_Engine!$D$43=0),"",INDEX(_Engine!$E839:$X839,1,(_Engine!$J$43-1)*4+3))</f>
        <v/>
      </c>
      <c r="J781" s="27">
        <f>IF(OR($A781="",_Engine!$D$44=0),"",INDEX(_Engine!$E839:$X839,1,(_Engine!$J$44-1)*4+3))</f>
        <v/>
      </c>
      <c r="K781" s="27">
        <f>IF(OR($A781="",_Engine!$D$45=0),"",INDEX(_Engine!$E839:$X839,1,(_Engine!$J$45-1)*4+3))</f>
        <v/>
      </c>
    </row>
    <row r="782">
      <c r="A782" s="25">
        <f>IF(779&lt;=_Engine!$B$36,779,"")</f>
        <v/>
      </c>
      <c r="B782" s="26">
        <f>IF($A782="","",EDATE(_Engine!$B$5,$A782-1))</f>
        <v/>
      </c>
      <c r="C782" s="27">
        <f>IF($A782="","",_Engine!$AJ840)</f>
        <v/>
      </c>
      <c r="D782" s="27">
        <f>IF($A782="","",_Engine!$AK840)</f>
        <v/>
      </c>
      <c r="E782" s="27">
        <f>IF($A782="","",_Engine!$AJ840-_Engine!$AK840)</f>
        <v/>
      </c>
      <c r="F782" s="27">
        <f>IF($A782="","",_Engine!$AI840)</f>
        <v/>
      </c>
      <c r="G782" s="27">
        <f>IF(OR($A782="",_Engine!$D$41=0),"",INDEX(_Engine!$E840:$X840,1,(_Engine!$J$41-1)*4+3))</f>
        <v/>
      </c>
      <c r="H782" s="27">
        <f>IF(OR($A782="",_Engine!$D$42=0),"",INDEX(_Engine!$E840:$X840,1,(_Engine!$J$42-1)*4+3))</f>
        <v/>
      </c>
      <c r="I782" s="27">
        <f>IF(OR($A782="",_Engine!$D$43=0),"",INDEX(_Engine!$E840:$X840,1,(_Engine!$J$43-1)*4+3))</f>
        <v/>
      </c>
      <c r="J782" s="27">
        <f>IF(OR($A782="",_Engine!$D$44=0),"",INDEX(_Engine!$E840:$X840,1,(_Engine!$J$44-1)*4+3))</f>
        <v/>
      </c>
      <c r="K782" s="27">
        <f>IF(OR($A782="",_Engine!$D$45=0),"",INDEX(_Engine!$E840:$X840,1,(_Engine!$J$45-1)*4+3))</f>
        <v/>
      </c>
    </row>
    <row r="783">
      <c r="A783" s="25">
        <f>IF(780&lt;=_Engine!$B$36,780,"")</f>
        <v/>
      </c>
      <c r="B783" s="26">
        <f>IF($A783="","",EDATE(_Engine!$B$5,$A783-1))</f>
        <v/>
      </c>
      <c r="C783" s="27">
        <f>IF($A783="","",_Engine!$AJ841)</f>
        <v/>
      </c>
      <c r="D783" s="27">
        <f>IF($A783="","",_Engine!$AK841)</f>
        <v/>
      </c>
      <c r="E783" s="27">
        <f>IF($A783="","",_Engine!$AJ841-_Engine!$AK841)</f>
        <v/>
      </c>
      <c r="F783" s="27">
        <f>IF($A783="","",_Engine!$AI841)</f>
        <v/>
      </c>
      <c r="G783" s="27">
        <f>IF(OR($A783="",_Engine!$D$41=0),"",INDEX(_Engine!$E841:$X841,1,(_Engine!$J$41-1)*4+3))</f>
        <v/>
      </c>
      <c r="H783" s="27">
        <f>IF(OR($A783="",_Engine!$D$42=0),"",INDEX(_Engine!$E841:$X841,1,(_Engine!$J$42-1)*4+3))</f>
        <v/>
      </c>
      <c r="I783" s="27">
        <f>IF(OR($A783="",_Engine!$D$43=0),"",INDEX(_Engine!$E841:$X841,1,(_Engine!$J$43-1)*4+3))</f>
        <v/>
      </c>
      <c r="J783" s="27">
        <f>IF(OR($A783="",_Engine!$D$44=0),"",INDEX(_Engine!$E841:$X841,1,(_Engine!$J$44-1)*4+3))</f>
        <v/>
      </c>
      <c r="K783" s="27">
        <f>IF(OR($A783="",_Engine!$D$45=0),"",INDEX(_Engine!$E841:$X841,1,(_Engine!$J$45-1)*4+3))</f>
        <v/>
      </c>
    </row>
    <row r="784">
      <c r="A784" s="25">
        <f>IF(781&lt;=_Engine!$B$36,781,"")</f>
        <v/>
      </c>
      <c r="B784" s="26">
        <f>IF($A784="","",EDATE(_Engine!$B$5,$A784-1))</f>
        <v/>
      </c>
      <c r="C784" s="27">
        <f>IF($A784="","",_Engine!$AJ842)</f>
        <v/>
      </c>
      <c r="D784" s="27">
        <f>IF($A784="","",_Engine!$AK842)</f>
        <v/>
      </c>
      <c r="E784" s="27">
        <f>IF($A784="","",_Engine!$AJ842-_Engine!$AK842)</f>
        <v/>
      </c>
      <c r="F784" s="27">
        <f>IF($A784="","",_Engine!$AI842)</f>
        <v/>
      </c>
      <c r="G784" s="27">
        <f>IF(OR($A784="",_Engine!$D$41=0),"",INDEX(_Engine!$E842:$X842,1,(_Engine!$J$41-1)*4+3))</f>
        <v/>
      </c>
      <c r="H784" s="27">
        <f>IF(OR($A784="",_Engine!$D$42=0),"",INDEX(_Engine!$E842:$X842,1,(_Engine!$J$42-1)*4+3))</f>
        <v/>
      </c>
      <c r="I784" s="27">
        <f>IF(OR($A784="",_Engine!$D$43=0),"",INDEX(_Engine!$E842:$X842,1,(_Engine!$J$43-1)*4+3))</f>
        <v/>
      </c>
      <c r="J784" s="27">
        <f>IF(OR($A784="",_Engine!$D$44=0),"",INDEX(_Engine!$E842:$X842,1,(_Engine!$J$44-1)*4+3))</f>
        <v/>
      </c>
      <c r="K784" s="27">
        <f>IF(OR($A784="",_Engine!$D$45=0),"",INDEX(_Engine!$E842:$X842,1,(_Engine!$J$45-1)*4+3))</f>
        <v/>
      </c>
    </row>
    <row r="785">
      <c r="A785" s="25">
        <f>IF(782&lt;=_Engine!$B$36,782,"")</f>
        <v/>
      </c>
      <c r="B785" s="26">
        <f>IF($A785="","",EDATE(_Engine!$B$5,$A785-1))</f>
        <v/>
      </c>
      <c r="C785" s="27">
        <f>IF($A785="","",_Engine!$AJ843)</f>
        <v/>
      </c>
      <c r="D785" s="27">
        <f>IF($A785="","",_Engine!$AK843)</f>
        <v/>
      </c>
      <c r="E785" s="27">
        <f>IF($A785="","",_Engine!$AJ843-_Engine!$AK843)</f>
        <v/>
      </c>
      <c r="F785" s="27">
        <f>IF($A785="","",_Engine!$AI843)</f>
        <v/>
      </c>
      <c r="G785" s="27">
        <f>IF(OR($A785="",_Engine!$D$41=0),"",INDEX(_Engine!$E843:$X843,1,(_Engine!$J$41-1)*4+3))</f>
        <v/>
      </c>
      <c r="H785" s="27">
        <f>IF(OR($A785="",_Engine!$D$42=0),"",INDEX(_Engine!$E843:$X843,1,(_Engine!$J$42-1)*4+3))</f>
        <v/>
      </c>
      <c r="I785" s="27">
        <f>IF(OR($A785="",_Engine!$D$43=0),"",INDEX(_Engine!$E843:$X843,1,(_Engine!$J$43-1)*4+3))</f>
        <v/>
      </c>
      <c r="J785" s="27">
        <f>IF(OR($A785="",_Engine!$D$44=0),"",INDEX(_Engine!$E843:$X843,1,(_Engine!$J$44-1)*4+3))</f>
        <v/>
      </c>
      <c r="K785" s="27">
        <f>IF(OR($A785="",_Engine!$D$45=0),"",INDEX(_Engine!$E843:$X843,1,(_Engine!$J$45-1)*4+3))</f>
        <v/>
      </c>
    </row>
    <row r="786">
      <c r="A786" s="25">
        <f>IF(783&lt;=_Engine!$B$36,783,"")</f>
        <v/>
      </c>
      <c r="B786" s="26">
        <f>IF($A786="","",EDATE(_Engine!$B$5,$A786-1))</f>
        <v/>
      </c>
      <c r="C786" s="27">
        <f>IF($A786="","",_Engine!$AJ844)</f>
        <v/>
      </c>
      <c r="D786" s="27">
        <f>IF($A786="","",_Engine!$AK844)</f>
        <v/>
      </c>
      <c r="E786" s="27">
        <f>IF($A786="","",_Engine!$AJ844-_Engine!$AK844)</f>
        <v/>
      </c>
      <c r="F786" s="27">
        <f>IF($A786="","",_Engine!$AI844)</f>
        <v/>
      </c>
      <c r="G786" s="27">
        <f>IF(OR($A786="",_Engine!$D$41=0),"",INDEX(_Engine!$E844:$X844,1,(_Engine!$J$41-1)*4+3))</f>
        <v/>
      </c>
      <c r="H786" s="27">
        <f>IF(OR($A786="",_Engine!$D$42=0),"",INDEX(_Engine!$E844:$X844,1,(_Engine!$J$42-1)*4+3))</f>
        <v/>
      </c>
      <c r="I786" s="27">
        <f>IF(OR($A786="",_Engine!$D$43=0),"",INDEX(_Engine!$E844:$X844,1,(_Engine!$J$43-1)*4+3))</f>
        <v/>
      </c>
      <c r="J786" s="27">
        <f>IF(OR($A786="",_Engine!$D$44=0),"",INDEX(_Engine!$E844:$X844,1,(_Engine!$J$44-1)*4+3))</f>
        <v/>
      </c>
      <c r="K786" s="27">
        <f>IF(OR($A786="",_Engine!$D$45=0),"",INDEX(_Engine!$E844:$X844,1,(_Engine!$J$45-1)*4+3))</f>
        <v/>
      </c>
    </row>
    <row r="787">
      <c r="A787" s="25">
        <f>IF(784&lt;=_Engine!$B$36,784,"")</f>
        <v/>
      </c>
      <c r="B787" s="26">
        <f>IF($A787="","",EDATE(_Engine!$B$5,$A787-1))</f>
        <v/>
      </c>
      <c r="C787" s="27">
        <f>IF($A787="","",_Engine!$AJ845)</f>
        <v/>
      </c>
      <c r="D787" s="27">
        <f>IF($A787="","",_Engine!$AK845)</f>
        <v/>
      </c>
      <c r="E787" s="27">
        <f>IF($A787="","",_Engine!$AJ845-_Engine!$AK845)</f>
        <v/>
      </c>
      <c r="F787" s="27">
        <f>IF($A787="","",_Engine!$AI845)</f>
        <v/>
      </c>
      <c r="G787" s="27">
        <f>IF(OR($A787="",_Engine!$D$41=0),"",INDEX(_Engine!$E845:$X845,1,(_Engine!$J$41-1)*4+3))</f>
        <v/>
      </c>
      <c r="H787" s="27">
        <f>IF(OR($A787="",_Engine!$D$42=0),"",INDEX(_Engine!$E845:$X845,1,(_Engine!$J$42-1)*4+3))</f>
        <v/>
      </c>
      <c r="I787" s="27">
        <f>IF(OR($A787="",_Engine!$D$43=0),"",INDEX(_Engine!$E845:$X845,1,(_Engine!$J$43-1)*4+3))</f>
        <v/>
      </c>
      <c r="J787" s="27">
        <f>IF(OR($A787="",_Engine!$D$44=0),"",INDEX(_Engine!$E845:$X845,1,(_Engine!$J$44-1)*4+3))</f>
        <v/>
      </c>
      <c r="K787" s="27">
        <f>IF(OR($A787="",_Engine!$D$45=0),"",INDEX(_Engine!$E845:$X845,1,(_Engine!$J$45-1)*4+3))</f>
        <v/>
      </c>
    </row>
    <row r="788">
      <c r="A788" s="25">
        <f>IF(785&lt;=_Engine!$B$36,785,"")</f>
        <v/>
      </c>
      <c r="B788" s="26">
        <f>IF($A788="","",EDATE(_Engine!$B$5,$A788-1))</f>
        <v/>
      </c>
      <c r="C788" s="27">
        <f>IF($A788="","",_Engine!$AJ846)</f>
        <v/>
      </c>
      <c r="D788" s="27">
        <f>IF($A788="","",_Engine!$AK846)</f>
        <v/>
      </c>
      <c r="E788" s="27">
        <f>IF($A788="","",_Engine!$AJ846-_Engine!$AK846)</f>
        <v/>
      </c>
      <c r="F788" s="27">
        <f>IF($A788="","",_Engine!$AI846)</f>
        <v/>
      </c>
      <c r="G788" s="27">
        <f>IF(OR($A788="",_Engine!$D$41=0),"",INDEX(_Engine!$E846:$X846,1,(_Engine!$J$41-1)*4+3))</f>
        <v/>
      </c>
      <c r="H788" s="27">
        <f>IF(OR($A788="",_Engine!$D$42=0),"",INDEX(_Engine!$E846:$X846,1,(_Engine!$J$42-1)*4+3))</f>
        <v/>
      </c>
      <c r="I788" s="27">
        <f>IF(OR($A788="",_Engine!$D$43=0),"",INDEX(_Engine!$E846:$X846,1,(_Engine!$J$43-1)*4+3))</f>
        <v/>
      </c>
      <c r="J788" s="27">
        <f>IF(OR($A788="",_Engine!$D$44=0),"",INDEX(_Engine!$E846:$X846,1,(_Engine!$J$44-1)*4+3))</f>
        <v/>
      </c>
      <c r="K788" s="27">
        <f>IF(OR($A788="",_Engine!$D$45=0),"",INDEX(_Engine!$E846:$X846,1,(_Engine!$J$45-1)*4+3))</f>
        <v/>
      </c>
    </row>
    <row r="789">
      <c r="A789" s="25">
        <f>IF(786&lt;=_Engine!$B$36,786,"")</f>
        <v/>
      </c>
      <c r="B789" s="26">
        <f>IF($A789="","",EDATE(_Engine!$B$5,$A789-1))</f>
        <v/>
      </c>
      <c r="C789" s="27">
        <f>IF($A789="","",_Engine!$AJ847)</f>
        <v/>
      </c>
      <c r="D789" s="27">
        <f>IF($A789="","",_Engine!$AK847)</f>
        <v/>
      </c>
      <c r="E789" s="27">
        <f>IF($A789="","",_Engine!$AJ847-_Engine!$AK847)</f>
        <v/>
      </c>
      <c r="F789" s="27">
        <f>IF($A789="","",_Engine!$AI847)</f>
        <v/>
      </c>
      <c r="G789" s="27">
        <f>IF(OR($A789="",_Engine!$D$41=0),"",INDEX(_Engine!$E847:$X847,1,(_Engine!$J$41-1)*4+3))</f>
        <v/>
      </c>
      <c r="H789" s="27">
        <f>IF(OR($A789="",_Engine!$D$42=0),"",INDEX(_Engine!$E847:$X847,1,(_Engine!$J$42-1)*4+3))</f>
        <v/>
      </c>
      <c r="I789" s="27">
        <f>IF(OR($A789="",_Engine!$D$43=0),"",INDEX(_Engine!$E847:$X847,1,(_Engine!$J$43-1)*4+3))</f>
        <v/>
      </c>
      <c r="J789" s="27">
        <f>IF(OR($A789="",_Engine!$D$44=0),"",INDEX(_Engine!$E847:$X847,1,(_Engine!$J$44-1)*4+3))</f>
        <v/>
      </c>
      <c r="K789" s="27">
        <f>IF(OR($A789="",_Engine!$D$45=0),"",INDEX(_Engine!$E847:$X847,1,(_Engine!$J$45-1)*4+3))</f>
        <v/>
      </c>
    </row>
    <row r="790">
      <c r="A790" s="25">
        <f>IF(787&lt;=_Engine!$B$36,787,"")</f>
        <v/>
      </c>
      <c r="B790" s="26">
        <f>IF($A790="","",EDATE(_Engine!$B$5,$A790-1))</f>
        <v/>
      </c>
      <c r="C790" s="27">
        <f>IF($A790="","",_Engine!$AJ848)</f>
        <v/>
      </c>
      <c r="D790" s="27">
        <f>IF($A790="","",_Engine!$AK848)</f>
        <v/>
      </c>
      <c r="E790" s="27">
        <f>IF($A790="","",_Engine!$AJ848-_Engine!$AK848)</f>
        <v/>
      </c>
      <c r="F790" s="27">
        <f>IF($A790="","",_Engine!$AI848)</f>
        <v/>
      </c>
      <c r="G790" s="27">
        <f>IF(OR($A790="",_Engine!$D$41=0),"",INDEX(_Engine!$E848:$X848,1,(_Engine!$J$41-1)*4+3))</f>
        <v/>
      </c>
      <c r="H790" s="27">
        <f>IF(OR($A790="",_Engine!$D$42=0),"",INDEX(_Engine!$E848:$X848,1,(_Engine!$J$42-1)*4+3))</f>
        <v/>
      </c>
      <c r="I790" s="27">
        <f>IF(OR($A790="",_Engine!$D$43=0),"",INDEX(_Engine!$E848:$X848,1,(_Engine!$J$43-1)*4+3))</f>
        <v/>
      </c>
      <c r="J790" s="27">
        <f>IF(OR($A790="",_Engine!$D$44=0),"",INDEX(_Engine!$E848:$X848,1,(_Engine!$J$44-1)*4+3))</f>
        <v/>
      </c>
      <c r="K790" s="27">
        <f>IF(OR($A790="",_Engine!$D$45=0),"",INDEX(_Engine!$E848:$X848,1,(_Engine!$J$45-1)*4+3))</f>
        <v/>
      </c>
    </row>
    <row r="791">
      <c r="A791" s="25">
        <f>IF(788&lt;=_Engine!$B$36,788,"")</f>
        <v/>
      </c>
      <c r="B791" s="26">
        <f>IF($A791="","",EDATE(_Engine!$B$5,$A791-1))</f>
        <v/>
      </c>
      <c r="C791" s="27">
        <f>IF($A791="","",_Engine!$AJ849)</f>
        <v/>
      </c>
      <c r="D791" s="27">
        <f>IF($A791="","",_Engine!$AK849)</f>
        <v/>
      </c>
      <c r="E791" s="27">
        <f>IF($A791="","",_Engine!$AJ849-_Engine!$AK849)</f>
        <v/>
      </c>
      <c r="F791" s="27">
        <f>IF($A791="","",_Engine!$AI849)</f>
        <v/>
      </c>
      <c r="G791" s="27">
        <f>IF(OR($A791="",_Engine!$D$41=0),"",INDEX(_Engine!$E849:$X849,1,(_Engine!$J$41-1)*4+3))</f>
        <v/>
      </c>
      <c r="H791" s="27">
        <f>IF(OR($A791="",_Engine!$D$42=0),"",INDEX(_Engine!$E849:$X849,1,(_Engine!$J$42-1)*4+3))</f>
        <v/>
      </c>
      <c r="I791" s="27">
        <f>IF(OR($A791="",_Engine!$D$43=0),"",INDEX(_Engine!$E849:$X849,1,(_Engine!$J$43-1)*4+3))</f>
        <v/>
      </c>
      <c r="J791" s="27">
        <f>IF(OR($A791="",_Engine!$D$44=0),"",INDEX(_Engine!$E849:$X849,1,(_Engine!$J$44-1)*4+3))</f>
        <v/>
      </c>
      <c r="K791" s="27">
        <f>IF(OR($A791="",_Engine!$D$45=0),"",INDEX(_Engine!$E849:$X849,1,(_Engine!$J$45-1)*4+3))</f>
        <v/>
      </c>
    </row>
    <row r="792">
      <c r="A792" s="25">
        <f>IF(789&lt;=_Engine!$B$36,789,"")</f>
        <v/>
      </c>
      <c r="B792" s="26">
        <f>IF($A792="","",EDATE(_Engine!$B$5,$A792-1))</f>
        <v/>
      </c>
      <c r="C792" s="27">
        <f>IF($A792="","",_Engine!$AJ850)</f>
        <v/>
      </c>
      <c r="D792" s="27">
        <f>IF($A792="","",_Engine!$AK850)</f>
        <v/>
      </c>
      <c r="E792" s="27">
        <f>IF($A792="","",_Engine!$AJ850-_Engine!$AK850)</f>
        <v/>
      </c>
      <c r="F792" s="27">
        <f>IF($A792="","",_Engine!$AI850)</f>
        <v/>
      </c>
      <c r="G792" s="27">
        <f>IF(OR($A792="",_Engine!$D$41=0),"",INDEX(_Engine!$E850:$X850,1,(_Engine!$J$41-1)*4+3))</f>
        <v/>
      </c>
      <c r="H792" s="27">
        <f>IF(OR($A792="",_Engine!$D$42=0),"",INDEX(_Engine!$E850:$X850,1,(_Engine!$J$42-1)*4+3))</f>
        <v/>
      </c>
      <c r="I792" s="27">
        <f>IF(OR($A792="",_Engine!$D$43=0),"",INDEX(_Engine!$E850:$X850,1,(_Engine!$J$43-1)*4+3))</f>
        <v/>
      </c>
      <c r="J792" s="27">
        <f>IF(OR($A792="",_Engine!$D$44=0),"",INDEX(_Engine!$E850:$X850,1,(_Engine!$J$44-1)*4+3))</f>
        <v/>
      </c>
      <c r="K792" s="27">
        <f>IF(OR($A792="",_Engine!$D$45=0),"",INDEX(_Engine!$E850:$X850,1,(_Engine!$J$45-1)*4+3))</f>
        <v/>
      </c>
    </row>
    <row r="793">
      <c r="A793" s="25">
        <f>IF(790&lt;=_Engine!$B$36,790,"")</f>
        <v/>
      </c>
      <c r="B793" s="26">
        <f>IF($A793="","",EDATE(_Engine!$B$5,$A793-1))</f>
        <v/>
      </c>
      <c r="C793" s="27">
        <f>IF($A793="","",_Engine!$AJ851)</f>
        <v/>
      </c>
      <c r="D793" s="27">
        <f>IF($A793="","",_Engine!$AK851)</f>
        <v/>
      </c>
      <c r="E793" s="27">
        <f>IF($A793="","",_Engine!$AJ851-_Engine!$AK851)</f>
        <v/>
      </c>
      <c r="F793" s="27">
        <f>IF($A793="","",_Engine!$AI851)</f>
        <v/>
      </c>
      <c r="G793" s="27">
        <f>IF(OR($A793="",_Engine!$D$41=0),"",INDEX(_Engine!$E851:$X851,1,(_Engine!$J$41-1)*4+3))</f>
        <v/>
      </c>
      <c r="H793" s="27">
        <f>IF(OR($A793="",_Engine!$D$42=0),"",INDEX(_Engine!$E851:$X851,1,(_Engine!$J$42-1)*4+3))</f>
        <v/>
      </c>
      <c r="I793" s="27">
        <f>IF(OR($A793="",_Engine!$D$43=0),"",INDEX(_Engine!$E851:$X851,1,(_Engine!$J$43-1)*4+3))</f>
        <v/>
      </c>
      <c r="J793" s="27">
        <f>IF(OR($A793="",_Engine!$D$44=0),"",INDEX(_Engine!$E851:$X851,1,(_Engine!$J$44-1)*4+3))</f>
        <v/>
      </c>
      <c r="K793" s="27">
        <f>IF(OR($A793="",_Engine!$D$45=0),"",INDEX(_Engine!$E851:$X851,1,(_Engine!$J$45-1)*4+3))</f>
        <v/>
      </c>
    </row>
    <row r="794">
      <c r="A794" s="25">
        <f>IF(791&lt;=_Engine!$B$36,791,"")</f>
        <v/>
      </c>
      <c r="B794" s="26">
        <f>IF($A794="","",EDATE(_Engine!$B$5,$A794-1))</f>
        <v/>
      </c>
      <c r="C794" s="27">
        <f>IF($A794="","",_Engine!$AJ852)</f>
        <v/>
      </c>
      <c r="D794" s="27">
        <f>IF($A794="","",_Engine!$AK852)</f>
        <v/>
      </c>
      <c r="E794" s="27">
        <f>IF($A794="","",_Engine!$AJ852-_Engine!$AK852)</f>
        <v/>
      </c>
      <c r="F794" s="27">
        <f>IF($A794="","",_Engine!$AI852)</f>
        <v/>
      </c>
      <c r="G794" s="27">
        <f>IF(OR($A794="",_Engine!$D$41=0),"",INDEX(_Engine!$E852:$X852,1,(_Engine!$J$41-1)*4+3))</f>
        <v/>
      </c>
      <c r="H794" s="27">
        <f>IF(OR($A794="",_Engine!$D$42=0),"",INDEX(_Engine!$E852:$X852,1,(_Engine!$J$42-1)*4+3))</f>
        <v/>
      </c>
      <c r="I794" s="27">
        <f>IF(OR($A794="",_Engine!$D$43=0),"",INDEX(_Engine!$E852:$X852,1,(_Engine!$J$43-1)*4+3))</f>
        <v/>
      </c>
      <c r="J794" s="27">
        <f>IF(OR($A794="",_Engine!$D$44=0),"",INDEX(_Engine!$E852:$X852,1,(_Engine!$J$44-1)*4+3))</f>
        <v/>
      </c>
      <c r="K794" s="27">
        <f>IF(OR($A794="",_Engine!$D$45=0),"",INDEX(_Engine!$E852:$X852,1,(_Engine!$J$45-1)*4+3))</f>
        <v/>
      </c>
    </row>
    <row r="795">
      <c r="A795" s="25">
        <f>IF(792&lt;=_Engine!$B$36,792,"")</f>
        <v/>
      </c>
      <c r="B795" s="26">
        <f>IF($A795="","",EDATE(_Engine!$B$5,$A795-1))</f>
        <v/>
      </c>
      <c r="C795" s="27">
        <f>IF($A795="","",_Engine!$AJ853)</f>
        <v/>
      </c>
      <c r="D795" s="27">
        <f>IF($A795="","",_Engine!$AK853)</f>
        <v/>
      </c>
      <c r="E795" s="27">
        <f>IF($A795="","",_Engine!$AJ853-_Engine!$AK853)</f>
        <v/>
      </c>
      <c r="F795" s="27">
        <f>IF($A795="","",_Engine!$AI853)</f>
        <v/>
      </c>
      <c r="G795" s="27">
        <f>IF(OR($A795="",_Engine!$D$41=0),"",INDEX(_Engine!$E853:$X853,1,(_Engine!$J$41-1)*4+3))</f>
        <v/>
      </c>
      <c r="H795" s="27">
        <f>IF(OR($A795="",_Engine!$D$42=0),"",INDEX(_Engine!$E853:$X853,1,(_Engine!$J$42-1)*4+3))</f>
        <v/>
      </c>
      <c r="I795" s="27">
        <f>IF(OR($A795="",_Engine!$D$43=0),"",INDEX(_Engine!$E853:$X853,1,(_Engine!$J$43-1)*4+3))</f>
        <v/>
      </c>
      <c r="J795" s="27">
        <f>IF(OR($A795="",_Engine!$D$44=0),"",INDEX(_Engine!$E853:$X853,1,(_Engine!$J$44-1)*4+3))</f>
        <v/>
      </c>
      <c r="K795" s="27">
        <f>IF(OR($A795="",_Engine!$D$45=0),"",INDEX(_Engine!$E853:$X853,1,(_Engine!$J$45-1)*4+3))</f>
        <v/>
      </c>
    </row>
    <row r="796">
      <c r="A796" s="25">
        <f>IF(793&lt;=_Engine!$B$36,793,"")</f>
        <v/>
      </c>
      <c r="B796" s="26">
        <f>IF($A796="","",EDATE(_Engine!$B$5,$A796-1))</f>
        <v/>
      </c>
      <c r="C796" s="27">
        <f>IF($A796="","",_Engine!$AJ854)</f>
        <v/>
      </c>
      <c r="D796" s="27">
        <f>IF($A796="","",_Engine!$AK854)</f>
        <v/>
      </c>
      <c r="E796" s="27">
        <f>IF($A796="","",_Engine!$AJ854-_Engine!$AK854)</f>
        <v/>
      </c>
      <c r="F796" s="27">
        <f>IF($A796="","",_Engine!$AI854)</f>
        <v/>
      </c>
      <c r="G796" s="27">
        <f>IF(OR($A796="",_Engine!$D$41=0),"",INDEX(_Engine!$E854:$X854,1,(_Engine!$J$41-1)*4+3))</f>
        <v/>
      </c>
      <c r="H796" s="27">
        <f>IF(OR($A796="",_Engine!$D$42=0),"",INDEX(_Engine!$E854:$X854,1,(_Engine!$J$42-1)*4+3))</f>
        <v/>
      </c>
      <c r="I796" s="27">
        <f>IF(OR($A796="",_Engine!$D$43=0),"",INDEX(_Engine!$E854:$X854,1,(_Engine!$J$43-1)*4+3))</f>
        <v/>
      </c>
      <c r="J796" s="27">
        <f>IF(OR($A796="",_Engine!$D$44=0),"",INDEX(_Engine!$E854:$X854,1,(_Engine!$J$44-1)*4+3))</f>
        <v/>
      </c>
      <c r="K796" s="27">
        <f>IF(OR($A796="",_Engine!$D$45=0),"",INDEX(_Engine!$E854:$X854,1,(_Engine!$J$45-1)*4+3))</f>
        <v/>
      </c>
    </row>
    <row r="797">
      <c r="A797" s="25">
        <f>IF(794&lt;=_Engine!$B$36,794,"")</f>
        <v/>
      </c>
      <c r="B797" s="26">
        <f>IF($A797="","",EDATE(_Engine!$B$5,$A797-1))</f>
        <v/>
      </c>
      <c r="C797" s="27">
        <f>IF($A797="","",_Engine!$AJ855)</f>
        <v/>
      </c>
      <c r="D797" s="27">
        <f>IF($A797="","",_Engine!$AK855)</f>
        <v/>
      </c>
      <c r="E797" s="27">
        <f>IF($A797="","",_Engine!$AJ855-_Engine!$AK855)</f>
        <v/>
      </c>
      <c r="F797" s="27">
        <f>IF($A797="","",_Engine!$AI855)</f>
        <v/>
      </c>
      <c r="G797" s="27">
        <f>IF(OR($A797="",_Engine!$D$41=0),"",INDEX(_Engine!$E855:$X855,1,(_Engine!$J$41-1)*4+3))</f>
        <v/>
      </c>
      <c r="H797" s="27">
        <f>IF(OR($A797="",_Engine!$D$42=0),"",INDEX(_Engine!$E855:$X855,1,(_Engine!$J$42-1)*4+3))</f>
        <v/>
      </c>
      <c r="I797" s="27">
        <f>IF(OR($A797="",_Engine!$D$43=0),"",INDEX(_Engine!$E855:$X855,1,(_Engine!$J$43-1)*4+3))</f>
        <v/>
      </c>
      <c r="J797" s="27">
        <f>IF(OR($A797="",_Engine!$D$44=0),"",INDEX(_Engine!$E855:$X855,1,(_Engine!$J$44-1)*4+3))</f>
        <v/>
      </c>
      <c r="K797" s="27">
        <f>IF(OR($A797="",_Engine!$D$45=0),"",INDEX(_Engine!$E855:$X855,1,(_Engine!$J$45-1)*4+3))</f>
        <v/>
      </c>
    </row>
    <row r="798">
      <c r="A798" s="25">
        <f>IF(795&lt;=_Engine!$B$36,795,"")</f>
        <v/>
      </c>
      <c r="B798" s="26">
        <f>IF($A798="","",EDATE(_Engine!$B$5,$A798-1))</f>
        <v/>
      </c>
      <c r="C798" s="27">
        <f>IF($A798="","",_Engine!$AJ856)</f>
        <v/>
      </c>
      <c r="D798" s="27">
        <f>IF($A798="","",_Engine!$AK856)</f>
        <v/>
      </c>
      <c r="E798" s="27">
        <f>IF($A798="","",_Engine!$AJ856-_Engine!$AK856)</f>
        <v/>
      </c>
      <c r="F798" s="27">
        <f>IF($A798="","",_Engine!$AI856)</f>
        <v/>
      </c>
      <c r="G798" s="27">
        <f>IF(OR($A798="",_Engine!$D$41=0),"",INDEX(_Engine!$E856:$X856,1,(_Engine!$J$41-1)*4+3))</f>
        <v/>
      </c>
      <c r="H798" s="27">
        <f>IF(OR($A798="",_Engine!$D$42=0),"",INDEX(_Engine!$E856:$X856,1,(_Engine!$J$42-1)*4+3))</f>
        <v/>
      </c>
      <c r="I798" s="27">
        <f>IF(OR($A798="",_Engine!$D$43=0),"",INDEX(_Engine!$E856:$X856,1,(_Engine!$J$43-1)*4+3))</f>
        <v/>
      </c>
      <c r="J798" s="27">
        <f>IF(OR($A798="",_Engine!$D$44=0),"",INDEX(_Engine!$E856:$X856,1,(_Engine!$J$44-1)*4+3))</f>
        <v/>
      </c>
      <c r="K798" s="27">
        <f>IF(OR($A798="",_Engine!$D$45=0),"",INDEX(_Engine!$E856:$X856,1,(_Engine!$J$45-1)*4+3))</f>
        <v/>
      </c>
    </row>
    <row r="799">
      <c r="A799" s="25">
        <f>IF(796&lt;=_Engine!$B$36,796,"")</f>
        <v/>
      </c>
      <c r="B799" s="26">
        <f>IF($A799="","",EDATE(_Engine!$B$5,$A799-1))</f>
        <v/>
      </c>
      <c r="C799" s="27">
        <f>IF($A799="","",_Engine!$AJ857)</f>
        <v/>
      </c>
      <c r="D799" s="27">
        <f>IF($A799="","",_Engine!$AK857)</f>
        <v/>
      </c>
      <c r="E799" s="27">
        <f>IF($A799="","",_Engine!$AJ857-_Engine!$AK857)</f>
        <v/>
      </c>
      <c r="F799" s="27">
        <f>IF($A799="","",_Engine!$AI857)</f>
        <v/>
      </c>
      <c r="G799" s="27">
        <f>IF(OR($A799="",_Engine!$D$41=0),"",INDEX(_Engine!$E857:$X857,1,(_Engine!$J$41-1)*4+3))</f>
        <v/>
      </c>
      <c r="H799" s="27">
        <f>IF(OR($A799="",_Engine!$D$42=0),"",INDEX(_Engine!$E857:$X857,1,(_Engine!$J$42-1)*4+3))</f>
        <v/>
      </c>
      <c r="I799" s="27">
        <f>IF(OR($A799="",_Engine!$D$43=0),"",INDEX(_Engine!$E857:$X857,1,(_Engine!$J$43-1)*4+3))</f>
        <v/>
      </c>
      <c r="J799" s="27">
        <f>IF(OR($A799="",_Engine!$D$44=0),"",INDEX(_Engine!$E857:$X857,1,(_Engine!$J$44-1)*4+3))</f>
        <v/>
      </c>
      <c r="K799" s="27">
        <f>IF(OR($A799="",_Engine!$D$45=0),"",INDEX(_Engine!$E857:$X857,1,(_Engine!$J$45-1)*4+3))</f>
        <v/>
      </c>
    </row>
    <row r="800">
      <c r="A800" s="25">
        <f>IF(797&lt;=_Engine!$B$36,797,"")</f>
        <v/>
      </c>
      <c r="B800" s="26">
        <f>IF($A800="","",EDATE(_Engine!$B$5,$A800-1))</f>
        <v/>
      </c>
      <c r="C800" s="27">
        <f>IF($A800="","",_Engine!$AJ858)</f>
        <v/>
      </c>
      <c r="D800" s="27">
        <f>IF($A800="","",_Engine!$AK858)</f>
        <v/>
      </c>
      <c r="E800" s="27">
        <f>IF($A800="","",_Engine!$AJ858-_Engine!$AK858)</f>
        <v/>
      </c>
      <c r="F800" s="27">
        <f>IF($A800="","",_Engine!$AI858)</f>
        <v/>
      </c>
      <c r="G800" s="27">
        <f>IF(OR($A800="",_Engine!$D$41=0),"",INDEX(_Engine!$E858:$X858,1,(_Engine!$J$41-1)*4+3))</f>
        <v/>
      </c>
      <c r="H800" s="27">
        <f>IF(OR($A800="",_Engine!$D$42=0),"",INDEX(_Engine!$E858:$X858,1,(_Engine!$J$42-1)*4+3))</f>
        <v/>
      </c>
      <c r="I800" s="27">
        <f>IF(OR($A800="",_Engine!$D$43=0),"",INDEX(_Engine!$E858:$X858,1,(_Engine!$J$43-1)*4+3))</f>
        <v/>
      </c>
      <c r="J800" s="27">
        <f>IF(OR($A800="",_Engine!$D$44=0),"",INDEX(_Engine!$E858:$X858,1,(_Engine!$J$44-1)*4+3))</f>
        <v/>
      </c>
      <c r="K800" s="27">
        <f>IF(OR($A800="",_Engine!$D$45=0),"",INDEX(_Engine!$E858:$X858,1,(_Engine!$J$45-1)*4+3))</f>
        <v/>
      </c>
    </row>
    <row r="801">
      <c r="A801" s="25">
        <f>IF(798&lt;=_Engine!$B$36,798,"")</f>
        <v/>
      </c>
      <c r="B801" s="26">
        <f>IF($A801="","",EDATE(_Engine!$B$5,$A801-1))</f>
        <v/>
      </c>
      <c r="C801" s="27">
        <f>IF($A801="","",_Engine!$AJ859)</f>
        <v/>
      </c>
      <c r="D801" s="27">
        <f>IF($A801="","",_Engine!$AK859)</f>
        <v/>
      </c>
      <c r="E801" s="27">
        <f>IF($A801="","",_Engine!$AJ859-_Engine!$AK859)</f>
        <v/>
      </c>
      <c r="F801" s="27">
        <f>IF($A801="","",_Engine!$AI859)</f>
        <v/>
      </c>
      <c r="G801" s="27">
        <f>IF(OR($A801="",_Engine!$D$41=0),"",INDEX(_Engine!$E859:$X859,1,(_Engine!$J$41-1)*4+3))</f>
        <v/>
      </c>
      <c r="H801" s="27">
        <f>IF(OR($A801="",_Engine!$D$42=0),"",INDEX(_Engine!$E859:$X859,1,(_Engine!$J$42-1)*4+3))</f>
        <v/>
      </c>
      <c r="I801" s="27">
        <f>IF(OR($A801="",_Engine!$D$43=0),"",INDEX(_Engine!$E859:$X859,1,(_Engine!$J$43-1)*4+3))</f>
        <v/>
      </c>
      <c r="J801" s="27">
        <f>IF(OR($A801="",_Engine!$D$44=0),"",INDEX(_Engine!$E859:$X859,1,(_Engine!$J$44-1)*4+3))</f>
        <v/>
      </c>
      <c r="K801" s="27">
        <f>IF(OR($A801="",_Engine!$D$45=0),"",INDEX(_Engine!$E859:$X859,1,(_Engine!$J$45-1)*4+3))</f>
        <v/>
      </c>
    </row>
    <row r="802">
      <c r="A802" s="25">
        <f>IF(799&lt;=_Engine!$B$36,799,"")</f>
        <v/>
      </c>
      <c r="B802" s="26">
        <f>IF($A802="","",EDATE(_Engine!$B$5,$A802-1))</f>
        <v/>
      </c>
      <c r="C802" s="27">
        <f>IF($A802="","",_Engine!$AJ860)</f>
        <v/>
      </c>
      <c r="D802" s="27">
        <f>IF($A802="","",_Engine!$AK860)</f>
        <v/>
      </c>
      <c r="E802" s="27">
        <f>IF($A802="","",_Engine!$AJ860-_Engine!$AK860)</f>
        <v/>
      </c>
      <c r="F802" s="27">
        <f>IF($A802="","",_Engine!$AI860)</f>
        <v/>
      </c>
      <c r="G802" s="27">
        <f>IF(OR($A802="",_Engine!$D$41=0),"",INDEX(_Engine!$E860:$X860,1,(_Engine!$J$41-1)*4+3))</f>
        <v/>
      </c>
      <c r="H802" s="27">
        <f>IF(OR($A802="",_Engine!$D$42=0),"",INDEX(_Engine!$E860:$X860,1,(_Engine!$J$42-1)*4+3))</f>
        <v/>
      </c>
      <c r="I802" s="27">
        <f>IF(OR($A802="",_Engine!$D$43=0),"",INDEX(_Engine!$E860:$X860,1,(_Engine!$J$43-1)*4+3))</f>
        <v/>
      </c>
      <c r="J802" s="27">
        <f>IF(OR($A802="",_Engine!$D$44=0),"",INDEX(_Engine!$E860:$X860,1,(_Engine!$J$44-1)*4+3))</f>
        <v/>
      </c>
      <c r="K802" s="27">
        <f>IF(OR($A802="",_Engine!$D$45=0),"",INDEX(_Engine!$E860:$X860,1,(_Engine!$J$45-1)*4+3))</f>
        <v/>
      </c>
    </row>
    <row r="803">
      <c r="A803" s="25">
        <f>IF(800&lt;=_Engine!$B$36,800,"")</f>
        <v/>
      </c>
      <c r="B803" s="26">
        <f>IF($A803="","",EDATE(_Engine!$B$5,$A803-1))</f>
        <v/>
      </c>
      <c r="C803" s="27">
        <f>IF($A803="","",_Engine!$AJ861)</f>
        <v/>
      </c>
      <c r="D803" s="27">
        <f>IF($A803="","",_Engine!$AK861)</f>
        <v/>
      </c>
      <c r="E803" s="27">
        <f>IF($A803="","",_Engine!$AJ861-_Engine!$AK861)</f>
        <v/>
      </c>
      <c r="F803" s="27">
        <f>IF($A803="","",_Engine!$AI861)</f>
        <v/>
      </c>
      <c r="G803" s="27">
        <f>IF(OR($A803="",_Engine!$D$41=0),"",INDEX(_Engine!$E861:$X861,1,(_Engine!$J$41-1)*4+3))</f>
        <v/>
      </c>
      <c r="H803" s="27">
        <f>IF(OR($A803="",_Engine!$D$42=0),"",INDEX(_Engine!$E861:$X861,1,(_Engine!$J$42-1)*4+3))</f>
        <v/>
      </c>
      <c r="I803" s="27">
        <f>IF(OR($A803="",_Engine!$D$43=0),"",INDEX(_Engine!$E861:$X861,1,(_Engine!$J$43-1)*4+3))</f>
        <v/>
      </c>
      <c r="J803" s="27">
        <f>IF(OR($A803="",_Engine!$D$44=0),"",INDEX(_Engine!$E861:$X861,1,(_Engine!$J$44-1)*4+3))</f>
        <v/>
      </c>
      <c r="K803" s="27">
        <f>IF(OR($A803="",_Engine!$D$45=0),"",INDEX(_Engine!$E861:$X861,1,(_Engine!$J$45-1)*4+3))</f>
        <v/>
      </c>
    </row>
    <row r="804">
      <c r="A804" s="25">
        <f>IF(801&lt;=_Engine!$B$36,801,"")</f>
        <v/>
      </c>
      <c r="B804" s="26">
        <f>IF($A804="","",EDATE(_Engine!$B$5,$A804-1))</f>
        <v/>
      </c>
      <c r="C804" s="27">
        <f>IF($A804="","",_Engine!$AJ862)</f>
        <v/>
      </c>
      <c r="D804" s="27">
        <f>IF($A804="","",_Engine!$AK862)</f>
        <v/>
      </c>
      <c r="E804" s="27">
        <f>IF($A804="","",_Engine!$AJ862-_Engine!$AK862)</f>
        <v/>
      </c>
      <c r="F804" s="27">
        <f>IF($A804="","",_Engine!$AI862)</f>
        <v/>
      </c>
      <c r="G804" s="27">
        <f>IF(OR($A804="",_Engine!$D$41=0),"",INDEX(_Engine!$E862:$X862,1,(_Engine!$J$41-1)*4+3))</f>
        <v/>
      </c>
      <c r="H804" s="27">
        <f>IF(OR($A804="",_Engine!$D$42=0),"",INDEX(_Engine!$E862:$X862,1,(_Engine!$J$42-1)*4+3))</f>
        <v/>
      </c>
      <c r="I804" s="27">
        <f>IF(OR($A804="",_Engine!$D$43=0),"",INDEX(_Engine!$E862:$X862,1,(_Engine!$J$43-1)*4+3))</f>
        <v/>
      </c>
      <c r="J804" s="27">
        <f>IF(OR($A804="",_Engine!$D$44=0),"",INDEX(_Engine!$E862:$X862,1,(_Engine!$J$44-1)*4+3))</f>
        <v/>
      </c>
      <c r="K804" s="27">
        <f>IF(OR($A804="",_Engine!$D$45=0),"",INDEX(_Engine!$E862:$X862,1,(_Engine!$J$45-1)*4+3))</f>
        <v/>
      </c>
    </row>
    <row r="805">
      <c r="A805" s="25">
        <f>IF(802&lt;=_Engine!$B$36,802,"")</f>
        <v/>
      </c>
      <c r="B805" s="26">
        <f>IF($A805="","",EDATE(_Engine!$B$5,$A805-1))</f>
        <v/>
      </c>
      <c r="C805" s="27">
        <f>IF($A805="","",_Engine!$AJ863)</f>
        <v/>
      </c>
      <c r="D805" s="27">
        <f>IF($A805="","",_Engine!$AK863)</f>
        <v/>
      </c>
      <c r="E805" s="27">
        <f>IF($A805="","",_Engine!$AJ863-_Engine!$AK863)</f>
        <v/>
      </c>
      <c r="F805" s="27">
        <f>IF($A805="","",_Engine!$AI863)</f>
        <v/>
      </c>
      <c r="G805" s="27">
        <f>IF(OR($A805="",_Engine!$D$41=0),"",INDEX(_Engine!$E863:$X863,1,(_Engine!$J$41-1)*4+3))</f>
        <v/>
      </c>
      <c r="H805" s="27">
        <f>IF(OR($A805="",_Engine!$D$42=0),"",INDEX(_Engine!$E863:$X863,1,(_Engine!$J$42-1)*4+3))</f>
        <v/>
      </c>
      <c r="I805" s="27">
        <f>IF(OR($A805="",_Engine!$D$43=0),"",INDEX(_Engine!$E863:$X863,1,(_Engine!$J$43-1)*4+3))</f>
        <v/>
      </c>
      <c r="J805" s="27">
        <f>IF(OR($A805="",_Engine!$D$44=0),"",INDEX(_Engine!$E863:$X863,1,(_Engine!$J$44-1)*4+3))</f>
        <v/>
      </c>
      <c r="K805" s="27">
        <f>IF(OR($A805="",_Engine!$D$45=0),"",INDEX(_Engine!$E863:$X863,1,(_Engine!$J$45-1)*4+3))</f>
        <v/>
      </c>
    </row>
    <row r="806">
      <c r="A806" s="25">
        <f>IF(803&lt;=_Engine!$B$36,803,"")</f>
        <v/>
      </c>
      <c r="B806" s="26">
        <f>IF($A806="","",EDATE(_Engine!$B$5,$A806-1))</f>
        <v/>
      </c>
      <c r="C806" s="27">
        <f>IF($A806="","",_Engine!$AJ864)</f>
        <v/>
      </c>
      <c r="D806" s="27">
        <f>IF($A806="","",_Engine!$AK864)</f>
        <v/>
      </c>
      <c r="E806" s="27">
        <f>IF($A806="","",_Engine!$AJ864-_Engine!$AK864)</f>
        <v/>
      </c>
      <c r="F806" s="27">
        <f>IF($A806="","",_Engine!$AI864)</f>
        <v/>
      </c>
      <c r="G806" s="27">
        <f>IF(OR($A806="",_Engine!$D$41=0),"",INDEX(_Engine!$E864:$X864,1,(_Engine!$J$41-1)*4+3))</f>
        <v/>
      </c>
      <c r="H806" s="27">
        <f>IF(OR($A806="",_Engine!$D$42=0),"",INDEX(_Engine!$E864:$X864,1,(_Engine!$J$42-1)*4+3))</f>
        <v/>
      </c>
      <c r="I806" s="27">
        <f>IF(OR($A806="",_Engine!$D$43=0),"",INDEX(_Engine!$E864:$X864,1,(_Engine!$J$43-1)*4+3))</f>
        <v/>
      </c>
      <c r="J806" s="27">
        <f>IF(OR($A806="",_Engine!$D$44=0),"",INDEX(_Engine!$E864:$X864,1,(_Engine!$J$44-1)*4+3))</f>
        <v/>
      </c>
      <c r="K806" s="27">
        <f>IF(OR($A806="",_Engine!$D$45=0),"",INDEX(_Engine!$E864:$X864,1,(_Engine!$J$45-1)*4+3))</f>
        <v/>
      </c>
    </row>
    <row r="807">
      <c r="A807" s="25">
        <f>IF(804&lt;=_Engine!$B$36,804,"")</f>
        <v/>
      </c>
      <c r="B807" s="26">
        <f>IF($A807="","",EDATE(_Engine!$B$5,$A807-1))</f>
        <v/>
      </c>
      <c r="C807" s="27">
        <f>IF($A807="","",_Engine!$AJ865)</f>
        <v/>
      </c>
      <c r="D807" s="27">
        <f>IF($A807="","",_Engine!$AK865)</f>
        <v/>
      </c>
      <c r="E807" s="27">
        <f>IF($A807="","",_Engine!$AJ865-_Engine!$AK865)</f>
        <v/>
      </c>
      <c r="F807" s="27">
        <f>IF($A807="","",_Engine!$AI865)</f>
        <v/>
      </c>
      <c r="G807" s="27">
        <f>IF(OR($A807="",_Engine!$D$41=0),"",INDEX(_Engine!$E865:$X865,1,(_Engine!$J$41-1)*4+3))</f>
        <v/>
      </c>
      <c r="H807" s="27">
        <f>IF(OR($A807="",_Engine!$D$42=0),"",INDEX(_Engine!$E865:$X865,1,(_Engine!$J$42-1)*4+3))</f>
        <v/>
      </c>
      <c r="I807" s="27">
        <f>IF(OR($A807="",_Engine!$D$43=0),"",INDEX(_Engine!$E865:$X865,1,(_Engine!$J$43-1)*4+3))</f>
        <v/>
      </c>
      <c r="J807" s="27">
        <f>IF(OR($A807="",_Engine!$D$44=0),"",INDEX(_Engine!$E865:$X865,1,(_Engine!$J$44-1)*4+3))</f>
        <v/>
      </c>
      <c r="K807" s="27">
        <f>IF(OR($A807="",_Engine!$D$45=0),"",INDEX(_Engine!$E865:$X865,1,(_Engine!$J$45-1)*4+3))</f>
        <v/>
      </c>
    </row>
    <row r="808">
      <c r="A808" s="25">
        <f>IF(805&lt;=_Engine!$B$36,805,"")</f>
        <v/>
      </c>
      <c r="B808" s="26">
        <f>IF($A808="","",EDATE(_Engine!$B$5,$A808-1))</f>
        <v/>
      </c>
      <c r="C808" s="27">
        <f>IF($A808="","",_Engine!$AJ866)</f>
        <v/>
      </c>
      <c r="D808" s="27">
        <f>IF($A808="","",_Engine!$AK866)</f>
        <v/>
      </c>
      <c r="E808" s="27">
        <f>IF($A808="","",_Engine!$AJ866-_Engine!$AK866)</f>
        <v/>
      </c>
      <c r="F808" s="27">
        <f>IF($A808="","",_Engine!$AI866)</f>
        <v/>
      </c>
      <c r="G808" s="27">
        <f>IF(OR($A808="",_Engine!$D$41=0),"",INDEX(_Engine!$E866:$X866,1,(_Engine!$J$41-1)*4+3))</f>
        <v/>
      </c>
      <c r="H808" s="27">
        <f>IF(OR($A808="",_Engine!$D$42=0),"",INDEX(_Engine!$E866:$X866,1,(_Engine!$J$42-1)*4+3))</f>
        <v/>
      </c>
      <c r="I808" s="27">
        <f>IF(OR($A808="",_Engine!$D$43=0),"",INDEX(_Engine!$E866:$X866,1,(_Engine!$J$43-1)*4+3))</f>
        <v/>
      </c>
      <c r="J808" s="27">
        <f>IF(OR($A808="",_Engine!$D$44=0),"",INDEX(_Engine!$E866:$X866,1,(_Engine!$J$44-1)*4+3))</f>
        <v/>
      </c>
      <c r="K808" s="27">
        <f>IF(OR($A808="",_Engine!$D$45=0),"",INDEX(_Engine!$E866:$X866,1,(_Engine!$J$45-1)*4+3))</f>
        <v/>
      </c>
    </row>
    <row r="809">
      <c r="A809" s="25">
        <f>IF(806&lt;=_Engine!$B$36,806,"")</f>
        <v/>
      </c>
      <c r="B809" s="26">
        <f>IF($A809="","",EDATE(_Engine!$B$5,$A809-1))</f>
        <v/>
      </c>
      <c r="C809" s="27">
        <f>IF($A809="","",_Engine!$AJ867)</f>
        <v/>
      </c>
      <c r="D809" s="27">
        <f>IF($A809="","",_Engine!$AK867)</f>
        <v/>
      </c>
      <c r="E809" s="27">
        <f>IF($A809="","",_Engine!$AJ867-_Engine!$AK867)</f>
        <v/>
      </c>
      <c r="F809" s="27">
        <f>IF($A809="","",_Engine!$AI867)</f>
        <v/>
      </c>
      <c r="G809" s="27">
        <f>IF(OR($A809="",_Engine!$D$41=0),"",INDEX(_Engine!$E867:$X867,1,(_Engine!$J$41-1)*4+3))</f>
        <v/>
      </c>
      <c r="H809" s="27">
        <f>IF(OR($A809="",_Engine!$D$42=0),"",INDEX(_Engine!$E867:$X867,1,(_Engine!$J$42-1)*4+3))</f>
        <v/>
      </c>
      <c r="I809" s="27">
        <f>IF(OR($A809="",_Engine!$D$43=0),"",INDEX(_Engine!$E867:$X867,1,(_Engine!$J$43-1)*4+3))</f>
        <v/>
      </c>
      <c r="J809" s="27">
        <f>IF(OR($A809="",_Engine!$D$44=0),"",INDEX(_Engine!$E867:$X867,1,(_Engine!$J$44-1)*4+3))</f>
        <v/>
      </c>
      <c r="K809" s="27">
        <f>IF(OR($A809="",_Engine!$D$45=0),"",INDEX(_Engine!$E867:$X867,1,(_Engine!$J$45-1)*4+3))</f>
        <v/>
      </c>
    </row>
    <row r="810">
      <c r="A810" s="25">
        <f>IF(807&lt;=_Engine!$B$36,807,"")</f>
        <v/>
      </c>
      <c r="B810" s="26">
        <f>IF($A810="","",EDATE(_Engine!$B$5,$A810-1))</f>
        <v/>
      </c>
      <c r="C810" s="27">
        <f>IF($A810="","",_Engine!$AJ868)</f>
        <v/>
      </c>
      <c r="D810" s="27">
        <f>IF($A810="","",_Engine!$AK868)</f>
        <v/>
      </c>
      <c r="E810" s="27">
        <f>IF($A810="","",_Engine!$AJ868-_Engine!$AK868)</f>
        <v/>
      </c>
      <c r="F810" s="27">
        <f>IF($A810="","",_Engine!$AI868)</f>
        <v/>
      </c>
      <c r="G810" s="27">
        <f>IF(OR($A810="",_Engine!$D$41=0),"",INDEX(_Engine!$E868:$X868,1,(_Engine!$J$41-1)*4+3))</f>
        <v/>
      </c>
      <c r="H810" s="27">
        <f>IF(OR($A810="",_Engine!$D$42=0),"",INDEX(_Engine!$E868:$X868,1,(_Engine!$J$42-1)*4+3))</f>
        <v/>
      </c>
      <c r="I810" s="27">
        <f>IF(OR($A810="",_Engine!$D$43=0),"",INDEX(_Engine!$E868:$X868,1,(_Engine!$J$43-1)*4+3))</f>
        <v/>
      </c>
      <c r="J810" s="27">
        <f>IF(OR($A810="",_Engine!$D$44=0),"",INDEX(_Engine!$E868:$X868,1,(_Engine!$J$44-1)*4+3))</f>
        <v/>
      </c>
      <c r="K810" s="27">
        <f>IF(OR($A810="",_Engine!$D$45=0),"",INDEX(_Engine!$E868:$X868,1,(_Engine!$J$45-1)*4+3))</f>
        <v/>
      </c>
    </row>
    <row r="811">
      <c r="A811" s="25">
        <f>IF(808&lt;=_Engine!$B$36,808,"")</f>
        <v/>
      </c>
      <c r="B811" s="26">
        <f>IF($A811="","",EDATE(_Engine!$B$5,$A811-1))</f>
        <v/>
      </c>
      <c r="C811" s="27">
        <f>IF($A811="","",_Engine!$AJ869)</f>
        <v/>
      </c>
      <c r="D811" s="27">
        <f>IF($A811="","",_Engine!$AK869)</f>
        <v/>
      </c>
      <c r="E811" s="27">
        <f>IF($A811="","",_Engine!$AJ869-_Engine!$AK869)</f>
        <v/>
      </c>
      <c r="F811" s="27">
        <f>IF($A811="","",_Engine!$AI869)</f>
        <v/>
      </c>
      <c r="G811" s="27">
        <f>IF(OR($A811="",_Engine!$D$41=0),"",INDEX(_Engine!$E869:$X869,1,(_Engine!$J$41-1)*4+3))</f>
        <v/>
      </c>
      <c r="H811" s="27">
        <f>IF(OR($A811="",_Engine!$D$42=0),"",INDEX(_Engine!$E869:$X869,1,(_Engine!$J$42-1)*4+3))</f>
        <v/>
      </c>
      <c r="I811" s="27">
        <f>IF(OR($A811="",_Engine!$D$43=0),"",INDEX(_Engine!$E869:$X869,1,(_Engine!$J$43-1)*4+3))</f>
        <v/>
      </c>
      <c r="J811" s="27">
        <f>IF(OR($A811="",_Engine!$D$44=0),"",INDEX(_Engine!$E869:$X869,1,(_Engine!$J$44-1)*4+3))</f>
        <v/>
      </c>
      <c r="K811" s="27">
        <f>IF(OR($A811="",_Engine!$D$45=0),"",INDEX(_Engine!$E869:$X869,1,(_Engine!$J$45-1)*4+3))</f>
        <v/>
      </c>
    </row>
    <row r="812">
      <c r="A812" s="25">
        <f>IF(809&lt;=_Engine!$B$36,809,"")</f>
        <v/>
      </c>
      <c r="B812" s="26">
        <f>IF($A812="","",EDATE(_Engine!$B$5,$A812-1))</f>
        <v/>
      </c>
      <c r="C812" s="27">
        <f>IF($A812="","",_Engine!$AJ870)</f>
        <v/>
      </c>
      <c r="D812" s="27">
        <f>IF($A812="","",_Engine!$AK870)</f>
        <v/>
      </c>
      <c r="E812" s="27">
        <f>IF($A812="","",_Engine!$AJ870-_Engine!$AK870)</f>
        <v/>
      </c>
      <c r="F812" s="27">
        <f>IF($A812="","",_Engine!$AI870)</f>
        <v/>
      </c>
      <c r="G812" s="27">
        <f>IF(OR($A812="",_Engine!$D$41=0),"",INDEX(_Engine!$E870:$X870,1,(_Engine!$J$41-1)*4+3))</f>
        <v/>
      </c>
      <c r="H812" s="27">
        <f>IF(OR($A812="",_Engine!$D$42=0),"",INDEX(_Engine!$E870:$X870,1,(_Engine!$J$42-1)*4+3))</f>
        <v/>
      </c>
      <c r="I812" s="27">
        <f>IF(OR($A812="",_Engine!$D$43=0),"",INDEX(_Engine!$E870:$X870,1,(_Engine!$J$43-1)*4+3))</f>
        <v/>
      </c>
      <c r="J812" s="27">
        <f>IF(OR($A812="",_Engine!$D$44=0),"",INDEX(_Engine!$E870:$X870,1,(_Engine!$J$44-1)*4+3))</f>
        <v/>
      </c>
      <c r="K812" s="27">
        <f>IF(OR($A812="",_Engine!$D$45=0),"",INDEX(_Engine!$E870:$X870,1,(_Engine!$J$45-1)*4+3))</f>
        <v/>
      </c>
    </row>
    <row r="813">
      <c r="A813" s="25">
        <f>IF(810&lt;=_Engine!$B$36,810,"")</f>
        <v/>
      </c>
      <c r="B813" s="26">
        <f>IF($A813="","",EDATE(_Engine!$B$5,$A813-1))</f>
        <v/>
      </c>
      <c r="C813" s="27">
        <f>IF($A813="","",_Engine!$AJ871)</f>
        <v/>
      </c>
      <c r="D813" s="27">
        <f>IF($A813="","",_Engine!$AK871)</f>
        <v/>
      </c>
      <c r="E813" s="27">
        <f>IF($A813="","",_Engine!$AJ871-_Engine!$AK871)</f>
        <v/>
      </c>
      <c r="F813" s="27">
        <f>IF($A813="","",_Engine!$AI871)</f>
        <v/>
      </c>
      <c r="G813" s="27">
        <f>IF(OR($A813="",_Engine!$D$41=0),"",INDEX(_Engine!$E871:$X871,1,(_Engine!$J$41-1)*4+3))</f>
        <v/>
      </c>
      <c r="H813" s="27">
        <f>IF(OR($A813="",_Engine!$D$42=0),"",INDEX(_Engine!$E871:$X871,1,(_Engine!$J$42-1)*4+3))</f>
        <v/>
      </c>
      <c r="I813" s="27">
        <f>IF(OR($A813="",_Engine!$D$43=0),"",INDEX(_Engine!$E871:$X871,1,(_Engine!$J$43-1)*4+3))</f>
        <v/>
      </c>
      <c r="J813" s="27">
        <f>IF(OR($A813="",_Engine!$D$44=0),"",INDEX(_Engine!$E871:$X871,1,(_Engine!$J$44-1)*4+3))</f>
        <v/>
      </c>
      <c r="K813" s="27">
        <f>IF(OR($A813="",_Engine!$D$45=0),"",INDEX(_Engine!$E871:$X871,1,(_Engine!$J$45-1)*4+3))</f>
        <v/>
      </c>
    </row>
    <row r="814">
      <c r="A814" s="25">
        <f>IF(811&lt;=_Engine!$B$36,811,"")</f>
        <v/>
      </c>
      <c r="B814" s="26">
        <f>IF($A814="","",EDATE(_Engine!$B$5,$A814-1))</f>
        <v/>
      </c>
      <c r="C814" s="27">
        <f>IF($A814="","",_Engine!$AJ872)</f>
        <v/>
      </c>
      <c r="D814" s="27">
        <f>IF($A814="","",_Engine!$AK872)</f>
        <v/>
      </c>
      <c r="E814" s="27">
        <f>IF($A814="","",_Engine!$AJ872-_Engine!$AK872)</f>
        <v/>
      </c>
      <c r="F814" s="27">
        <f>IF($A814="","",_Engine!$AI872)</f>
        <v/>
      </c>
      <c r="G814" s="27">
        <f>IF(OR($A814="",_Engine!$D$41=0),"",INDEX(_Engine!$E872:$X872,1,(_Engine!$J$41-1)*4+3))</f>
        <v/>
      </c>
      <c r="H814" s="27">
        <f>IF(OR($A814="",_Engine!$D$42=0),"",INDEX(_Engine!$E872:$X872,1,(_Engine!$J$42-1)*4+3))</f>
        <v/>
      </c>
      <c r="I814" s="27">
        <f>IF(OR($A814="",_Engine!$D$43=0),"",INDEX(_Engine!$E872:$X872,1,(_Engine!$J$43-1)*4+3))</f>
        <v/>
      </c>
      <c r="J814" s="27">
        <f>IF(OR($A814="",_Engine!$D$44=0),"",INDEX(_Engine!$E872:$X872,1,(_Engine!$J$44-1)*4+3))</f>
        <v/>
      </c>
      <c r="K814" s="27">
        <f>IF(OR($A814="",_Engine!$D$45=0),"",INDEX(_Engine!$E872:$X872,1,(_Engine!$J$45-1)*4+3))</f>
        <v/>
      </c>
    </row>
    <row r="815">
      <c r="A815" s="25">
        <f>IF(812&lt;=_Engine!$B$36,812,"")</f>
        <v/>
      </c>
      <c r="B815" s="26">
        <f>IF($A815="","",EDATE(_Engine!$B$5,$A815-1))</f>
        <v/>
      </c>
      <c r="C815" s="27">
        <f>IF($A815="","",_Engine!$AJ873)</f>
        <v/>
      </c>
      <c r="D815" s="27">
        <f>IF($A815="","",_Engine!$AK873)</f>
        <v/>
      </c>
      <c r="E815" s="27">
        <f>IF($A815="","",_Engine!$AJ873-_Engine!$AK873)</f>
        <v/>
      </c>
      <c r="F815" s="27">
        <f>IF($A815="","",_Engine!$AI873)</f>
        <v/>
      </c>
      <c r="G815" s="27">
        <f>IF(OR($A815="",_Engine!$D$41=0),"",INDEX(_Engine!$E873:$X873,1,(_Engine!$J$41-1)*4+3))</f>
        <v/>
      </c>
      <c r="H815" s="27">
        <f>IF(OR($A815="",_Engine!$D$42=0),"",INDEX(_Engine!$E873:$X873,1,(_Engine!$J$42-1)*4+3))</f>
        <v/>
      </c>
      <c r="I815" s="27">
        <f>IF(OR($A815="",_Engine!$D$43=0),"",INDEX(_Engine!$E873:$X873,1,(_Engine!$J$43-1)*4+3))</f>
        <v/>
      </c>
      <c r="J815" s="27">
        <f>IF(OR($A815="",_Engine!$D$44=0),"",INDEX(_Engine!$E873:$X873,1,(_Engine!$J$44-1)*4+3))</f>
        <v/>
      </c>
      <c r="K815" s="27">
        <f>IF(OR($A815="",_Engine!$D$45=0),"",INDEX(_Engine!$E873:$X873,1,(_Engine!$J$45-1)*4+3))</f>
        <v/>
      </c>
    </row>
    <row r="816">
      <c r="A816" s="25">
        <f>IF(813&lt;=_Engine!$B$36,813,"")</f>
        <v/>
      </c>
      <c r="B816" s="26">
        <f>IF($A816="","",EDATE(_Engine!$B$5,$A816-1))</f>
        <v/>
      </c>
      <c r="C816" s="27">
        <f>IF($A816="","",_Engine!$AJ874)</f>
        <v/>
      </c>
      <c r="D816" s="27">
        <f>IF($A816="","",_Engine!$AK874)</f>
        <v/>
      </c>
      <c r="E816" s="27">
        <f>IF($A816="","",_Engine!$AJ874-_Engine!$AK874)</f>
        <v/>
      </c>
      <c r="F816" s="27">
        <f>IF($A816="","",_Engine!$AI874)</f>
        <v/>
      </c>
      <c r="G816" s="27">
        <f>IF(OR($A816="",_Engine!$D$41=0),"",INDEX(_Engine!$E874:$X874,1,(_Engine!$J$41-1)*4+3))</f>
        <v/>
      </c>
      <c r="H816" s="27">
        <f>IF(OR($A816="",_Engine!$D$42=0),"",INDEX(_Engine!$E874:$X874,1,(_Engine!$J$42-1)*4+3))</f>
        <v/>
      </c>
      <c r="I816" s="27">
        <f>IF(OR($A816="",_Engine!$D$43=0),"",INDEX(_Engine!$E874:$X874,1,(_Engine!$J$43-1)*4+3))</f>
        <v/>
      </c>
      <c r="J816" s="27">
        <f>IF(OR($A816="",_Engine!$D$44=0),"",INDEX(_Engine!$E874:$X874,1,(_Engine!$J$44-1)*4+3))</f>
        <v/>
      </c>
      <c r="K816" s="27">
        <f>IF(OR($A816="",_Engine!$D$45=0),"",INDEX(_Engine!$E874:$X874,1,(_Engine!$J$45-1)*4+3))</f>
        <v/>
      </c>
    </row>
    <row r="817">
      <c r="A817" s="25">
        <f>IF(814&lt;=_Engine!$B$36,814,"")</f>
        <v/>
      </c>
      <c r="B817" s="26">
        <f>IF($A817="","",EDATE(_Engine!$B$5,$A817-1))</f>
        <v/>
      </c>
      <c r="C817" s="27">
        <f>IF($A817="","",_Engine!$AJ875)</f>
        <v/>
      </c>
      <c r="D817" s="27">
        <f>IF($A817="","",_Engine!$AK875)</f>
        <v/>
      </c>
      <c r="E817" s="27">
        <f>IF($A817="","",_Engine!$AJ875-_Engine!$AK875)</f>
        <v/>
      </c>
      <c r="F817" s="27">
        <f>IF($A817="","",_Engine!$AI875)</f>
        <v/>
      </c>
      <c r="G817" s="27">
        <f>IF(OR($A817="",_Engine!$D$41=0),"",INDEX(_Engine!$E875:$X875,1,(_Engine!$J$41-1)*4+3))</f>
        <v/>
      </c>
      <c r="H817" s="27">
        <f>IF(OR($A817="",_Engine!$D$42=0),"",INDEX(_Engine!$E875:$X875,1,(_Engine!$J$42-1)*4+3))</f>
        <v/>
      </c>
      <c r="I817" s="27">
        <f>IF(OR($A817="",_Engine!$D$43=0),"",INDEX(_Engine!$E875:$X875,1,(_Engine!$J$43-1)*4+3))</f>
        <v/>
      </c>
      <c r="J817" s="27">
        <f>IF(OR($A817="",_Engine!$D$44=0),"",INDEX(_Engine!$E875:$X875,1,(_Engine!$J$44-1)*4+3))</f>
        <v/>
      </c>
      <c r="K817" s="27">
        <f>IF(OR($A817="",_Engine!$D$45=0),"",INDEX(_Engine!$E875:$X875,1,(_Engine!$J$45-1)*4+3))</f>
        <v/>
      </c>
    </row>
    <row r="818">
      <c r="A818" s="25">
        <f>IF(815&lt;=_Engine!$B$36,815,"")</f>
        <v/>
      </c>
      <c r="B818" s="26">
        <f>IF($A818="","",EDATE(_Engine!$B$5,$A818-1))</f>
        <v/>
      </c>
      <c r="C818" s="27">
        <f>IF($A818="","",_Engine!$AJ876)</f>
        <v/>
      </c>
      <c r="D818" s="27">
        <f>IF($A818="","",_Engine!$AK876)</f>
        <v/>
      </c>
      <c r="E818" s="27">
        <f>IF($A818="","",_Engine!$AJ876-_Engine!$AK876)</f>
        <v/>
      </c>
      <c r="F818" s="27">
        <f>IF($A818="","",_Engine!$AI876)</f>
        <v/>
      </c>
      <c r="G818" s="27">
        <f>IF(OR($A818="",_Engine!$D$41=0),"",INDEX(_Engine!$E876:$X876,1,(_Engine!$J$41-1)*4+3))</f>
        <v/>
      </c>
      <c r="H818" s="27">
        <f>IF(OR($A818="",_Engine!$D$42=0),"",INDEX(_Engine!$E876:$X876,1,(_Engine!$J$42-1)*4+3))</f>
        <v/>
      </c>
      <c r="I818" s="27">
        <f>IF(OR($A818="",_Engine!$D$43=0),"",INDEX(_Engine!$E876:$X876,1,(_Engine!$J$43-1)*4+3))</f>
        <v/>
      </c>
      <c r="J818" s="27">
        <f>IF(OR($A818="",_Engine!$D$44=0),"",INDEX(_Engine!$E876:$X876,1,(_Engine!$J$44-1)*4+3))</f>
        <v/>
      </c>
      <c r="K818" s="27">
        <f>IF(OR($A818="",_Engine!$D$45=0),"",INDEX(_Engine!$E876:$X876,1,(_Engine!$J$45-1)*4+3))</f>
        <v/>
      </c>
    </row>
    <row r="819">
      <c r="A819" s="25">
        <f>IF(816&lt;=_Engine!$B$36,816,"")</f>
        <v/>
      </c>
      <c r="B819" s="26">
        <f>IF($A819="","",EDATE(_Engine!$B$5,$A819-1))</f>
        <v/>
      </c>
      <c r="C819" s="27">
        <f>IF($A819="","",_Engine!$AJ877)</f>
        <v/>
      </c>
      <c r="D819" s="27">
        <f>IF($A819="","",_Engine!$AK877)</f>
        <v/>
      </c>
      <c r="E819" s="27">
        <f>IF($A819="","",_Engine!$AJ877-_Engine!$AK877)</f>
        <v/>
      </c>
      <c r="F819" s="27">
        <f>IF($A819="","",_Engine!$AI877)</f>
        <v/>
      </c>
      <c r="G819" s="27">
        <f>IF(OR($A819="",_Engine!$D$41=0),"",INDEX(_Engine!$E877:$X877,1,(_Engine!$J$41-1)*4+3))</f>
        <v/>
      </c>
      <c r="H819" s="27">
        <f>IF(OR($A819="",_Engine!$D$42=0),"",INDEX(_Engine!$E877:$X877,1,(_Engine!$J$42-1)*4+3))</f>
        <v/>
      </c>
      <c r="I819" s="27">
        <f>IF(OR($A819="",_Engine!$D$43=0),"",INDEX(_Engine!$E877:$X877,1,(_Engine!$J$43-1)*4+3))</f>
        <v/>
      </c>
      <c r="J819" s="27">
        <f>IF(OR($A819="",_Engine!$D$44=0),"",INDEX(_Engine!$E877:$X877,1,(_Engine!$J$44-1)*4+3))</f>
        <v/>
      </c>
      <c r="K819" s="27">
        <f>IF(OR($A819="",_Engine!$D$45=0),"",INDEX(_Engine!$E877:$X877,1,(_Engine!$J$45-1)*4+3))</f>
        <v/>
      </c>
    </row>
    <row r="820">
      <c r="A820" s="25">
        <f>IF(817&lt;=_Engine!$B$36,817,"")</f>
        <v/>
      </c>
      <c r="B820" s="26">
        <f>IF($A820="","",EDATE(_Engine!$B$5,$A820-1))</f>
        <v/>
      </c>
      <c r="C820" s="27">
        <f>IF($A820="","",_Engine!$AJ878)</f>
        <v/>
      </c>
      <c r="D820" s="27">
        <f>IF($A820="","",_Engine!$AK878)</f>
        <v/>
      </c>
      <c r="E820" s="27">
        <f>IF($A820="","",_Engine!$AJ878-_Engine!$AK878)</f>
        <v/>
      </c>
      <c r="F820" s="27">
        <f>IF($A820="","",_Engine!$AI878)</f>
        <v/>
      </c>
      <c r="G820" s="27">
        <f>IF(OR($A820="",_Engine!$D$41=0),"",INDEX(_Engine!$E878:$X878,1,(_Engine!$J$41-1)*4+3))</f>
        <v/>
      </c>
      <c r="H820" s="27">
        <f>IF(OR($A820="",_Engine!$D$42=0),"",INDEX(_Engine!$E878:$X878,1,(_Engine!$J$42-1)*4+3))</f>
        <v/>
      </c>
      <c r="I820" s="27">
        <f>IF(OR($A820="",_Engine!$D$43=0),"",INDEX(_Engine!$E878:$X878,1,(_Engine!$J$43-1)*4+3))</f>
        <v/>
      </c>
      <c r="J820" s="27">
        <f>IF(OR($A820="",_Engine!$D$44=0),"",INDEX(_Engine!$E878:$X878,1,(_Engine!$J$44-1)*4+3))</f>
        <v/>
      </c>
      <c r="K820" s="27">
        <f>IF(OR($A820="",_Engine!$D$45=0),"",INDEX(_Engine!$E878:$X878,1,(_Engine!$J$45-1)*4+3))</f>
        <v/>
      </c>
    </row>
    <row r="821">
      <c r="A821" s="25">
        <f>IF(818&lt;=_Engine!$B$36,818,"")</f>
        <v/>
      </c>
      <c r="B821" s="26">
        <f>IF($A821="","",EDATE(_Engine!$B$5,$A821-1))</f>
        <v/>
      </c>
      <c r="C821" s="27">
        <f>IF($A821="","",_Engine!$AJ879)</f>
        <v/>
      </c>
      <c r="D821" s="27">
        <f>IF($A821="","",_Engine!$AK879)</f>
        <v/>
      </c>
      <c r="E821" s="27">
        <f>IF($A821="","",_Engine!$AJ879-_Engine!$AK879)</f>
        <v/>
      </c>
      <c r="F821" s="27">
        <f>IF($A821="","",_Engine!$AI879)</f>
        <v/>
      </c>
      <c r="G821" s="27">
        <f>IF(OR($A821="",_Engine!$D$41=0),"",INDEX(_Engine!$E879:$X879,1,(_Engine!$J$41-1)*4+3))</f>
        <v/>
      </c>
      <c r="H821" s="27">
        <f>IF(OR($A821="",_Engine!$D$42=0),"",INDEX(_Engine!$E879:$X879,1,(_Engine!$J$42-1)*4+3))</f>
        <v/>
      </c>
      <c r="I821" s="27">
        <f>IF(OR($A821="",_Engine!$D$43=0),"",INDEX(_Engine!$E879:$X879,1,(_Engine!$J$43-1)*4+3))</f>
        <v/>
      </c>
      <c r="J821" s="27">
        <f>IF(OR($A821="",_Engine!$D$44=0),"",INDEX(_Engine!$E879:$X879,1,(_Engine!$J$44-1)*4+3))</f>
        <v/>
      </c>
      <c r="K821" s="27">
        <f>IF(OR($A821="",_Engine!$D$45=0),"",INDEX(_Engine!$E879:$X879,1,(_Engine!$J$45-1)*4+3))</f>
        <v/>
      </c>
    </row>
    <row r="822">
      <c r="A822" s="25">
        <f>IF(819&lt;=_Engine!$B$36,819,"")</f>
        <v/>
      </c>
      <c r="B822" s="26">
        <f>IF($A822="","",EDATE(_Engine!$B$5,$A822-1))</f>
        <v/>
      </c>
      <c r="C822" s="27">
        <f>IF($A822="","",_Engine!$AJ880)</f>
        <v/>
      </c>
      <c r="D822" s="27">
        <f>IF($A822="","",_Engine!$AK880)</f>
        <v/>
      </c>
      <c r="E822" s="27">
        <f>IF($A822="","",_Engine!$AJ880-_Engine!$AK880)</f>
        <v/>
      </c>
      <c r="F822" s="27">
        <f>IF($A822="","",_Engine!$AI880)</f>
        <v/>
      </c>
      <c r="G822" s="27">
        <f>IF(OR($A822="",_Engine!$D$41=0),"",INDEX(_Engine!$E880:$X880,1,(_Engine!$J$41-1)*4+3))</f>
        <v/>
      </c>
      <c r="H822" s="27">
        <f>IF(OR($A822="",_Engine!$D$42=0),"",INDEX(_Engine!$E880:$X880,1,(_Engine!$J$42-1)*4+3))</f>
        <v/>
      </c>
      <c r="I822" s="27">
        <f>IF(OR($A822="",_Engine!$D$43=0),"",INDEX(_Engine!$E880:$X880,1,(_Engine!$J$43-1)*4+3))</f>
        <v/>
      </c>
      <c r="J822" s="27">
        <f>IF(OR($A822="",_Engine!$D$44=0),"",INDEX(_Engine!$E880:$X880,1,(_Engine!$J$44-1)*4+3))</f>
        <v/>
      </c>
      <c r="K822" s="27">
        <f>IF(OR($A822="",_Engine!$D$45=0),"",INDEX(_Engine!$E880:$X880,1,(_Engine!$J$45-1)*4+3))</f>
        <v/>
      </c>
    </row>
    <row r="823">
      <c r="A823" s="25">
        <f>IF(820&lt;=_Engine!$B$36,820,"")</f>
        <v/>
      </c>
      <c r="B823" s="26">
        <f>IF($A823="","",EDATE(_Engine!$B$5,$A823-1))</f>
        <v/>
      </c>
      <c r="C823" s="27">
        <f>IF($A823="","",_Engine!$AJ881)</f>
        <v/>
      </c>
      <c r="D823" s="27">
        <f>IF($A823="","",_Engine!$AK881)</f>
        <v/>
      </c>
      <c r="E823" s="27">
        <f>IF($A823="","",_Engine!$AJ881-_Engine!$AK881)</f>
        <v/>
      </c>
      <c r="F823" s="27">
        <f>IF($A823="","",_Engine!$AI881)</f>
        <v/>
      </c>
      <c r="G823" s="27">
        <f>IF(OR($A823="",_Engine!$D$41=0),"",INDEX(_Engine!$E881:$X881,1,(_Engine!$J$41-1)*4+3))</f>
        <v/>
      </c>
      <c r="H823" s="27">
        <f>IF(OR($A823="",_Engine!$D$42=0),"",INDEX(_Engine!$E881:$X881,1,(_Engine!$J$42-1)*4+3))</f>
        <v/>
      </c>
      <c r="I823" s="27">
        <f>IF(OR($A823="",_Engine!$D$43=0),"",INDEX(_Engine!$E881:$X881,1,(_Engine!$J$43-1)*4+3))</f>
        <v/>
      </c>
      <c r="J823" s="27">
        <f>IF(OR($A823="",_Engine!$D$44=0),"",INDEX(_Engine!$E881:$X881,1,(_Engine!$J$44-1)*4+3))</f>
        <v/>
      </c>
      <c r="K823" s="27">
        <f>IF(OR($A823="",_Engine!$D$45=0),"",INDEX(_Engine!$E881:$X881,1,(_Engine!$J$45-1)*4+3))</f>
        <v/>
      </c>
    </row>
    <row r="824">
      <c r="A824" s="25">
        <f>IF(821&lt;=_Engine!$B$36,821,"")</f>
        <v/>
      </c>
      <c r="B824" s="26">
        <f>IF($A824="","",EDATE(_Engine!$B$5,$A824-1))</f>
        <v/>
      </c>
      <c r="C824" s="27">
        <f>IF($A824="","",_Engine!$AJ882)</f>
        <v/>
      </c>
      <c r="D824" s="27">
        <f>IF($A824="","",_Engine!$AK882)</f>
        <v/>
      </c>
      <c r="E824" s="27">
        <f>IF($A824="","",_Engine!$AJ882-_Engine!$AK882)</f>
        <v/>
      </c>
      <c r="F824" s="27">
        <f>IF($A824="","",_Engine!$AI882)</f>
        <v/>
      </c>
      <c r="G824" s="27">
        <f>IF(OR($A824="",_Engine!$D$41=0),"",INDEX(_Engine!$E882:$X882,1,(_Engine!$J$41-1)*4+3))</f>
        <v/>
      </c>
      <c r="H824" s="27">
        <f>IF(OR($A824="",_Engine!$D$42=0),"",INDEX(_Engine!$E882:$X882,1,(_Engine!$J$42-1)*4+3))</f>
        <v/>
      </c>
      <c r="I824" s="27">
        <f>IF(OR($A824="",_Engine!$D$43=0),"",INDEX(_Engine!$E882:$X882,1,(_Engine!$J$43-1)*4+3))</f>
        <v/>
      </c>
      <c r="J824" s="27">
        <f>IF(OR($A824="",_Engine!$D$44=0),"",INDEX(_Engine!$E882:$X882,1,(_Engine!$J$44-1)*4+3))</f>
        <v/>
      </c>
      <c r="K824" s="27">
        <f>IF(OR($A824="",_Engine!$D$45=0),"",INDEX(_Engine!$E882:$X882,1,(_Engine!$J$45-1)*4+3))</f>
        <v/>
      </c>
    </row>
    <row r="825">
      <c r="A825" s="25">
        <f>IF(822&lt;=_Engine!$B$36,822,"")</f>
        <v/>
      </c>
      <c r="B825" s="26">
        <f>IF($A825="","",EDATE(_Engine!$B$5,$A825-1))</f>
        <v/>
      </c>
      <c r="C825" s="27">
        <f>IF($A825="","",_Engine!$AJ883)</f>
        <v/>
      </c>
      <c r="D825" s="27">
        <f>IF($A825="","",_Engine!$AK883)</f>
        <v/>
      </c>
      <c r="E825" s="27">
        <f>IF($A825="","",_Engine!$AJ883-_Engine!$AK883)</f>
        <v/>
      </c>
      <c r="F825" s="27">
        <f>IF($A825="","",_Engine!$AI883)</f>
        <v/>
      </c>
      <c r="G825" s="27">
        <f>IF(OR($A825="",_Engine!$D$41=0),"",INDEX(_Engine!$E883:$X883,1,(_Engine!$J$41-1)*4+3))</f>
        <v/>
      </c>
      <c r="H825" s="27">
        <f>IF(OR($A825="",_Engine!$D$42=0),"",INDEX(_Engine!$E883:$X883,1,(_Engine!$J$42-1)*4+3))</f>
        <v/>
      </c>
      <c r="I825" s="27">
        <f>IF(OR($A825="",_Engine!$D$43=0),"",INDEX(_Engine!$E883:$X883,1,(_Engine!$J$43-1)*4+3))</f>
        <v/>
      </c>
      <c r="J825" s="27">
        <f>IF(OR($A825="",_Engine!$D$44=0),"",INDEX(_Engine!$E883:$X883,1,(_Engine!$J$44-1)*4+3))</f>
        <v/>
      </c>
      <c r="K825" s="27">
        <f>IF(OR($A825="",_Engine!$D$45=0),"",INDEX(_Engine!$E883:$X883,1,(_Engine!$J$45-1)*4+3))</f>
        <v/>
      </c>
    </row>
    <row r="826">
      <c r="A826" s="25">
        <f>IF(823&lt;=_Engine!$B$36,823,"")</f>
        <v/>
      </c>
      <c r="B826" s="26">
        <f>IF($A826="","",EDATE(_Engine!$B$5,$A826-1))</f>
        <v/>
      </c>
      <c r="C826" s="27">
        <f>IF($A826="","",_Engine!$AJ884)</f>
        <v/>
      </c>
      <c r="D826" s="27">
        <f>IF($A826="","",_Engine!$AK884)</f>
        <v/>
      </c>
      <c r="E826" s="27">
        <f>IF($A826="","",_Engine!$AJ884-_Engine!$AK884)</f>
        <v/>
      </c>
      <c r="F826" s="27">
        <f>IF($A826="","",_Engine!$AI884)</f>
        <v/>
      </c>
      <c r="G826" s="27">
        <f>IF(OR($A826="",_Engine!$D$41=0),"",INDEX(_Engine!$E884:$X884,1,(_Engine!$J$41-1)*4+3))</f>
        <v/>
      </c>
      <c r="H826" s="27">
        <f>IF(OR($A826="",_Engine!$D$42=0),"",INDEX(_Engine!$E884:$X884,1,(_Engine!$J$42-1)*4+3))</f>
        <v/>
      </c>
      <c r="I826" s="27">
        <f>IF(OR($A826="",_Engine!$D$43=0),"",INDEX(_Engine!$E884:$X884,1,(_Engine!$J$43-1)*4+3))</f>
        <v/>
      </c>
      <c r="J826" s="27">
        <f>IF(OR($A826="",_Engine!$D$44=0),"",INDEX(_Engine!$E884:$X884,1,(_Engine!$J$44-1)*4+3))</f>
        <v/>
      </c>
      <c r="K826" s="27">
        <f>IF(OR($A826="",_Engine!$D$45=0),"",INDEX(_Engine!$E884:$X884,1,(_Engine!$J$45-1)*4+3))</f>
        <v/>
      </c>
    </row>
    <row r="827">
      <c r="A827" s="25">
        <f>IF(824&lt;=_Engine!$B$36,824,"")</f>
        <v/>
      </c>
      <c r="B827" s="26">
        <f>IF($A827="","",EDATE(_Engine!$B$5,$A827-1))</f>
        <v/>
      </c>
      <c r="C827" s="27">
        <f>IF($A827="","",_Engine!$AJ885)</f>
        <v/>
      </c>
      <c r="D827" s="27">
        <f>IF($A827="","",_Engine!$AK885)</f>
        <v/>
      </c>
      <c r="E827" s="27">
        <f>IF($A827="","",_Engine!$AJ885-_Engine!$AK885)</f>
        <v/>
      </c>
      <c r="F827" s="27">
        <f>IF($A827="","",_Engine!$AI885)</f>
        <v/>
      </c>
      <c r="G827" s="27">
        <f>IF(OR($A827="",_Engine!$D$41=0),"",INDEX(_Engine!$E885:$X885,1,(_Engine!$J$41-1)*4+3))</f>
        <v/>
      </c>
      <c r="H827" s="27">
        <f>IF(OR($A827="",_Engine!$D$42=0),"",INDEX(_Engine!$E885:$X885,1,(_Engine!$J$42-1)*4+3))</f>
        <v/>
      </c>
      <c r="I827" s="27">
        <f>IF(OR($A827="",_Engine!$D$43=0),"",INDEX(_Engine!$E885:$X885,1,(_Engine!$J$43-1)*4+3))</f>
        <v/>
      </c>
      <c r="J827" s="27">
        <f>IF(OR($A827="",_Engine!$D$44=0),"",INDEX(_Engine!$E885:$X885,1,(_Engine!$J$44-1)*4+3))</f>
        <v/>
      </c>
      <c r="K827" s="27">
        <f>IF(OR($A827="",_Engine!$D$45=0),"",INDEX(_Engine!$E885:$X885,1,(_Engine!$J$45-1)*4+3))</f>
        <v/>
      </c>
    </row>
    <row r="828">
      <c r="A828" s="25">
        <f>IF(825&lt;=_Engine!$B$36,825,"")</f>
        <v/>
      </c>
      <c r="B828" s="26">
        <f>IF($A828="","",EDATE(_Engine!$B$5,$A828-1))</f>
        <v/>
      </c>
      <c r="C828" s="27">
        <f>IF($A828="","",_Engine!$AJ886)</f>
        <v/>
      </c>
      <c r="D828" s="27">
        <f>IF($A828="","",_Engine!$AK886)</f>
        <v/>
      </c>
      <c r="E828" s="27">
        <f>IF($A828="","",_Engine!$AJ886-_Engine!$AK886)</f>
        <v/>
      </c>
      <c r="F828" s="27">
        <f>IF($A828="","",_Engine!$AI886)</f>
        <v/>
      </c>
      <c r="G828" s="27">
        <f>IF(OR($A828="",_Engine!$D$41=0),"",INDEX(_Engine!$E886:$X886,1,(_Engine!$J$41-1)*4+3))</f>
        <v/>
      </c>
      <c r="H828" s="27">
        <f>IF(OR($A828="",_Engine!$D$42=0),"",INDEX(_Engine!$E886:$X886,1,(_Engine!$J$42-1)*4+3))</f>
        <v/>
      </c>
      <c r="I828" s="27">
        <f>IF(OR($A828="",_Engine!$D$43=0),"",INDEX(_Engine!$E886:$X886,1,(_Engine!$J$43-1)*4+3))</f>
        <v/>
      </c>
      <c r="J828" s="27">
        <f>IF(OR($A828="",_Engine!$D$44=0),"",INDEX(_Engine!$E886:$X886,1,(_Engine!$J$44-1)*4+3))</f>
        <v/>
      </c>
      <c r="K828" s="27">
        <f>IF(OR($A828="",_Engine!$D$45=0),"",INDEX(_Engine!$E886:$X886,1,(_Engine!$J$45-1)*4+3))</f>
        <v/>
      </c>
    </row>
    <row r="829">
      <c r="A829" s="25">
        <f>IF(826&lt;=_Engine!$B$36,826,"")</f>
        <v/>
      </c>
      <c r="B829" s="26">
        <f>IF($A829="","",EDATE(_Engine!$B$5,$A829-1))</f>
        <v/>
      </c>
      <c r="C829" s="27">
        <f>IF($A829="","",_Engine!$AJ887)</f>
        <v/>
      </c>
      <c r="D829" s="27">
        <f>IF($A829="","",_Engine!$AK887)</f>
        <v/>
      </c>
      <c r="E829" s="27">
        <f>IF($A829="","",_Engine!$AJ887-_Engine!$AK887)</f>
        <v/>
      </c>
      <c r="F829" s="27">
        <f>IF($A829="","",_Engine!$AI887)</f>
        <v/>
      </c>
      <c r="G829" s="27">
        <f>IF(OR($A829="",_Engine!$D$41=0),"",INDEX(_Engine!$E887:$X887,1,(_Engine!$J$41-1)*4+3))</f>
        <v/>
      </c>
      <c r="H829" s="27">
        <f>IF(OR($A829="",_Engine!$D$42=0),"",INDEX(_Engine!$E887:$X887,1,(_Engine!$J$42-1)*4+3))</f>
        <v/>
      </c>
      <c r="I829" s="27">
        <f>IF(OR($A829="",_Engine!$D$43=0),"",INDEX(_Engine!$E887:$X887,1,(_Engine!$J$43-1)*4+3))</f>
        <v/>
      </c>
      <c r="J829" s="27">
        <f>IF(OR($A829="",_Engine!$D$44=0),"",INDEX(_Engine!$E887:$X887,1,(_Engine!$J$44-1)*4+3))</f>
        <v/>
      </c>
      <c r="K829" s="27">
        <f>IF(OR($A829="",_Engine!$D$45=0),"",INDEX(_Engine!$E887:$X887,1,(_Engine!$J$45-1)*4+3))</f>
        <v/>
      </c>
    </row>
    <row r="830">
      <c r="A830" s="25">
        <f>IF(827&lt;=_Engine!$B$36,827,"")</f>
        <v/>
      </c>
      <c r="B830" s="26">
        <f>IF($A830="","",EDATE(_Engine!$B$5,$A830-1))</f>
        <v/>
      </c>
      <c r="C830" s="27">
        <f>IF($A830="","",_Engine!$AJ888)</f>
        <v/>
      </c>
      <c r="D830" s="27">
        <f>IF($A830="","",_Engine!$AK888)</f>
        <v/>
      </c>
      <c r="E830" s="27">
        <f>IF($A830="","",_Engine!$AJ888-_Engine!$AK888)</f>
        <v/>
      </c>
      <c r="F830" s="27">
        <f>IF($A830="","",_Engine!$AI888)</f>
        <v/>
      </c>
      <c r="G830" s="27">
        <f>IF(OR($A830="",_Engine!$D$41=0),"",INDEX(_Engine!$E888:$X888,1,(_Engine!$J$41-1)*4+3))</f>
        <v/>
      </c>
      <c r="H830" s="27">
        <f>IF(OR($A830="",_Engine!$D$42=0),"",INDEX(_Engine!$E888:$X888,1,(_Engine!$J$42-1)*4+3))</f>
        <v/>
      </c>
      <c r="I830" s="27">
        <f>IF(OR($A830="",_Engine!$D$43=0),"",INDEX(_Engine!$E888:$X888,1,(_Engine!$J$43-1)*4+3))</f>
        <v/>
      </c>
      <c r="J830" s="27">
        <f>IF(OR($A830="",_Engine!$D$44=0),"",INDEX(_Engine!$E888:$X888,1,(_Engine!$J$44-1)*4+3))</f>
        <v/>
      </c>
      <c r="K830" s="27">
        <f>IF(OR($A830="",_Engine!$D$45=0),"",INDEX(_Engine!$E888:$X888,1,(_Engine!$J$45-1)*4+3))</f>
        <v/>
      </c>
    </row>
    <row r="831">
      <c r="A831" s="25">
        <f>IF(828&lt;=_Engine!$B$36,828,"")</f>
        <v/>
      </c>
      <c r="B831" s="26">
        <f>IF($A831="","",EDATE(_Engine!$B$5,$A831-1))</f>
        <v/>
      </c>
      <c r="C831" s="27">
        <f>IF($A831="","",_Engine!$AJ889)</f>
        <v/>
      </c>
      <c r="D831" s="27">
        <f>IF($A831="","",_Engine!$AK889)</f>
        <v/>
      </c>
      <c r="E831" s="27">
        <f>IF($A831="","",_Engine!$AJ889-_Engine!$AK889)</f>
        <v/>
      </c>
      <c r="F831" s="27">
        <f>IF($A831="","",_Engine!$AI889)</f>
        <v/>
      </c>
      <c r="G831" s="27">
        <f>IF(OR($A831="",_Engine!$D$41=0),"",INDEX(_Engine!$E889:$X889,1,(_Engine!$J$41-1)*4+3))</f>
        <v/>
      </c>
      <c r="H831" s="27">
        <f>IF(OR($A831="",_Engine!$D$42=0),"",INDEX(_Engine!$E889:$X889,1,(_Engine!$J$42-1)*4+3))</f>
        <v/>
      </c>
      <c r="I831" s="27">
        <f>IF(OR($A831="",_Engine!$D$43=0),"",INDEX(_Engine!$E889:$X889,1,(_Engine!$J$43-1)*4+3))</f>
        <v/>
      </c>
      <c r="J831" s="27">
        <f>IF(OR($A831="",_Engine!$D$44=0),"",INDEX(_Engine!$E889:$X889,1,(_Engine!$J$44-1)*4+3))</f>
        <v/>
      </c>
      <c r="K831" s="27">
        <f>IF(OR($A831="",_Engine!$D$45=0),"",INDEX(_Engine!$E889:$X889,1,(_Engine!$J$45-1)*4+3))</f>
        <v/>
      </c>
    </row>
    <row r="832">
      <c r="A832" s="25">
        <f>IF(829&lt;=_Engine!$B$36,829,"")</f>
        <v/>
      </c>
      <c r="B832" s="26">
        <f>IF($A832="","",EDATE(_Engine!$B$5,$A832-1))</f>
        <v/>
      </c>
      <c r="C832" s="27">
        <f>IF($A832="","",_Engine!$AJ890)</f>
        <v/>
      </c>
      <c r="D832" s="27">
        <f>IF($A832="","",_Engine!$AK890)</f>
        <v/>
      </c>
      <c r="E832" s="27">
        <f>IF($A832="","",_Engine!$AJ890-_Engine!$AK890)</f>
        <v/>
      </c>
      <c r="F832" s="27">
        <f>IF($A832="","",_Engine!$AI890)</f>
        <v/>
      </c>
      <c r="G832" s="27">
        <f>IF(OR($A832="",_Engine!$D$41=0),"",INDEX(_Engine!$E890:$X890,1,(_Engine!$J$41-1)*4+3))</f>
        <v/>
      </c>
      <c r="H832" s="27">
        <f>IF(OR($A832="",_Engine!$D$42=0),"",INDEX(_Engine!$E890:$X890,1,(_Engine!$J$42-1)*4+3))</f>
        <v/>
      </c>
      <c r="I832" s="27">
        <f>IF(OR($A832="",_Engine!$D$43=0),"",INDEX(_Engine!$E890:$X890,1,(_Engine!$J$43-1)*4+3))</f>
        <v/>
      </c>
      <c r="J832" s="27">
        <f>IF(OR($A832="",_Engine!$D$44=0),"",INDEX(_Engine!$E890:$X890,1,(_Engine!$J$44-1)*4+3))</f>
        <v/>
      </c>
      <c r="K832" s="27">
        <f>IF(OR($A832="",_Engine!$D$45=0),"",INDEX(_Engine!$E890:$X890,1,(_Engine!$J$45-1)*4+3))</f>
        <v/>
      </c>
    </row>
    <row r="833">
      <c r="A833" s="25">
        <f>IF(830&lt;=_Engine!$B$36,830,"")</f>
        <v/>
      </c>
      <c r="B833" s="26">
        <f>IF($A833="","",EDATE(_Engine!$B$5,$A833-1))</f>
        <v/>
      </c>
      <c r="C833" s="27">
        <f>IF($A833="","",_Engine!$AJ891)</f>
        <v/>
      </c>
      <c r="D833" s="27">
        <f>IF($A833="","",_Engine!$AK891)</f>
        <v/>
      </c>
      <c r="E833" s="27">
        <f>IF($A833="","",_Engine!$AJ891-_Engine!$AK891)</f>
        <v/>
      </c>
      <c r="F833" s="27">
        <f>IF($A833="","",_Engine!$AI891)</f>
        <v/>
      </c>
      <c r="G833" s="27">
        <f>IF(OR($A833="",_Engine!$D$41=0),"",INDEX(_Engine!$E891:$X891,1,(_Engine!$J$41-1)*4+3))</f>
        <v/>
      </c>
      <c r="H833" s="27">
        <f>IF(OR($A833="",_Engine!$D$42=0),"",INDEX(_Engine!$E891:$X891,1,(_Engine!$J$42-1)*4+3))</f>
        <v/>
      </c>
      <c r="I833" s="27">
        <f>IF(OR($A833="",_Engine!$D$43=0),"",INDEX(_Engine!$E891:$X891,1,(_Engine!$J$43-1)*4+3))</f>
        <v/>
      </c>
      <c r="J833" s="27">
        <f>IF(OR($A833="",_Engine!$D$44=0),"",INDEX(_Engine!$E891:$X891,1,(_Engine!$J$44-1)*4+3))</f>
        <v/>
      </c>
      <c r="K833" s="27">
        <f>IF(OR($A833="",_Engine!$D$45=0),"",INDEX(_Engine!$E891:$X891,1,(_Engine!$J$45-1)*4+3))</f>
        <v/>
      </c>
    </row>
    <row r="834">
      <c r="A834" s="25">
        <f>IF(831&lt;=_Engine!$B$36,831,"")</f>
        <v/>
      </c>
      <c r="B834" s="26">
        <f>IF($A834="","",EDATE(_Engine!$B$5,$A834-1))</f>
        <v/>
      </c>
      <c r="C834" s="27">
        <f>IF($A834="","",_Engine!$AJ892)</f>
        <v/>
      </c>
      <c r="D834" s="27">
        <f>IF($A834="","",_Engine!$AK892)</f>
        <v/>
      </c>
      <c r="E834" s="27">
        <f>IF($A834="","",_Engine!$AJ892-_Engine!$AK892)</f>
        <v/>
      </c>
      <c r="F834" s="27">
        <f>IF($A834="","",_Engine!$AI892)</f>
        <v/>
      </c>
      <c r="G834" s="27">
        <f>IF(OR($A834="",_Engine!$D$41=0),"",INDEX(_Engine!$E892:$X892,1,(_Engine!$J$41-1)*4+3))</f>
        <v/>
      </c>
      <c r="H834" s="27">
        <f>IF(OR($A834="",_Engine!$D$42=0),"",INDEX(_Engine!$E892:$X892,1,(_Engine!$J$42-1)*4+3))</f>
        <v/>
      </c>
      <c r="I834" s="27">
        <f>IF(OR($A834="",_Engine!$D$43=0),"",INDEX(_Engine!$E892:$X892,1,(_Engine!$J$43-1)*4+3))</f>
        <v/>
      </c>
      <c r="J834" s="27">
        <f>IF(OR($A834="",_Engine!$D$44=0),"",INDEX(_Engine!$E892:$X892,1,(_Engine!$J$44-1)*4+3))</f>
        <v/>
      </c>
      <c r="K834" s="27">
        <f>IF(OR($A834="",_Engine!$D$45=0),"",INDEX(_Engine!$E892:$X892,1,(_Engine!$J$45-1)*4+3))</f>
        <v/>
      </c>
    </row>
    <row r="835">
      <c r="A835" s="25">
        <f>IF(832&lt;=_Engine!$B$36,832,"")</f>
        <v/>
      </c>
      <c r="B835" s="26">
        <f>IF($A835="","",EDATE(_Engine!$B$5,$A835-1))</f>
        <v/>
      </c>
      <c r="C835" s="27">
        <f>IF($A835="","",_Engine!$AJ893)</f>
        <v/>
      </c>
      <c r="D835" s="27">
        <f>IF($A835="","",_Engine!$AK893)</f>
        <v/>
      </c>
      <c r="E835" s="27">
        <f>IF($A835="","",_Engine!$AJ893-_Engine!$AK893)</f>
        <v/>
      </c>
      <c r="F835" s="27">
        <f>IF($A835="","",_Engine!$AI893)</f>
        <v/>
      </c>
      <c r="G835" s="27">
        <f>IF(OR($A835="",_Engine!$D$41=0),"",INDEX(_Engine!$E893:$X893,1,(_Engine!$J$41-1)*4+3))</f>
        <v/>
      </c>
      <c r="H835" s="27">
        <f>IF(OR($A835="",_Engine!$D$42=0),"",INDEX(_Engine!$E893:$X893,1,(_Engine!$J$42-1)*4+3))</f>
        <v/>
      </c>
      <c r="I835" s="27">
        <f>IF(OR($A835="",_Engine!$D$43=0),"",INDEX(_Engine!$E893:$X893,1,(_Engine!$J$43-1)*4+3))</f>
        <v/>
      </c>
      <c r="J835" s="27">
        <f>IF(OR($A835="",_Engine!$D$44=0),"",INDEX(_Engine!$E893:$X893,1,(_Engine!$J$44-1)*4+3))</f>
        <v/>
      </c>
      <c r="K835" s="27">
        <f>IF(OR($A835="",_Engine!$D$45=0),"",INDEX(_Engine!$E893:$X893,1,(_Engine!$J$45-1)*4+3))</f>
        <v/>
      </c>
    </row>
    <row r="836">
      <c r="A836" s="25">
        <f>IF(833&lt;=_Engine!$B$36,833,"")</f>
        <v/>
      </c>
      <c r="B836" s="26">
        <f>IF($A836="","",EDATE(_Engine!$B$5,$A836-1))</f>
        <v/>
      </c>
      <c r="C836" s="27">
        <f>IF($A836="","",_Engine!$AJ894)</f>
        <v/>
      </c>
      <c r="D836" s="27">
        <f>IF($A836="","",_Engine!$AK894)</f>
        <v/>
      </c>
      <c r="E836" s="27">
        <f>IF($A836="","",_Engine!$AJ894-_Engine!$AK894)</f>
        <v/>
      </c>
      <c r="F836" s="27">
        <f>IF($A836="","",_Engine!$AI894)</f>
        <v/>
      </c>
      <c r="G836" s="27">
        <f>IF(OR($A836="",_Engine!$D$41=0),"",INDEX(_Engine!$E894:$X894,1,(_Engine!$J$41-1)*4+3))</f>
        <v/>
      </c>
      <c r="H836" s="27">
        <f>IF(OR($A836="",_Engine!$D$42=0),"",INDEX(_Engine!$E894:$X894,1,(_Engine!$J$42-1)*4+3))</f>
        <v/>
      </c>
      <c r="I836" s="27">
        <f>IF(OR($A836="",_Engine!$D$43=0),"",INDEX(_Engine!$E894:$X894,1,(_Engine!$J$43-1)*4+3))</f>
        <v/>
      </c>
      <c r="J836" s="27">
        <f>IF(OR($A836="",_Engine!$D$44=0),"",INDEX(_Engine!$E894:$X894,1,(_Engine!$J$44-1)*4+3))</f>
        <v/>
      </c>
      <c r="K836" s="27">
        <f>IF(OR($A836="",_Engine!$D$45=0),"",INDEX(_Engine!$E894:$X894,1,(_Engine!$J$45-1)*4+3))</f>
        <v/>
      </c>
    </row>
    <row r="837">
      <c r="A837" s="25">
        <f>IF(834&lt;=_Engine!$B$36,834,"")</f>
        <v/>
      </c>
      <c r="B837" s="26">
        <f>IF($A837="","",EDATE(_Engine!$B$5,$A837-1))</f>
        <v/>
      </c>
      <c r="C837" s="27">
        <f>IF($A837="","",_Engine!$AJ895)</f>
        <v/>
      </c>
      <c r="D837" s="27">
        <f>IF($A837="","",_Engine!$AK895)</f>
        <v/>
      </c>
      <c r="E837" s="27">
        <f>IF($A837="","",_Engine!$AJ895-_Engine!$AK895)</f>
        <v/>
      </c>
      <c r="F837" s="27">
        <f>IF($A837="","",_Engine!$AI895)</f>
        <v/>
      </c>
      <c r="G837" s="27">
        <f>IF(OR($A837="",_Engine!$D$41=0),"",INDEX(_Engine!$E895:$X895,1,(_Engine!$J$41-1)*4+3))</f>
        <v/>
      </c>
      <c r="H837" s="27">
        <f>IF(OR($A837="",_Engine!$D$42=0),"",INDEX(_Engine!$E895:$X895,1,(_Engine!$J$42-1)*4+3))</f>
        <v/>
      </c>
      <c r="I837" s="27">
        <f>IF(OR($A837="",_Engine!$D$43=0),"",INDEX(_Engine!$E895:$X895,1,(_Engine!$J$43-1)*4+3))</f>
        <v/>
      </c>
      <c r="J837" s="27">
        <f>IF(OR($A837="",_Engine!$D$44=0),"",INDEX(_Engine!$E895:$X895,1,(_Engine!$J$44-1)*4+3))</f>
        <v/>
      </c>
      <c r="K837" s="27">
        <f>IF(OR($A837="",_Engine!$D$45=0),"",INDEX(_Engine!$E895:$X895,1,(_Engine!$J$45-1)*4+3))</f>
        <v/>
      </c>
    </row>
    <row r="838">
      <c r="A838" s="25">
        <f>IF(835&lt;=_Engine!$B$36,835,"")</f>
        <v/>
      </c>
      <c r="B838" s="26">
        <f>IF($A838="","",EDATE(_Engine!$B$5,$A838-1))</f>
        <v/>
      </c>
      <c r="C838" s="27">
        <f>IF($A838="","",_Engine!$AJ896)</f>
        <v/>
      </c>
      <c r="D838" s="27">
        <f>IF($A838="","",_Engine!$AK896)</f>
        <v/>
      </c>
      <c r="E838" s="27">
        <f>IF($A838="","",_Engine!$AJ896-_Engine!$AK896)</f>
        <v/>
      </c>
      <c r="F838" s="27">
        <f>IF($A838="","",_Engine!$AI896)</f>
        <v/>
      </c>
      <c r="G838" s="27">
        <f>IF(OR($A838="",_Engine!$D$41=0),"",INDEX(_Engine!$E896:$X896,1,(_Engine!$J$41-1)*4+3))</f>
        <v/>
      </c>
      <c r="H838" s="27">
        <f>IF(OR($A838="",_Engine!$D$42=0),"",INDEX(_Engine!$E896:$X896,1,(_Engine!$J$42-1)*4+3))</f>
        <v/>
      </c>
      <c r="I838" s="27">
        <f>IF(OR($A838="",_Engine!$D$43=0),"",INDEX(_Engine!$E896:$X896,1,(_Engine!$J$43-1)*4+3))</f>
        <v/>
      </c>
      <c r="J838" s="27">
        <f>IF(OR($A838="",_Engine!$D$44=0),"",INDEX(_Engine!$E896:$X896,1,(_Engine!$J$44-1)*4+3))</f>
        <v/>
      </c>
      <c r="K838" s="27">
        <f>IF(OR($A838="",_Engine!$D$45=0),"",INDEX(_Engine!$E896:$X896,1,(_Engine!$J$45-1)*4+3))</f>
        <v/>
      </c>
    </row>
    <row r="839">
      <c r="A839" s="25">
        <f>IF(836&lt;=_Engine!$B$36,836,"")</f>
        <v/>
      </c>
      <c r="B839" s="26">
        <f>IF($A839="","",EDATE(_Engine!$B$5,$A839-1))</f>
        <v/>
      </c>
      <c r="C839" s="27">
        <f>IF($A839="","",_Engine!$AJ897)</f>
        <v/>
      </c>
      <c r="D839" s="27">
        <f>IF($A839="","",_Engine!$AK897)</f>
        <v/>
      </c>
      <c r="E839" s="27">
        <f>IF($A839="","",_Engine!$AJ897-_Engine!$AK897)</f>
        <v/>
      </c>
      <c r="F839" s="27">
        <f>IF($A839="","",_Engine!$AI897)</f>
        <v/>
      </c>
      <c r="G839" s="27">
        <f>IF(OR($A839="",_Engine!$D$41=0),"",INDEX(_Engine!$E897:$X897,1,(_Engine!$J$41-1)*4+3))</f>
        <v/>
      </c>
      <c r="H839" s="27">
        <f>IF(OR($A839="",_Engine!$D$42=0),"",INDEX(_Engine!$E897:$X897,1,(_Engine!$J$42-1)*4+3))</f>
        <v/>
      </c>
      <c r="I839" s="27">
        <f>IF(OR($A839="",_Engine!$D$43=0),"",INDEX(_Engine!$E897:$X897,1,(_Engine!$J$43-1)*4+3))</f>
        <v/>
      </c>
      <c r="J839" s="27">
        <f>IF(OR($A839="",_Engine!$D$44=0),"",INDEX(_Engine!$E897:$X897,1,(_Engine!$J$44-1)*4+3))</f>
        <v/>
      </c>
      <c r="K839" s="27">
        <f>IF(OR($A839="",_Engine!$D$45=0),"",INDEX(_Engine!$E897:$X897,1,(_Engine!$J$45-1)*4+3))</f>
        <v/>
      </c>
    </row>
    <row r="840">
      <c r="A840" s="25">
        <f>IF(837&lt;=_Engine!$B$36,837,"")</f>
        <v/>
      </c>
      <c r="B840" s="26">
        <f>IF($A840="","",EDATE(_Engine!$B$5,$A840-1))</f>
        <v/>
      </c>
      <c r="C840" s="27">
        <f>IF($A840="","",_Engine!$AJ898)</f>
        <v/>
      </c>
      <c r="D840" s="27">
        <f>IF($A840="","",_Engine!$AK898)</f>
        <v/>
      </c>
      <c r="E840" s="27">
        <f>IF($A840="","",_Engine!$AJ898-_Engine!$AK898)</f>
        <v/>
      </c>
      <c r="F840" s="27">
        <f>IF($A840="","",_Engine!$AI898)</f>
        <v/>
      </c>
      <c r="G840" s="27">
        <f>IF(OR($A840="",_Engine!$D$41=0),"",INDEX(_Engine!$E898:$X898,1,(_Engine!$J$41-1)*4+3))</f>
        <v/>
      </c>
      <c r="H840" s="27">
        <f>IF(OR($A840="",_Engine!$D$42=0),"",INDEX(_Engine!$E898:$X898,1,(_Engine!$J$42-1)*4+3))</f>
        <v/>
      </c>
      <c r="I840" s="27">
        <f>IF(OR($A840="",_Engine!$D$43=0),"",INDEX(_Engine!$E898:$X898,1,(_Engine!$J$43-1)*4+3))</f>
        <v/>
      </c>
      <c r="J840" s="27">
        <f>IF(OR($A840="",_Engine!$D$44=0),"",INDEX(_Engine!$E898:$X898,1,(_Engine!$J$44-1)*4+3))</f>
        <v/>
      </c>
      <c r="K840" s="27">
        <f>IF(OR($A840="",_Engine!$D$45=0),"",INDEX(_Engine!$E898:$X898,1,(_Engine!$J$45-1)*4+3))</f>
        <v/>
      </c>
    </row>
    <row r="841">
      <c r="A841" s="25">
        <f>IF(838&lt;=_Engine!$B$36,838,"")</f>
        <v/>
      </c>
      <c r="B841" s="26">
        <f>IF($A841="","",EDATE(_Engine!$B$5,$A841-1))</f>
        <v/>
      </c>
      <c r="C841" s="27">
        <f>IF($A841="","",_Engine!$AJ899)</f>
        <v/>
      </c>
      <c r="D841" s="27">
        <f>IF($A841="","",_Engine!$AK899)</f>
        <v/>
      </c>
      <c r="E841" s="27">
        <f>IF($A841="","",_Engine!$AJ899-_Engine!$AK899)</f>
        <v/>
      </c>
      <c r="F841" s="27">
        <f>IF($A841="","",_Engine!$AI899)</f>
        <v/>
      </c>
      <c r="G841" s="27">
        <f>IF(OR($A841="",_Engine!$D$41=0),"",INDEX(_Engine!$E899:$X899,1,(_Engine!$J$41-1)*4+3))</f>
        <v/>
      </c>
      <c r="H841" s="27">
        <f>IF(OR($A841="",_Engine!$D$42=0),"",INDEX(_Engine!$E899:$X899,1,(_Engine!$J$42-1)*4+3))</f>
        <v/>
      </c>
      <c r="I841" s="27">
        <f>IF(OR($A841="",_Engine!$D$43=0),"",INDEX(_Engine!$E899:$X899,1,(_Engine!$J$43-1)*4+3))</f>
        <v/>
      </c>
      <c r="J841" s="27">
        <f>IF(OR($A841="",_Engine!$D$44=0),"",INDEX(_Engine!$E899:$X899,1,(_Engine!$J$44-1)*4+3))</f>
        <v/>
      </c>
      <c r="K841" s="27">
        <f>IF(OR($A841="",_Engine!$D$45=0),"",INDEX(_Engine!$E899:$X899,1,(_Engine!$J$45-1)*4+3))</f>
        <v/>
      </c>
    </row>
    <row r="842">
      <c r="A842" s="25">
        <f>IF(839&lt;=_Engine!$B$36,839,"")</f>
        <v/>
      </c>
      <c r="B842" s="26">
        <f>IF($A842="","",EDATE(_Engine!$B$5,$A842-1))</f>
        <v/>
      </c>
      <c r="C842" s="27">
        <f>IF($A842="","",_Engine!$AJ900)</f>
        <v/>
      </c>
      <c r="D842" s="27">
        <f>IF($A842="","",_Engine!$AK900)</f>
        <v/>
      </c>
      <c r="E842" s="27">
        <f>IF($A842="","",_Engine!$AJ900-_Engine!$AK900)</f>
        <v/>
      </c>
      <c r="F842" s="27">
        <f>IF($A842="","",_Engine!$AI900)</f>
        <v/>
      </c>
      <c r="G842" s="27">
        <f>IF(OR($A842="",_Engine!$D$41=0),"",INDEX(_Engine!$E900:$X900,1,(_Engine!$J$41-1)*4+3))</f>
        <v/>
      </c>
      <c r="H842" s="27">
        <f>IF(OR($A842="",_Engine!$D$42=0),"",INDEX(_Engine!$E900:$X900,1,(_Engine!$J$42-1)*4+3))</f>
        <v/>
      </c>
      <c r="I842" s="27">
        <f>IF(OR($A842="",_Engine!$D$43=0),"",INDEX(_Engine!$E900:$X900,1,(_Engine!$J$43-1)*4+3))</f>
        <v/>
      </c>
      <c r="J842" s="27">
        <f>IF(OR($A842="",_Engine!$D$44=0),"",INDEX(_Engine!$E900:$X900,1,(_Engine!$J$44-1)*4+3))</f>
        <v/>
      </c>
      <c r="K842" s="27">
        <f>IF(OR($A842="",_Engine!$D$45=0),"",INDEX(_Engine!$E900:$X900,1,(_Engine!$J$45-1)*4+3))</f>
        <v/>
      </c>
    </row>
    <row r="843">
      <c r="A843" s="25">
        <f>IF(840&lt;=_Engine!$B$36,840,"")</f>
        <v/>
      </c>
      <c r="B843" s="26">
        <f>IF($A843="","",EDATE(_Engine!$B$5,$A843-1))</f>
        <v/>
      </c>
      <c r="C843" s="27">
        <f>IF($A843="","",_Engine!$AJ901)</f>
        <v/>
      </c>
      <c r="D843" s="27">
        <f>IF($A843="","",_Engine!$AK901)</f>
        <v/>
      </c>
      <c r="E843" s="27">
        <f>IF($A843="","",_Engine!$AJ901-_Engine!$AK901)</f>
        <v/>
      </c>
      <c r="F843" s="27">
        <f>IF($A843="","",_Engine!$AI901)</f>
        <v/>
      </c>
      <c r="G843" s="27">
        <f>IF(OR($A843="",_Engine!$D$41=0),"",INDEX(_Engine!$E901:$X901,1,(_Engine!$J$41-1)*4+3))</f>
        <v/>
      </c>
      <c r="H843" s="27">
        <f>IF(OR($A843="",_Engine!$D$42=0),"",INDEX(_Engine!$E901:$X901,1,(_Engine!$J$42-1)*4+3))</f>
        <v/>
      </c>
      <c r="I843" s="27">
        <f>IF(OR($A843="",_Engine!$D$43=0),"",INDEX(_Engine!$E901:$X901,1,(_Engine!$J$43-1)*4+3))</f>
        <v/>
      </c>
      <c r="J843" s="27">
        <f>IF(OR($A843="",_Engine!$D$44=0),"",INDEX(_Engine!$E901:$X901,1,(_Engine!$J$44-1)*4+3))</f>
        <v/>
      </c>
      <c r="K843" s="27">
        <f>IF(OR($A843="",_Engine!$D$45=0),"",INDEX(_Engine!$E901:$X901,1,(_Engine!$J$45-1)*4+3))</f>
        <v/>
      </c>
    </row>
    <row r="844">
      <c r="A844" s="25">
        <f>IF(841&lt;=_Engine!$B$36,841,"")</f>
        <v/>
      </c>
      <c r="B844" s="26">
        <f>IF($A844="","",EDATE(_Engine!$B$5,$A844-1))</f>
        <v/>
      </c>
      <c r="C844" s="27">
        <f>IF($A844="","",_Engine!$AJ902)</f>
        <v/>
      </c>
      <c r="D844" s="27">
        <f>IF($A844="","",_Engine!$AK902)</f>
        <v/>
      </c>
      <c r="E844" s="27">
        <f>IF($A844="","",_Engine!$AJ902-_Engine!$AK902)</f>
        <v/>
      </c>
      <c r="F844" s="27">
        <f>IF($A844="","",_Engine!$AI902)</f>
        <v/>
      </c>
      <c r="G844" s="27">
        <f>IF(OR($A844="",_Engine!$D$41=0),"",INDEX(_Engine!$E902:$X902,1,(_Engine!$J$41-1)*4+3))</f>
        <v/>
      </c>
      <c r="H844" s="27">
        <f>IF(OR($A844="",_Engine!$D$42=0),"",INDEX(_Engine!$E902:$X902,1,(_Engine!$J$42-1)*4+3))</f>
        <v/>
      </c>
      <c r="I844" s="27">
        <f>IF(OR($A844="",_Engine!$D$43=0),"",INDEX(_Engine!$E902:$X902,1,(_Engine!$J$43-1)*4+3))</f>
        <v/>
      </c>
      <c r="J844" s="27">
        <f>IF(OR($A844="",_Engine!$D$44=0),"",INDEX(_Engine!$E902:$X902,1,(_Engine!$J$44-1)*4+3))</f>
        <v/>
      </c>
      <c r="K844" s="27">
        <f>IF(OR($A844="",_Engine!$D$45=0),"",INDEX(_Engine!$E902:$X902,1,(_Engine!$J$45-1)*4+3))</f>
        <v/>
      </c>
    </row>
    <row r="845">
      <c r="A845" s="25">
        <f>IF(842&lt;=_Engine!$B$36,842,"")</f>
        <v/>
      </c>
      <c r="B845" s="26">
        <f>IF($A845="","",EDATE(_Engine!$B$5,$A845-1))</f>
        <v/>
      </c>
      <c r="C845" s="27">
        <f>IF($A845="","",_Engine!$AJ903)</f>
        <v/>
      </c>
      <c r="D845" s="27">
        <f>IF($A845="","",_Engine!$AK903)</f>
        <v/>
      </c>
      <c r="E845" s="27">
        <f>IF($A845="","",_Engine!$AJ903-_Engine!$AK903)</f>
        <v/>
      </c>
      <c r="F845" s="27">
        <f>IF($A845="","",_Engine!$AI903)</f>
        <v/>
      </c>
      <c r="G845" s="27">
        <f>IF(OR($A845="",_Engine!$D$41=0),"",INDEX(_Engine!$E903:$X903,1,(_Engine!$J$41-1)*4+3))</f>
        <v/>
      </c>
      <c r="H845" s="27">
        <f>IF(OR($A845="",_Engine!$D$42=0),"",INDEX(_Engine!$E903:$X903,1,(_Engine!$J$42-1)*4+3))</f>
        <v/>
      </c>
      <c r="I845" s="27">
        <f>IF(OR($A845="",_Engine!$D$43=0),"",INDEX(_Engine!$E903:$X903,1,(_Engine!$J$43-1)*4+3))</f>
        <v/>
      </c>
      <c r="J845" s="27">
        <f>IF(OR($A845="",_Engine!$D$44=0),"",INDEX(_Engine!$E903:$X903,1,(_Engine!$J$44-1)*4+3))</f>
        <v/>
      </c>
      <c r="K845" s="27">
        <f>IF(OR($A845="",_Engine!$D$45=0),"",INDEX(_Engine!$E903:$X903,1,(_Engine!$J$45-1)*4+3))</f>
        <v/>
      </c>
    </row>
    <row r="846">
      <c r="A846" s="25">
        <f>IF(843&lt;=_Engine!$B$36,843,"")</f>
        <v/>
      </c>
      <c r="B846" s="26">
        <f>IF($A846="","",EDATE(_Engine!$B$5,$A846-1))</f>
        <v/>
      </c>
      <c r="C846" s="27">
        <f>IF($A846="","",_Engine!$AJ904)</f>
        <v/>
      </c>
      <c r="D846" s="27">
        <f>IF($A846="","",_Engine!$AK904)</f>
        <v/>
      </c>
      <c r="E846" s="27">
        <f>IF($A846="","",_Engine!$AJ904-_Engine!$AK904)</f>
        <v/>
      </c>
      <c r="F846" s="27">
        <f>IF($A846="","",_Engine!$AI904)</f>
        <v/>
      </c>
      <c r="G846" s="27">
        <f>IF(OR($A846="",_Engine!$D$41=0),"",INDEX(_Engine!$E904:$X904,1,(_Engine!$J$41-1)*4+3))</f>
        <v/>
      </c>
      <c r="H846" s="27">
        <f>IF(OR($A846="",_Engine!$D$42=0),"",INDEX(_Engine!$E904:$X904,1,(_Engine!$J$42-1)*4+3))</f>
        <v/>
      </c>
      <c r="I846" s="27">
        <f>IF(OR($A846="",_Engine!$D$43=0),"",INDEX(_Engine!$E904:$X904,1,(_Engine!$J$43-1)*4+3))</f>
        <v/>
      </c>
      <c r="J846" s="27">
        <f>IF(OR($A846="",_Engine!$D$44=0),"",INDEX(_Engine!$E904:$X904,1,(_Engine!$J$44-1)*4+3))</f>
        <v/>
      </c>
      <c r="K846" s="27">
        <f>IF(OR($A846="",_Engine!$D$45=0),"",INDEX(_Engine!$E904:$X904,1,(_Engine!$J$45-1)*4+3))</f>
        <v/>
      </c>
    </row>
    <row r="847">
      <c r="A847" s="25">
        <f>IF(844&lt;=_Engine!$B$36,844,"")</f>
        <v/>
      </c>
      <c r="B847" s="26">
        <f>IF($A847="","",EDATE(_Engine!$B$5,$A847-1))</f>
        <v/>
      </c>
      <c r="C847" s="27">
        <f>IF($A847="","",_Engine!$AJ905)</f>
        <v/>
      </c>
      <c r="D847" s="27">
        <f>IF($A847="","",_Engine!$AK905)</f>
        <v/>
      </c>
      <c r="E847" s="27">
        <f>IF($A847="","",_Engine!$AJ905-_Engine!$AK905)</f>
        <v/>
      </c>
      <c r="F847" s="27">
        <f>IF($A847="","",_Engine!$AI905)</f>
        <v/>
      </c>
      <c r="G847" s="27">
        <f>IF(OR($A847="",_Engine!$D$41=0),"",INDEX(_Engine!$E905:$X905,1,(_Engine!$J$41-1)*4+3))</f>
        <v/>
      </c>
      <c r="H847" s="27">
        <f>IF(OR($A847="",_Engine!$D$42=0),"",INDEX(_Engine!$E905:$X905,1,(_Engine!$J$42-1)*4+3))</f>
        <v/>
      </c>
      <c r="I847" s="27">
        <f>IF(OR($A847="",_Engine!$D$43=0),"",INDEX(_Engine!$E905:$X905,1,(_Engine!$J$43-1)*4+3))</f>
        <v/>
      </c>
      <c r="J847" s="27">
        <f>IF(OR($A847="",_Engine!$D$44=0),"",INDEX(_Engine!$E905:$X905,1,(_Engine!$J$44-1)*4+3))</f>
        <v/>
      </c>
      <c r="K847" s="27">
        <f>IF(OR($A847="",_Engine!$D$45=0),"",INDEX(_Engine!$E905:$X905,1,(_Engine!$J$45-1)*4+3))</f>
        <v/>
      </c>
    </row>
    <row r="848">
      <c r="A848" s="25">
        <f>IF(845&lt;=_Engine!$B$36,845,"")</f>
        <v/>
      </c>
      <c r="B848" s="26">
        <f>IF($A848="","",EDATE(_Engine!$B$5,$A848-1))</f>
        <v/>
      </c>
      <c r="C848" s="27">
        <f>IF($A848="","",_Engine!$AJ906)</f>
        <v/>
      </c>
      <c r="D848" s="27">
        <f>IF($A848="","",_Engine!$AK906)</f>
        <v/>
      </c>
      <c r="E848" s="27">
        <f>IF($A848="","",_Engine!$AJ906-_Engine!$AK906)</f>
        <v/>
      </c>
      <c r="F848" s="27">
        <f>IF($A848="","",_Engine!$AI906)</f>
        <v/>
      </c>
      <c r="G848" s="27">
        <f>IF(OR($A848="",_Engine!$D$41=0),"",INDEX(_Engine!$E906:$X906,1,(_Engine!$J$41-1)*4+3))</f>
        <v/>
      </c>
      <c r="H848" s="27">
        <f>IF(OR($A848="",_Engine!$D$42=0),"",INDEX(_Engine!$E906:$X906,1,(_Engine!$J$42-1)*4+3))</f>
        <v/>
      </c>
      <c r="I848" s="27">
        <f>IF(OR($A848="",_Engine!$D$43=0),"",INDEX(_Engine!$E906:$X906,1,(_Engine!$J$43-1)*4+3))</f>
        <v/>
      </c>
      <c r="J848" s="27">
        <f>IF(OR($A848="",_Engine!$D$44=0),"",INDEX(_Engine!$E906:$X906,1,(_Engine!$J$44-1)*4+3))</f>
        <v/>
      </c>
      <c r="K848" s="27">
        <f>IF(OR($A848="",_Engine!$D$45=0),"",INDEX(_Engine!$E906:$X906,1,(_Engine!$J$45-1)*4+3))</f>
        <v/>
      </c>
    </row>
    <row r="849">
      <c r="A849" s="25">
        <f>IF(846&lt;=_Engine!$B$36,846,"")</f>
        <v/>
      </c>
      <c r="B849" s="26">
        <f>IF($A849="","",EDATE(_Engine!$B$5,$A849-1))</f>
        <v/>
      </c>
      <c r="C849" s="27">
        <f>IF($A849="","",_Engine!$AJ907)</f>
        <v/>
      </c>
      <c r="D849" s="27">
        <f>IF($A849="","",_Engine!$AK907)</f>
        <v/>
      </c>
      <c r="E849" s="27">
        <f>IF($A849="","",_Engine!$AJ907-_Engine!$AK907)</f>
        <v/>
      </c>
      <c r="F849" s="27">
        <f>IF($A849="","",_Engine!$AI907)</f>
        <v/>
      </c>
      <c r="G849" s="27">
        <f>IF(OR($A849="",_Engine!$D$41=0),"",INDEX(_Engine!$E907:$X907,1,(_Engine!$J$41-1)*4+3))</f>
        <v/>
      </c>
      <c r="H849" s="27">
        <f>IF(OR($A849="",_Engine!$D$42=0),"",INDEX(_Engine!$E907:$X907,1,(_Engine!$J$42-1)*4+3))</f>
        <v/>
      </c>
      <c r="I849" s="27">
        <f>IF(OR($A849="",_Engine!$D$43=0),"",INDEX(_Engine!$E907:$X907,1,(_Engine!$J$43-1)*4+3))</f>
        <v/>
      </c>
      <c r="J849" s="27">
        <f>IF(OR($A849="",_Engine!$D$44=0),"",INDEX(_Engine!$E907:$X907,1,(_Engine!$J$44-1)*4+3))</f>
        <v/>
      </c>
      <c r="K849" s="27">
        <f>IF(OR($A849="",_Engine!$D$45=0),"",INDEX(_Engine!$E907:$X907,1,(_Engine!$J$45-1)*4+3))</f>
        <v/>
      </c>
    </row>
    <row r="850">
      <c r="A850" s="25">
        <f>IF(847&lt;=_Engine!$B$36,847,"")</f>
        <v/>
      </c>
      <c r="B850" s="26">
        <f>IF($A850="","",EDATE(_Engine!$B$5,$A850-1))</f>
        <v/>
      </c>
      <c r="C850" s="27">
        <f>IF($A850="","",_Engine!$AJ908)</f>
        <v/>
      </c>
      <c r="D850" s="27">
        <f>IF($A850="","",_Engine!$AK908)</f>
        <v/>
      </c>
      <c r="E850" s="27">
        <f>IF($A850="","",_Engine!$AJ908-_Engine!$AK908)</f>
        <v/>
      </c>
      <c r="F850" s="27">
        <f>IF($A850="","",_Engine!$AI908)</f>
        <v/>
      </c>
      <c r="G850" s="27">
        <f>IF(OR($A850="",_Engine!$D$41=0),"",INDEX(_Engine!$E908:$X908,1,(_Engine!$J$41-1)*4+3))</f>
        <v/>
      </c>
      <c r="H850" s="27">
        <f>IF(OR($A850="",_Engine!$D$42=0),"",INDEX(_Engine!$E908:$X908,1,(_Engine!$J$42-1)*4+3))</f>
        <v/>
      </c>
      <c r="I850" s="27">
        <f>IF(OR($A850="",_Engine!$D$43=0),"",INDEX(_Engine!$E908:$X908,1,(_Engine!$J$43-1)*4+3))</f>
        <v/>
      </c>
      <c r="J850" s="27">
        <f>IF(OR($A850="",_Engine!$D$44=0),"",INDEX(_Engine!$E908:$X908,1,(_Engine!$J$44-1)*4+3))</f>
        <v/>
      </c>
      <c r="K850" s="27">
        <f>IF(OR($A850="",_Engine!$D$45=0),"",INDEX(_Engine!$E908:$X908,1,(_Engine!$J$45-1)*4+3))</f>
        <v/>
      </c>
    </row>
    <row r="851">
      <c r="A851" s="25">
        <f>IF(848&lt;=_Engine!$B$36,848,"")</f>
        <v/>
      </c>
      <c r="B851" s="26">
        <f>IF($A851="","",EDATE(_Engine!$B$5,$A851-1))</f>
        <v/>
      </c>
      <c r="C851" s="27">
        <f>IF($A851="","",_Engine!$AJ909)</f>
        <v/>
      </c>
      <c r="D851" s="27">
        <f>IF($A851="","",_Engine!$AK909)</f>
        <v/>
      </c>
      <c r="E851" s="27">
        <f>IF($A851="","",_Engine!$AJ909-_Engine!$AK909)</f>
        <v/>
      </c>
      <c r="F851" s="27">
        <f>IF($A851="","",_Engine!$AI909)</f>
        <v/>
      </c>
      <c r="G851" s="27">
        <f>IF(OR($A851="",_Engine!$D$41=0),"",INDEX(_Engine!$E909:$X909,1,(_Engine!$J$41-1)*4+3))</f>
        <v/>
      </c>
      <c r="H851" s="27">
        <f>IF(OR($A851="",_Engine!$D$42=0),"",INDEX(_Engine!$E909:$X909,1,(_Engine!$J$42-1)*4+3))</f>
        <v/>
      </c>
      <c r="I851" s="27">
        <f>IF(OR($A851="",_Engine!$D$43=0),"",INDEX(_Engine!$E909:$X909,1,(_Engine!$J$43-1)*4+3))</f>
        <v/>
      </c>
      <c r="J851" s="27">
        <f>IF(OR($A851="",_Engine!$D$44=0),"",INDEX(_Engine!$E909:$X909,1,(_Engine!$J$44-1)*4+3))</f>
        <v/>
      </c>
      <c r="K851" s="27">
        <f>IF(OR($A851="",_Engine!$D$45=0),"",INDEX(_Engine!$E909:$X909,1,(_Engine!$J$45-1)*4+3))</f>
        <v/>
      </c>
    </row>
    <row r="852">
      <c r="A852" s="25">
        <f>IF(849&lt;=_Engine!$B$36,849,"")</f>
        <v/>
      </c>
      <c r="B852" s="26">
        <f>IF($A852="","",EDATE(_Engine!$B$5,$A852-1))</f>
        <v/>
      </c>
      <c r="C852" s="27">
        <f>IF($A852="","",_Engine!$AJ910)</f>
        <v/>
      </c>
      <c r="D852" s="27">
        <f>IF($A852="","",_Engine!$AK910)</f>
        <v/>
      </c>
      <c r="E852" s="27">
        <f>IF($A852="","",_Engine!$AJ910-_Engine!$AK910)</f>
        <v/>
      </c>
      <c r="F852" s="27">
        <f>IF($A852="","",_Engine!$AI910)</f>
        <v/>
      </c>
      <c r="G852" s="27">
        <f>IF(OR($A852="",_Engine!$D$41=0),"",INDEX(_Engine!$E910:$X910,1,(_Engine!$J$41-1)*4+3))</f>
        <v/>
      </c>
      <c r="H852" s="27">
        <f>IF(OR($A852="",_Engine!$D$42=0),"",INDEX(_Engine!$E910:$X910,1,(_Engine!$J$42-1)*4+3))</f>
        <v/>
      </c>
      <c r="I852" s="27">
        <f>IF(OR($A852="",_Engine!$D$43=0),"",INDEX(_Engine!$E910:$X910,1,(_Engine!$J$43-1)*4+3))</f>
        <v/>
      </c>
      <c r="J852" s="27">
        <f>IF(OR($A852="",_Engine!$D$44=0),"",INDEX(_Engine!$E910:$X910,1,(_Engine!$J$44-1)*4+3))</f>
        <v/>
      </c>
      <c r="K852" s="27">
        <f>IF(OR($A852="",_Engine!$D$45=0),"",INDEX(_Engine!$E910:$X910,1,(_Engine!$J$45-1)*4+3))</f>
        <v/>
      </c>
    </row>
    <row r="853">
      <c r="A853" s="25">
        <f>IF(850&lt;=_Engine!$B$36,850,"")</f>
        <v/>
      </c>
      <c r="B853" s="26">
        <f>IF($A853="","",EDATE(_Engine!$B$5,$A853-1))</f>
        <v/>
      </c>
      <c r="C853" s="27">
        <f>IF($A853="","",_Engine!$AJ911)</f>
        <v/>
      </c>
      <c r="D853" s="27">
        <f>IF($A853="","",_Engine!$AK911)</f>
        <v/>
      </c>
      <c r="E853" s="27">
        <f>IF($A853="","",_Engine!$AJ911-_Engine!$AK911)</f>
        <v/>
      </c>
      <c r="F853" s="27">
        <f>IF($A853="","",_Engine!$AI911)</f>
        <v/>
      </c>
      <c r="G853" s="27">
        <f>IF(OR($A853="",_Engine!$D$41=0),"",INDEX(_Engine!$E911:$X911,1,(_Engine!$J$41-1)*4+3))</f>
        <v/>
      </c>
      <c r="H853" s="27">
        <f>IF(OR($A853="",_Engine!$D$42=0),"",INDEX(_Engine!$E911:$X911,1,(_Engine!$J$42-1)*4+3))</f>
        <v/>
      </c>
      <c r="I853" s="27">
        <f>IF(OR($A853="",_Engine!$D$43=0),"",INDEX(_Engine!$E911:$X911,1,(_Engine!$J$43-1)*4+3))</f>
        <v/>
      </c>
      <c r="J853" s="27">
        <f>IF(OR($A853="",_Engine!$D$44=0),"",INDEX(_Engine!$E911:$X911,1,(_Engine!$J$44-1)*4+3))</f>
        <v/>
      </c>
      <c r="K853" s="27">
        <f>IF(OR($A853="",_Engine!$D$45=0),"",INDEX(_Engine!$E911:$X911,1,(_Engine!$J$45-1)*4+3))</f>
        <v/>
      </c>
    </row>
    <row r="854">
      <c r="A854" s="25">
        <f>IF(851&lt;=_Engine!$B$36,851,"")</f>
        <v/>
      </c>
      <c r="B854" s="26">
        <f>IF($A854="","",EDATE(_Engine!$B$5,$A854-1))</f>
        <v/>
      </c>
      <c r="C854" s="27">
        <f>IF($A854="","",_Engine!$AJ912)</f>
        <v/>
      </c>
      <c r="D854" s="27">
        <f>IF($A854="","",_Engine!$AK912)</f>
        <v/>
      </c>
      <c r="E854" s="27">
        <f>IF($A854="","",_Engine!$AJ912-_Engine!$AK912)</f>
        <v/>
      </c>
      <c r="F854" s="27">
        <f>IF($A854="","",_Engine!$AI912)</f>
        <v/>
      </c>
      <c r="G854" s="27">
        <f>IF(OR($A854="",_Engine!$D$41=0),"",INDEX(_Engine!$E912:$X912,1,(_Engine!$J$41-1)*4+3))</f>
        <v/>
      </c>
      <c r="H854" s="27">
        <f>IF(OR($A854="",_Engine!$D$42=0),"",INDEX(_Engine!$E912:$X912,1,(_Engine!$J$42-1)*4+3))</f>
        <v/>
      </c>
      <c r="I854" s="27">
        <f>IF(OR($A854="",_Engine!$D$43=0),"",INDEX(_Engine!$E912:$X912,1,(_Engine!$J$43-1)*4+3))</f>
        <v/>
      </c>
      <c r="J854" s="27">
        <f>IF(OR($A854="",_Engine!$D$44=0),"",INDEX(_Engine!$E912:$X912,1,(_Engine!$J$44-1)*4+3))</f>
        <v/>
      </c>
      <c r="K854" s="27">
        <f>IF(OR($A854="",_Engine!$D$45=0),"",INDEX(_Engine!$E912:$X912,1,(_Engine!$J$45-1)*4+3))</f>
        <v/>
      </c>
    </row>
    <row r="855">
      <c r="A855" s="25">
        <f>IF(852&lt;=_Engine!$B$36,852,"")</f>
        <v/>
      </c>
      <c r="B855" s="26">
        <f>IF($A855="","",EDATE(_Engine!$B$5,$A855-1))</f>
        <v/>
      </c>
      <c r="C855" s="27">
        <f>IF($A855="","",_Engine!$AJ913)</f>
        <v/>
      </c>
      <c r="D855" s="27">
        <f>IF($A855="","",_Engine!$AK913)</f>
        <v/>
      </c>
      <c r="E855" s="27">
        <f>IF($A855="","",_Engine!$AJ913-_Engine!$AK913)</f>
        <v/>
      </c>
      <c r="F855" s="27">
        <f>IF($A855="","",_Engine!$AI913)</f>
        <v/>
      </c>
      <c r="G855" s="27">
        <f>IF(OR($A855="",_Engine!$D$41=0),"",INDEX(_Engine!$E913:$X913,1,(_Engine!$J$41-1)*4+3))</f>
        <v/>
      </c>
      <c r="H855" s="27">
        <f>IF(OR($A855="",_Engine!$D$42=0),"",INDEX(_Engine!$E913:$X913,1,(_Engine!$J$42-1)*4+3))</f>
        <v/>
      </c>
      <c r="I855" s="27">
        <f>IF(OR($A855="",_Engine!$D$43=0),"",INDEX(_Engine!$E913:$X913,1,(_Engine!$J$43-1)*4+3))</f>
        <v/>
      </c>
      <c r="J855" s="27">
        <f>IF(OR($A855="",_Engine!$D$44=0),"",INDEX(_Engine!$E913:$X913,1,(_Engine!$J$44-1)*4+3))</f>
        <v/>
      </c>
      <c r="K855" s="27">
        <f>IF(OR($A855="",_Engine!$D$45=0),"",INDEX(_Engine!$E913:$X913,1,(_Engine!$J$45-1)*4+3))</f>
        <v/>
      </c>
    </row>
    <row r="856">
      <c r="A856" s="25">
        <f>IF(853&lt;=_Engine!$B$36,853,"")</f>
        <v/>
      </c>
      <c r="B856" s="26">
        <f>IF($A856="","",EDATE(_Engine!$B$5,$A856-1))</f>
        <v/>
      </c>
      <c r="C856" s="27">
        <f>IF($A856="","",_Engine!$AJ914)</f>
        <v/>
      </c>
      <c r="D856" s="27">
        <f>IF($A856="","",_Engine!$AK914)</f>
        <v/>
      </c>
      <c r="E856" s="27">
        <f>IF($A856="","",_Engine!$AJ914-_Engine!$AK914)</f>
        <v/>
      </c>
      <c r="F856" s="27">
        <f>IF($A856="","",_Engine!$AI914)</f>
        <v/>
      </c>
      <c r="G856" s="27">
        <f>IF(OR($A856="",_Engine!$D$41=0),"",INDEX(_Engine!$E914:$X914,1,(_Engine!$J$41-1)*4+3))</f>
        <v/>
      </c>
      <c r="H856" s="27">
        <f>IF(OR($A856="",_Engine!$D$42=0),"",INDEX(_Engine!$E914:$X914,1,(_Engine!$J$42-1)*4+3))</f>
        <v/>
      </c>
      <c r="I856" s="27">
        <f>IF(OR($A856="",_Engine!$D$43=0),"",INDEX(_Engine!$E914:$X914,1,(_Engine!$J$43-1)*4+3))</f>
        <v/>
      </c>
      <c r="J856" s="27">
        <f>IF(OR($A856="",_Engine!$D$44=0),"",INDEX(_Engine!$E914:$X914,1,(_Engine!$J$44-1)*4+3))</f>
        <v/>
      </c>
      <c r="K856" s="27">
        <f>IF(OR($A856="",_Engine!$D$45=0),"",INDEX(_Engine!$E914:$X914,1,(_Engine!$J$45-1)*4+3))</f>
        <v/>
      </c>
    </row>
    <row r="857">
      <c r="A857" s="25">
        <f>IF(854&lt;=_Engine!$B$36,854,"")</f>
        <v/>
      </c>
      <c r="B857" s="26">
        <f>IF($A857="","",EDATE(_Engine!$B$5,$A857-1))</f>
        <v/>
      </c>
      <c r="C857" s="27">
        <f>IF($A857="","",_Engine!$AJ915)</f>
        <v/>
      </c>
      <c r="D857" s="27">
        <f>IF($A857="","",_Engine!$AK915)</f>
        <v/>
      </c>
      <c r="E857" s="27">
        <f>IF($A857="","",_Engine!$AJ915-_Engine!$AK915)</f>
        <v/>
      </c>
      <c r="F857" s="27">
        <f>IF($A857="","",_Engine!$AI915)</f>
        <v/>
      </c>
      <c r="G857" s="27">
        <f>IF(OR($A857="",_Engine!$D$41=0),"",INDEX(_Engine!$E915:$X915,1,(_Engine!$J$41-1)*4+3))</f>
        <v/>
      </c>
      <c r="H857" s="27">
        <f>IF(OR($A857="",_Engine!$D$42=0),"",INDEX(_Engine!$E915:$X915,1,(_Engine!$J$42-1)*4+3))</f>
        <v/>
      </c>
      <c r="I857" s="27">
        <f>IF(OR($A857="",_Engine!$D$43=0),"",INDEX(_Engine!$E915:$X915,1,(_Engine!$J$43-1)*4+3))</f>
        <v/>
      </c>
      <c r="J857" s="27">
        <f>IF(OR($A857="",_Engine!$D$44=0),"",INDEX(_Engine!$E915:$X915,1,(_Engine!$J$44-1)*4+3))</f>
        <v/>
      </c>
      <c r="K857" s="27">
        <f>IF(OR($A857="",_Engine!$D$45=0),"",INDEX(_Engine!$E915:$X915,1,(_Engine!$J$45-1)*4+3))</f>
        <v/>
      </c>
    </row>
    <row r="858">
      <c r="A858" s="25">
        <f>IF(855&lt;=_Engine!$B$36,855,"")</f>
        <v/>
      </c>
      <c r="B858" s="26">
        <f>IF($A858="","",EDATE(_Engine!$B$5,$A858-1))</f>
        <v/>
      </c>
      <c r="C858" s="27">
        <f>IF($A858="","",_Engine!$AJ916)</f>
        <v/>
      </c>
      <c r="D858" s="27">
        <f>IF($A858="","",_Engine!$AK916)</f>
        <v/>
      </c>
      <c r="E858" s="27">
        <f>IF($A858="","",_Engine!$AJ916-_Engine!$AK916)</f>
        <v/>
      </c>
      <c r="F858" s="27">
        <f>IF($A858="","",_Engine!$AI916)</f>
        <v/>
      </c>
      <c r="G858" s="27">
        <f>IF(OR($A858="",_Engine!$D$41=0),"",INDEX(_Engine!$E916:$X916,1,(_Engine!$J$41-1)*4+3))</f>
        <v/>
      </c>
      <c r="H858" s="27">
        <f>IF(OR($A858="",_Engine!$D$42=0),"",INDEX(_Engine!$E916:$X916,1,(_Engine!$J$42-1)*4+3))</f>
        <v/>
      </c>
      <c r="I858" s="27">
        <f>IF(OR($A858="",_Engine!$D$43=0),"",INDEX(_Engine!$E916:$X916,1,(_Engine!$J$43-1)*4+3))</f>
        <v/>
      </c>
      <c r="J858" s="27">
        <f>IF(OR($A858="",_Engine!$D$44=0),"",INDEX(_Engine!$E916:$X916,1,(_Engine!$J$44-1)*4+3))</f>
        <v/>
      </c>
      <c r="K858" s="27">
        <f>IF(OR($A858="",_Engine!$D$45=0),"",INDEX(_Engine!$E916:$X916,1,(_Engine!$J$45-1)*4+3))</f>
        <v/>
      </c>
    </row>
    <row r="859">
      <c r="A859" s="25">
        <f>IF(856&lt;=_Engine!$B$36,856,"")</f>
        <v/>
      </c>
      <c r="B859" s="26">
        <f>IF($A859="","",EDATE(_Engine!$B$5,$A859-1))</f>
        <v/>
      </c>
      <c r="C859" s="27">
        <f>IF($A859="","",_Engine!$AJ917)</f>
        <v/>
      </c>
      <c r="D859" s="27">
        <f>IF($A859="","",_Engine!$AK917)</f>
        <v/>
      </c>
      <c r="E859" s="27">
        <f>IF($A859="","",_Engine!$AJ917-_Engine!$AK917)</f>
        <v/>
      </c>
      <c r="F859" s="27">
        <f>IF($A859="","",_Engine!$AI917)</f>
        <v/>
      </c>
      <c r="G859" s="27">
        <f>IF(OR($A859="",_Engine!$D$41=0),"",INDEX(_Engine!$E917:$X917,1,(_Engine!$J$41-1)*4+3))</f>
        <v/>
      </c>
      <c r="H859" s="27">
        <f>IF(OR($A859="",_Engine!$D$42=0),"",INDEX(_Engine!$E917:$X917,1,(_Engine!$J$42-1)*4+3))</f>
        <v/>
      </c>
      <c r="I859" s="27">
        <f>IF(OR($A859="",_Engine!$D$43=0),"",INDEX(_Engine!$E917:$X917,1,(_Engine!$J$43-1)*4+3))</f>
        <v/>
      </c>
      <c r="J859" s="27">
        <f>IF(OR($A859="",_Engine!$D$44=0),"",INDEX(_Engine!$E917:$X917,1,(_Engine!$J$44-1)*4+3))</f>
        <v/>
      </c>
      <c r="K859" s="27">
        <f>IF(OR($A859="",_Engine!$D$45=0),"",INDEX(_Engine!$E917:$X917,1,(_Engine!$J$45-1)*4+3))</f>
        <v/>
      </c>
    </row>
    <row r="860">
      <c r="A860" s="25">
        <f>IF(857&lt;=_Engine!$B$36,857,"")</f>
        <v/>
      </c>
      <c r="B860" s="26">
        <f>IF($A860="","",EDATE(_Engine!$B$5,$A860-1))</f>
        <v/>
      </c>
      <c r="C860" s="27">
        <f>IF($A860="","",_Engine!$AJ918)</f>
        <v/>
      </c>
      <c r="D860" s="27">
        <f>IF($A860="","",_Engine!$AK918)</f>
        <v/>
      </c>
      <c r="E860" s="27">
        <f>IF($A860="","",_Engine!$AJ918-_Engine!$AK918)</f>
        <v/>
      </c>
      <c r="F860" s="27">
        <f>IF($A860="","",_Engine!$AI918)</f>
        <v/>
      </c>
      <c r="G860" s="27">
        <f>IF(OR($A860="",_Engine!$D$41=0),"",INDEX(_Engine!$E918:$X918,1,(_Engine!$J$41-1)*4+3))</f>
        <v/>
      </c>
      <c r="H860" s="27">
        <f>IF(OR($A860="",_Engine!$D$42=0),"",INDEX(_Engine!$E918:$X918,1,(_Engine!$J$42-1)*4+3))</f>
        <v/>
      </c>
      <c r="I860" s="27">
        <f>IF(OR($A860="",_Engine!$D$43=0),"",INDEX(_Engine!$E918:$X918,1,(_Engine!$J$43-1)*4+3))</f>
        <v/>
      </c>
      <c r="J860" s="27">
        <f>IF(OR($A860="",_Engine!$D$44=0),"",INDEX(_Engine!$E918:$X918,1,(_Engine!$J$44-1)*4+3))</f>
        <v/>
      </c>
      <c r="K860" s="27">
        <f>IF(OR($A860="",_Engine!$D$45=0),"",INDEX(_Engine!$E918:$X918,1,(_Engine!$J$45-1)*4+3))</f>
        <v/>
      </c>
    </row>
    <row r="861">
      <c r="A861" s="25">
        <f>IF(858&lt;=_Engine!$B$36,858,"")</f>
        <v/>
      </c>
      <c r="B861" s="26">
        <f>IF($A861="","",EDATE(_Engine!$B$5,$A861-1))</f>
        <v/>
      </c>
      <c r="C861" s="27">
        <f>IF($A861="","",_Engine!$AJ919)</f>
        <v/>
      </c>
      <c r="D861" s="27">
        <f>IF($A861="","",_Engine!$AK919)</f>
        <v/>
      </c>
      <c r="E861" s="27">
        <f>IF($A861="","",_Engine!$AJ919-_Engine!$AK919)</f>
        <v/>
      </c>
      <c r="F861" s="27">
        <f>IF($A861="","",_Engine!$AI919)</f>
        <v/>
      </c>
      <c r="G861" s="27">
        <f>IF(OR($A861="",_Engine!$D$41=0),"",INDEX(_Engine!$E919:$X919,1,(_Engine!$J$41-1)*4+3))</f>
        <v/>
      </c>
      <c r="H861" s="27">
        <f>IF(OR($A861="",_Engine!$D$42=0),"",INDEX(_Engine!$E919:$X919,1,(_Engine!$J$42-1)*4+3))</f>
        <v/>
      </c>
      <c r="I861" s="27">
        <f>IF(OR($A861="",_Engine!$D$43=0),"",INDEX(_Engine!$E919:$X919,1,(_Engine!$J$43-1)*4+3))</f>
        <v/>
      </c>
      <c r="J861" s="27">
        <f>IF(OR($A861="",_Engine!$D$44=0),"",INDEX(_Engine!$E919:$X919,1,(_Engine!$J$44-1)*4+3))</f>
        <v/>
      </c>
      <c r="K861" s="27">
        <f>IF(OR($A861="",_Engine!$D$45=0),"",INDEX(_Engine!$E919:$X919,1,(_Engine!$J$45-1)*4+3))</f>
        <v/>
      </c>
    </row>
    <row r="862">
      <c r="A862" s="25">
        <f>IF(859&lt;=_Engine!$B$36,859,"")</f>
        <v/>
      </c>
      <c r="B862" s="26">
        <f>IF($A862="","",EDATE(_Engine!$B$5,$A862-1))</f>
        <v/>
      </c>
      <c r="C862" s="27">
        <f>IF($A862="","",_Engine!$AJ920)</f>
        <v/>
      </c>
      <c r="D862" s="27">
        <f>IF($A862="","",_Engine!$AK920)</f>
        <v/>
      </c>
      <c r="E862" s="27">
        <f>IF($A862="","",_Engine!$AJ920-_Engine!$AK920)</f>
        <v/>
      </c>
      <c r="F862" s="27">
        <f>IF($A862="","",_Engine!$AI920)</f>
        <v/>
      </c>
      <c r="G862" s="27">
        <f>IF(OR($A862="",_Engine!$D$41=0),"",INDEX(_Engine!$E920:$X920,1,(_Engine!$J$41-1)*4+3))</f>
        <v/>
      </c>
      <c r="H862" s="27">
        <f>IF(OR($A862="",_Engine!$D$42=0),"",INDEX(_Engine!$E920:$X920,1,(_Engine!$J$42-1)*4+3))</f>
        <v/>
      </c>
      <c r="I862" s="27">
        <f>IF(OR($A862="",_Engine!$D$43=0),"",INDEX(_Engine!$E920:$X920,1,(_Engine!$J$43-1)*4+3))</f>
        <v/>
      </c>
      <c r="J862" s="27">
        <f>IF(OR($A862="",_Engine!$D$44=0),"",INDEX(_Engine!$E920:$X920,1,(_Engine!$J$44-1)*4+3))</f>
        <v/>
      </c>
      <c r="K862" s="27">
        <f>IF(OR($A862="",_Engine!$D$45=0),"",INDEX(_Engine!$E920:$X920,1,(_Engine!$J$45-1)*4+3))</f>
        <v/>
      </c>
    </row>
    <row r="863">
      <c r="A863" s="25">
        <f>IF(860&lt;=_Engine!$B$36,860,"")</f>
        <v/>
      </c>
      <c r="B863" s="26">
        <f>IF($A863="","",EDATE(_Engine!$B$5,$A863-1))</f>
        <v/>
      </c>
      <c r="C863" s="27">
        <f>IF($A863="","",_Engine!$AJ921)</f>
        <v/>
      </c>
      <c r="D863" s="27">
        <f>IF($A863="","",_Engine!$AK921)</f>
        <v/>
      </c>
      <c r="E863" s="27">
        <f>IF($A863="","",_Engine!$AJ921-_Engine!$AK921)</f>
        <v/>
      </c>
      <c r="F863" s="27">
        <f>IF($A863="","",_Engine!$AI921)</f>
        <v/>
      </c>
      <c r="G863" s="27">
        <f>IF(OR($A863="",_Engine!$D$41=0),"",INDEX(_Engine!$E921:$X921,1,(_Engine!$J$41-1)*4+3))</f>
        <v/>
      </c>
      <c r="H863" s="27">
        <f>IF(OR($A863="",_Engine!$D$42=0),"",INDEX(_Engine!$E921:$X921,1,(_Engine!$J$42-1)*4+3))</f>
        <v/>
      </c>
      <c r="I863" s="27">
        <f>IF(OR($A863="",_Engine!$D$43=0),"",INDEX(_Engine!$E921:$X921,1,(_Engine!$J$43-1)*4+3))</f>
        <v/>
      </c>
      <c r="J863" s="27">
        <f>IF(OR($A863="",_Engine!$D$44=0),"",INDEX(_Engine!$E921:$X921,1,(_Engine!$J$44-1)*4+3))</f>
        <v/>
      </c>
      <c r="K863" s="27">
        <f>IF(OR($A863="",_Engine!$D$45=0),"",INDEX(_Engine!$E921:$X921,1,(_Engine!$J$45-1)*4+3))</f>
        <v/>
      </c>
    </row>
    <row r="864">
      <c r="A864" s="25">
        <f>IF(861&lt;=_Engine!$B$36,861,"")</f>
        <v/>
      </c>
      <c r="B864" s="26">
        <f>IF($A864="","",EDATE(_Engine!$B$5,$A864-1))</f>
        <v/>
      </c>
      <c r="C864" s="27">
        <f>IF($A864="","",_Engine!$AJ922)</f>
        <v/>
      </c>
      <c r="D864" s="27">
        <f>IF($A864="","",_Engine!$AK922)</f>
        <v/>
      </c>
      <c r="E864" s="27">
        <f>IF($A864="","",_Engine!$AJ922-_Engine!$AK922)</f>
        <v/>
      </c>
      <c r="F864" s="27">
        <f>IF($A864="","",_Engine!$AI922)</f>
        <v/>
      </c>
      <c r="G864" s="27">
        <f>IF(OR($A864="",_Engine!$D$41=0),"",INDEX(_Engine!$E922:$X922,1,(_Engine!$J$41-1)*4+3))</f>
        <v/>
      </c>
      <c r="H864" s="27">
        <f>IF(OR($A864="",_Engine!$D$42=0),"",INDEX(_Engine!$E922:$X922,1,(_Engine!$J$42-1)*4+3))</f>
        <v/>
      </c>
      <c r="I864" s="27">
        <f>IF(OR($A864="",_Engine!$D$43=0),"",INDEX(_Engine!$E922:$X922,1,(_Engine!$J$43-1)*4+3))</f>
        <v/>
      </c>
      <c r="J864" s="27">
        <f>IF(OR($A864="",_Engine!$D$44=0),"",INDEX(_Engine!$E922:$X922,1,(_Engine!$J$44-1)*4+3))</f>
        <v/>
      </c>
      <c r="K864" s="27">
        <f>IF(OR($A864="",_Engine!$D$45=0),"",INDEX(_Engine!$E922:$X922,1,(_Engine!$J$45-1)*4+3))</f>
        <v/>
      </c>
    </row>
    <row r="865">
      <c r="A865" s="25">
        <f>IF(862&lt;=_Engine!$B$36,862,"")</f>
        <v/>
      </c>
      <c r="B865" s="26">
        <f>IF($A865="","",EDATE(_Engine!$B$5,$A865-1))</f>
        <v/>
      </c>
      <c r="C865" s="27">
        <f>IF($A865="","",_Engine!$AJ923)</f>
        <v/>
      </c>
      <c r="D865" s="27">
        <f>IF($A865="","",_Engine!$AK923)</f>
        <v/>
      </c>
      <c r="E865" s="27">
        <f>IF($A865="","",_Engine!$AJ923-_Engine!$AK923)</f>
        <v/>
      </c>
      <c r="F865" s="27">
        <f>IF($A865="","",_Engine!$AI923)</f>
        <v/>
      </c>
      <c r="G865" s="27">
        <f>IF(OR($A865="",_Engine!$D$41=0),"",INDEX(_Engine!$E923:$X923,1,(_Engine!$J$41-1)*4+3))</f>
        <v/>
      </c>
      <c r="H865" s="27">
        <f>IF(OR($A865="",_Engine!$D$42=0),"",INDEX(_Engine!$E923:$X923,1,(_Engine!$J$42-1)*4+3))</f>
        <v/>
      </c>
      <c r="I865" s="27">
        <f>IF(OR($A865="",_Engine!$D$43=0),"",INDEX(_Engine!$E923:$X923,1,(_Engine!$J$43-1)*4+3))</f>
        <v/>
      </c>
      <c r="J865" s="27">
        <f>IF(OR($A865="",_Engine!$D$44=0),"",INDEX(_Engine!$E923:$X923,1,(_Engine!$J$44-1)*4+3))</f>
        <v/>
      </c>
      <c r="K865" s="27">
        <f>IF(OR($A865="",_Engine!$D$45=0),"",INDEX(_Engine!$E923:$X923,1,(_Engine!$J$45-1)*4+3))</f>
        <v/>
      </c>
    </row>
    <row r="866">
      <c r="A866" s="25">
        <f>IF(863&lt;=_Engine!$B$36,863,"")</f>
        <v/>
      </c>
      <c r="B866" s="26">
        <f>IF($A866="","",EDATE(_Engine!$B$5,$A866-1))</f>
        <v/>
      </c>
      <c r="C866" s="27">
        <f>IF($A866="","",_Engine!$AJ924)</f>
        <v/>
      </c>
      <c r="D866" s="27">
        <f>IF($A866="","",_Engine!$AK924)</f>
        <v/>
      </c>
      <c r="E866" s="27">
        <f>IF($A866="","",_Engine!$AJ924-_Engine!$AK924)</f>
        <v/>
      </c>
      <c r="F866" s="27">
        <f>IF($A866="","",_Engine!$AI924)</f>
        <v/>
      </c>
      <c r="G866" s="27">
        <f>IF(OR($A866="",_Engine!$D$41=0),"",INDEX(_Engine!$E924:$X924,1,(_Engine!$J$41-1)*4+3))</f>
        <v/>
      </c>
      <c r="H866" s="27">
        <f>IF(OR($A866="",_Engine!$D$42=0),"",INDEX(_Engine!$E924:$X924,1,(_Engine!$J$42-1)*4+3))</f>
        <v/>
      </c>
      <c r="I866" s="27">
        <f>IF(OR($A866="",_Engine!$D$43=0),"",INDEX(_Engine!$E924:$X924,1,(_Engine!$J$43-1)*4+3))</f>
        <v/>
      </c>
      <c r="J866" s="27">
        <f>IF(OR($A866="",_Engine!$D$44=0),"",INDEX(_Engine!$E924:$X924,1,(_Engine!$J$44-1)*4+3))</f>
        <v/>
      </c>
      <c r="K866" s="27">
        <f>IF(OR($A866="",_Engine!$D$45=0),"",INDEX(_Engine!$E924:$X924,1,(_Engine!$J$45-1)*4+3))</f>
        <v/>
      </c>
    </row>
    <row r="867">
      <c r="A867" s="25">
        <f>IF(864&lt;=_Engine!$B$36,864,"")</f>
        <v/>
      </c>
      <c r="B867" s="26">
        <f>IF($A867="","",EDATE(_Engine!$B$5,$A867-1))</f>
        <v/>
      </c>
      <c r="C867" s="27">
        <f>IF($A867="","",_Engine!$AJ925)</f>
        <v/>
      </c>
      <c r="D867" s="27">
        <f>IF($A867="","",_Engine!$AK925)</f>
        <v/>
      </c>
      <c r="E867" s="27">
        <f>IF($A867="","",_Engine!$AJ925-_Engine!$AK925)</f>
        <v/>
      </c>
      <c r="F867" s="27">
        <f>IF($A867="","",_Engine!$AI925)</f>
        <v/>
      </c>
      <c r="G867" s="27">
        <f>IF(OR($A867="",_Engine!$D$41=0),"",INDEX(_Engine!$E925:$X925,1,(_Engine!$J$41-1)*4+3))</f>
        <v/>
      </c>
      <c r="H867" s="27">
        <f>IF(OR($A867="",_Engine!$D$42=0),"",INDEX(_Engine!$E925:$X925,1,(_Engine!$J$42-1)*4+3))</f>
        <v/>
      </c>
      <c r="I867" s="27">
        <f>IF(OR($A867="",_Engine!$D$43=0),"",INDEX(_Engine!$E925:$X925,1,(_Engine!$J$43-1)*4+3))</f>
        <v/>
      </c>
      <c r="J867" s="27">
        <f>IF(OR($A867="",_Engine!$D$44=0),"",INDEX(_Engine!$E925:$X925,1,(_Engine!$J$44-1)*4+3))</f>
        <v/>
      </c>
      <c r="K867" s="27">
        <f>IF(OR($A867="",_Engine!$D$45=0),"",INDEX(_Engine!$E925:$X925,1,(_Engine!$J$45-1)*4+3))</f>
        <v/>
      </c>
    </row>
    <row r="868">
      <c r="A868" s="25">
        <f>IF(865&lt;=_Engine!$B$36,865,"")</f>
        <v/>
      </c>
      <c r="B868" s="26">
        <f>IF($A868="","",EDATE(_Engine!$B$5,$A868-1))</f>
        <v/>
      </c>
      <c r="C868" s="27">
        <f>IF($A868="","",_Engine!$AJ926)</f>
        <v/>
      </c>
      <c r="D868" s="27">
        <f>IF($A868="","",_Engine!$AK926)</f>
        <v/>
      </c>
      <c r="E868" s="27">
        <f>IF($A868="","",_Engine!$AJ926-_Engine!$AK926)</f>
        <v/>
      </c>
      <c r="F868" s="27">
        <f>IF($A868="","",_Engine!$AI926)</f>
        <v/>
      </c>
      <c r="G868" s="27">
        <f>IF(OR($A868="",_Engine!$D$41=0),"",INDEX(_Engine!$E926:$X926,1,(_Engine!$J$41-1)*4+3))</f>
        <v/>
      </c>
      <c r="H868" s="27">
        <f>IF(OR($A868="",_Engine!$D$42=0),"",INDEX(_Engine!$E926:$X926,1,(_Engine!$J$42-1)*4+3))</f>
        <v/>
      </c>
      <c r="I868" s="27">
        <f>IF(OR($A868="",_Engine!$D$43=0),"",INDEX(_Engine!$E926:$X926,1,(_Engine!$J$43-1)*4+3))</f>
        <v/>
      </c>
      <c r="J868" s="27">
        <f>IF(OR($A868="",_Engine!$D$44=0),"",INDEX(_Engine!$E926:$X926,1,(_Engine!$J$44-1)*4+3))</f>
        <v/>
      </c>
      <c r="K868" s="27">
        <f>IF(OR($A868="",_Engine!$D$45=0),"",INDEX(_Engine!$E926:$X926,1,(_Engine!$J$45-1)*4+3))</f>
        <v/>
      </c>
    </row>
    <row r="869">
      <c r="A869" s="25">
        <f>IF(866&lt;=_Engine!$B$36,866,"")</f>
        <v/>
      </c>
      <c r="B869" s="26">
        <f>IF($A869="","",EDATE(_Engine!$B$5,$A869-1))</f>
        <v/>
      </c>
      <c r="C869" s="27">
        <f>IF($A869="","",_Engine!$AJ927)</f>
        <v/>
      </c>
      <c r="D869" s="27">
        <f>IF($A869="","",_Engine!$AK927)</f>
        <v/>
      </c>
      <c r="E869" s="27">
        <f>IF($A869="","",_Engine!$AJ927-_Engine!$AK927)</f>
        <v/>
      </c>
      <c r="F869" s="27">
        <f>IF($A869="","",_Engine!$AI927)</f>
        <v/>
      </c>
      <c r="G869" s="27">
        <f>IF(OR($A869="",_Engine!$D$41=0),"",INDEX(_Engine!$E927:$X927,1,(_Engine!$J$41-1)*4+3))</f>
        <v/>
      </c>
      <c r="H869" s="27">
        <f>IF(OR($A869="",_Engine!$D$42=0),"",INDEX(_Engine!$E927:$X927,1,(_Engine!$J$42-1)*4+3))</f>
        <v/>
      </c>
      <c r="I869" s="27">
        <f>IF(OR($A869="",_Engine!$D$43=0),"",INDEX(_Engine!$E927:$X927,1,(_Engine!$J$43-1)*4+3))</f>
        <v/>
      </c>
      <c r="J869" s="27">
        <f>IF(OR($A869="",_Engine!$D$44=0),"",INDEX(_Engine!$E927:$X927,1,(_Engine!$J$44-1)*4+3))</f>
        <v/>
      </c>
      <c r="K869" s="27">
        <f>IF(OR($A869="",_Engine!$D$45=0),"",INDEX(_Engine!$E927:$X927,1,(_Engine!$J$45-1)*4+3))</f>
        <v/>
      </c>
    </row>
    <row r="870">
      <c r="A870" s="25">
        <f>IF(867&lt;=_Engine!$B$36,867,"")</f>
        <v/>
      </c>
      <c r="B870" s="26">
        <f>IF($A870="","",EDATE(_Engine!$B$5,$A870-1))</f>
        <v/>
      </c>
      <c r="C870" s="27">
        <f>IF($A870="","",_Engine!$AJ928)</f>
        <v/>
      </c>
      <c r="D870" s="27">
        <f>IF($A870="","",_Engine!$AK928)</f>
        <v/>
      </c>
      <c r="E870" s="27">
        <f>IF($A870="","",_Engine!$AJ928-_Engine!$AK928)</f>
        <v/>
      </c>
      <c r="F870" s="27">
        <f>IF($A870="","",_Engine!$AI928)</f>
        <v/>
      </c>
      <c r="G870" s="27">
        <f>IF(OR($A870="",_Engine!$D$41=0),"",INDEX(_Engine!$E928:$X928,1,(_Engine!$J$41-1)*4+3))</f>
        <v/>
      </c>
      <c r="H870" s="27">
        <f>IF(OR($A870="",_Engine!$D$42=0),"",INDEX(_Engine!$E928:$X928,1,(_Engine!$J$42-1)*4+3))</f>
        <v/>
      </c>
      <c r="I870" s="27">
        <f>IF(OR($A870="",_Engine!$D$43=0),"",INDEX(_Engine!$E928:$X928,1,(_Engine!$J$43-1)*4+3))</f>
        <v/>
      </c>
      <c r="J870" s="27">
        <f>IF(OR($A870="",_Engine!$D$44=0),"",INDEX(_Engine!$E928:$X928,1,(_Engine!$J$44-1)*4+3))</f>
        <v/>
      </c>
      <c r="K870" s="27">
        <f>IF(OR($A870="",_Engine!$D$45=0),"",INDEX(_Engine!$E928:$X928,1,(_Engine!$J$45-1)*4+3))</f>
        <v/>
      </c>
    </row>
    <row r="871">
      <c r="A871" s="25">
        <f>IF(868&lt;=_Engine!$B$36,868,"")</f>
        <v/>
      </c>
      <c r="B871" s="26">
        <f>IF($A871="","",EDATE(_Engine!$B$5,$A871-1))</f>
        <v/>
      </c>
      <c r="C871" s="27">
        <f>IF($A871="","",_Engine!$AJ929)</f>
        <v/>
      </c>
      <c r="D871" s="27">
        <f>IF($A871="","",_Engine!$AK929)</f>
        <v/>
      </c>
      <c r="E871" s="27">
        <f>IF($A871="","",_Engine!$AJ929-_Engine!$AK929)</f>
        <v/>
      </c>
      <c r="F871" s="27">
        <f>IF($A871="","",_Engine!$AI929)</f>
        <v/>
      </c>
      <c r="G871" s="27">
        <f>IF(OR($A871="",_Engine!$D$41=0),"",INDEX(_Engine!$E929:$X929,1,(_Engine!$J$41-1)*4+3))</f>
        <v/>
      </c>
      <c r="H871" s="27">
        <f>IF(OR($A871="",_Engine!$D$42=0),"",INDEX(_Engine!$E929:$X929,1,(_Engine!$J$42-1)*4+3))</f>
        <v/>
      </c>
      <c r="I871" s="27">
        <f>IF(OR($A871="",_Engine!$D$43=0),"",INDEX(_Engine!$E929:$X929,1,(_Engine!$J$43-1)*4+3))</f>
        <v/>
      </c>
      <c r="J871" s="27">
        <f>IF(OR($A871="",_Engine!$D$44=0),"",INDEX(_Engine!$E929:$X929,1,(_Engine!$J$44-1)*4+3))</f>
        <v/>
      </c>
      <c r="K871" s="27">
        <f>IF(OR($A871="",_Engine!$D$45=0),"",INDEX(_Engine!$E929:$X929,1,(_Engine!$J$45-1)*4+3))</f>
        <v/>
      </c>
    </row>
    <row r="872">
      <c r="A872" s="25">
        <f>IF(869&lt;=_Engine!$B$36,869,"")</f>
        <v/>
      </c>
      <c r="B872" s="26">
        <f>IF($A872="","",EDATE(_Engine!$B$5,$A872-1))</f>
        <v/>
      </c>
      <c r="C872" s="27">
        <f>IF($A872="","",_Engine!$AJ930)</f>
        <v/>
      </c>
      <c r="D872" s="27">
        <f>IF($A872="","",_Engine!$AK930)</f>
        <v/>
      </c>
      <c r="E872" s="27">
        <f>IF($A872="","",_Engine!$AJ930-_Engine!$AK930)</f>
        <v/>
      </c>
      <c r="F872" s="27">
        <f>IF($A872="","",_Engine!$AI930)</f>
        <v/>
      </c>
      <c r="G872" s="27">
        <f>IF(OR($A872="",_Engine!$D$41=0),"",INDEX(_Engine!$E930:$X930,1,(_Engine!$J$41-1)*4+3))</f>
        <v/>
      </c>
      <c r="H872" s="27">
        <f>IF(OR($A872="",_Engine!$D$42=0),"",INDEX(_Engine!$E930:$X930,1,(_Engine!$J$42-1)*4+3))</f>
        <v/>
      </c>
      <c r="I872" s="27">
        <f>IF(OR($A872="",_Engine!$D$43=0),"",INDEX(_Engine!$E930:$X930,1,(_Engine!$J$43-1)*4+3))</f>
        <v/>
      </c>
      <c r="J872" s="27">
        <f>IF(OR($A872="",_Engine!$D$44=0),"",INDEX(_Engine!$E930:$X930,1,(_Engine!$J$44-1)*4+3))</f>
        <v/>
      </c>
      <c r="K872" s="27">
        <f>IF(OR($A872="",_Engine!$D$45=0),"",INDEX(_Engine!$E930:$X930,1,(_Engine!$J$45-1)*4+3))</f>
        <v/>
      </c>
    </row>
    <row r="873">
      <c r="A873" s="25">
        <f>IF(870&lt;=_Engine!$B$36,870,"")</f>
        <v/>
      </c>
      <c r="B873" s="26">
        <f>IF($A873="","",EDATE(_Engine!$B$5,$A873-1))</f>
        <v/>
      </c>
      <c r="C873" s="27">
        <f>IF($A873="","",_Engine!$AJ931)</f>
        <v/>
      </c>
      <c r="D873" s="27">
        <f>IF($A873="","",_Engine!$AK931)</f>
        <v/>
      </c>
      <c r="E873" s="27">
        <f>IF($A873="","",_Engine!$AJ931-_Engine!$AK931)</f>
        <v/>
      </c>
      <c r="F873" s="27">
        <f>IF($A873="","",_Engine!$AI931)</f>
        <v/>
      </c>
      <c r="G873" s="27">
        <f>IF(OR($A873="",_Engine!$D$41=0),"",INDEX(_Engine!$E931:$X931,1,(_Engine!$J$41-1)*4+3))</f>
        <v/>
      </c>
      <c r="H873" s="27">
        <f>IF(OR($A873="",_Engine!$D$42=0),"",INDEX(_Engine!$E931:$X931,1,(_Engine!$J$42-1)*4+3))</f>
        <v/>
      </c>
      <c r="I873" s="27">
        <f>IF(OR($A873="",_Engine!$D$43=0),"",INDEX(_Engine!$E931:$X931,1,(_Engine!$J$43-1)*4+3))</f>
        <v/>
      </c>
      <c r="J873" s="27">
        <f>IF(OR($A873="",_Engine!$D$44=0),"",INDEX(_Engine!$E931:$X931,1,(_Engine!$J$44-1)*4+3))</f>
        <v/>
      </c>
      <c r="K873" s="27">
        <f>IF(OR($A873="",_Engine!$D$45=0),"",INDEX(_Engine!$E931:$X931,1,(_Engine!$J$45-1)*4+3))</f>
        <v/>
      </c>
    </row>
    <row r="874">
      <c r="A874" s="25">
        <f>IF(871&lt;=_Engine!$B$36,871,"")</f>
        <v/>
      </c>
      <c r="B874" s="26">
        <f>IF($A874="","",EDATE(_Engine!$B$5,$A874-1))</f>
        <v/>
      </c>
      <c r="C874" s="27">
        <f>IF($A874="","",_Engine!$AJ932)</f>
        <v/>
      </c>
      <c r="D874" s="27">
        <f>IF($A874="","",_Engine!$AK932)</f>
        <v/>
      </c>
      <c r="E874" s="27">
        <f>IF($A874="","",_Engine!$AJ932-_Engine!$AK932)</f>
        <v/>
      </c>
      <c r="F874" s="27">
        <f>IF($A874="","",_Engine!$AI932)</f>
        <v/>
      </c>
      <c r="G874" s="27">
        <f>IF(OR($A874="",_Engine!$D$41=0),"",INDEX(_Engine!$E932:$X932,1,(_Engine!$J$41-1)*4+3))</f>
        <v/>
      </c>
      <c r="H874" s="27">
        <f>IF(OR($A874="",_Engine!$D$42=0),"",INDEX(_Engine!$E932:$X932,1,(_Engine!$J$42-1)*4+3))</f>
        <v/>
      </c>
      <c r="I874" s="27">
        <f>IF(OR($A874="",_Engine!$D$43=0),"",INDEX(_Engine!$E932:$X932,1,(_Engine!$J$43-1)*4+3))</f>
        <v/>
      </c>
      <c r="J874" s="27">
        <f>IF(OR($A874="",_Engine!$D$44=0),"",INDEX(_Engine!$E932:$X932,1,(_Engine!$J$44-1)*4+3))</f>
        <v/>
      </c>
      <c r="K874" s="27">
        <f>IF(OR($A874="",_Engine!$D$45=0),"",INDEX(_Engine!$E932:$X932,1,(_Engine!$J$45-1)*4+3))</f>
        <v/>
      </c>
    </row>
    <row r="875">
      <c r="A875" s="25">
        <f>IF(872&lt;=_Engine!$B$36,872,"")</f>
        <v/>
      </c>
      <c r="B875" s="26">
        <f>IF($A875="","",EDATE(_Engine!$B$5,$A875-1))</f>
        <v/>
      </c>
      <c r="C875" s="27">
        <f>IF($A875="","",_Engine!$AJ933)</f>
        <v/>
      </c>
      <c r="D875" s="27">
        <f>IF($A875="","",_Engine!$AK933)</f>
        <v/>
      </c>
      <c r="E875" s="27">
        <f>IF($A875="","",_Engine!$AJ933-_Engine!$AK933)</f>
        <v/>
      </c>
      <c r="F875" s="27">
        <f>IF($A875="","",_Engine!$AI933)</f>
        <v/>
      </c>
      <c r="G875" s="27">
        <f>IF(OR($A875="",_Engine!$D$41=0),"",INDEX(_Engine!$E933:$X933,1,(_Engine!$J$41-1)*4+3))</f>
        <v/>
      </c>
      <c r="H875" s="27">
        <f>IF(OR($A875="",_Engine!$D$42=0),"",INDEX(_Engine!$E933:$X933,1,(_Engine!$J$42-1)*4+3))</f>
        <v/>
      </c>
      <c r="I875" s="27">
        <f>IF(OR($A875="",_Engine!$D$43=0),"",INDEX(_Engine!$E933:$X933,1,(_Engine!$J$43-1)*4+3))</f>
        <v/>
      </c>
      <c r="J875" s="27">
        <f>IF(OR($A875="",_Engine!$D$44=0),"",INDEX(_Engine!$E933:$X933,1,(_Engine!$J$44-1)*4+3))</f>
        <v/>
      </c>
      <c r="K875" s="27">
        <f>IF(OR($A875="",_Engine!$D$45=0),"",INDEX(_Engine!$E933:$X933,1,(_Engine!$J$45-1)*4+3))</f>
        <v/>
      </c>
    </row>
    <row r="876">
      <c r="A876" s="25">
        <f>IF(873&lt;=_Engine!$B$36,873,"")</f>
        <v/>
      </c>
      <c r="B876" s="26">
        <f>IF($A876="","",EDATE(_Engine!$B$5,$A876-1))</f>
        <v/>
      </c>
      <c r="C876" s="27">
        <f>IF($A876="","",_Engine!$AJ934)</f>
        <v/>
      </c>
      <c r="D876" s="27">
        <f>IF($A876="","",_Engine!$AK934)</f>
        <v/>
      </c>
      <c r="E876" s="27">
        <f>IF($A876="","",_Engine!$AJ934-_Engine!$AK934)</f>
        <v/>
      </c>
      <c r="F876" s="27">
        <f>IF($A876="","",_Engine!$AI934)</f>
        <v/>
      </c>
      <c r="G876" s="27">
        <f>IF(OR($A876="",_Engine!$D$41=0),"",INDEX(_Engine!$E934:$X934,1,(_Engine!$J$41-1)*4+3))</f>
        <v/>
      </c>
      <c r="H876" s="27">
        <f>IF(OR($A876="",_Engine!$D$42=0),"",INDEX(_Engine!$E934:$X934,1,(_Engine!$J$42-1)*4+3))</f>
        <v/>
      </c>
      <c r="I876" s="27">
        <f>IF(OR($A876="",_Engine!$D$43=0),"",INDEX(_Engine!$E934:$X934,1,(_Engine!$J$43-1)*4+3))</f>
        <v/>
      </c>
      <c r="J876" s="27">
        <f>IF(OR($A876="",_Engine!$D$44=0),"",INDEX(_Engine!$E934:$X934,1,(_Engine!$J$44-1)*4+3))</f>
        <v/>
      </c>
      <c r="K876" s="27">
        <f>IF(OR($A876="",_Engine!$D$45=0),"",INDEX(_Engine!$E934:$X934,1,(_Engine!$J$45-1)*4+3))</f>
        <v/>
      </c>
    </row>
    <row r="877">
      <c r="A877" s="25">
        <f>IF(874&lt;=_Engine!$B$36,874,"")</f>
        <v/>
      </c>
      <c r="B877" s="26">
        <f>IF($A877="","",EDATE(_Engine!$B$5,$A877-1))</f>
        <v/>
      </c>
      <c r="C877" s="27">
        <f>IF($A877="","",_Engine!$AJ935)</f>
        <v/>
      </c>
      <c r="D877" s="27">
        <f>IF($A877="","",_Engine!$AK935)</f>
        <v/>
      </c>
      <c r="E877" s="27">
        <f>IF($A877="","",_Engine!$AJ935-_Engine!$AK935)</f>
        <v/>
      </c>
      <c r="F877" s="27">
        <f>IF($A877="","",_Engine!$AI935)</f>
        <v/>
      </c>
      <c r="G877" s="27">
        <f>IF(OR($A877="",_Engine!$D$41=0),"",INDEX(_Engine!$E935:$X935,1,(_Engine!$J$41-1)*4+3))</f>
        <v/>
      </c>
      <c r="H877" s="27">
        <f>IF(OR($A877="",_Engine!$D$42=0),"",INDEX(_Engine!$E935:$X935,1,(_Engine!$J$42-1)*4+3))</f>
        <v/>
      </c>
      <c r="I877" s="27">
        <f>IF(OR($A877="",_Engine!$D$43=0),"",INDEX(_Engine!$E935:$X935,1,(_Engine!$J$43-1)*4+3))</f>
        <v/>
      </c>
      <c r="J877" s="27">
        <f>IF(OR($A877="",_Engine!$D$44=0),"",INDEX(_Engine!$E935:$X935,1,(_Engine!$J$44-1)*4+3))</f>
        <v/>
      </c>
      <c r="K877" s="27">
        <f>IF(OR($A877="",_Engine!$D$45=0),"",INDEX(_Engine!$E935:$X935,1,(_Engine!$J$45-1)*4+3))</f>
        <v/>
      </c>
    </row>
    <row r="878">
      <c r="A878" s="25">
        <f>IF(875&lt;=_Engine!$B$36,875,"")</f>
        <v/>
      </c>
      <c r="B878" s="26">
        <f>IF($A878="","",EDATE(_Engine!$B$5,$A878-1))</f>
        <v/>
      </c>
      <c r="C878" s="27">
        <f>IF($A878="","",_Engine!$AJ936)</f>
        <v/>
      </c>
      <c r="D878" s="27">
        <f>IF($A878="","",_Engine!$AK936)</f>
        <v/>
      </c>
      <c r="E878" s="27">
        <f>IF($A878="","",_Engine!$AJ936-_Engine!$AK936)</f>
        <v/>
      </c>
      <c r="F878" s="27">
        <f>IF($A878="","",_Engine!$AI936)</f>
        <v/>
      </c>
      <c r="G878" s="27">
        <f>IF(OR($A878="",_Engine!$D$41=0),"",INDEX(_Engine!$E936:$X936,1,(_Engine!$J$41-1)*4+3))</f>
        <v/>
      </c>
      <c r="H878" s="27">
        <f>IF(OR($A878="",_Engine!$D$42=0),"",INDEX(_Engine!$E936:$X936,1,(_Engine!$J$42-1)*4+3))</f>
        <v/>
      </c>
      <c r="I878" s="27">
        <f>IF(OR($A878="",_Engine!$D$43=0),"",INDEX(_Engine!$E936:$X936,1,(_Engine!$J$43-1)*4+3))</f>
        <v/>
      </c>
      <c r="J878" s="27">
        <f>IF(OR($A878="",_Engine!$D$44=0),"",INDEX(_Engine!$E936:$X936,1,(_Engine!$J$44-1)*4+3))</f>
        <v/>
      </c>
      <c r="K878" s="27">
        <f>IF(OR($A878="",_Engine!$D$45=0),"",INDEX(_Engine!$E936:$X936,1,(_Engine!$J$45-1)*4+3))</f>
        <v/>
      </c>
    </row>
    <row r="879">
      <c r="A879" s="25">
        <f>IF(876&lt;=_Engine!$B$36,876,"")</f>
        <v/>
      </c>
      <c r="B879" s="26">
        <f>IF($A879="","",EDATE(_Engine!$B$5,$A879-1))</f>
        <v/>
      </c>
      <c r="C879" s="27">
        <f>IF($A879="","",_Engine!$AJ937)</f>
        <v/>
      </c>
      <c r="D879" s="27">
        <f>IF($A879="","",_Engine!$AK937)</f>
        <v/>
      </c>
      <c r="E879" s="27">
        <f>IF($A879="","",_Engine!$AJ937-_Engine!$AK937)</f>
        <v/>
      </c>
      <c r="F879" s="27">
        <f>IF($A879="","",_Engine!$AI937)</f>
        <v/>
      </c>
      <c r="G879" s="27">
        <f>IF(OR($A879="",_Engine!$D$41=0),"",INDEX(_Engine!$E937:$X937,1,(_Engine!$J$41-1)*4+3))</f>
        <v/>
      </c>
      <c r="H879" s="27">
        <f>IF(OR($A879="",_Engine!$D$42=0),"",INDEX(_Engine!$E937:$X937,1,(_Engine!$J$42-1)*4+3))</f>
        <v/>
      </c>
      <c r="I879" s="27">
        <f>IF(OR($A879="",_Engine!$D$43=0),"",INDEX(_Engine!$E937:$X937,1,(_Engine!$J$43-1)*4+3))</f>
        <v/>
      </c>
      <c r="J879" s="27">
        <f>IF(OR($A879="",_Engine!$D$44=0),"",INDEX(_Engine!$E937:$X937,1,(_Engine!$J$44-1)*4+3))</f>
        <v/>
      </c>
      <c r="K879" s="27">
        <f>IF(OR($A879="",_Engine!$D$45=0),"",INDEX(_Engine!$E937:$X937,1,(_Engine!$J$45-1)*4+3))</f>
        <v/>
      </c>
    </row>
    <row r="880">
      <c r="A880" s="25">
        <f>IF(877&lt;=_Engine!$B$36,877,"")</f>
        <v/>
      </c>
      <c r="B880" s="26">
        <f>IF($A880="","",EDATE(_Engine!$B$5,$A880-1))</f>
        <v/>
      </c>
      <c r="C880" s="27">
        <f>IF($A880="","",_Engine!$AJ938)</f>
        <v/>
      </c>
      <c r="D880" s="27">
        <f>IF($A880="","",_Engine!$AK938)</f>
        <v/>
      </c>
      <c r="E880" s="27">
        <f>IF($A880="","",_Engine!$AJ938-_Engine!$AK938)</f>
        <v/>
      </c>
      <c r="F880" s="27">
        <f>IF($A880="","",_Engine!$AI938)</f>
        <v/>
      </c>
      <c r="G880" s="27">
        <f>IF(OR($A880="",_Engine!$D$41=0),"",INDEX(_Engine!$E938:$X938,1,(_Engine!$J$41-1)*4+3))</f>
        <v/>
      </c>
      <c r="H880" s="27">
        <f>IF(OR($A880="",_Engine!$D$42=0),"",INDEX(_Engine!$E938:$X938,1,(_Engine!$J$42-1)*4+3))</f>
        <v/>
      </c>
      <c r="I880" s="27">
        <f>IF(OR($A880="",_Engine!$D$43=0),"",INDEX(_Engine!$E938:$X938,1,(_Engine!$J$43-1)*4+3))</f>
        <v/>
      </c>
      <c r="J880" s="27">
        <f>IF(OR($A880="",_Engine!$D$44=0),"",INDEX(_Engine!$E938:$X938,1,(_Engine!$J$44-1)*4+3))</f>
        <v/>
      </c>
      <c r="K880" s="27">
        <f>IF(OR($A880="",_Engine!$D$45=0),"",INDEX(_Engine!$E938:$X938,1,(_Engine!$J$45-1)*4+3))</f>
        <v/>
      </c>
    </row>
    <row r="881">
      <c r="A881" s="25">
        <f>IF(878&lt;=_Engine!$B$36,878,"")</f>
        <v/>
      </c>
      <c r="B881" s="26">
        <f>IF($A881="","",EDATE(_Engine!$B$5,$A881-1))</f>
        <v/>
      </c>
      <c r="C881" s="27">
        <f>IF($A881="","",_Engine!$AJ939)</f>
        <v/>
      </c>
      <c r="D881" s="27">
        <f>IF($A881="","",_Engine!$AK939)</f>
        <v/>
      </c>
      <c r="E881" s="27">
        <f>IF($A881="","",_Engine!$AJ939-_Engine!$AK939)</f>
        <v/>
      </c>
      <c r="F881" s="27">
        <f>IF($A881="","",_Engine!$AI939)</f>
        <v/>
      </c>
      <c r="G881" s="27">
        <f>IF(OR($A881="",_Engine!$D$41=0),"",INDEX(_Engine!$E939:$X939,1,(_Engine!$J$41-1)*4+3))</f>
        <v/>
      </c>
      <c r="H881" s="27">
        <f>IF(OR($A881="",_Engine!$D$42=0),"",INDEX(_Engine!$E939:$X939,1,(_Engine!$J$42-1)*4+3))</f>
        <v/>
      </c>
      <c r="I881" s="27">
        <f>IF(OR($A881="",_Engine!$D$43=0),"",INDEX(_Engine!$E939:$X939,1,(_Engine!$J$43-1)*4+3))</f>
        <v/>
      </c>
      <c r="J881" s="27">
        <f>IF(OR($A881="",_Engine!$D$44=0),"",INDEX(_Engine!$E939:$X939,1,(_Engine!$J$44-1)*4+3))</f>
        <v/>
      </c>
      <c r="K881" s="27">
        <f>IF(OR($A881="",_Engine!$D$45=0),"",INDEX(_Engine!$E939:$X939,1,(_Engine!$J$45-1)*4+3))</f>
        <v/>
      </c>
    </row>
    <row r="882">
      <c r="A882" s="25">
        <f>IF(879&lt;=_Engine!$B$36,879,"")</f>
        <v/>
      </c>
      <c r="B882" s="26">
        <f>IF($A882="","",EDATE(_Engine!$B$5,$A882-1))</f>
        <v/>
      </c>
      <c r="C882" s="27">
        <f>IF($A882="","",_Engine!$AJ940)</f>
        <v/>
      </c>
      <c r="D882" s="27">
        <f>IF($A882="","",_Engine!$AK940)</f>
        <v/>
      </c>
      <c r="E882" s="27">
        <f>IF($A882="","",_Engine!$AJ940-_Engine!$AK940)</f>
        <v/>
      </c>
      <c r="F882" s="27">
        <f>IF($A882="","",_Engine!$AI940)</f>
        <v/>
      </c>
      <c r="G882" s="27">
        <f>IF(OR($A882="",_Engine!$D$41=0),"",INDEX(_Engine!$E940:$X940,1,(_Engine!$J$41-1)*4+3))</f>
        <v/>
      </c>
      <c r="H882" s="27">
        <f>IF(OR($A882="",_Engine!$D$42=0),"",INDEX(_Engine!$E940:$X940,1,(_Engine!$J$42-1)*4+3))</f>
        <v/>
      </c>
      <c r="I882" s="27">
        <f>IF(OR($A882="",_Engine!$D$43=0),"",INDEX(_Engine!$E940:$X940,1,(_Engine!$J$43-1)*4+3))</f>
        <v/>
      </c>
      <c r="J882" s="27">
        <f>IF(OR($A882="",_Engine!$D$44=0),"",INDEX(_Engine!$E940:$X940,1,(_Engine!$J$44-1)*4+3))</f>
        <v/>
      </c>
      <c r="K882" s="27">
        <f>IF(OR($A882="",_Engine!$D$45=0),"",INDEX(_Engine!$E940:$X940,1,(_Engine!$J$45-1)*4+3))</f>
        <v/>
      </c>
    </row>
    <row r="883">
      <c r="A883" s="25">
        <f>IF(880&lt;=_Engine!$B$36,880,"")</f>
        <v/>
      </c>
      <c r="B883" s="26">
        <f>IF($A883="","",EDATE(_Engine!$B$5,$A883-1))</f>
        <v/>
      </c>
      <c r="C883" s="27">
        <f>IF($A883="","",_Engine!$AJ941)</f>
        <v/>
      </c>
      <c r="D883" s="27">
        <f>IF($A883="","",_Engine!$AK941)</f>
        <v/>
      </c>
      <c r="E883" s="27">
        <f>IF($A883="","",_Engine!$AJ941-_Engine!$AK941)</f>
        <v/>
      </c>
      <c r="F883" s="27">
        <f>IF($A883="","",_Engine!$AI941)</f>
        <v/>
      </c>
      <c r="G883" s="27">
        <f>IF(OR($A883="",_Engine!$D$41=0),"",INDEX(_Engine!$E941:$X941,1,(_Engine!$J$41-1)*4+3))</f>
        <v/>
      </c>
      <c r="H883" s="27">
        <f>IF(OR($A883="",_Engine!$D$42=0),"",INDEX(_Engine!$E941:$X941,1,(_Engine!$J$42-1)*4+3))</f>
        <v/>
      </c>
      <c r="I883" s="27">
        <f>IF(OR($A883="",_Engine!$D$43=0),"",INDEX(_Engine!$E941:$X941,1,(_Engine!$J$43-1)*4+3))</f>
        <v/>
      </c>
      <c r="J883" s="27">
        <f>IF(OR($A883="",_Engine!$D$44=0),"",INDEX(_Engine!$E941:$X941,1,(_Engine!$J$44-1)*4+3))</f>
        <v/>
      </c>
      <c r="K883" s="27">
        <f>IF(OR($A883="",_Engine!$D$45=0),"",INDEX(_Engine!$E941:$X941,1,(_Engine!$J$45-1)*4+3))</f>
        <v/>
      </c>
    </row>
    <row r="884">
      <c r="A884" s="25">
        <f>IF(881&lt;=_Engine!$B$36,881,"")</f>
        <v/>
      </c>
      <c r="B884" s="26">
        <f>IF($A884="","",EDATE(_Engine!$B$5,$A884-1))</f>
        <v/>
      </c>
      <c r="C884" s="27">
        <f>IF($A884="","",_Engine!$AJ942)</f>
        <v/>
      </c>
      <c r="D884" s="27">
        <f>IF($A884="","",_Engine!$AK942)</f>
        <v/>
      </c>
      <c r="E884" s="27">
        <f>IF($A884="","",_Engine!$AJ942-_Engine!$AK942)</f>
        <v/>
      </c>
      <c r="F884" s="27">
        <f>IF($A884="","",_Engine!$AI942)</f>
        <v/>
      </c>
      <c r="G884" s="27">
        <f>IF(OR($A884="",_Engine!$D$41=0),"",INDEX(_Engine!$E942:$X942,1,(_Engine!$J$41-1)*4+3))</f>
        <v/>
      </c>
      <c r="H884" s="27">
        <f>IF(OR($A884="",_Engine!$D$42=0),"",INDEX(_Engine!$E942:$X942,1,(_Engine!$J$42-1)*4+3))</f>
        <v/>
      </c>
      <c r="I884" s="27">
        <f>IF(OR($A884="",_Engine!$D$43=0),"",INDEX(_Engine!$E942:$X942,1,(_Engine!$J$43-1)*4+3))</f>
        <v/>
      </c>
      <c r="J884" s="27">
        <f>IF(OR($A884="",_Engine!$D$44=0),"",INDEX(_Engine!$E942:$X942,1,(_Engine!$J$44-1)*4+3))</f>
        <v/>
      </c>
      <c r="K884" s="27">
        <f>IF(OR($A884="",_Engine!$D$45=0),"",INDEX(_Engine!$E942:$X942,1,(_Engine!$J$45-1)*4+3))</f>
        <v/>
      </c>
    </row>
    <row r="885">
      <c r="A885" s="25">
        <f>IF(882&lt;=_Engine!$B$36,882,"")</f>
        <v/>
      </c>
      <c r="B885" s="26">
        <f>IF($A885="","",EDATE(_Engine!$B$5,$A885-1))</f>
        <v/>
      </c>
      <c r="C885" s="27">
        <f>IF($A885="","",_Engine!$AJ943)</f>
        <v/>
      </c>
      <c r="D885" s="27">
        <f>IF($A885="","",_Engine!$AK943)</f>
        <v/>
      </c>
      <c r="E885" s="27">
        <f>IF($A885="","",_Engine!$AJ943-_Engine!$AK943)</f>
        <v/>
      </c>
      <c r="F885" s="27">
        <f>IF($A885="","",_Engine!$AI943)</f>
        <v/>
      </c>
      <c r="G885" s="27">
        <f>IF(OR($A885="",_Engine!$D$41=0),"",INDEX(_Engine!$E943:$X943,1,(_Engine!$J$41-1)*4+3))</f>
        <v/>
      </c>
      <c r="H885" s="27">
        <f>IF(OR($A885="",_Engine!$D$42=0),"",INDEX(_Engine!$E943:$X943,1,(_Engine!$J$42-1)*4+3))</f>
        <v/>
      </c>
      <c r="I885" s="27">
        <f>IF(OR($A885="",_Engine!$D$43=0),"",INDEX(_Engine!$E943:$X943,1,(_Engine!$J$43-1)*4+3))</f>
        <v/>
      </c>
      <c r="J885" s="27">
        <f>IF(OR($A885="",_Engine!$D$44=0),"",INDEX(_Engine!$E943:$X943,1,(_Engine!$J$44-1)*4+3))</f>
        <v/>
      </c>
      <c r="K885" s="27">
        <f>IF(OR($A885="",_Engine!$D$45=0),"",INDEX(_Engine!$E943:$X943,1,(_Engine!$J$45-1)*4+3))</f>
        <v/>
      </c>
    </row>
    <row r="886">
      <c r="A886" s="25">
        <f>IF(883&lt;=_Engine!$B$36,883,"")</f>
        <v/>
      </c>
      <c r="B886" s="26">
        <f>IF($A886="","",EDATE(_Engine!$B$5,$A886-1))</f>
        <v/>
      </c>
      <c r="C886" s="27">
        <f>IF($A886="","",_Engine!$AJ944)</f>
        <v/>
      </c>
      <c r="D886" s="27">
        <f>IF($A886="","",_Engine!$AK944)</f>
        <v/>
      </c>
      <c r="E886" s="27">
        <f>IF($A886="","",_Engine!$AJ944-_Engine!$AK944)</f>
        <v/>
      </c>
      <c r="F886" s="27">
        <f>IF($A886="","",_Engine!$AI944)</f>
        <v/>
      </c>
      <c r="G886" s="27">
        <f>IF(OR($A886="",_Engine!$D$41=0),"",INDEX(_Engine!$E944:$X944,1,(_Engine!$J$41-1)*4+3))</f>
        <v/>
      </c>
      <c r="H886" s="27">
        <f>IF(OR($A886="",_Engine!$D$42=0),"",INDEX(_Engine!$E944:$X944,1,(_Engine!$J$42-1)*4+3))</f>
        <v/>
      </c>
      <c r="I886" s="27">
        <f>IF(OR($A886="",_Engine!$D$43=0),"",INDEX(_Engine!$E944:$X944,1,(_Engine!$J$43-1)*4+3))</f>
        <v/>
      </c>
      <c r="J886" s="27">
        <f>IF(OR($A886="",_Engine!$D$44=0),"",INDEX(_Engine!$E944:$X944,1,(_Engine!$J$44-1)*4+3))</f>
        <v/>
      </c>
      <c r="K886" s="27">
        <f>IF(OR($A886="",_Engine!$D$45=0),"",INDEX(_Engine!$E944:$X944,1,(_Engine!$J$45-1)*4+3))</f>
        <v/>
      </c>
    </row>
    <row r="887">
      <c r="A887" s="25">
        <f>IF(884&lt;=_Engine!$B$36,884,"")</f>
        <v/>
      </c>
      <c r="B887" s="26">
        <f>IF($A887="","",EDATE(_Engine!$B$5,$A887-1))</f>
        <v/>
      </c>
      <c r="C887" s="27">
        <f>IF($A887="","",_Engine!$AJ945)</f>
        <v/>
      </c>
      <c r="D887" s="27">
        <f>IF($A887="","",_Engine!$AK945)</f>
        <v/>
      </c>
      <c r="E887" s="27">
        <f>IF($A887="","",_Engine!$AJ945-_Engine!$AK945)</f>
        <v/>
      </c>
      <c r="F887" s="27">
        <f>IF($A887="","",_Engine!$AI945)</f>
        <v/>
      </c>
      <c r="G887" s="27">
        <f>IF(OR($A887="",_Engine!$D$41=0),"",INDEX(_Engine!$E945:$X945,1,(_Engine!$J$41-1)*4+3))</f>
        <v/>
      </c>
      <c r="H887" s="27">
        <f>IF(OR($A887="",_Engine!$D$42=0),"",INDEX(_Engine!$E945:$X945,1,(_Engine!$J$42-1)*4+3))</f>
        <v/>
      </c>
      <c r="I887" s="27">
        <f>IF(OR($A887="",_Engine!$D$43=0),"",INDEX(_Engine!$E945:$X945,1,(_Engine!$J$43-1)*4+3))</f>
        <v/>
      </c>
      <c r="J887" s="27">
        <f>IF(OR($A887="",_Engine!$D$44=0),"",INDEX(_Engine!$E945:$X945,1,(_Engine!$J$44-1)*4+3))</f>
        <v/>
      </c>
      <c r="K887" s="27">
        <f>IF(OR($A887="",_Engine!$D$45=0),"",INDEX(_Engine!$E945:$X945,1,(_Engine!$J$45-1)*4+3))</f>
        <v/>
      </c>
    </row>
    <row r="888">
      <c r="A888" s="25">
        <f>IF(885&lt;=_Engine!$B$36,885,"")</f>
        <v/>
      </c>
      <c r="B888" s="26">
        <f>IF($A888="","",EDATE(_Engine!$B$5,$A888-1))</f>
        <v/>
      </c>
      <c r="C888" s="27">
        <f>IF($A888="","",_Engine!$AJ946)</f>
        <v/>
      </c>
      <c r="D888" s="27">
        <f>IF($A888="","",_Engine!$AK946)</f>
        <v/>
      </c>
      <c r="E888" s="27">
        <f>IF($A888="","",_Engine!$AJ946-_Engine!$AK946)</f>
        <v/>
      </c>
      <c r="F888" s="27">
        <f>IF($A888="","",_Engine!$AI946)</f>
        <v/>
      </c>
      <c r="G888" s="27">
        <f>IF(OR($A888="",_Engine!$D$41=0),"",INDEX(_Engine!$E946:$X946,1,(_Engine!$J$41-1)*4+3))</f>
        <v/>
      </c>
      <c r="H888" s="27">
        <f>IF(OR($A888="",_Engine!$D$42=0),"",INDEX(_Engine!$E946:$X946,1,(_Engine!$J$42-1)*4+3))</f>
        <v/>
      </c>
      <c r="I888" s="27">
        <f>IF(OR($A888="",_Engine!$D$43=0),"",INDEX(_Engine!$E946:$X946,1,(_Engine!$J$43-1)*4+3))</f>
        <v/>
      </c>
      <c r="J888" s="27">
        <f>IF(OR($A888="",_Engine!$D$44=0),"",INDEX(_Engine!$E946:$X946,1,(_Engine!$J$44-1)*4+3))</f>
        <v/>
      </c>
      <c r="K888" s="27">
        <f>IF(OR($A888="",_Engine!$D$45=0),"",INDEX(_Engine!$E946:$X946,1,(_Engine!$J$45-1)*4+3))</f>
        <v/>
      </c>
    </row>
    <row r="889">
      <c r="A889" s="25">
        <f>IF(886&lt;=_Engine!$B$36,886,"")</f>
        <v/>
      </c>
      <c r="B889" s="26">
        <f>IF($A889="","",EDATE(_Engine!$B$5,$A889-1))</f>
        <v/>
      </c>
      <c r="C889" s="27">
        <f>IF($A889="","",_Engine!$AJ947)</f>
        <v/>
      </c>
      <c r="D889" s="27">
        <f>IF($A889="","",_Engine!$AK947)</f>
        <v/>
      </c>
      <c r="E889" s="27">
        <f>IF($A889="","",_Engine!$AJ947-_Engine!$AK947)</f>
        <v/>
      </c>
      <c r="F889" s="27">
        <f>IF($A889="","",_Engine!$AI947)</f>
        <v/>
      </c>
      <c r="G889" s="27">
        <f>IF(OR($A889="",_Engine!$D$41=0),"",INDEX(_Engine!$E947:$X947,1,(_Engine!$J$41-1)*4+3))</f>
        <v/>
      </c>
      <c r="H889" s="27">
        <f>IF(OR($A889="",_Engine!$D$42=0),"",INDEX(_Engine!$E947:$X947,1,(_Engine!$J$42-1)*4+3))</f>
        <v/>
      </c>
      <c r="I889" s="27">
        <f>IF(OR($A889="",_Engine!$D$43=0),"",INDEX(_Engine!$E947:$X947,1,(_Engine!$J$43-1)*4+3))</f>
        <v/>
      </c>
      <c r="J889" s="27">
        <f>IF(OR($A889="",_Engine!$D$44=0),"",INDEX(_Engine!$E947:$X947,1,(_Engine!$J$44-1)*4+3))</f>
        <v/>
      </c>
      <c r="K889" s="27">
        <f>IF(OR($A889="",_Engine!$D$45=0),"",INDEX(_Engine!$E947:$X947,1,(_Engine!$J$45-1)*4+3))</f>
        <v/>
      </c>
    </row>
    <row r="890">
      <c r="A890" s="25">
        <f>IF(887&lt;=_Engine!$B$36,887,"")</f>
        <v/>
      </c>
      <c r="B890" s="26">
        <f>IF($A890="","",EDATE(_Engine!$B$5,$A890-1))</f>
        <v/>
      </c>
      <c r="C890" s="27">
        <f>IF($A890="","",_Engine!$AJ948)</f>
        <v/>
      </c>
      <c r="D890" s="27">
        <f>IF($A890="","",_Engine!$AK948)</f>
        <v/>
      </c>
      <c r="E890" s="27">
        <f>IF($A890="","",_Engine!$AJ948-_Engine!$AK948)</f>
        <v/>
      </c>
      <c r="F890" s="27">
        <f>IF($A890="","",_Engine!$AI948)</f>
        <v/>
      </c>
      <c r="G890" s="27">
        <f>IF(OR($A890="",_Engine!$D$41=0),"",INDEX(_Engine!$E948:$X948,1,(_Engine!$J$41-1)*4+3))</f>
        <v/>
      </c>
      <c r="H890" s="27">
        <f>IF(OR($A890="",_Engine!$D$42=0),"",INDEX(_Engine!$E948:$X948,1,(_Engine!$J$42-1)*4+3))</f>
        <v/>
      </c>
      <c r="I890" s="27">
        <f>IF(OR($A890="",_Engine!$D$43=0),"",INDEX(_Engine!$E948:$X948,1,(_Engine!$J$43-1)*4+3))</f>
        <v/>
      </c>
      <c r="J890" s="27">
        <f>IF(OR($A890="",_Engine!$D$44=0),"",INDEX(_Engine!$E948:$X948,1,(_Engine!$J$44-1)*4+3))</f>
        <v/>
      </c>
      <c r="K890" s="27">
        <f>IF(OR($A890="",_Engine!$D$45=0),"",INDEX(_Engine!$E948:$X948,1,(_Engine!$J$45-1)*4+3))</f>
        <v/>
      </c>
    </row>
    <row r="891">
      <c r="A891" s="25">
        <f>IF(888&lt;=_Engine!$B$36,888,"")</f>
        <v/>
      </c>
      <c r="B891" s="26">
        <f>IF($A891="","",EDATE(_Engine!$B$5,$A891-1))</f>
        <v/>
      </c>
      <c r="C891" s="27">
        <f>IF($A891="","",_Engine!$AJ949)</f>
        <v/>
      </c>
      <c r="D891" s="27">
        <f>IF($A891="","",_Engine!$AK949)</f>
        <v/>
      </c>
      <c r="E891" s="27">
        <f>IF($A891="","",_Engine!$AJ949-_Engine!$AK949)</f>
        <v/>
      </c>
      <c r="F891" s="27">
        <f>IF($A891="","",_Engine!$AI949)</f>
        <v/>
      </c>
      <c r="G891" s="27">
        <f>IF(OR($A891="",_Engine!$D$41=0),"",INDEX(_Engine!$E949:$X949,1,(_Engine!$J$41-1)*4+3))</f>
        <v/>
      </c>
      <c r="H891" s="27">
        <f>IF(OR($A891="",_Engine!$D$42=0),"",INDEX(_Engine!$E949:$X949,1,(_Engine!$J$42-1)*4+3))</f>
        <v/>
      </c>
      <c r="I891" s="27">
        <f>IF(OR($A891="",_Engine!$D$43=0),"",INDEX(_Engine!$E949:$X949,1,(_Engine!$J$43-1)*4+3))</f>
        <v/>
      </c>
      <c r="J891" s="27">
        <f>IF(OR($A891="",_Engine!$D$44=0),"",INDEX(_Engine!$E949:$X949,1,(_Engine!$J$44-1)*4+3))</f>
        <v/>
      </c>
      <c r="K891" s="27">
        <f>IF(OR($A891="",_Engine!$D$45=0),"",INDEX(_Engine!$E949:$X949,1,(_Engine!$J$45-1)*4+3))</f>
        <v/>
      </c>
    </row>
    <row r="892">
      <c r="A892" s="25">
        <f>IF(889&lt;=_Engine!$B$36,889,"")</f>
        <v/>
      </c>
      <c r="B892" s="26">
        <f>IF($A892="","",EDATE(_Engine!$B$5,$A892-1))</f>
        <v/>
      </c>
      <c r="C892" s="27">
        <f>IF($A892="","",_Engine!$AJ950)</f>
        <v/>
      </c>
      <c r="D892" s="27">
        <f>IF($A892="","",_Engine!$AK950)</f>
        <v/>
      </c>
      <c r="E892" s="27">
        <f>IF($A892="","",_Engine!$AJ950-_Engine!$AK950)</f>
        <v/>
      </c>
      <c r="F892" s="27">
        <f>IF($A892="","",_Engine!$AI950)</f>
        <v/>
      </c>
      <c r="G892" s="27">
        <f>IF(OR($A892="",_Engine!$D$41=0),"",INDEX(_Engine!$E950:$X950,1,(_Engine!$J$41-1)*4+3))</f>
        <v/>
      </c>
      <c r="H892" s="27">
        <f>IF(OR($A892="",_Engine!$D$42=0),"",INDEX(_Engine!$E950:$X950,1,(_Engine!$J$42-1)*4+3))</f>
        <v/>
      </c>
      <c r="I892" s="27">
        <f>IF(OR($A892="",_Engine!$D$43=0),"",INDEX(_Engine!$E950:$X950,1,(_Engine!$J$43-1)*4+3))</f>
        <v/>
      </c>
      <c r="J892" s="27">
        <f>IF(OR($A892="",_Engine!$D$44=0),"",INDEX(_Engine!$E950:$X950,1,(_Engine!$J$44-1)*4+3))</f>
        <v/>
      </c>
      <c r="K892" s="27">
        <f>IF(OR($A892="",_Engine!$D$45=0),"",INDEX(_Engine!$E950:$X950,1,(_Engine!$J$45-1)*4+3))</f>
        <v/>
      </c>
    </row>
    <row r="893">
      <c r="A893" s="25">
        <f>IF(890&lt;=_Engine!$B$36,890,"")</f>
        <v/>
      </c>
      <c r="B893" s="26">
        <f>IF($A893="","",EDATE(_Engine!$B$5,$A893-1))</f>
        <v/>
      </c>
      <c r="C893" s="27">
        <f>IF($A893="","",_Engine!$AJ951)</f>
        <v/>
      </c>
      <c r="D893" s="27">
        <f>IF($A893="","",_Engine!$AK951)</f>
        <v/>
      </c>
      <c r="E893" s="27">
        <f>IF($A893="","",_Engine!$AJ951-_Engine!$AK951)</f>
        <v/>
      </c>
      <c r="F893" s="27">
        <f>IF($A893="","",_Engine!$AI951)</f>
        <v/>
      </c>
      <c r="G893" s="27">
        <f>IF(OR($A893="",_Engine!$D$41=0),"",INDEX(_Engine!$E951:$X951,1,(_Engine!$J$41-1)*4+3))</f>
        <v/>
      </c>
      <c r="H893" s="27">
        <f>IF(OR($A893="",_Engine!$D$42=0),"",INDEX(_Engine!$E951:$X951,1,(_Engine!$J$42-1)*4+3))</f>
        <v/>
      </c>
      <c r="I893" s="27">
        <f>IF(OR($A893="",_Engine!$D$43=0),"",INDEX(_Engine!$E951:$X951,1,(_Engine!$J$43-1)*4+3))</f>
        <v/>
      </c>
      <c r="J893" s="27">
        <f>IF(OR($A893="",_Engine!$D$44=0),"",INDEX(_Engine!$E951:$X951,1,(_Engine!$J$44-1)*4+3))</f>
        <v/>
      </c>
      <c r="K893" s="27">
        <f>IF(OR($A893="",_Engine!$D$45=0),"",INDEX(_Engine!$E951:$X951,1,(_Engine!$J$45-1)*4+3))</f>
        <v/>
      </c>
    </row>
    <row r="894">
      <c r="A894" s="25">
        <f>IF(891&lt;=_Engine!$B$36,891,"")</f>
        <v/>
      </c>
      <c r="B894" s="26">
        <f>IF($A894="","",EDATE(_Engine!$B$5,$A894-1))</f>
        <v/>
      </c>
      <c r="C894" s="27">
        <f>IF($A894="","",_Engine!$AJ952)</f>
        <v/>
      </c>
      <c r="D894" s="27">
        <f>IF($A894="","",_Engine!$AK952)</f>
        <v/>
      </c>
      <c r="E894" s="27">
        <f>IF($A894="","",_Engine!$AJ952-_Engine!$AK952)</f>
        <v/>
      </c>
      <c r="F894" s="27">
        <f>IF($A894="","",_Engine!$AI952)</f>
        <v/>
      </c>
      <c r="G894" s="27">
        <f>IF(OR($A894="",_Engine!$D$41=0),"",INDEX(_Engine!$E952:$X952,1,(_Engine!$J$41-1)*4+3))</f>
        <v/>
      </c>
      <c r="H894" s="27">
        <f>IF(OR($A894="",_Engine!$D$42=0),"",INDEX(_Engine!$E952:$X952,1,(_Engine!$J$42-1)*4+3))</f>
        <v/>
      </c>
      <c r="I894" s="27">
        <f>IF(OR($A894="",_Engine!$D$43=0),"",INDEX(_Engine!$E952:$X952,1,(_Engine!$J$43-1)*4+3))</f>
        <v/>
      </c>
      <c r="J894" s="27">
        <f>IF(OR($A894="",_Engine!$D$44=0),"",INDEX(_Engine!$E952:$X952,1,(_Engine!$J$44-1)*4+3))</f>
        <v/>
      </c>
      <c r="K894" s="27">
        <f>IF(OR($A894="",_Engine!$D$45=0),"",INDEX(_Engine!$E952:$X952,1,(_Engine!$J$45-1)*4+3))</f>
        <v/>
      </c>
    </row>
    <row r="895">
      <c r="A895" s="25">
        <f>IF(892&lt;=_Engine!$B$36,892,"")</f>
        <v/>
      </c>
      <c r="B895" s="26">
        <f>IF($A895="","",EDATE(_Engine!$B$5,$A895-1))</f>
        <v/>
      </c>
      <c r="C895" s="27">
        <f>IF($A895="","",_Engine!$AJ953)</f>
        <v/>
      </c>
      <c r="D895" s="27">
        <f>IF($A895="","",_Engine!$AK953)</f>
        <v/>
      </c>
      <c r="E895" s="27">
        <f>IF($A895="","",_Engine!$AJ953-_Engine!$AK953)</f>
        <v/>
      </c>
      <c r="F895" s="27">
        <f>IF($A895="","",_Engine!$AI953)</f>
        <v/>
      </c>
      <c r="G895" s="27">
        <f>IF(OR($A895="",_Engine!$D$41=0),"",INDEX(_Engine!$E953:$X953,1,(_Engine!$J$41-1)*4+3))</f>
        <v/>
      </c>
      <c r="H895" s="27">
        <f>IF(OR($A895="",_Engine!$D$42=0),"",INDEX(_Engine!$E953:$X953,1,(_Engine!$J$42-1)*4+3))</f>
        <v/>
      </c>
      <c r="I895" s="27">
        <f>IF(OR($A895="",_Engine!$D$43=0),"",INDEX(_Engine!$E953:$X953,1,(_Engine!$J$43-1)*4+3))</f>
        <v/>
      </c>
      <c r="J895" s="27">
        <f>IF(OR($A895="",_Engine!$D$44=0),"",INDEX(_Engine!$E953:$X953,1,(_Engine!$J$44-1)*4+3))</f>
        <v/>
      </c>
      <c r="K895" s="27">
        <f>IF(OR($A895="",_Engine!$D$45=0),"",INDEX(_Engine!$E953:$X953,1,(_Engine!$J$45-1)*4+3))</f>
        <v/>
      </c>
    </row>
    <row r="896">
      <c r="A896" s="25">
        <f>IF(893&lt;=_Engine!$B$36,893,"")</f>
        <v/>
      </c>
      <c r="B896" s="26">
        <f>IF($A896="","",EDATE(_Engine!$B$5,$A896-1))</f>
        <v/>
      </c>
      <c r="C896" s="27">
        <f>IF($A896="","",_Engine!$AJ954)</f>
        <v/>
      </c>
      <c r="D896" s="27">
        <f>IF($A896="","",_Engine!$AK954)</f>
        <v/>
      </c>
      <c r="E896" s="27">
        <f>IF($A896="","",_Engine!$AJ954-_Engine!$AK954)</f>
        <v/>
      </c>
      <c r="F896" s="27">
        <f>IF($A896="","",_Engine!$AI954)</f>
        <v/>
      </c>
      <c r="G896" s="27">
        <f>IF(OR($A896="",_Engine!$D$41=0),"",INDEX(_Engine!$E954:$X954,1,(_Engine!$J$41-1)*4+3))</f>
        <v/>
      </c>
      <c r="H896" s="27">
        <f>IF(OR($A896="",_Engine!$D$42=0),"",INDEX(_Engine!$E954:$X954,1,(_Engine!$J$42-1)*4+3))</f>
        <v/>
      </c>
      <c r="I896" s="27">
        <f>IF(OR($A896="",_Engine!$D$43=0),"",INDEX(_Engine!$E954:$X954,1,(_Engine!$J$43-1)*4+3))</f>
        <v/>
      </c>
      <c r="J896" s="27">
        <f>IF(OR($A896="",_Engine!$D$44=0),"",INDEX(_Engine!$E954:$X954,1,(_Engine!$J$44-1)*4+3))</f>
        <v/>
      </c>
      <c r="K896" s="27">
        <f>IF(OR($A896="",_Engine!$D$45=0),"",INDEX(_Engine!$E954:$X954,1,(_Engine!$J$45-1)*4+3))</f>
        <v/>
      </c>
    </row>
    <row r="897">
      <c r="A897" s="25">
        <f>IF(894&lt;=_Engine!$B$36,894,"")</f>
        <v/>
      </c>
      <c r="B897" s="26">
        <f>IF($A897="","",EDATE(_Engine!$B$5,$A897-1))</f>
        <v/>
      </c>
      <c r="C897" s="27">
        <f>IF($A897="","",_Engine!$AJ955)</f>
        <v/>
      </c>
      <c r="D897" s="27">
        <f>IF($A897="","",_Engine!$AK955)</f>
        <v/>
      </c>
      <c r="E897" s="27">
        <f>IF($A897="","",_Engine!$AJ955-_Engine!$AK955)</f>
        <v/>
      </c>
      <c r="F897" s="27">
        <f>IF($A897="","",_Engine!$AI955)</f>
        <v/>
      </c>
      <c r="G897" s="27">
        <f>IF(OR($A897="",_Engine!$D$41=0),"",INDEX(_Engine!$E955:$X955,1,(_Engine!$J$41-1)*4+3))</f>
        <v/>
      </c>
      <c r="H897" s="27">
        <f>IF(OR($A897="",_Engine!$D$42=0),"",INDEX(_Engine!$E955:$X955,1,(_Engine!$J$42-1)*4+3))</f>
        <v/>
      </c>
      <c r="I897" s="27">
        <f>IF(OR($A897="",_Engine!$D$43=0),"",INDEX(_Engine!$E955:$X955,1,(_Engine!$J$43-1)*4+3))</f>
        <v/>
      </c>
      <c r="J897" s="27">
        <f>IF(OR($A897="",_Engine!$D$44=0),"",INDEX(_Engine!$E955:$X955,1,(_Engine!$J$44-1)*4+3))</f>
        <v/>
      </c>
      <c r="K897" s="27">
        <f>IF(OR($A897="",_Engine!$D$45=0),"",INDEX(_Engine!$E955:$X955,1,(_Engine!$J$45-1)*4+3))</f>
        <v/>
      </c>
    </row>
    <row r="898">
      <c r="A898" s="25">
        <f>IF(895&lt;=_Engine!$B$36,895,"")</f>
        <v/>
      </c>
      <c r="B898" s="26">
        <f>IF($A898="","",EDATE(_Engine!$B$5,$A898-1))</f>
        <v/>
      </c>
      <c r="C898" s="27">
        <f>IF($A898="","",_Engine!$AJ956)</f>
        <v/>
      </c>
      <c r="D898" s="27">
        <f>IF($A898="","",_Engine!$AK956)</f>
        <v/>
      </c>
      <c r="E898" s="27">
        <f>IF($A898="","",_Engine!$AJ956-_Engine!$AK956)</f>
        <v/>
      </c>
      <c r="F898" s="27">
        <f>IF($A898="","",_Engine!$AI956)</f>
        <v/>
      </c>
      <c r="G898" s="27">
        <f>IF(OR($A898="",_Engine!$D$41=0),"",INDEX(_Engine!$E956:$X956,1,(_Engine!$J$41-1)*4+3))</f>
        <v/>
      </c>
      <c r="H898" s="27">
        <f>IF(OR($A898="",_Engine!$D$42=0),"",INDEX(_Engine!$E956:$X956,1,(_Engine!$J$42-1)*4+3))</f>
        <v/>
      </c>
      <c r="I898" s="27">
        <f>IF(OR($A898="",_Engine!$D$43=0),"",INDEX(_Engine!$E956:$X956,1,(_Engine!$J$43-1)*4+3))</f>
        <v/>
      </c>
      <c r="J898" s="27">
        <f>IF(OR($A898="",_Engine!$D$44=0),"",INDEX(_Engine!$E956:$X956,1,(_Engine!$J$44-1)*4+3))</f>
        <v/>
      </c>
      <c r="K898" s="27">
        <f>IF(OR($A898="",_Engine!$D$45=0),"",INDEX(_Engine!$E956:$X956,1,(_Engine!$J$45-1)*4+3))</f>
        <v/>
      </c>
    </row>
    <row r="899">
      <c r="A899" s="25">
        <f>IF(896&lt;=_Engine!$B$36,896,"")</f>
        <v/>
      </c>
      <c r="B899" s="26">
        <f>IF($A899="","",EDATE(_Engine!$B$5,$A899-1))</f>
        <v/>
      </c>
      <c r="C899" s="27">
        <f>IF($A899="","",_Engine!$AJ957)</f>
        <v/>
      </c>
      <c r="D899" s="27">
        <f>IF($A899="","",_Engine!$AK957)</f>
        <v/>
      </c>
      <c r="E899" s="27">
        <f>IF($A899="","",_Engine!$AJ957-_Engine!$AK957)</f>
        <v/>
      </c>
      <c r="F899" s="27">
        <f>IF($A899="","",_Engine!$AI957)</f>
        <v/>
      </c>
      <c r="G899" s="27">
        <f>IF(OR($A899="",_Engine!$D$41=0),"",INDEX(_Engine!$E957:$X957,1,(_Engine!$J$41-1)*4+3))</f>
        <v/>
      </c>
      <c r="H899" s="27">
        <f>IF(OR($A899="",_Engine!$D$42=0),"",INDEX(_Engine!$E957:$X957,1,(_Engine!$J$42-1)*4+3))</f>
        <v/>
      </c>
      <c r="I899" s="27">
        <f>IF(OR($A899="",_Engine!$D$43=0),"",INDEX(_Engine!$E957:$X957,1,(_Engine!$J$43-1)*4+3))</f>
        <v/>
      </c>
      <c r="J899" s="27">
        <f>IF(OR($A899="",_Engine!$D$44=0),"",INDEX(_Engine!$E957:$X957,1,(_Engine!$J$44-1)*4+3))</f>
        <v/>
      </c>
      <c r="K899" s="27">
        <f>IF(OR($A899="",_Engine!$D$45=0),"",INDEX(_Engine!$E957:$X957,1,(_Engine!$J$45-1)*4+3))</f>
        <v/>
      </c>
    </row>
    <row r="900">
      <c r="A900" s="25">
        <f>IF(897&lt;=_Engine!$B$36,897,"")</f>
        <v/>
      </c>
      <c r="B900" s="26">
        <f>IF($A900="","",EDATE(_Engine!$B$5,$A900-1))</f>
        <v/>
      </c>
      <c r="C900" s="27">
        <f>IF($A900="","",_Engine!$AJ958)</f>
        <v/>
      </c>
      <c r="D900" s="27">
        <f>IF($A900="","",_Engine!$AK958)</f>
        <v/>
      </c>
      <c r="E900" s="27">
        <f>IF($A900="","",_Engine!$AJ958-_Engine!$AK958)</f>
        <v/>
      </c>
      <c r="F900" s="27">
        <f>IF($A900="","",_Engine!$AI958)</f>
        <v/>
      </c>
      <c r="G900" s="27">
        <f>IF(OR($A900="",_Engine!$D$41=0),"",INDEX(_Engine!$E958:$X958,1,(_Engine!$J$41-1)*4+3))</f>
        <v/>
      </c>
      <c r="H900" s="27">
        <f>IF(OR($A900="",_Engine!$D$42=0),"",INDEX(_Engine!$E958:$X958,1,(_Engine!$J$42-1)*4+3))</f>
        <v/>
      </c>
      <c r="I900" s="27">
        <f>IF(OR($A900="",_Engine!$D$43=0),"",INDEX(_Engine!$E958:$X958,1,(_Engine!$J$43-1)*4+3))</f>
        <v/>
      </c>
      <c r="J900" s="27">
        <f>IF(OR($A900="",_Engine!$D$44=0),"",INDEX(_Engine!$E958:$X958,1,(_Engine!$J$44-1)*4+3))</f>
        <v/>
      </c>
      <c r="K900" s="27">
        <f>IF(OR($A900="",_Engine!$D$45=0),"",INDEX(_Engine!$E958:$X958,1,(_Engine!$J$45-1)*4+3))</f>
        <v/>
      </c>
    </row>
    <row r="901">
      <c r="A901" s="25">
        <f>IF(898&lt;=_Engine!$B$36,898,"")</f>
        <v/>
      </c>
      <c r="B901" s="26">
        <f>IF($A901="","",EDATE(_Engine!$B$5,$A901-1))</f>
        <v/>
      </c>
      <c r="C901" s="27">
        <f>IF($A901="","",_Engine!$AJ959)</f>
        <v/>
      </c>
      <c r="D901" s="27">
        <f>IF($A901="","",_Engine!$AK959)</f>
        <v/>
      </c>
      <c r="E901" s="27">
        <f>IF($A901="","",_Engine!$AJ959-_Engine!$AK959)</f>
        <v/>
      </c>
      <c r="F901" s="27">
        <f>IF($A901="","",_Engine!$AI959)</f>
        <v/>
      </c>
      <c r="G901" s="27">
        <f>IF(OR($A901="",_Engine!$D$41=0),"",INDEX(_Engine!$E959:$X959,1,(_Engine!$J$41-1)*4+3))</f>
        <v/>
      </c>
      <c r="H901" s="27">
        <f>IF(OR($A901="",_Engine!$D$42=0),"",INDEX(_Engine!$E959:$X959,1,(_Engine!$J$42-1)*4+3))</f>
        <v/>
      </c>
      <c r="I901" s="27">
        <f>IF(OR($A901="",_Engine!$D$43=0),"",INDEX(_Engine!$E959:$X959,1,(_Engine!$J$43-1)*4+3))</f>
        <v/>
      </c>
      <c r="J901" s="27">
        <f>IF(OR($A901="",_Engine!$D$44=0),"",INDEX(_Engine!$E959:$X959,1,(_Engine!$J$44-1)*4+3))</f>
        <v/>
      </c>
      <c r="K901" s="27">
        <f>IF(OR($A901="",_Engine!$D$45=0),"",INDEX(_Engine!$E959:$X959,1,(_Engine!$J$45-1)*4+3))</f>
        <v/>
      </c>
    </row>
    <row r="902">
      <c r="A902" s="25">
        <f>IF(899&lt;=_Engine!$B$36,899,"")</f>
        <v/>
      </c>
      <c r="B902" s="26">
        <f>IF($A902="","",EDATE(_Engine!$B$5,$A902-1))</f>
        <v/>
      </c>
      <c r="C902" s="27">
        <f>IF($A902="","",_Engine!$AJ960)</f>
        <v/>
      </c>
      <c r="D902" s="27">
        <f>IF($A902="","",_Engine!$AK960)</f>
        <v/>
      </c>
      <c r="E902" s="27">
        <f>IF($A902="","",_Engine!$AJ960-_Engine!$AK960)</f>
        <v/>
      </c>
      <c r="F902" s="27">
        <f>IF($A902="","",_Engine!$AI960)</f>
        <v/>
      </c>
      <c r="G902" s="27">
        <f>IF(OR($A902="",_Engine!$D$41=0),"",INDEX(_Engine!$E960:$X960,1,(_Engine!$J$41-1)*4+3))</f>
        <v/>
      </c>
      <c r="H902" s="27">
        <f>IF(OR($A902="",_Engine!$D$42=0),"",INDEX(_Engine!$E960:$X960,1,(_Engine!$J$42-1)*4+3))</f>
        <v/>
      </c>
      <c r="I902" s="27">
        <f>IF(OR($A902="",_Engine!$D$43=0),"",INDEX(_Engine!$E960:$X960,1,(_Engine!$J$43-1)*4+3))</f>
        <v/>
      </c>
      <c r="J902" s="27">
        <f>IF(OR($A902="",_Engine!$D$44=0),"",INDEX(_Engine!$E960:$X960,1,(_Engine!$J$44-1)*4+3))</f>
        <v/>
      </c>
      <c r="K902" s="27">
        <f>IF(OR($A902="",_Engine!$D$45=0),"",INDEX(_Engine!$E960:$X960,1,(_Engine!$J$45-1)*4+3))</f>
        <v/>
      </c>
    </row>
    <row r="903">
      <c r="A903" s="25">
        <f>IF(900&lt;=_Engine!$B$36,900,"")</f>
        <v/>
      </c>
      <c r="B903" s="26">
        <f>IF($A903="","",EDATE(_Engine!$B$5,$A903-1))</f>
        <v/>
      </c>
      <c r="C903" s="27">
        <f>IF($A903="","",_Engine!$AJ961)</f>
        <v/>
      </c>
      <c r="D903" s="27">
        <f>IF($A903="","",_Engine!$AK961)</f>
        <v/>
      </c>
      <c r="E903" s="27">
        <f>IF($A903="","",_Engine!$AJ961-_Engine!$AK961)</f>
        <v/>
      </c>
      <c r="F903" s="27">
        <f>IF($A903="","",_Engine!$AI961)</f>
        <v/>
      </c>
      <c r="G903" s="27">
        <f>IF(OR($A903="",_Engine!$D$41=0),"",INDEX(_Engine!$E961:$X961,1,(_Engine!$J$41-1)*4+3))</f>
        <v/>
      </c>
      <c r="H903" s="27">
        <f>IF(OR($A903="",_Engine!$D$42=0),"",INDEX(_Engine!$E961:$X961,1,(_Engine!$J$42-1)*4+3))</f>
        <v/>
      </c>
      <c r="I903" s="27">
        <f>IF(OR($A903="",_Engine!$D$43=0),"",INDEX(_Engine!$E961:$X961,1,(_Engine!$J$43-1)*4+3))</f>
        <v/>
      </c>
      <c r="J903" s="27">
        <f>IF(OR($A903="",_Engine!$D$44=0),"",INDEX(_Engine!$E961:$X961,1,(_Engine!$J$44-1)*4+3))</f>
        <v/>
      </c>
      <c r="K903" s="27">
        <f>IF(OR($A903="",_Engine!$D$45=0),"",INDEX(_Engine!$E961:$X961,1,(_Engine!$J$45-1)*4+3))</f>
        <v/>
      </c>
    </row>
    <row r="904">
      <c r="A904" s="25">
        <f>IF(901&lt;=_Engine!$B$36,901,"")</f>
        <v/>
      </c>
      <c r="B904" s="26">
        <f>IF($A904="","",EDATE(_Engine!$B$5,$A904-1))</f>
        <v/>
      </c>
      <c r="C904" s="27">
        <f>IF($A904="","",_Engine!$AJ962)</f>
        <v/>
      </c>
      <c r="D904" s="27">
        <f>IF($A904="","",_Engine!$AK962)</f>
        <v/>
      </c>
      <c r="E904" s="27">
        <f>IF($A904="","",_Engine!$AJ962-_Engine!$AK962)</f>
        <v/>
      </c>
      <c r="F904" s="27">
        <f>IF($A904="","",_Engine!$AI962)</f>
        <v/>
      </c>
      <c r="G904" s="27">
        <f>IF(OR($A904="",_Engine!$D$41=0),"",INDEX(_Engine!$E962:$X962,1,(_Engine!$J$41-1)*4+3))</f>
        <v/>
      </c>
      <c r="H904" s="27">
        <f>IF(OR($A904="",_Engine!$D$42=0),"",INDEX(_Engine!$E962:$X962,1,(_Engine!$J$42-1)*4+3))</f>
        <v/>
      </c>
      <c r="I904" s="27">
        <f>IF(OR($A904="",_Engine!$D$43=0),"",INDEX(_Engine!$E962:$X962,1,(_Engine!$J$43-1)*4+3))</f>
        <v/>
      </c>
      <c r="J904" s="27">
        <f>IF(OR($A904="",_Engine!$D$44=0),"",INDEX(_Engine!$E962:$X962,1,(_Engine!$J$44-1)*4+3))</f>
        <v/>
      </c>
      <c r="K904" s="27">
        <f>IF(OR($A904="",_Engine!$D$45=0),"",INDEX(_Engine!$E962:$X962,1,(_Engine!$J$45-1)*4+3))</f>
        <v/>
      </c>
    </row>
    <row r="905">
      <c r="A905" s="25">
        <f>IF(902&lt;=_Engine!$B$36,902,"")</f>
        <v/>
      </c>
      <c r="B905" s="26">
        <f>IF($A905="","",EDATE(_Engine!$B$5,$A905-1))</f>
        <v/>
      </c>
      <c r="C905" s="27">
        <f>IF($A905="","",_Engine!$AJ963)</f>
        <v/>
      </c>
      <c r="D905" s="27">
        <f>IF($A905="","",_Engine!$AK963)</f>
        <v/>
      </c>
      <c r="E905" s="27">
        <f>IF($A905="","",_Engine!$AJ963-_Engine!$AK963)</f>
        <v/>
      </c>
      <c r="F905" s="27">
        <f>IF($A905="","",_Engine!$AI963)</f>
        <v/>
      </c>
      <c r="G905" s="27">
        <f>IF(OR($A905="",_Engine!$D$41=0),"",INDEX(_Engine!$E963:$X963,1,(_Engine!$J$41-1)*4+3))</f>
        <v/>
      </c>
      <c r="H905" s="27">
        <f>IF(OR($A905="",_Engine!$D$42=0),"",INDEX(_Engine!$E963:$X963,1,(_Engine!$J$42-1)*4+3))</f>
        <v/>
      </c>
      <c r="I905" s="27">
        <f>IF(OR($A905="",_Engine!$D$43=0),"",INDEX(_Engine!$E963:$X963,1,(_Engine!$J$43-1)*4+3))</f>
        <v/>
      </c>
      <c r="J905" s="27">
        <f>IF(OR($A905="",_Engine!$D$44=0),"",INDEX(_Engine!$E963:$X963,1,(_Engine!$J$44-1)*4+3))</f>
        <v/>
      </c>
      <c r="K905" s="27">
        <f>IF(OR($A905="",_Engine!$D$45=0),"",INDEX(_Engine!$E963:$X963,1,(_Engine!$J$45-1)*4+3))</f>
        <v/>
      </c>
    </row>
    <row r="906">
      <c r="A906" s="25">
        <f>IF(903&lt;=_Engine!$B$36,903,"")</f>
        <v/>
      </c>
      <c r="B906" s="26">
        <f>IF($A906="","",EDATE(_Engine!$B$5,$A906-1))</f>
        <v/>
      </c>
      <c r="C906" s="27">
        <f>IF($A906="","",_Engine!$AJ964)</f>
        <v/>
      </c>
      <c r="D906" s="27">
        <f>IF($A906="","",_Engine!$AK964)</f>
        <v/>
      </c>
      <c r="E906" s="27">
        <f>IF($A906="","",_Engine!$AJ964-_Engine!$AK964)</f>
        <v/>
      </c>
      <c r="F906" s="27">
        <f>IF($A906="","",_Engine!$AI964)</f>
        <v/>
      </c>
      <c r="G906" s="27">
        <f>IF(OR($A906="",_Engine!$D$41=0),"",INDEX(_Engine!$E964:$X964,1,(_Engine!$J$41-1)*4+3))</f>
        <v/>
      </c>
      <c r="H906" s="27">
        <f>IF(OR($A906="",_Engine!$D$42=0),"",INDEX(_Engine!$E964:$X964,1,(_Engine!$J$42-1)*4+3))</f>
        <v/>
      </c>
      <c r="I906" s="27">
        <f>IF(OR($A906="",_Engine!$D$43=0),"",INDEX(_Engine!$E964:$X964,1,(_Engine!$J$43-1)*4+3))</f>
        <v/>
      </c>
      <c r="J906" s="27">
        <f>IF(OR($A906="",_Engine!$D$44=0),"",INDEX(_Engine!$E964:$X964,1,(_Engine!$J$44-1)*4+3))</f>
        <v/>
      </c>
      <c r="K906" s="27">
        <f>IF(OR($A906="",_Engine!$D$45=0),"",INDEX(_Engine!$E964:$X964,1,(_Engine!$J$45-1)*4+3))</f>
        <v/>
      </c>
    </row>
    <row r="907">
      <c r="A907" s="25">
        <f>IF(904&lt;=_Engine!$B$36,904,"")</f>
        <v/>
      </c>
      <c r="B907" s="26">
        <f>IF($A907="","",EDATE(_Engine!$B$5,$A907-1))</f>
        <v/>
      </c>
      <c r="C907" s="27">
        <f>IF($A907="","",_Engine!$AJ965)</f>
        <v/>
      </c>
      <c r="D907" s="27">
        <f>IF($A907="","",_Engine!$AK965)</f>
        <v/>
      </c>
      <c r="E907" s="27">
        <f>IF($A907="","",_Engine!$AJ965-_Engine!$AK965)</f>
        <v/>
      </c>
      <c r="F907" s="27">
        <f>IF($A907="","",_Engine!$AI965)</f>
        <v/>
      </c>
      <c r="G907" s="27">
        <f>IF(OR($A907="",_Engine!$D$41=0),"",INDEX(_Engine!$E965:$X965,1,(_Engine!$J$41-1)*4+3))</f>
        <v/>
      </c>
      <c r="H907" s="27">
        <f>IF(OR($A907="",_Engine!$D$42=0),"",INDEX(_Engine!$E965:$X965,1,(_Engine!$J$42-1)*4+3))</f>
        <v/>
      </c>
      <c r="I907" s="27">
        <f>IF(OR($A907="",_Engine!$D$43=0),"",INDEX(_Engine!$E965:$X965,1,(_Engine!$J$43-1)*4+3))</f>
        <v/>
      </c>
      <c r="J907" s="27">
        <f>IF(OR($A907="",_Engine!$D$44=0),"",INDEX(_Engine!$E965:$X965,1,(_Engine!$J$44-1)*4+3))</f>
        <v/>
      </c>
      <c r="K907" s="27">
        <f>IF(OR($A907="",_Engine!$D$45=0),"",INDEX(_Engine!$E965:$X965,1,(_Engine!$J$45-1)*4+3))</f>
        <v/>
      </c>
    </row>
    <row r="908">
      <c r="A908" s="25">
        <f>IF(905&lt;=_Engine!$B$36,905,"")</f>
        <v/>
      </c>
      <c r="B908" s="26">
        <f>IF($A908="","",EDATE(_Engine!$B$5,$A908-1))</f>
        <v/>
      </c>
      <c r="C908" s="27">
        <f>IF($A908="","",_Engine!$AJ966)</f>
        <v/>
      </c>
      <c r="D908" s="27">
        <f>IF($A908="","",_Engine!$AK966)</f>
        <v/>
      </c>
      <c r="E908" s="27">
        <f>IF($A908="","",_Engine!$AJ966-_Engine!$AK966)</f>
        <v/>
      </c>
      <c r="F908" s="27">
        <f>IF($A908="","",_Engine!$AI966)</f>
        <v/>
      </c>
      <c r="G908" s="27">
        <f>IF(OR($A908="",_Engine!$D$41=0),"",INDEX(_Engine!$E966:$X966,1,(_Engine!$J$41-1)*4+3))</f>
        <v/>
      </c>
      <c r="H908" s="27">
        <f>IF(OR($A908="",_Engine!$D$42=0),"",INDEX(_Engine!$E966:$X966,1,(_Engine!$J$42-1)*4+3))</f>
        <v/>
      </c>
      <c r="I908" s="27">
        <f>IF(OR($A908="",_Engine!$D$43=0),"",INDEX(_Engine!$E966:$X966,1,(_Engine!$J$43-1)*4+3))</f>
        <v/>
      </c>
      <c r="J908" s="27">
        <f>IF(OR($A908="",_Engine!$D$44=0),"",INDEX(_Engine!$E966:$X966,1,(_Engine!$J$44-1)*4+3))</f>
        <v/>
      </c>
      <c r="K908" s="27">
        <f>IF(OR($A908="",_Engine!$D$45=0),"",INDEX(_Engine!$E966:$X966,1,(_Engine!$J$45-1)*4+3))</f>
        <v/>
      </c>
    </row>
    <row r="909">
      <c r="A909" s="25">
        <f>IF(906&lt;=_Engine!$B$36,906,"")</f>
        <v/>
      </c>
      <c r="B909" s="26">
        <f>IF($A909="","",EDATE(_Engine!$B$5,$A909-1))</f>
        <v/>
      </c>
      <c r="C909" s="27">
        <f>IF($A909="","",_Engine!$AJ967)</f>
        <v/>
      </c>
      <c r="D909" s="27">
        <f>IF($A909="","",_Engine!$AK967)</f>
        <v/>
      </c>
      <c r="E909" s="27">
        <f>IF($A909="","",_Engine!$AJ967-_Engine!$AK967)</f>
        <v/>
      </c>
      <c r="F909" s="27">
        <f>IF($A909="","",_Engine!$AI967)</f>
        <v/>
      </c>
      <c r="G909" s="27">
        <f>IF(OR($A909="",_Engine!$D$41=0),"",INDEX(_Engine!$E967:$X967,1,(_Engine!$J$41-1)*4+3))</f>
        <v/>
      </c>
      <c r="H909" s="27">
        <f>IF(OR($A909="",_Engine!$D$42=0),"",INDEX(_Engine!$E967:$X967,1,(_Engine!$J$42-1)*4+3))</f>
        <v/>
      </c>
      <c r="I909" s="27">
        <f>IF(OR($A909="",_Engine!$D$43=0),"",INDEX(_Engine!$E967:$X967,1,(_Engine!$J$43-1)*4+3))</f>
        <v/>
      </c>
      <c r="J909" s="27">
        <f>IF(OR($A909="",_Engine!$D$44=0),"",INDEX(_Engine!$E967:$X967,1,(_Engine!$J$44-1)*4+3))</f>
        <v/>
      </c>
      <c r="K909" s="27">
        <f>IF(OR($A909="",_Engine!$D$45=0),"",INDEX(_Engine!$E967:$X967,1,(_Engine!$J$45-1)*4+3))</f>
        <v/>
      </c>
    </row>
    <row r="910">
      <c r="A910" s="25">
        <f>IF(907&lt;=_Engine!$B$36,907,"")</f>
        <v/>
      </c>
      <c r="B910" s="26">
        <f>IF($A910="","",EDATE(_Engine!$B$5,$A910-1))</f>
        <v/>
      </c>
      <c r="C910" s="27">
        <f>IF($A910="","",_Engine!$AJ968)</f>
        <v/>
      </c>
      <c r="D910" s="27">
        <f>IF($A910="","",_Engine!$AK968)</f>
        <v/>
      </c>
      <c r="E910" s="27">
        <f>IF($A910="","",_Engine!$AJ968-_Engine!$AK968)</f>
        <v/>
      </c>
      <c r="F910" s="27">
        <f>IF($A910="","",_Engine!$AI968)</f>
        <v/>
      </c>
      <c r="G910" s="27">
        <f>IF(OR($A910="",_Engine!$D$41=0),"",INDEX(_Engine!$E968:$X968,1,(_Engine!$J$41-1)*4+3))</f>
        <v/>
      </c>
      <c r="H910" s="27">
        <f>IF(OR($A910="",_Engine!$D$42=0),"",INDEX(_Engine!$E968:$X968,1,(_Engine!$J$42-1)*4+3))</f>
        <v/>
      </c>
      <c r="I910" s="27">
        <f>IF(OR($A910="",_Engine!$D$43=0),"",INDEX(_Engine!$E968:$X968,1,(_Engine!$J$43-1)*4+3))</f>
        <v/>
      </c>
      <c r="J910" s="27">
        <f>IF(OR($A910="",_Engine!$D$44=0),"",INDEX(_Engine!$E968:$X968,1,(_Engine!$J$44-1)*4+3))</f>
        <v/>
      </c>
      <c r="K910" s="27">
        <f>IF(OR($A910="",_Engine!$D$45=0),"",INDEX(_Engine!$E968:$X968,1,(_Engine!$J$45-1)*4+3))</f>
        <v/>
      </c>
    </row>
    <row r="911">
      <c r="A911" s="25">
        <f>IF(908&lt;=_Engine!$B$36,908,"")</f>
        <v/>
      </c>
      <c r="B911" s="26">
        <f>IF($A911="","",EDATE(_Engine!$B$5,$A911-1))</f>
        <v/>
      </c>
      <c r="C911" s="27">
        <f>IF($A911="","",_Engine!$AJ969)</f>
        <v/>
      </c>
      <c r="D911" s="27">
        <f>IF($A911="","",_Engine!$AK969)</f>
        <v/>
      </c>
      <c r="E911" s="27">
        <f>IF($A911="","",_Engine!$AJ969-_Engine!$AK969)</f>
        <v/>
      </c>
      <c r="F911" s="27">
        <f>IF($A911="","",_Engine!$AI969)</f>
        <v/>
      </c>
      <c r="G911" s="27">
        <f>IF(OR($A911="",_Engine!$D$41=0),"",INDEX(_Engine!$E969:$X969,1,(_Engine!$J$41-1)*4+3))</f>
        <v/>
      </c>
      <c r="H911" s="27">
        <f>IF(OR($A911="",_Engine!$D$42=0),"",INDEX(_Engine!$E969:$X969,1,(_Engine!$J$42-1)*4+3))</f>
        <v/>
      </c>
      <c r="I911" s="27">
        <f>IF(OR($A911="",_Engine!$D$43=0),"",INDEX(_Engine!$E969:$X969,1,(_Engine!$J$43-1)*4+3))</f>
        <v/>
      </c>
      <c r="J911" s="27">
        <f>IF(OR($A911="",_Engine!$D$44=0),"",INDEX(_Engine!$E969:$X969,1,(_Engine!$J$44-1)*4+3))</f>
        <v/>
      </c>
      <c r="K911" s="27">
        <f>IF(OR($A911="",_Engine!$D$45=0),"",INDEX(_Engine!$E969:$X969,1,(_Engine!$J$45-1)*4+3))</f>
        <v/>
      </c>
    </row>
    <row r="912">
      <c r="A912" s="25">
        <f>IF(909&lt;=_Engine!$B$36,909,"")</f>
        <v/>
      </c>
      <c r="B912" s="26">
        <f>IF($A912="","",EDATE(_Engine!$B$5,$A912-1))</f>
        <v/>
      </c>
      <c r="C912" s="27">
        <f>IF($A912="","",_Engine!$AJ970)</f>
        <v/>
      </c>
      <c r="D912" s="27">
        <f>IF($A912="","",_Engine!$AK970)</f>
        <v/>
      </c>
      <c r="E912" s="27">
        <f>IF($A912="","",_Engine!$AJ970-_Engine!$AK970)</f>
        <v/>
      </c>
      <c r="F912" s="27">
        <f>IF($A912="","",_Engine!$AI970)</f>
        <v/>
      </c>
      <c r="G912" s="27">
        <f>IF(OR($A912="",_Engine!$D$41=0),"",INDEX(_Engine!$E970:$X970,1,(_Engine!$J$41-1)*4+3))</f>
        <v/>
      </c>
      <c r="H912" s="27">
        <f>IF(OR($A912="",_Engine!$D$42=0),"",INDEX(_Engine!$E970:$X970,1,(_Engine!$J$42-1)*4+3))</f>
        <v/>
      </c>
      <c r="I912" s="27">
        <f>IF(OR($A912="",_Engine!$D$43=0),"",INDEX(_Engine!$E970:$X970,1,(_Engine!$J$43-1)*4+3))</f>
        <v/>
      </c>
      <c r="J912" s="27">
        <f>IF(OR($A912="",_Engine!$D$44=0),"",INDEX(_Engine!$E970:$X970,1,(_Engine!$J$44-1)*4+3))</f>
        <v/>
      </c>
      <c r="K912" s="27">
        <f>IF(OR($A912="",_Engine!$D$45=0),"",INDEX(_Engine!$E970:$X970,1,(_Engine!$J$45-1)*4+3))</f>
        <v/>
      </c>
    </row>
    <row r="913">
      <c r="A913" s="25">
        <f>IF(910&lt;=_Engine!$B$36,910,"")</f>
        <v/>
      </c>
      <c r="B913" s="26">
        <f>IF($A913="","",EDATE(_Engine!$B$5,$A913-1))</f>
        <v/>
      </c>
      <c r="C913" s="27">
        <f>IF($A913="","",_Engine!$AJ971)</f>
        <v/>
      </c>
      <c r="D913" s="27">
        <f>IF($A913="","",_Engine!$AK971)</f>
        <v/>
      </c>
      <c r="E913" s="27">
        <f>IF($A913="","",_Engine!$AJ971-_Engine!$AK971)</f>
        <v/>
      </c>
      <c r="F913" s="27">
        <f>IF($A913="","",_Engine!$AI971)</f>
        <v/>
      </c>
      <c r="G913" s="27">
        <f>IF(OR($A913="",_Engine!$D$41=0),"",INDEX(_Engine!$E971:$X971,1,(_Engine!$J$41-1)*4+3))</f>
        <v/>
      </c>
      <c r="H913" s="27">
        <f>IF(OR($A913="",_Engine!$D$42=0),"",INDEX(_Engine!$E971:$X971,1,(_Engine!$J$42-1)*4+3))</f>
        <v/>
      </c>
      <c r="I913" s="27">
        <f>IF(OR($A913="",_Engine!$D$43=0),"",INDEX(_Engine!$E971:$X971,1,(_Engine!$J$43-1)*4+3))</f>
        <v/>
      </c>
      <c r="J913" s="27">
        <f>IF(OR($A913="",_Engine!$D$44=0),"",INDEX(_Engine!$E971:$X971,1,(_Engine!$J$44-1)*4+3))</f>
        <v/>
      </c>
      <c r="K913" s="27">
        <f>IF(OR($A913="",_Engine!$D$45=0),"",INDEX(_Engine!$E971:$X971,1,(_Engine!$J$45-1)*4+3))</f>
        <v/>
      </c>
    </row>
    <row r="914">
      <c r="A914" s="25">
        <f>IF(911&lt;=_Engine!$B$36,911,"")</f>
        <v/>
      </c>
      <c r="B914" s="26">
        <f>IF($A914="","",EDATE(_Engine!$B$5,$A914-1))</f>
        <v/>
      </c>
      <c r="C914" s="27">
        <f>IF($A914="","",_Engine!$AJ972)</f>
        <v/>
      </c>
      <c r="D914" s="27">
        <f>IF($A914="","",_Engine!$AK972)</f>
        <v/>
      </c>
      <c r="E914" s="27">
        <f>IF($A914="","",_Engine!$AJ972-_Engine!$AK972)</f>
        <v/>
      </c>
      <c r="F914" s="27">
        <f>IF($A914="","",_Engine!$AI972)</f>
        <v/>
      </c>
      <c r="G914" s="27">
        <f>IF(OR($A914="",_Engine!$D$41=0),"",INDEX(_Engine!$E972:$X972,1,(_Engine!$J$41-1)*4+3))</f>
        <v/>
      </c>
      <c r="H914" s="27">
        <f>IF(OR($A914="",_Engine!$D$42=0),"",INDEX(_Engine!$E972:$X972,1,(_Engine!$J$42-1)*4+3))</f>
        <v/>
      </c>
      <c r="I914" s="27">
        <f>IF(OR($A914="",_Engine!$D$43=0),"",INDEX(_Engine!$E972:$X972,1,(_Engine!$J$43-1)*4+3))</f>
        <v/>
      </c>
      <c r="J914" s="27">
        <f>IF(OR($A914="",_Engine!$D$44=0),"",INDEX(_Engine!$E972:$X972,1,(_Engine!$J$44-1)*4+3))</f>
        <v/>
      </c>
      <c r="K914" s="27">
        <f>IF(OR($A914="",_Engine!$D$45=0),"",INDEX(_Engine!$E972:$X972,1,(_Engine!$J$45-1)*4+3))</f>
        <v/>
      </c>
    </row>
    <row r="915">
      <c r="A915" s="25">
        <f>IF(912&lt;=_Engine!$B$36,912,"")</f>
        <v/>
      </c>
      <c r="B915" s="26">
        <f>IF($A915="","",EDATE(_Engine!$B$5,$A915-1))</f>
        <v/>
      </c>
      <c r="C915" s="27">
        <f>IF($A915="","",_Engine!$AJ973)</f>
        <v/>
      </c>
      <c r="D915" s="27">
        <f>IF($A915="","",_Engine!$AK973)</f>
        <v/>
      </c>
      <c r="E915" s="27">
        <f>IF($A915="","",_Engine!$AJ973-_Engine!$AK973)</f>
        <v/>
      </c>
      <c r="F915" s="27">
        <f>IF($A915="","",_Engine!$AI973)</f>
        <v/>
      </c>
      <c r="G915" s="27">
        <f>IF(OR($A915="",_Engine!$D$41=0),"",INDEX(_Engine!$E973:$X973,1,(_Engine!$J$41-1)*4+3))</f>
        <v/>
      </c>
      <c r="H915" s="27">
        <f>IF(OR($A915="",_Engine!$D$42=0),"",INDEX(_Engine!$E973:$X973,1,(_Engine!$J$42-1)*4+3))</f>
        <v/>
      </c>
      <c r="I915" s="27">
        <f>IF(OR($A915="",_Engine!$D$43=0),"",INDEX(_Engine!$E973:$X973,1,(_Engine!$J$43-1)*4+3))</f>
        <v/>
      </c>
      <c r="J915" s="27">
        <f>IF(OR($A915="",_Engine!$D$44=0),"",INDEX(_Engine!$E973:$X973,1,(_Engine!$J$44-1)*4+3))</f>
        <v/>
      </c>
      <c r="K915" s="27">
        <f>IF(OR($A915="",_Engine!$D$45=0),"",INDEX(_Engine!$E973:$X973,1,(_Engine!$J$45-1)*4+3))</f>
        <v/>
      </c>
    </row>
    <row r="916">
      <c r="A916" s="25">
        <f>IF(913&lt;=_Engine!$B$36,913,"")</f>
        <v/>
      </c>
      <c r="B916" s="26">
        <f>IF($A916="","",EDATE(_Engine!$B$5,$A916-1))</f>
        <v/>
      </c>
      <c r="C916" s="27">
        <f>IF($A916="","",_Engine!$AJ974)</f>
        <v/>
      </c>
      <c r="D916" s="27">
        <f>IF($A916="","",_Engine!$AK974)</f>
        <v/>
      </c>
      <c r="E916" s="27">
        <f>IF($A916="","",_Engine!$AJ974-_Engine!$AK974)</f>
        <v/>
      </c>
      <c r="F916" s="27">
        <f>IF($A916="","",_Engine!$AI974)</f>
        <v/>
      </c>
      <c r="G916" s="27">
        <f>IF(OR($A916="",_Engine!$D$41=0),"",INDEX(_Engine!$E974:$X974,1,(_Engine!$J$41-1)*4+3))</f>
        <v/>
      </c>
      <c r="H916" s="27">
        <f>IF(OR($A916="",_Engine!$D$42=0),"",INDEX(_Engine!$E974:$X974,1,(_Engine!$J$42-1)*4+3))</f>
        <v/>
      </c>
      <c r="I916" s="27">
        <f>IF(OR($A916="",_Engine!$D$43=0),"",INDEX(_Engine!$E974:$X974,1,(_Engine!$J$43-1)*4+3))</f>
        <v/>
      </c>
      <c r="J916" s="27">
        <f>IF(OR($A916="",_Engine!$D$44=0),"",INDEX(_Engine!$E974:$X974,1,(_Engine!$J$44-1)*4+3))</f>
        <v/>
      </c>
      <c r="K916" s="27">
        <f>IF(OR($A916="",_Engine!$D$45=0),"",INDEX(_Engine!$E974:$X974,1,(_Engine!$J$45-1)*4+3))</f>
        <v/>
      </c>
    </row>
    <row r="917">
      <c r="A917" s="25">
        <f>IF(914&lt;=_Engine!$B$36,914,"")</f>
        <v/>
      </c>
      <c r="B917" s="26">
        <f>IF($A917="","",EDATE(_Engine!$B$5,$A917-1))</f>
        <v/>
      </c>
      <c r="C917" s="27">
        <f>IF($A917="","",_Engine!$AJ975)</f>
        <v/>
      </c>
      <c r="D917" s="27">
        <f>IF($A917="","",_Engine!$AK975)</f>
        <v/>
      </c>
      <c r="E917" s="27">
        <f>IF($A917="","",_Engine!$AJ975-_Engine!$AK975)</f>
        <v/>
      </c>
      <c r="F917" s="27">
        <f>IF($A917="","",_Engine!$AI975)</f>
        <v/>
      </c>
      <c r="G917" s="27">
        <f>IF(OR($A917="",_Engine!$D$41=0),"",INDEX(_Engine!$E975:$X975,1,(_Engine!$J$41-1)*4+3))</f>
        <v/>
      </c>
      <c r="H917" s="27">
        <f>IF(OR($A917="",_Engine!$D$42=0),"",INDEX(_Engine!$E975:$X975,1,(_Engine!$J$42-1)*4+3))</f>
        <v/>
      </c>
      <c r="I917" s="27">
        <f>IF(OR($A917="",_Engine!$D$43=0),"",INDEX(_Engine!$E975:$X975,1,(_Engine!$J$43-1)*4+3))</f>
        <v/>
      </c>
      <c r="J917" s="27">
        <f>IF(OR($A917="",_Engine!$D$44=0),"",INDEX(_Engine!$E975:$X975,1,(_Engine!$J$44-1)*4+3))</f>
        <v/>
      </c>
      <c r="K917" s="27">
        <f>IF(OR($A917="",_Engine!$D$45=0),"",INDEX(_Engine!$E975:$X975,1,(_Engine!$J$45-1)*4+3))</f>
        <v/>
      </c>
    </row>
    <row r="918">
      <c r="A918" s="25">
        <f>IF(915&lt;=_Engine!$B$36,915,"")</f>
        <v/>
      </c>
      <c r="B918" s="26">
        <f>IF($A918="","",EDATE(_Engine!$B$5,$A918-1))</f>
        <v/>
      </c>
      <c r="C918" s="27">
        <f>IF($A918="","",_Engine!$AJ976)</f>
        <v/>
      </c>
      <c r="D918" s="27">
        <f>IF($A918="","",_Engine!$AK976)</f>
        <v/>
      </c>
      <c r="E918" s="27">
        <f>IF($A918="","",_Engine!$AJ976-_Engine!$AK976)</f>
        <v/>
      </c>
      <c r="F918" s="27">
        <f>IF($A918="","",_Engine!$AI976)</f>
        <v/>
      </c>
      <c r="G918" s="27">
        <f>IF(OR($A918="",_Engine!$D$41=0),"",INDEX(_Engine!$E976:$X976,1,(_Engine!$J$41-1)*4+3))</f>
        <v/>
      </c>
      <c r="H918" s="27">
        <f>IF(OR($A918="",_Engine!$D$42=0),"",INDEX(_Engine!$E976:$X976,1,(_Engine!$J$42-1)*4+3))</f>
        <v/>
      </c>
      <c r="I918" s="27">
        <f>IF(OR($A918="",_Engine!$D$43=0),"",INDEX(_Engine!$E976:$X976,1,(_Engine!$J$43-1)*4+3))</f>
        <v/>
      </c>
      <c r="J918" s="27">
        <f>IF(OR($A918="",_Engine!$D$44=0),"",INDEX(_Engine!$E976:$X976,1,(_Engine!$J$44-1)*4+3))</f>
        <v/>
      </c>
      <c r="K918" s="27">
        <f>IF(OR($A918="",_Engine!$D$45=0),"",INDEX(_Engine!$E976:$X976,1,(_Engine!$J$45-1)*4+3))</f>
        <v/>
      </c>
    </row>
    <row r="919">
      <c r="A919" s="25">
        <f>IF(916&lt;=_Engine!$B$36,916,"")</f>
        <v/>
      </c>
      <c r="B919" s="26">
        <f>IF($A919="","",EDATE(_Engine!$B$5,$A919-1))</f>
        <v/>
      </c>
      <c r="C919" s="27">
        <f>IF($A919="","",_Engine!$AJ977)</f>
        <v/>
      </c>
      <c r="D919" s="27">
        <f>IF($A919="","",_Engine!$AK977)</f>
        <v/>
      </c>
      <c r="E919" s="27">
        <f>IF($A919="","",_Engine!$AJ977-_Engine!$AK977)</f>
        <v/>
      </c>
      <c r="F919" s="27">
        <f>IF($A919="","",_Engine!$AI977)</f>
        <v/>
      </c>
      <c r="G919" s="27">
        <f>IF(OR($A919="",_Engine!$D$41=0),"",INDEX(_Engine!$E977:$X977,1,(_Engine!$J$41-1)*4+3))</f>
        <v/>
      </c>
      <c r="H919" s="27">
        <f>IF(OR($A919="",_Engine!$D$42=0),"",INDEX(_Engine!$E977:$X977,1,(_Engine!$J$42-1)*4+3))</f>
        <v/>
      </c>
      <c r="I919" s="27">
        <f>IF(OR($A919="",_Engine!$D$43=0),"",INDEX(_Engine!$E977:$X977,1,(_Engine!$J$43-1)*4+3))</f>
        <v/>
      </c>
      <c r="J919" s="27">
        <f>IF(OR($A919="",_Engine!$D$44=0),"",INDEX(_Engine!$E977:$X977,1,(_Engine!$J$44-1)*4+3))</f>
        <v/>
      </c>
      <c r="K919" s="27">
        <f>IF(OR($A919="",_Engine!$D$45=0),"",INDEX(_Engine!$E977:$X977,1,(_Engine!$J$45-1)*4+3))</f>
        <v/>
      </c>
    </row>
    <row r="920">
      <c r="A920" s="25">
        <f>IF(917&lt;=_Engine!$B$36,917,"")</f>
        <v/>
      </c>
      <c r="B920" s="26">
        <f>IF($A920="","",EDATE(_Engine!$B$5,$A920-1))</f>
        <v/>
      </c>
      <c r="C920" s="27">
        <f>IF($A920="","",_Engine!$AJ978)</f>
        <v/>
      </c>
      <c r="D920" s="27">
        <f>IF($A920="","",_Engine!$AK978)</f>
        <v/>
      </c>
      <c r="E920" s="27">
        <f>IF($A920="","",_Engine!$AJ978-_Engine!$AK978)</f>
        <v/>
      </c>
      <c r="F920" s="27">
        <f>IF($A920="","",_Engine!$AI978)</f>
        <v/>
      </c>
      <c r="G920" s="27">
        <f>IF(OR($A920="",_Engine!$D$41=0),"",INDEX(_Engine!$E978:$X978,1,(_Engine!$J$41-1)*4+3))</f>
        <v/>
      </c>
      <c r="H920" s="27">
        <f>IF(OR($A920="",_Engine!$D$42=0),"",INDEX(_Engine!$E978:$X978,1,(_Engine!$J$42-1)*4+3))</f>
        <v/>
      </c>
      <c r="I920" s="27">
        <f>IF(OR($A920="",_Engine!$D$43=0),"",INDEX(_Engine!$E978:$X978,1,(_Engine!$J$43-1)*4+3))</f>
        <v/>
      </c>
      <c r="J920" s="27">
        <f>IF(OR($A920="",_Engine!$D$44=0),"",INDEX(_Engine!$E978:$X978,1,(_Engine!$J$44-1)*4+3))</f>
        <v/>
      </c>
      <c r="K920" s="27">
        <f>IF(OR($A920="",_Engine!$D$45=0),"",INDEX(_Engine!$E978:$X978,1,(_Engine!$J$45-1)*4+3))</f>
        <v/>
      </c>
    </row>
    <row r="921">
      <c r="A921" s="25">
        <f>IF(918&lt;=_Engine!$B$36,918,"")</f>
        <v/>
      </c>
      <c r="B921" s="26">
        <f>IF($A921="","",EDATE(_Engine!$B$5,$A921-1))</f>
        <v/>
      </c>
      <c r="C921" s="27">
        <f>IF($A921="","",_Engine!$AJ979)</f>
        <v/>
      </c>
      <c r="D921" s="27">
        <f>IF($A921="","",_Engine!$AK979)</f>
        <v/>
      </c>
      <c r="E921" s="27">
        <f>IF($A921="","",_Engine!$AJ979-_Engine!$AK979)</f>
        <v/>
      </c>
      <c r="F921" s="27">
        <f>IF($A921="","",_Engine!$AI979)</f>
        <v/>
      </c>
      <c r="G921" s="27">
        <f>IF(OR($A921="",_Engine!$D$41=0),"",INDEX(_Engine!$E979:$X979,1,(_Engine!$J$41-1)*4+3))</f>
        <v/>
      </c>
      <c r="H921" s="27">
        <f>IF(OR($A921="",_Engine!$D$42=0),"",INDEX(_Engine!$E979:$X979,1,(_Engine!$J$42-1)*4+3))</f>
        <v/>
      </c>
      <c r="I921" s="27">
        <f>IF(OR($A921="",_Engine!$D$43=0),"",INDEX(_Engine!$E979:$X979,1,(_Engine!$J$43-1)*4+3))</f>
        <v/>
      </c>
      <c r="J921" s="27">
        <f>IF(OR($A921="",_Engine!$D$44=0),"",INDEX(_Engine!$E979:$X979,1,(_Engine!$J$44-1)*4+3))</f>
        <v/>
      </c>
      <c r="K921" s="27">
        <f>IF(OR($A921="",_Engine!$D$45=0),"",INDEX(_Engine!$E979:$X979,1,(_Engine!$J$45-1)*4+3))</f>
        <v/>
      </c>
    </row>
    <row r="922">
      <c r="A922" s="25">
        <f>IF(919&lt;=_Engine!$B$36,919,"")</f>
        <v/>
      </c>
      <c r="B922" s="26">
        <f>IF($A922="","",EDATE(_Engine!$B$5,$A922-1))</f>
        <v/>
      </c>
      <c r="C922" s="27">
        <f>IF($A922="","",_Engine!$AJ980)</f>
        <v/>
      </c>
      <c r="D922" s="27">
        <f>IF($A922="","",_Engine!$AK980)</f>
        <v/>
      </c>
      <c r="E922" s="27">
        <f>IF($A922="","",_Engine!$AJ980-_Engine!$AK980)</f>
        <v/>
      </c>
      <c r="F922" s="27">
        <f>IF($A922="","",_Engine!$AI980)</f>
        <v/>
      </c>
      <c r="G922" s="27">
        <f>IF(OR($A922="",_Engine!$D$41=0),"",INDEX(_Engine!$E980:$X980,1,(_Engine!$J$41-1)*4+3))</f>
        <v/>
      </c>
      <c r="H922" s="27">
        <f>IF(OR($A922="",_Engine!$D$42=0),"",INDEX(_Engine!$E980:$X980,1,(_Engine!$J$42-1)*4+3))</f>
        <v/>
      </c>
      <c r="I922" s="27">
        <f>IF(OR($A922="",_Engine!$D$43=0),"",INDEX(_Engine!$E980:$X980,1,(_Engine!$J$43-1)*4+3))</f>
        <v/>
      </c>
      <c r="J922" s="27">
        <f>IF(OR($A922="",_Engine!$D$44=0),"",INDEX(_Engine!$E980:$X980,1,(_Engine!$J$44-1)*4+3))</f>
        <v/>
      </c>
      <c r="K922" s="27">
        <f>IF(OR($A922="",_Engine!$D$45=0),"",INDEX(_Engine!$E980:$X980,1,(_Engine!$J$45-1)*4+3))</f>
        <v/>
      </c>
    </row>
    <row r="923">
      <c r="A923" s="25">
        <f>IF(920&lt;=_Engine!$B$36,920,"")</f>
        <v/>
      </c>
      <c r="B923" s="26">
        <f>IF($A923="","",EDATE(_Engine!$B$5,$A923-1))</f>
        <v/>
      </c>
      <c r="C923" s="27">
        <f>IF($A923="","",_Engine!$AJ981)</f>
        <v/>
      </c>
      <c r="D923" s="27">
        <f>IF($A923="","",_Engine!$AK981)</f>
        <v/>
      </c>
      <c r="E923" s="27">
        <f>IF($A923="","",_Engine!$AJ981-_Engine!$AK981)</f>
        <v/>
      </c>
      <c r="F923" s="27">
        <f>IF($A923="","",_Engine!$AI981)</f>
        <v/>
      </c>
      <c r="G923" s="27">
        <f>IF(OR($A923="",_Engine!$D$41=0),"",INDEX(_Engine!$E981:$X981,1,(_Engine!$J$41-1)*4+3))</f>
        <v/>
      </c>
      <c r="H923" s="27">
        <f>IF(OR($A923="",_Engine!$D$42=0),"",INDEX(_Engine!$E981:$X981,1,(_Engine!$J$42-1)*4+3))</f>
        <v/>
      </c>
      <c r="I923" s="27">
        <f>IF(OR($A923="",_Engine!$D$43=0),"",INDEX(_Engine!$E981:$X981,1,(_Engine!$J$43-1)*4+3))</f>
        <v/>
      </c>
      <c r="J923" s="27">
        <f>IF(OR($A923="",_Engine!$D$44=0),"",INDEX(_Engine!$E981:$X981,1,(_Engine!$J$44-1)*4+3))</f>
        <v/>
      </c>
      <c r="K923" s="27">
        <f>IF(OR($A923="",_Engine!$D$45=0),"",INDEX(_Engine!$E981:$X981,1,(_Engine!$J$45-1)*4+3))</f>
        <v/>
      </c>
    </row>
    <row r="924">
      <c r="A924" s="25">
        <f>IF(921&lt;=_Engine!$B$36,921,"")</f>
        <v/>
      </c>
      <c r="B924" s="26">
        <f>IF($A924="","",EDATE(_Engine!$B$5,$A924-1))</f>
        <v/>
      </c>
      <c r="C924" s="27">
        <f>IF($A924="","",_Engine!$AJ982)</f>
        <v/>
      </c>
      <c r="D924" s="27">
        <f>IF($A924="","",_Engine!$AK982)</f>
        <v/>
      </c>
      <c r="E924" s="27">
        <f>IF($A924="","",_Engine!$AJ982-_Engine!$AK982)</f>
        <v/>
      </c>
      <c r="F924" s="27">
        <f>IF($A924="","",_Engine!$AI982)</f>
        <v/>
      </c>
      <c r="G924" s="27">
        <f>IF(OR($A924="",_Engine!$D$41=0),"",INDEX(_Engine!$E982:$X982,1,(_Engine!$J$41-1)*4+3))</f>
        <v/>
      </c>
      <c r="H924" s="27">
        <f>IF(OR($A924="",_Engine!$D$42=0),"",INDEX(_Engine!$E982:$X982,1,(_Engine!$J$42-1)*4+3))</f>
        <v/>
      </c>
      <c r="I924" s="27">
        <f>IF(OR($A924="",_Engine!$D$43=0),"",INDEX(_Engine!$E982:$X982,1,(_Engine!$J$43-1)*4+3))</f>
        <v/>
      </c>
      <c r="J924" s="27">
        <f>IF(OR($A924="",_Engine!$D$44=0),"",INDEX(_Engine!$E982:$X982,1,(_Engine!$J$44-1)*4+3))</f>
        <v/>
      </c>
      <c r="K924" s="27">
        <f>IF(OR($A924="",_Engine!$D$45=0),"",INDEX(_Engine!$E982:$X982,1,(_Engine!$J$45-1)*4+3))</f>
        <v/>
      </c>
    </row>
    <row r="925">
      <c r="A925" s="25">
        <f>IF(922&lt;=_Engine!$B$36,922,"")</f>
        <v/>
      </c>
      <c r="B925" s="26">
        <f>IF($A925="","",EDATE(_Engine!$B$5,$A925-1))</f>
        <v/>
      </c>
      <c r="C925" s="27">
        <f>IF($A925="","",_Engine!$AJ983)</f>
        <v/>
      </c>
      <c r="D925" s="27">
        <f>IF($A925="","",_Engine!$AK983)</f>
        <v/>
      </c>
      <c r="E925" s="27">
        <f>IF($A925="","",_Engine!$AJ983-_Engine!$AK983)</f>
        <v/>
      </c>
      <c r="F925" s="27">
        <f>IF($A925="","",_Engine!$AI983)</f>
        <v/>
      </c>
      <c r="G925" s="27">
        <f>IF(OR($A925="",_Engine!$D$41=0),"",INDEX(_Engine!$E983:$X983,1,(_Engine!$J$41-1)*4+3))</f>
        <v/>
      </c>
      <c r="H925" s="27">
        <f>IF(OR($A925="",_Engine!$D$42=0),"",INDEX(_Engine!$E983:$X983,1,(_Engine!$J$42-1)*4+3))</f>
        <v/>
      </c>
      <c r="I925" s="27">
        <f>IF(OR($A925="",_Engine!$D$43=0),"",INDEX(_Engine!$E983:$X983,1,(_Engine!$J$43-1)*4+3))</f>
        <v/>
      </c>
      <c r="J925" s="27">
        <f>IF(OR($A925="",_Engine!$D$44=0),"",INDEX(_Engine!$E983:$X983,1,(_Engine!$J$44-1)*4+3))</f>
        <v/>
      </c>
      <c r="K925" s="27">
        <f>IF(OR($A925="",_Engine!$D$45=0),"",INDEX(_Engine!$E983:$X983,1,(_Engine!$J$45-1)*4+3))</f>
        <v/>
      </c>
    </row>
    <row r="926">
      <c r="A926" s="25">
        <f>IF(923&lt;=_Engine!$B$36,923,"")</f>
        <v/>
      </c>
      <c r="B926" s="26">
        <f>IF($A926="","",EDATE(_Engine!$B$5,$A926-1))</f>
        <v/>
      </c>
      <c r="C926" s="27">
        <f>IF($A926="","",_Engine!$AJ984)</f>
        <v/>
      </c>
      <c r="D926" s="27">
        <f>IF($A926="","",_Engine!$AK984)</f>
        <v/>
      </c>
      <c r="E926" s="27">
        <f>IF($A926="","",_Engine!$AJ984-_Engine!$AK984)</f>
        <v/>
      </c>
      <c r="F926" s="27">
        <f>IF($A926="","",_Engine!$AI984)</f>
        <v/>
      </c>
      <c r="G926" s="27">
        <f>IF(OR($A926="",_Engine!$D$41=0),"",INDEX(_Engine!$E984:$X984,1,(_Engine!$J$41-1)*4+3))</f>
        <v/>
      </c>
      <c r="H926" s="27">
        <f>IF(OR($A926="",_Engine!$D$42=0),"",INDEX(_Engine!$E984:$X984,1,(_Engine!$J$42-1)*4+3))</f>
        <v/>
      </c>
      <c r="I926" s="27">
        <f>IF(OR($A926="",_Engine!$D$43=0),"",INDEX(_Engine!$E984:$X984,1,(_Engine!$J$43-1)*4+3))</f>
        <v/>
      </c>
      <c r="J926" s="27">
        <f>IF(OR($A926="",_Engine!$D$44=0),"",INDEX(_Engine!$E984:$X984,1,(_Engine!$J$44-1)*4+3))</f>
        <v/>
      </c>
      <c r="K926" s="27">
        <f>IF(OR($A926="",_Engine!$D$45=0),"",INDEX(_Engine!$E984:$X984,1,(_Engine!$J$45-1)*4+3))</f>
        <v/>
      </c>
    </row>
    <row r="927">
      <c r="A927" s="25">
        <f>IF(924&lt;=_Engine!$B$36,924,"")</f>
        <v/>
      </c>
      <c r="B927" s="26">
        <f>IF($A927="","",EDATE(_Engine!$B$5,$A927-1))</f>
        <v/>
      </c>
      <c r="C927" s="27">
        <f>IF($A927="","",_Engine!$AJ985)</f>
        <v/>
      </c>
      <c r="D927" s="27">
        <f>IF($A927="","",_Engine!$AK985)</f>
        <v/>
      </c>
      <c r="E927" s="27">
        <f>IF($A927="","",_Engine!$AJ985-_Engine!$AK985)</f>
        <v/>
      </c>
      <c r="F927" s="27">
        <f>IF($A927="","",_Engine!$AI985)</f>
        <v/>
      </c>
      <c r="G927" s="27">
        <f>IF(OR($A927="",_Engine!$D$41=0),"",INDEX(_Engine!$E985:$X985,1,(_Engine!$J$41-1)*4+3))</f>
        <v/>
      </c>
      <c r="H927" s="27">
        <f>IF(OR($A927="",_Engine!$D$42=0),"",INDEX(_Engine!$E985:$X985,1,(_Engine!$J$42-1)*4+3))</f>
        <v/>
      </c>
      <c r="I927" s="27">
        <f>IF(OR($A927="",_Engine!$D$43=0),"",INDEX(_Engine!$E985:$X985,1,(_Engine!$J$43-1)*4+3))</f>
        <v/>
      </c>
      <c r="J927" s="27">
        <f>IF(OR($A927="",_Engine!$D$44=0),"",INDEX(_Engine!$E985:$X985,1,(_Engine!$J$44-1)*4+3))</f>
        <v/>
      </c>
      <c r="K927" s="27">
        <f>IF(OR($A927="",_Engine!$D$45=0),"",INDEX(_Engine!$E985:$X985,1,(_Engine!$J$45-1)*4+3))</f>
        <v/>
      </c>
    </row>
    <row r="928">
      <c r="A928" s="25">
        <f>IF(925&lt;=_Engine!$B$36,925,"")</f>
        <v/>
      </c>
      <c r="B928" s="26">
        <f>IF($A928="","",EDATE(_Engine!$B$5,$A928-1))</f>
        <v/>
      </c>
      <c r="C928" s="27">
        <f>IF($A928="","",_Engine!$AJ986)</f>
        <v/>
      </c>
      <c r="D928" s="27">
        <f>IF($A928="","",_Engine!$AK986)</f>
        <v/>
      </c>
      <c r="E928" s="27">
        <f>IF($A928="","",_Engine!$AJ986-_Engine!$AK986)</f>
        <v/>
      </c>
      <c r="F928" s="27">
        <f>IF($A928="","",_Engine!$AI986)</f>
        <v/>
      </c>
      <c r="G928" s="27">
        <f>IF(OR($A928="",_Engine!$D$41=0),"",INDEX(_Engine!$E986:$X986,1,(_Engine!$J$41-1)*4+3))</f>
        <v/>
      </c>
      <c r="H928" s="27">
        <f>IF(OR($A928="",_Engine!$D$42=0),"",INDEX(_Engine!$E986:$X986,1,(_Engine!$J$42-1)*4+3))</f>
        <v/>
      </c>
      <c r="I928" s="27">
        <f>IF(OR($A928="",_Engine!$D$43=0),"",INDEX(_Engine!$E986:$X986,1,(_Engine!$J$43-1)*4+3))</f>
        <v/>
      </c>
      <c r="J928" s="27">
        <f>IF(OR($A928="",_Engine!$D$44=0),"",INDEX(_Engine!$E986:$X986,1,(_Engine!$J$44-1)*4+3))</f>
        <v/>
      </c>
      <c r="K928" s="27">
        <f>IF(OR($A928="",_Engine!$D$45=0),"",INDEX(_Engine!$E986:$X986,1,(_Engine!$J$45-1)*4+3))</f>
        <v/>
      </c>
    </row>
    <row r="929">
      <c r="A929" s="25">
        <f>IF(926&lt;=_Engine!$B$36,926,"")</f>
        <v/>
      </c>
      <c r="B929" s="26">
        <f>IF($A929="","",EDATE(_Engine!$B$5,$A929-1))</f>
        <v/>
      </c>
      <c r="C929" s="27">
        <f>IF($A929="","",_Engine!$AJ987)</f>
        <v/>
      </c>
      <c r="D929" s="27">
        <f>IF($A929="","",_Engine!$AK987)</f>
        <v/>
      </c>
      <c r="E929" s="27">
        <f>IF($A929="","",_Engine!$AJ987-_Engine!$AK987)</f>
        <v/>
      </c>
      <c r="F929" s="27">
        <f>IF($A929="","",_Engine!$AI987)</f>
        <v/>
      </c>
      <c r="G929" s="27">
        <f>IF(OR($A929="",_Engine!$D$41=0),"",INDEX(_Engine!$E987:$X987,1,(_Engine!$J$41-1)*4+3))</f>
        <v/>
      </c>
      <c r="H929" s="27">
        <f>IF(OR($A929="",_Engine!$D$42=0),"",INDEX(_Engine!$E987:$X987,1,(_Engine!$J$42-1)*4+3))</f>
        <v/>
      </c>
      <c r="I929" s="27">
        <f>IF(OR($A929="",_Engine!$D$43=0),"",INDEX(_Engine!$E987:$X987,1,(_Engine!$J$43-1)*4+3))</f>
        <v/>
      </c>
      <c r="J929" s="27">
        <f>IF(OR($A929="",_Engine!$D$44=0),"",INDEX(_Engine!$E987:$X987,1,(_Engine!$J$44-1)*4+3))</f>
        <v/>
      </c>
      <c r="K929" s="27">
        <f>IF(OR($A929="",_Engine!$D$45=0),"",INDEX(_Engine!$E987:$X987,1,(_Engine!$J$45-1)*4+3))</f>
        <v/>
      </c>
    </row>
    <row r="930">
      <c r="A930" s="25">
        <f>IF(927&lt;=_Engine!$B$36,927,"")</f>
        <v/>
      </c>
      <c r="B930" s="26">
        <f>IF($A930="","",EDATE(_Engine!$B$5,$A930-1))</f>
        <v/>
      </c>
      <c r="C930" s="27">
        <f>IF($A930="","",_Engine!$AJ988)</f>
        <v/>
      </c>
      <c r="D930" s="27">
        <f>IF($A930="","",_Engine!$AK988)</f>
        <v/>
      </c>
      <c r="E930" s="27">
        <f>IF($A930="","",_Engine!$AJ988-_Engine!$AK988)</f>
        <v/>
      </c>
      <c r="F930" s="27">
        <f>IF($A930="","",_Engine!$AI988)</f>
        <v/>
      </c>
      <c r="G930" s="27">
        <f>IF(OR($A930="",_Engine!$D$41=0),"",INDEX(_Engine!$E988:$X988,1,(_Engine!$J$41-1)*4+3))</f>
        <v/>
      </c>
      <c r="H930" s="27">
        <f>IF(OR($A930="",_Engine!$D$42=0),"",INDEX(_Engine!$E988:$X988,1,(_Engine!$J$42-1)*4+3))</f>
        <v/>
      </c>
      <c r="I930" s="27">
        <f>IF(OR($A930="",_Engine!$D$43=0),"",INDEX(_Engine!$E988:$X988,1,(_Engine!$J$43-1)*4+3))</f>
        <v/>
      </c>
      <c r="J930" s="27">
        <f>IF(OR($A930="",_Engine!$D$44=0),"",INDEX(_Engine!$E988:$X988,1,(_Engine!$J$44-1)*4+3))</f>
        <v/>
      </c>
      <c r="K930" s="27">
        <f>IF(OR($A930="",_Engine!$D$45=0),"",INDEX(_Engine!$E988:$X988,1,(_Engine!$J$45-1)*4+3))</f>
        <v/>
      </c>
    </row>
    <row r="931">
      <c r="A931" s="25">
        <f>IF(928&lt;=_Engine!$B$36,928,"")</f>
        <v/>
      </c>
      <c r="B931" s="26">
        <f>IF($A931="","",EDATE(_Engine!$B$5,$A931-1))</f>
        <v/>
      </c>
      <c r="C931" s="27">
        <f>IF($A931="","",_Engine!$AJ989)</f>
        <v/>
      </c>
      <c r="D931" s="27">
        <f>IF($A931="","",_Engine!$AK989)</f>
        <v/>
      </c>
      <c r="E931" s="27">
        <f>IF($A931="","",_Engine!$AJ989-_Engine!$AK989)</f>
        <v/>
      </c>
      <c r="F931" s="27">
        <f>IF($A931="","",_Engine!$AI989)</f>
        <v/>
      </c>
      <c r="G931" s="27">
        <f>IF(OR($A931="",_Engine!$D$41=0),"",INDEX(_Engine!$E989:$X989,1,(_Engine!$J$41-1)*4+3))</f>
        <v/>
      </c>
      <c r="H931" s="27">
        <f>IF(OR($A931="",_Engine!$D$42=0),"",INDEX(_Engine!$E989:$X989,1,(_Engine!$J$42-1)*4+3))</f>
        <v/>
      </c>
      <c r="I931" s="27">
        <f>IF(OR($A931="",_Engine!$D$43=0),"",INDEX(_Engine!$E989:$X989,1,(_Engine!$J$43-1)*4+3))</f>
        <v/>
      </c>
      <c r="J931" s="27">
        <f>IF(OR($A931="",_Engine!$D$44=0),"",INDEX(_Engine!$E989:$X989,1,(_Engine!$J$44-1)*4+3))</f>
        <v/>
      </c>
      <c r="K931" s="27">
        <f>IF(OR($A931="",_Engine!$D$45=0),"",INDEX(_Engine!$E989:$X989,1,(_Engine!$J$45-1)*4+3))</f>
        <v/>
      </c>
    </row>
    <row r="932">
      <c r="A932" s="25">
        <f>IF(929&lt;=_Engine!$B$36,929,"")</f>
        <v/>
      </c>
      <c r="B932" s="26">
        <f>IF($A932="","",EDATE(_Engine!$B$5,$A932-1))</f>
        <v/>
      </c>
      <c r="C932" s="27">
        <f>IF($A932="","",_Engine!$AJ990)</f>
        <v/>
      </c>
      <c r="D932" s="27">
        <f>IF($A932="","",_Engine!$AK990)</f>
        <v/>
      </c>
      <c r="E932" s="27">
        <f>IF($A932="","",_Engine!$AJ990-_Engine!$AK990)</f>
        <v/>
      </c>
      <c r="F932" s="27">
        <f>IF($A932="","",_Engine!$AI990)</f>
        <v/>
      </c>
      <c r="G932" s="27">
        <f>IF(OR($A932="",_Engine!$D$41=0),"",INDEX(_Engine!$E990:$X990,1,(_Engine!$J$41-1)*4+3))</f>
        <v/>
      </c>
      <c r="H932" s="27">
        <f>IF(OR($A932="",_Engine!$D$42=0),"",INDEX(_Engine!$E990:$X990,1,(_Engine!$J$42-1)*4+3))</f>
        <v/>
      </c>
      <c r="I932" s="27">
        <f>IF(OR($A932="",_Engine!$D$43=0),"",INDEX(_Engine!$E990:$X990,1,(_Engine!$J$43-1)*4+3))</f>
        <v/>
      </c>
      <c r="J932" s="27">
        <f>IF(OR($A932="",_Engine!$D$44=0),"",INDEX(_Engine!$E990:$X990,1,(_Engine!$J$44-1)*4+3))</f>
        <v/>
      </c>
      <c r="K932" s="27">
        <f>IF(OR($A932="",_Engine!$D$45=0),"",INDEX(_Engine!$E990:$X990,1,(_Engine!$J$45-1)*4+3))</f>
        <v/>
      </c>
    </row>
    <row r="933">
      <c r="A933" s="25">
        <f>IF(930&lt;=_Engine!$B$36,930,"")</f>
        <v/>
      </c>
      <c r="B933" s="26">
        <f>IF($A933="","",EDATE(_Engine!$B$5,$A933-1))</f>
        <v/>
      </c>
      <c r="C933" s="27">
        <f>IF($A933="","",_Engine!$AJ991)</f>
        <v/>
      </c>
      <c r="D933" s="27">
        <f>IF($A933="","",_Engine!$AK991)</f>
        <v/>
      </c>
      <c r="E933" s="27">
        <f>IF($A933="","",_Engine!$AJ991-_Engine!$AK991)</f>
        <v/>
      </c>
      <c r="F933" s="27">
        <f>IF($A933="","",_Engine!$AI991)</f>
        <v/>
      </c>
      <c r="G933" s="27">
        <f>IF(OR($A933="",_Engine!$D$41=0),"",INDEX(_Engine!$E991:$X991,1,(_Engine!$J$41-1)*4+3))</f>
        <v/>
      </c>
      <c r="H933" s="27">
        <f>IF(OR($A933="",_Engine!$D$42=0),"",INDEX(_Engine!$E991:$X991,1,(_Engine!$J$42-1)*4+3))</f>
        <v/>
      </c>
      <c r="I933" s="27">
        <f>IF(OR($A933="",_Engine!$D$43=0),"",INDEX(_Engine!$E991:$X991,1,(_Engine!$J$43-1)*4+3))</f>
        <v/>
      </c>
      <c r="J933" s="27">
        <f>IF(OR($A933="",_Engine!$D$44=0),"",INDEX(_Engine!$E991:$X991,1,(_Engine!$J$44-1)*4+3))</f>
        <v/>
      </c>
      <c r="K933" s="27">
        <f>IF(OR($A933="",_Engine!$D$45=0),"",INDEX(_Engine!$E991:$X991,1,(_Engine!$J$45-1)*4+3))</f>
        <v/>
      </c>
    </row>
    <row r="934">
      <c r="A934" s="25">
        <f>IF(931&lt;=_Engine!$B$36,931,"")</f>
        <v/>
      </c>
      <c r="B934" s="26">
        <f>IF($A934="","",EDATE(_Engine!$B$5,$A934-1))</f>
        <v/>
      </c>
      <c r="C934" s="27">
        <f>IF($A934="","",_Engine!$AJ992)</f>
        <v/>
      </c>
      <c r="D934" s="27">
        <f>IF($A934="","",_Engine!$AK992)</f>
        <v/>
      </c>
      <c r="E934" s="27">
        <f>IF($A934="","",_Engine!$AJ992-_Engine!$AK992)</f>
        <v/>
      </c>
      <c r="F934" s="27">
        <f>IF($A934="","",_Engine!$AI992)</f>
        <v/>
      </c>
      <c r="G934" s="27">
        <f>IF(OR($A934="",_Engine!$D$41=0),"",INDEX(_Engine!$E992:$X992,1,(_Engine!$J$41-1)*4+3))</f>
        <v/>
      </c>
      <c r="H934" s="27">
        <f>IF(OR($A934="",_Engine!$D$42=0),"",INDEX(_Engine!$E992:$X992,1,(_Engine!$J$42-1)*4+3))</f>
        <v/>
      </c>
      <c r="I934" s="27">
        <f>IF(OR($A934="",_Engine!$D$43=0),"",INDEX(_Engine!$E992:$X992,1,(_Engine!$J$43-1)*4+3))</f>
        <v/>
      </c>
      <c r="J934" s="27">
        <f>IF(OR($A934="",_Engine!$D$44=0),"",INDEX(_Engine!$E992:$X992,1,(_Engine!$J$44-1)*4+3))</f>
        <v/>
      </c>
      <c r="K934" s="27">
        <f>IF(OR($A934="",_Engine!$D$45=0),"",INDEX(_Engine!$E992:$X992,1,(_Engine!$J$45-1)*4+3))</f>
        <v/>
      </c>
    </row>
    <row r="935">
      <c r="A935" s="25">
        <f>IF(932&lt;=_Engine!$B$36,932,"")</f>
        <v/>
      </c>
      <c r="B935" s="26">
        <f>IF($A935="","",EDATE(_Engine!$B$5,$A935-1))</f>
        <v/>
      </c>
      <c r="C935" s="27">
        <f>IF($A935="","",_Engine!$AJ993)</f>
        <v/>
      </c>
      <c r="D935" s="27">
        <f>IF($A935="","",_Engine!$AK993)</f>
        <v/>
      </c>
      <c r="E935" s="27">
        <f>IF($A935="","",_Engine!$AJ993-_Engine!$AK993)</f>
        <v/>
      </c>
      <c r="F935" s="27">
        <f>IF($A935="","",_Engine!$AI993)</f>
        <v/>
      </c>
      <c r="G935" s="27">
        <f>IF(OR($A935="",_Engine!$D$41=0),"",INDEX(_Engine!$E993:$X993,1,(_Engine!$J$41-1)*4+3))</f>
        <v/>
      </c>
      <c r="H935" s="27">
        <f>IF(OR($A935="",_Engine!$D$42=0),"",INDEX(_Engine!$E993:$X993,1,(_Engine!$J$42-1)*4+3))</f>
        <v/>
      </c>
      <c r="I935" s="27">
        <f>IF(OR($A935="",_Engine!$D$43=0),"",INDEX(_Engine!$E993:$X993,1,(_Engine!$J$43-1)*4+3))</f>
        <v/>
      </c>
      <c r="J935" s="27">
        <f>IF(OR($A935="",_Engine!$D$44=0),"",INDEX(_Engine!$E993:$X993,1,(_Engine!$J$44-1)*4+3))</f>
        <v/>
      </c>
      <c r="K935" s="27">
        <f>IF(OR($A935="",_Engine!$D$45=0),"",INDEX(_Engine!$E993:$X993,1,(_Engine!$J$45-1)*4+3))</f>
        <v/>
      </c>
    </row>
    <row r="936">
      <c r="A936" s="25">
        <f>IF(933&lt;=_Engine!$B$36,933,"")</f>
        <v/>
      </c>
      <c r="B936" s="26">
        <f>IF($A936="","",EDATE(_Engine!$B$5,$A936-1))</f>
        <v/>
      </c>
      <c r="C936" s="27">
        <f>IF($A936="","",_Engine!$AJ994)</f>
        <v/>
      </c>
      <c r="D936" s="27">
        <f>IF($A936="","",_Engine!$AK994)</f>
        <v/>
      </c>
      <c r="E936" s="27">
        <f>IF($A936="","",_Engine!$AJ994-_Engine!$AK994)</f>
        <v/>
      </c>
      <c r="F936" s="27">
        <f>IF($A936="","",_Engine!$AI994)</f>
        <v/>
      </c>
      <c r="G936" s="27">
        <f>IF(OR($A936="",_Engine!$D$41=0),"",INDEX(_Engine!$E994:$X994,1,(_Engine!$J$41-1)*4+3))</f>
        <v/>
      </c>
      <c r="H936" s="27">
        <f>IF(OR($A936="",_Engine!$D$42=0),"",INDEX(_Engine!$E994:$X994,1,(_Engine!$J$42-1)*4+3))</f>
        <v/>
      </c>
      <c r="I936" s="27">
        <f>IF(OR($A936="",_Engine!$D$43=0),"",INDEX(_Engine!$E994:$X994,1,(_Engine!$J$43-1)*4+3))</f>
        <v/>
      </c>
      <c r="J936" s="27">
        <f>IF(OR($A936="",_Engine!$D$44=0),"",INDEX(_Engine!$E994:$X994,1,(_Engine!$J$44-1)*4+3))</f>
        <v/>
      </c>
      <c r="K936" s="27">
        <f>IF(OR($A936="",_Engine!$D$45=0),"",INDEX(_Engine!$E994:$X994,1,(_Engine!$J$45-1)*4+3))</f>
        <v/>
      </c>
    </row>
    <row r="937">
      <c r="A937" s="25">
        <f>IF(934&lt;=_Engine!$B$36,934,"")</f>
        <v/>
      </c>
      <c r="B937" s="26">
        <f>IF($A937="","",EDATE(_Engine!$B$5,$A937-1))</f>
        <v/>
      </c>
      <c r="C937" s="27">
        <f>IF($A937="","",_Engine!$AJ995)</f>
        <v/>
      </c>
      <c r="D937" s="27">
        <f>IF($A937="","",_Engine!$AK995)</f>
        <v/>
      </c>
      <c r="E937" s="27">
        <f>IF($A937="","",_Engine!$AJ995-_Engine!$AK995)</f>
        <v/>
      </c>
      <c r="F937" s="27">
        <f>IF($A937="","",_Engine!$AI995)</f>
        <v/>
      </c>
      <c r="G937" s="27">
        <f>IF(OR($A937="",_Engine!$D$41=0),"",INDEX(_Engine!$E995:$X995,1,(_Engine!$J$41-1)*4+3))</f>
        <v/>
      </c>
      <c r="H937" s="27">
        <f>IF(OR($A937="",_Engine!$D$42=0),"",INDEX(_Engine!$E995:$X995,1,(_Engine!$J$42-1)*4+3))</f>
        <v/>
      </c>
      <c r="I937" s="27">
        <f>IF(OR($A937="",_Engine!$D$43=0),"",INDEX(_Engine!$E995:$X995,1,(_Engine!$J$43-1)*4+3))</f>
        <v/>
      </c>
      <c r="J937" s="27">
        <f>IF(OR($A937="",_Engine!$D$44=0),"",INDEX(_Engine!$E995:$X995,1,(_Engine!$J$44-1)*4+3))</f>
        <v/>
      </c>
      <c r="K937" s="27">
        <f>IF(OR($A937="",_Engine!$D$45=0),"",INDEX(_Engine!$E995:$X995,1,(_Engine!$J$45-1)*4+3))</f>
        <v/>
      </c>
    </row>
    <row r="938">
      <c r="A938" s="25">
        <f>IF(935&lt;=_Engine!$B$36,935,"")</f>
        <v/>
      </c>
      <c r="B938" s="26">
        <f>IF($A938="","",EDATE(_Engine!$B$5,$A938-1))</f>
        <v/>
      </c>
      <c r="C938" s="27">
        <f>IF($A938="","",_Engine!$AJ996)</f>
        <v/>
      </c>
      <c r="D938" s="27">
        <f>IF($A938="","",_Engine!$AK996)</f>
        <v/>
      </c>
      <c r="E938" s="27">
        <f>IF($A938="","",_Engine!$AJ996-_Engine!$AK996)</f>
        <v/>
      </c>
      <c r="F938" s="27">
        <f>IF($A938="","",_Engine!$AI996)</f>
        <v/>
      </c>
      <c r="G938" s="27">
        <f>IF(OR($A938="",_Engine!$D$41=0),"",INDEX(_Engine!$E996:$X996,1,(_Engine!$J$41-1)*4+3))</f>
        <v/>
      </c>
      <c r="H938" s="27">
        <f>IF(OR($A938="",_Engine!$D$42=0),"",INDEX(_Engine!$E996:$X996,1,(_Engine!$J$42-1)*4+3))</f>
        <v/>
      </c>
      <c r="I938" s="27">
        <f>IF(OR($A938="",_Engine!$D$43=0),"",INDEX(_Engine!$E996:$X996,1,(_Engine!$J$43-1)*4+3))</f>
        <v/>
      </c>
      <c r="J938" s="27">
        <f>IF(OR($A938="",_Engine!$D$44=0),"",INDEX(_Engine!$E996:$X996,1,(_Engine!$J$44-1)*4+3))</f>
        <v/>
      </c>
      <c r="K938" s="27">
        <f>IF(OR($A938="",_Engine!$D$45=0),"",INDEX(_Engine!$E996:$X996,1,(_Engine!$J$45-1)*4+3))</f>
        <v/>
      </c>
    </row>
    <row r="939">
      <c r="A939" s="25">
        <f>IF(936&lt;=_Engine!$B$36,936,"")</f>
        <v/>
      </c>
      <c r="B939" s="26">
        <f>IF($A939="","",EDATE(_Engine!$B$5,$A939-1))</f>
        <v/>
      </c>
      <c r="C939" s="27">
        <f>IF($A939="","",_Engine!$AJ997)</f>
        <v/>
      </c>
      <c r="D939" s="27">
        <f>IF($A939="","",_Engine!$AK997)</f>
        <v/>
      </c>
      <c r="E939" s="27">
        <f>IF($A939="","",_Engine!$AJ997-_Engine!$AK997)</f>
        <v/>
      </c>
      <c r="F939" s="27">
        <f>IF($A939="","",_Engine!$AI997)</f>
        <v/>
      </c>
      <c r="G939" s="27">
        <f>IF(OR($A939="",_Engine!$D$41=0),"",INDEX(_Engine!$E997:$X997,1,(_Engine!$J$41-1)*4+3))</f>
        <v/>
      </c>
      <c r="H939" s="27">
        <f>IF(OR($A939="",_Engine!$D$42=0),"",INDEX(_Engine!$E997:$X997,1,(_Engine!$J$42-1)*4+3))</f>
        <v/>
      </c>
      <c r="I939" s="27">
        <f>IF(OR($A939="",_Engine!$D$43=0),"",INDEX(_Engine!$E997:$X997,1,(_Engine!$J$43-1)*4+3))</f>
        <v/>
      </c>
      <c r="J939" s="27">
        <f>IF(OR($A939="",_Engine!$D$44=0),"",INDEX(_Engine!$E997:$X997,1,(_Engine!$J$44-1)*4+3))</f>
        <v/>
      </c>
      <c r="K939" s="27">
        <f>IF(OR($A939="",_Engine!$D$45=0),"",INDEX(_Engine!$E997:$X997,1,(_Engine!$J$45-1)*4+3))</f>
        <v/>
      </c>
    </row>
    <row r="940">
      <c r="A940" s="25">
        <f>IF(937&lt;=_Engine!$B$36,937,"")</f>
        <v/>
      </c>
      <c r="B940" s="26">
        <f>IF($A940="","",EDATE(_Engine!$B$5,$A940-1))</f>
        <v/>
      </c>
      <c r="C940" s="27">
        <f>IF($A940="","",_Engine!$AJ998)</f>
        <v/>
      </c>
      <c r="D940" s="27">
        <f>IF($A940="","",_Engine!$AK998)</f>
        <v/>
      </c>
      <c r="E940" s="27">
        <f>IF($A940="","",_Engine!$AJ998-_Engine!$AK998)</f>
        <v/>
      </c>
      <c r="F940" s="27">
        <f>IF($A940="","",_Engine!$AI998)</f>
        <v/>
      </c>
      <c r="G940" s="27">
        <f>IF(OR($A940="",_Engine!$D$41=0),"",INDEX(_Engine!$E998:$X998,1,(_Engine!$J$41-1)*4+3))</f>
        <v/>
      </c>
      <c r="H940" s="27">
        <f>IF(OR($A940="",_Engine!$D$42=0),"",INDEX(_Engine!$E998:$X998,1,(_Engine!$J$42-1)*4+3))</f>
        <v/>
      </c>
      <c r="I940" s="27">
        <f>IF(OR($A940="",_Engine!$D$43=0),"",INDEX(_Engine!$E998:$X998,1,(_Engine!$J$43-1)*4+3))</f>
        <v/>
      </c>
      <c r="J940" s="27">
        <f>IF(OR($A940="",_Engine!$D$44=0),"",INDEX(_Engine!$E998:$X998,1,(_Engine!$J$44-1)*4+3))</f>
        <v/>
      </c>
      <c r="K940" s="27">
        <f>IF(OR($A940="",_Engine!$D$45=0),"",INDEX(_Engine!$E998:$X998,1,(_Engine!$J$45-1)*4+3))</f>
        <v/>
      </c>
    </row>
    <row r="941">
      <c r="A941" s="25">
        <f>IF(938&lt;=_Engine!$B$36,938,"")</f>
        <v/>
      </c>
      <c r="B941" s="26">
        <f>IF($A941="","",EDATE(_Engine!$B$5,$A941-1))</f>
        <v/>
      </c>
      <c r="C941" s="27">
        <f>IF($A941="","",_Engine!$AJ999)</f>
        <v/>
      </c>
      <c r="D941" s="27">
        <f>IF($A941="","",_Engine!$AK999)</f>
        <v/>
      </c>
      <c r="E941" s="27">
        <f>IF($A941="","",_Engine!$AJ999-_Engine!$AK999)</f>
        <v/>
      </c>
      <c r="F941" s="27">
        <f>IF($A941="","",_Engine!$AI999)</f>
        <v/>
      </c>
      <c r="G941" s="27">
        <f>IF(OR($A941="",_Engine!$D$41=0),"",INDEX(_Engine!$E999:$X999,1,(_Engine!$J$41-1)*4+3))</f>
        <v/>
      </c>
      <c r="H941" s="27">
        <f>IF(OR($A941="",_Engine!$D$42=0),"",INDEX(_Engine!$E999:$X999,1,(_Engine!$J$42-1)*4+3))</f>
        <v/>
      </c>
      <c r="I941" s="27">
        <f>IF(OR($A941="",_Engine!$D$43=0),"",INDEX(_Engine!$E999:$X999,1,(_Engine!$J$43-1)*4+3))</f>
        <v/>
      </c>
      <c r="J941" s="27">
        <f>IF(OR($A941="",_Engine!$D$44=0),"",INDEX(_Engine!$E999:$X999,1,(_Engine!$J$44-1)*4+3))</f>
        <v/>
      </c>
      <c r="K941" s="27">
        <f>IF(OR($A941="",_Engine!$D$45=0),"",INDEX(_Engine!$E999:$X999,1,(_Engine!$J$45-1)*4+3))</f>
        <v/>
      </c>
    </row>
    <row r="942">
      <c r="A942" s="25">
        <f>IF(939&lt;=_Engine!$B$36,939,"")</f>
        <v/>
      </c>
      <c r="B942" s="26">
        <f>IF($A942="","",EDATE(_Engine!$B$5,$A942-1))</f>
        <v/>
      </c>
      <c r="C942" s="27">
        <f>IF($A942="","",_Engine!$AJ1000)</f>
        <v/>
      </c>
      <c r="D942" s="27">
        <f>IF($A942="","",_Engine!$AK1000)</f>
        <v/>
      </c>
      <c r="E942" s="27">
        <f>IF($A942="","",_Engine!$AJ1000-_Engine!$AK1000)</f>
        <v/>
      </c>
      <c r="F942" s="27">
        <f>IF($A942="","",_Engine!$AI1000)</f>
        <v/>
      </c>
      <c r="G942" s="27">
        <f>IF(OR($A942="",_Engine!$D$41=0),"",INDEX(_Engine!$E1000:$X1000,1,(_Engine!$J$41-1)*4+3))</f>
        <v/>
      </c>
      <c r="H942" s="27">
        <f>IF(OR($A942="",_Engine!$D$42=0),"",INDEX(_Engine!$E1000:$X1000,1,(_Engine!$J$42-1)*4+3))</f>
        <v/>
      </c>
      <c r="I942" s="27">
        <f>IF(OR($A942="",_Engine!$D$43=0),"",INDEX(_Engine!$E1000:$X1000,1,(_Engine!$J$43-1)*4+3))</f>
        <v/>
      </c>
      <c r="J942" s="27">
        <f>IF(OR($A942="",_Engine!$D$44=0),"",INDEX(_Engine!$E1000:$X1000,1,(_Engine!$J$44-1)*4+3))</f>
        <v/>
      </c>
      <c r="K942" s="27">
        <f>IF(OR($A942="",_Engine!$D$45=0),"",INDEX(_Engine!$E1000:$X1000,1,(_Engine!$J$45-1)*4+3))</f>
        <v/>
      </c>
    </row>
    <row r="943">
      <c r="A943" s="25">
        <f>IF(940&lt;=_Engine!$B$36,940,"")</f>
        <v/>
      </c>
      <c r="B943" s="26">
        <f>IF($A943="","",EDATE(_Engine!$B$5,$A943-1))</f>
        <v/>
      </c>
      <c r="C943" s="27">
        <f>IF($A943="","",_Engine!$AJ1001)</f>
        <v/>
      </c>
      <c r="D943" s="27">
        <f>IF($A943="","",_Engine!$AK1001)</f>
        <v/>
      </c>
      <c r="E943" s="27">
        <f>IF($A943="","",_Engine!$AJ1001-_Engine!$AK1001)</f>
        <v/>
      </c>
      <c r="F943" s="27">
        <f>IF($A943="","",_Engine!$AI1001)</f>
        <v/>
      </c>
      <c r="G943" s="27">
        <f>IF(OR($A943="",_Engine!$D$41=0),"",INDEX(_Engine!$E1001:$X1001,1,(_Engine!$J$41-1)*4+3))</f>
        <v/>
      </c>
      <c r="H943" s="27">
        <f>IF(OR($A943="",_Engine!$D$42=0),"",INDEX(_Engine!$E1001:$X1001,1,(_Engine!$J$42-1)*4+3))</f>
        <v/>
      </c>
      <c r="I943" s="27">
        <f>IF(OR($A943="",_Engine!$D$43=0),"",INDEX(_Engine!$E1001:$X1001,1,(_Engine!$J$43-1)*4+3))</f>
        <v/>
      </c>
      <c r="J943" s="27">
        <f>IF(OR($A943="",_Engine!$D$44=0),"",INDEX(_Engine!$E1001:$X1001,1,(_Engine!$J$44-1)*4+3))</f>
        <v/>
      </c>
      <c r="K943" s="27">
        <f>IF(OR($A943="",_Engine!$D$45=0),"",INDEX(_Engine!$E1001:$X1001,1,(_Engine!$J$45-1)*4+3))</f>
        <v/>
      </c>
    </row>
    <row r="944">
      <c r="A944" s="25">
        <f>IF(941&lt;=_Engine!$B$36,941,"")</f>
        <v/>
      </c>
      <c r="B944" s="26">
        <f>IF($A944="","",EDATE(_Engine!$B$5,$A944-1))</f>
        <v/>
      </c>
      <c r="C944" s="27">
        <f>IF($A944="","",_Engine!$AJ1002)</f>
        <v/>
      </c>
      <c r="D944" s="27">
        <f>IF($A944="","",_Engine!$AK1002)</f>
        <v/>
      </c>
      <c r="E944" s="27">
        <f>IF($A944="","",_Engine!$AJ1002-_Engine!$AK1002)</f>
        <v/>
      </c>
      <c r="F944" s="27">
        <f>IF($A944="","",_Engine!$AI1002)</f>
        <v/>
      </c>
      <c r="G944" s="27">
        <f>IF(OR($A944="",_Engine!$D$41=0),"",INDEX(_Engine!$E1002:$X1002,1,(_Engine!$J$41-1)*4+3))</f>
        <v/>
      </c>
      <c r="H944" s="27">
        <f>IF(OR($A944="",_Engine!$D$42=0),"",INDEX(_Engine!$E1002:$X1002,1,(_Engine!$J$42-1)*4+3))</f>
        <v/>
      </c>
      <c r="I944" s="27">
        <f>IF(OR($A944="",_Engine!$D$43=0),"",INDEX(_Engine!$E1002:$X1002,1,(_Engine!$J$43-1)*4+3))</f>
        <v/>
      </c>
      <c r="J944" s="27">
        <f>IF(OR($A944="",_Engine!$D$44=0),"",INDEX(_Engine!$E1002:$X1002,1,(_Engine!$J$44-1)*4+3))</f>
        <v/>
      </c>
      <c r="K944" s="27">
        <f>IF(OR($A944="",_Engine!$D$45=0),"",INDEX(_Engine!$E1002:$X1002,1,(_Engine!$J$45-1)*4+3))</f>
        <v/>
      </c>
    </row>
    <row r="945">
      <c r="A945" s="25">
        <f>IF(942&lt;=_Engine!$B$36,942,"")</f>
        <v/>
      </c>
      <c r="B945" s="26">
        <f>IF($A945="","",EDATE(_Engine!$B$5,$A945-1))</f>
        <v/>
      </c>
      <c r="C945" s="27">
        <f>IF($A945="","",_Engine!$AJ1003)</f>
        <v/>
      </c>
      <c r="D945" s="27">
        <f>IF($A945="","",_Engine!$AK1003)</f>
        <v/>
      </c>
      <c r="E945" s="27">
        <f>IF($A945="","",_Engine!$AJ1003-_Engine!$AK1003)</f>
        <v/>
      </c>
      <c r="F945" s="27">
        <f>IF($A945="","",_Engine!$AI1003)</f>
        <v/>
      </c>
      <c r="G945" s="27">
        <f>IF(OR($A945="",_Engine!$D$41=0),"",INDEX(_Engine!$E1003:$X1003,1,(_Engine!$J$41-1)*4+3))</f>
        <v/>
      </c>
      <c r="H945" s="27">
        <f>IF(OR($A945="",_Engine!$D$42=0),"",INDEX(_Engine!$E1003:$X1003,1,(_Engine!$J$42-1)*4+3))</f>
        <v/>
      </c>
      <c r="I945" s="27">
        <f>IF(OR($A945="",_Engine!$D$43=0),"",INDEX(_Engine!$E1003:$X1003,1,(_Engine!$J$43-1)*4+3))</f>
        <v/>
      </c>
      <c r="J945" s="27">
        <f>IF(OR($A945="",_Engine!$D$44=0),"",INDEX(_Engine!$E1003:$X1003,1,(_Engine!$J$44-1)*4+3))</f>
        <v/>
      </c>
      <c r="K945" s="27">
        <f>IF(OR($A945="",_Engine!$D$45=0),"",INDEX(_Engine!$E1003:$X1003,1,(_Engine!$J$45-1)*4+3))</f>
        <v/>
      </c>
    </row>
    <row r="946">
      <c r="A946" s="25">
        <f>IF(943&lt;=_Engine!$B$36,943,"")</f>
        <v/>
      </c>
      <c r="B946" s="26">
        <f>IF($A946="","",EDATE(_Engine!$B$5,$A946-1))</f>
        <v/>
      </c>
      <c r="C946" s="27">
        <f>IF($A946="","",_Engine!$AJ1004)</f>
        <v/>
      </c>
      <c r="D946" s="27">
        <f>IF($A946="","",_Engine!$AK1004)</f>
        <v/>
      </c>
      <c r="E946" s="27">
        <f>IF($A946="","",_Engine!$AJ1004-_Engine!$AK1004)</f>
        <v/>
      </c>
      <c r="F946" s="27">
        <f>IF($A946="","",_Engine!$AI1004)</f>
        <v/>
      </c>
      <c r="G946" s="27">
        <f>IF(OR($A946="",_Engine!$D$41=0),"",INDEX(_Engine!$E1004:$X1004,1,(_Engine!$J$41-1)*4+3))</f>
        <v/>
      </c>
      <c r="H946" s="27">
        <f>IF(OR($A946="",_Engine!$D$42=0),"",INDEX(_Engine!$E1004:$X1004,1,(_Engine!$J$42-1)*4+3))</f>
        <v/>
      </c>
      <c r="I946" s="27">
        <f>IF(OR($A946="",_Engine!$D$43=0),"",INDEX(_Engine!$E1004:$X1004,1,(_Engine!$J$43-1)*4+3))</f>
        <v/>
      </c>
      <c r="J946" s="27">
        <f>IF(OR($A946="",_Engine!$D$44=0),"",INDEX(_Engine!$E1004:$X1004,1,(_Engine!$J$44-1)*4+3))</f>
        <v/>
      </c>
      <c r="K946" s="27">
        <f>IF(OR($A946="",_Engine!$D$45=0),"",INDEX(_Engine!$E1004:$X1004,1,(_Engine!$J$45-1)*4+3))</f>
        <v/>
      </c>
    </row>
    <row r="947">
      <c r="A947" s="25">
        <f>IF(944&lt;=_Engine!$B$36,944,"")</f>
        <v/>
      </c>
      <c r="B947" s="26">
        <f>IF($A947="","",EDATE(_Engine!$B$5,$A947-1))</f>
        <v/>
      </c>
      <c r="C947" s="27">
        <f>IF($A947="","",_Engine!$AJ1005)</f>
        <v/>
      </c>
      <c r="D947" s="27">
        <f>IF($A947="","",_Engine!$AK1005)</f>
        <v/>
      </c>
      <c r="E947" s="27">
        <f>IF($A947="","",_Engine!$AJ1005-_Engine!$AK1005)</f>
        <v/>
      </c>
      <c r="F947" s="27">
        <f>IF($A947="","",_Engine!$AI1005)</f>
        <v/>
      </c>
      <c r="G947" s="27">
        <f>IF(OR($A947="",_Engine!$D$41=0),"",INDEX(_Engine!$E1005:$X1005,1,(_Engine!$J$41-1)*4+3))</f>
        <v/>
      </c>
      <c r="H947" s="27">
        <f>IF(OR($A947="",_Engine!$D$42=0),"",INDEX(_Engine!$E1005:$X1005,1,(_Engine!$J$42-1)*4+3))</f>
        <v/>
      </c>
      <c r="I947" s="27">
        <f>IF(OR($A947="",_Engine!$D$43=0),"",INDEX(_Engine!$E1005:$X1005,1,(_Engine!$J$43-1)*4+3))</f>
        <v/>
      </c>
      <c r="J947" s="27">
        <f>IF(OR($A947="",_Engine!$D$44=0),"",INDEX(_Engine!$E1005:$X1005,1,(_Engine!$J$44-1)*4+3))</f>
        <v/>
      </c>
      <c r="K947" s="27">
        <f>IF(OR($A947="",_Engine!$D$45=0),"",INDEX(_Engine!$E1005:$X1005,1,(_Engine!$J$45-1)*4+3))</f>
        <v/>
      </c>
    </row>
    <row r="948">
      <c r="A948" s="25">
        <f>IF(945&lt;=_Engine!$B$36,945,"")</f>
        <v/>
      </c>
      <c r="B948" s="26">
        <f>IF($A948="","",EDATE(_Engine!$B$5,$A948-1))</f>
        <v/>
      </c>
      <c r="C948" s="27">
        <f>IF($A948="","",_Engine!$AJ1006)</f>
        <v/>
      </c>
      <c r="D948" s="27">
        <f>IF($A948="","",_Engine!$AK1006)</f>
        <v/>
      </c>
      <c r="E948" s="27">
        <f>IF($A948="","",_Engine!$AJ1006-_Engine!$AK1006)</f>
        <v/>
      </c>
      <c r="F948" s="27">
        <f>IF($A948="","",_Engine!$AI1006)</f>
        <v/>
      </c>
      <c r="G948" s="27">
        <f>IF(OR($A948="",_Engine!$D$41=0),"",INDEX(_Engine!$E1006:$X1006,1,(_Engine!$J$41-1)*4+3))</f>
        <v/>
      </c>
      <c r="H948" s="27">
        <f>IF(OR($A948="",_Engine!$D$42=0),"",INDEX(_Engine!$E1006:$X1006,1,(_Engine!$J$42-1)*4+3))</f>
        <v/>
      </c>
      <c r="I948" s="27">
        <f>IF(OR($A948="",_Engine!$D$43=0),"",INDEX(_Engine!$E1006:$X1006,1,(_Engine!$J$43-1)*4+3))</f>
        <v/>
      </c>
      <c r="J948" s="27">
        <f>IF(OR($A948="",_Engine!$D$44=0),"",INDEX(_Engine!$E1006:$X1006,1,(_Engine!$J$44-1)*4+3))</f>
        <v/>
      </c>
      <c r="K948" s="27">
        <f>IF(OR($A948="",_Engine!$D$45=0),"",INDEX(_Engine!$E1006:$X1006,1,(_Engine!$J$45-1)*4+3))</f>
        <v/>
      </c>
    </row>
    <row r="949">
      <c r="A949" s="25">
        <f>IF(946&lt;=_Engine!$B$36,946,"")</f>
        <v/>
      </c>
      <c r="B949" s="26">
        <f>IF($A949="","",EDATE(_Engine!$B$5,$A949-1))</f>
        <v/>
      </c>
      <c r="C949" s="27">
        <f>IF($A949="","",_Engine!$AJ1007)</f>
        <v/>
      </c>
      <c r="D949" s="27">
        <f>IF($A949="","",_Engine!$AK1007)</f>
        <v/>
      </c>
      <c r="E949" s="27">
        <f>IF($A949="","",_Engine!$AJ1007-_Engine!$AK1007)</f>
        <v/>
      </c>
      <c r="F949" s="27">
        <f>IF($A949="","",_Engine!$AI1007)</f>
        <v/>
      </c>
      <c r="G949" s="27">
        <f>IF(OR($A949="",_Engine!$D$41=0),"",INDEX(_Engine!$E1007:$X1007,1,(_Engine!$J$41-1)*4+3))</f>
        <v/>
      </c>
      <c r="H949" s="27">
        <f>IF(OR($A949="",_Engine!$D$42=0),"",INDEX(_Engine!$E1007:$X1007,1,(_Engine!$J$42-1)*4+3))</f>
        <v/>
      </c>
      <c r="I949" s="27">
        <f>IF(OR($A949="",_Engine!$D$43=0),"",INDEX(_Engine!$E1007:$X1007,1,(_Engine!$J$43-1)*4+3))</f>
        <v/>
      </c>
      <c r="J949" s="27">
        <f>IF(OR($A949="",_Engine!$D$44=0),"",INDEX(_Engine!$E1007:$X1007,1,(_Engine!$J$44-1)*4+3))</f>
        <v/>
      </c>
      <c r="K949" s="27">
        <f>IF(OR($A949="",_Engine!$D$45=0),"",INDEX(_Engine!$E1007:$X1007,1,(_Engine!$J$45-1)*4+3))</f>
        <v/>
      </c>
    </row>
    <row r="950">
      <c r="A950" s="25">
        <f>IF(947&lt;=_Engine!$B$36,947,"")</f>
        <v/>
      </c>
      <c r="B950" s="26">
        <f>IF($A950="","",EDATE(_Engine!$B$5,$A950-1))</f>
        <v/>
      </c>
      <c r="C950" s="27">
        <f>IF($A950="","",_Engine!$AJ1008)</f>
        <v/>
      </c>
      <c r="D950" s="27">
        <f>IF($A950="","",_Engine!$AK1008)</f>
        <v/>
      </c>
      <c r="E950" s="27">
        <f>IF($A950="","",_Engine!$AJ1008-_Engine!$AK1008)</f>
        <v/>
      </c>
      <c r="F950" s="27">
        <f>IF($A950="","",_Engine!$AI1008)</f>
        <v/>
      </c>
      <c r="G950" s="27">
        <f>IF(OR($A950="",_Engine!$D$41=0),"",INDEX(_Engine!$E1008:$X1008,1,(_Engine!$J$41-1)*4+3))</f>
        <v/>
      </c>
      <c r="H950" s="27">
        <f>IF(OR($A950="",_Engine!$D$42=0),"",INDEX(_Engine!$E1008:$X1008,1,(_Engine!$J$42-1)*4+3))</f>
        <v/>
      </c>
      <c r="I950" s="27">
        <f>IF(OR($A950="",_Engine!$D$43=0),"",INDEX(_Engine!$E1008:$X1008,1,(_Engine!$J$43-1)*4+3))</f>
        <v/>
      </c>
      <c r="J950" s="27">
        <f>IF(OR($A950="",_Engine!$D$44=0),"",INDEX(_Engine!$E1008:$X1008,1,(_Engine!$J$44-1)*4+3))</f>
        <v/>
      </c>
      <c r="K950" s="27">
        <f>IF(OR($A950="",_Engine!$D$45=0),"",INDEX(_Engine!$E1008:$X1008,1,(_Engine!$J$45-1)*4+3))</f>
        <v/>
      </c>
    </row>
    <row r="951">
      <c r="A951" s="25">
        <f>IF(948&lt;=_Engine!$B$36,948,"")</f>
        <v/>
      </c>
      <c r="B951" s="26">
        <f>IF($A951="","",EDATE(_Engine!$B$5,$A951-1))</f>
        <v/>
      </c>
      <c r="C951" s="27">
        <f>IF($A951="","",_Engine!$AJ1009)</f>
        <v/>
      </c>
      <c r="D951" s="27">
        <f>IF($A951="","",_Engine!$AK1009)</f>
        <v/>
      </c>
      <c r="E951" s="27">
        <f>IF($A951="","",_Engine!$AJ1009-_Engine!$AK1009)</f>
        <v/>
      </c>
      <c r="F951" s="27">
        <f>IF($A951="","",_Engine!$AI1009)</f>
        <v/>
      </c>
      <c r="G951" s="27">
        <f>IF(OR($A951="",_Engine!$D$41=0),"",INDEX(_Engine!$E1009:$X1009,1,(_Engine!$J$41-1)*4+3))</f>
        <v/>
      </c>
      <c r="H951" s="27">
        <f>IF(OR($A951="",_Engine!$D$42=0),"",INDEX(_Engine!$E1009:$X1009,1,(_Engine!$J$42-1)*4+3))</f>
        <v/>
      </c>
      <c r="I951" s="27">
        <f>IF(OR($A951="",_Engine!$D$43=0),"",INDEX(_Engine!$E1009:$X1009,1,(_Engine!$J$43-1)*4+3))</f>
        <v/>
      </c>
      <c r="J951" s="27">
        <f>IF(OR($A951="",_Engine!$D$44=0),"",INDEX(_Engine!$E1009:$X1009,1,(_Engine!$J$44-1)*4+3))</f>
        <v/>
      </c>
      <c r="K951" s="27">
        <f>IF(OR($A951="",_Engine!$D$45=0),"",INDEX(_Engine!$E1009:$X1009,1,(_Engine!$J$45-1)*4+3))</f>
        <v/>
      </c>
    </row>
    <row r="952">
      <c r="A952" s="25">
        <f>IF(949&lt;=_Engine!$B$36,949,"")</f>
        <v/>
      </c>
      <c r="B952" s="26">
        <f>IF($A952="","",EDATE(_Engine!$B$5,$A952-1))</f>
        <v/>
      </c>
      <c r="C952" s="27">
        <f>IF($A952="","",_Engine!$AJ1010)</f>
        <v/>
      </c>
      <c r="D952" s="27">
        <f>IF($A952="","",_Engine!$AK1010)</f>
        <v/>
      </c>
      <c r="E952" s="27">
        <f>IF($A952="","",_Engine!$AJ1010-_Engine!$AK1010)</f>
        <v/>
      </c>
      <c r="F952" s="27">
        <f>IF($A952="","",_Engine!$AI1010)</f>
        <v/>
      </c>
      <c r="G952" s="27">
        <f>IF(OR($A952="",_Engine!$D$41=0),"",INDEX(_Engine!$E1010:$X1010,1,(_Engine!$J$41-1)*4+3))</f>
        <v/>
      </c>
      <c r="H952" s="27">
        <f>IF(OR($A952="",_Engine!$D$42=0),"",INDEX(_Engine!$E1010:$X1010,1,(_Engine!$J$42-1)*4+3))</f>
        <v/>
      </c>
      <c r="I952" s="27">
        <f>IF(OR($A952="",_Engine!$D$43=0),"",INDEX(_Engine!$E1010:$X1010,1,(_Engine!$J$43-1)*4+3))</f>
        <v/>
      </c>
      <c r="J952" s="27">
        <f>IF(OR($A952="",_Engine!$D$44=0),"",INDEX(_Engine!$E1010:$X1010,1,(_Engine!$J$44-1)*4+3))</f>
        <v/>
      </c>
      <c r="K952" s="27">
        <f>IF(OR($A952="",_Engine!$D$45=0),"",INDEX(_Engine!$E1010:$X1010,1,(_Engine!$J$45-1)*4+3))</f>
        <v/>
      </c>
    </row>
    <row r="953">
      <c r="A953" s="25">
        <f>IF(950&lt;=_Engine!$B$36,950,"")</f>
        <v/>
      </c>
      <c r="B953" s="26">
        <f>IF($A953="","",EDATE(_Engine!$B$5,$A953-1))</f>
        <v/>
      </c>
      <c r="C953" s="27">
        <f>IF($A953="","",_Engine!$AJ1011)</f>
        <v/>
      </c>
      <c r="D953" s="27">
        <f>IF($A953="","",_Engine!$AK1011)</f>
        <v/>
      </c>
      <c r="E953" s="27">
        <f>IF($A953="","",_Engine!$AJ1011-_Engine!$AK1011)</f>
        <v/>
      </c>
      <c r="F953" s="27">
        <f>IF($A953="","",_Engine!$AI1011)</f>
        <v/>
      </c>
      <c r="G953" s="27">
        <f>IF(OR($A953="",_Engine!$D$41=0),"",INDEX(_Engine!$E1011:$X1011,1,(_Engine!$J$41-1)*4+3))</f>
        <v/>
      </c>
      <c r="H953" s="27">
        <f>IF(OR($A953="",_Engine!$D$42=0),"",INDEX(_Engine!$E1011:$X1011,1,(_Engine!$J$42-1)*4+3))</f>
        <v/>
      </c>
      <c r="I953" s="27">
        <f>IF(OR($A953="",_Engine!$D$43=0),"",INDEX(_Engine!$E1011:$X1011,1,(_Engine!$J$43-1)*4+3))</f>
        <v/>
      </c>
      <c r="J953" s="27">
        <f>IF(OR($A953="",_Engine!$D$44=0),"",INDEX(_Engine!$E1011:$X1011,1,(_Engine!$J$44-1)*4+3))</f>
        <v/>
      </c>
      <c r="K953" s="27">
        <f>IF(OR($A953="",_Engine!$D$45=0),"",INDEX(_Engine!$E1011:$X1011,1,(_Engine!$J$45-1)*4+3))</f>
        <v/>
      </c>
    </row>
    <row r="954">
      <c r="A954" s="25">
        <f>IF(951&lt;=_Engine!$B$36,951,"")</f>
        <v/>
      </c>
      <c r="B954" s="26">
        <f>IF($A954="","",EDATE(_Engine!$B$5,$A954-1))</f>
        <v/>
      </c>
      <c r="C954" s="27">
        <f>IF($A954="","",_Engine!$AJ1012)</f>
        <v/>
      </c>
      <c r="D954" s="27">
        <f>IF($A954="","",_Engine!$AK1012)</f>
        <v/>
      </c>
      <c r="E954" s="27">
        <f>IF($A954="","",_Engine!$AJ1012-_Engine!$AK1012)</f>
        <v/>
      </c>
      <c r="F954" s="27">
        <f>IF($A954="","",_Engine!$AI1012)</f>
        <v/>
      </c>
      <c r="G954" s="27">
        <f>IF(OR($A954="",_Engine!$D$41=0),"",INDEX(_Engine!$E1012:$X1012,1,(_Engine!$J$41-1)*4+3))</f>
        <v/>
      </c>
      <c r="H954" s="27">
        <f>IF(OR($A954="",_Engine!$D$42=0),"",INDEX(_Engine!$E1012:$X1012,1,(_Engine!$J$42-1)*4+3))</f>
        <v/>
      </c>
      <c r="I954" s="27">
        <f>IF(OR($A954="",_Engine!$D$43=0),"",INDEX(_Engine!$E1012:$X1012,1,(_Engine!$J$43-1)*4+3))</f>
        <v/>
      </c>
      <c r="J954" s="27">
        <f>IF(OR($A954="",_Engine!$D$44=0),"",INDEX(_Engine!$E1012:$X1012,1,(_Engine!$J$44-1)*4+3))</f>
        <v/>
      </c>
      <c r="K954" s="27">
        <f>IF(OR($A954="",_Engine!$D$45=0),"",INDEX(_Engine!$E1012:$X1012,1,(_Engine!$J$45-1)*4+3))</f>
        <v/>
      </c>
    </row>
    <row r="955">
      <c r="A955" s="25">
        <f>IF(952&lt;=_Engine!$B$36,952,"")</f>
        <v/>
      </c>
      <c r="B955" s="26">
        <f>IF($A955="","",EDATE(_Engine!$B$5,$A955-1))</f>
        <v/>
      </c>
      <c r="C955" s="27">
        <f>IF($A955="","",_Engine!$AJ1013)</f>
        <v/>
      </c>
      <c r="D955" s="27">
        <f>IF($A955="","",_Engine!$AK1013)</f>
        <v/>
      </c>
      <c r="E955" s="27">
        <f>IF($A955="","",_Engine!$AJ1013-_Engine!$AK1013)</f>
        <v/>
      </c>
      <c r="F955" s="27">
        <f>IF($A955="","",_Engine!$AI1013)</f>
        <v/>
      </c>
      <c r="G955" s="27">
        <f>IF(OR($A955="",_Engine!$D$41=0),"",INDEX(_Engine!$E1013:$X1013,1,(_Engine!$J$41-1)*4+3))</f>
        <v/>
      </c>
      <c r="H955" s="27">
        <f>IF(OR($A955="",_Engine!$D$42=0),"",INDEX(_Engine!$E1013:$X1013,1,(_Engine!$J$42-1)*4+3))</f>
        <v/>
      </c>
      <c r="I955" s="27">
        <f>IF(OR($A955="",_Engine!$D$43=0),"",INDEX(_Engine!$E1013:$X1013,1,(_Engine!$J$43-1)*4+3))</f>
        <v/>
      </c>
      <c r="J955" s="27">
        <f>IF(OR($A955="",_Engine!$D$44=0),"",INDEX(_Engine!$E1013:$X1013,1,(_Engine!$J$44-1)*4+3))</f>
        <v/>
      </c>
      <c r="K955" s="27">
        <f>IF(OR($A955="",_Engine!$D$45=0),"",INDEX(_Engine!$E1013:$X1013,1,(_Engine!$J$45-1)*4+3))</f>
        <v/>
      </c>
    </row>
    <row r="956">
      <c r="A956" s="25">
        <f>IF(953&lt;=_Engine!$B$36,953,"")</f>
        <v/>
      </c>
      <c r="B956" s="26">
        <f>IF($A956="","",EDATE(_Engine!$B$5,$A956-1))</f>
        <v/>
      </c>
      <c r="C956" s="27">
        <f>IF($A956="","",_Engine!$AJ1014)</f>
        <v/>
      </c>
      <c r="D956" s="27">
        <f>IF($A956="","",_Engine!$AK1014)</f>
        <v/>
      </c>
      <c r="E956" s="27">
        <f>IF($A956="","",_Engine!$AJ1014-_Engine!$AK1014)</f>
        <v/>
      </c>
      <c r="F956" s="27">
        <f>IF($A956="","",_Engine!$AI1014)</f>
        <v/>
      </c>
      <c r="G956" s="27">
        <f>IF(OR($A956="",_Engine!$D$41=0),"",INDEX(_Engine!$E1014:$X1014,1,(_Engine!$J$41-1)*4+3))</f>
        <v/>
      </c>
      <c r="H956" s="27">
        <f>IF(OR($A956="",_Engine!$D$42=0),"",INDEX(_Engine!$E1014:$X1014,1,(_Engine!$J$42-1)*4+3))</f>
        <v/>
      </c>
      <c r="I956" s="27">
        <f>IF(OR($A956="",_Engine!$D$43=0),"",INDEX(_Engine!$E1014:$X1014,1,(_Engine!$J$43-1)*4+3))</f>
        <v/>
      </c>
      <c r="J956" s="27">
        <f>IF(OR($A956="",_Engine!$D$44=0),"",INDEX(_Engine!$E1014:$X1014,1,(_Engine!$J$44-1)*4+3))</f>
        <v/>
      </c>
      <c r="K956" s="27">
        <f>IF(OR($A956="",_Engine!$D$45=0),"",INDEX(_Engine!$E1014:$X1014,1,(_Engine!$J$45-1)*4+3))</f>
        <v/>
      </c>
    </row>
    <row r="957">
      <c r="A957" s="25">
        <f>IF(954&lt;=_Engine!$B$36,954,"")</f>
        <v/>
      </c>
      <c r="B957" s="26">
        <f>IF($A957="","",EDATE(_Engine!$B$5,$A957-1))</f>
        <v/>
      </c>
      <c r="C957" s="27">
        <f>IF($A957="","",_Engine!$AJ1015)</f>
        <v/>
      </c>
      <c r="D957" s="27">
        <f>IF($A957="","",_Engine!$AK1015)</f>
        <v/>
      </c>
      <c r="E957" s="27">
        <f>IF($A957="","",_Engine!$AJ1015-_Engine!$AK1015)</f>
        <v/>
      </c>
      <c r="F957" s="27">
        <f>IF($A957="","",_Engine!$AI1015)</f>
        <v/>
      </c>
      <c r="G957" s="27">
        <f>IF(OR($A957="",_Engine!$D$41=0),"",INDEX(_Engine!$E1015:$X1015,1,(_Engine!$J$41-1)*4+3))</f>
        <v/>
      </c>
      <c r="H957" s="27">
        <f>IF(OR($A957="",_Engine!$D$42=0),"",INDEX(_Engine!$E1015:$X1015,1,(_Engine!$J$42-1)*4+3))</f>
        <v/>
      </c>
      <c r="I957" s="27">
        <f>IF(OR($A957="",_Engine!$D$43=0),"",INDEX(_Engine!$E1015:$X1015,1,(_Engine!$J$43-1)*4+3))</f>
        <v/>
      </c>
      <c r="J957" s="27">
        <f>IF(OR($A957="",_Engine!$D$44=0),"",INDEX(_Engine!$E1015:$X1015,1,(_Engine!$J$44-1)*4+3))</f>
        <v/>
      </c>
      <c r="K957" s="27">
        <f>IF(OR($A957="",_Engine!$D$45=0),"",INDEX(_Engine!$E1015:$X1015,1,(_Engine!$J$45-1)*4+3))</f>
        <v/>
      </c>
    </row>
    <row r="958">
      <c r="A958" s="25">
        <f>IF(955&lt;=_Engine!$B$36,955,"")</f>
        <v/>
      </c>
      <c r="B958" s="26">
        <f>IF($A958="","",EDATE(_Engine!$B$5,$A958-1))</f>
        <v/>
      </c>
      <c r="C958" s="27">
        <f>IF($A958="","",_Engine!$AJ1016)</f>
        <v/>
      </c>
      <c r="D958" s="27">
        <f>IF($A958="","",_Engine!$AK1016)</f>
        <v/>
      </c>
      <c r="E958" s="27">
        <f>IF($A958="","",_Engine!$AJ1016-_Engine!$AK1016)</f>
        <v/>
      </c>
      <c r="F958" s="27">
        <f>IF($A958="","",_Engine!$AI1016)</f>
        <v/>
      </c>
      <c r="G958" s="27">
        <f>IF(OR($A958="",_Engine!$D$41=0),"",INDEX(_Engine!$E1016:$X1016,1,(_Engine!$J$41-1)*4+3))</f>
        <v/>
      </c>
      <c r="H958" s="27">
        <f>IF(OR($A958="",_Engine!$D$42=0),"",INDEX(_Engine!$E1016:$X1016,1,(_Engine!$J$42-1)*4+3))</f>
        <v/>
      </c>
      <c r="I958" s="27">
        <f>IF(OR($A958="",_Engine!$D$43=0),"",INDEX(_Engine!$E1016:$X1016,1,(_Engine!$J$43-1)*4+3))</f>
        <v/>
      </c>
      <c r="J958" s="27">
        <f>IF(OR($A958="",_Engine!$D$44=0),"",INDEX(_Engine!$E1016:$X1016,1,(_Engine!$J$44-1)*4+3))</f>
        <v/>
      </c>
      <c r="K958" s="27">
        <f>IF(OR($A958="",_Engine!$D$45=0),"",INDEX(_Engine!$E1016:$X1016,1,(_Engine!$J$45-1)*4+3))</f>
        <v/>
      </c>
    </row>
    <row r="959">
      <c r="A959" s="25">
        <f>IF(956&lt;=_Engine!$B$36,956,"")</f>
        <v/>
      </c>
      <c r="B959" s="26">
        <f>IF($A959="","",EDATE(_Engine!$B$5,$A959-1))</f>
        <v/>
      </c>
      <c r="C959" s="27">
        <f>IF($A959="","",_Engine!$AJ1017)</f>
        <v/>
      </c>
      <c r="D959" s="27">
        <f>IF($A959="","",_Engine!$AK1017)</f>
        <v/>
      </c>
      <c r="E959" s="27">
        <f>IF($A959="","",_Engine!$AJ1017-_Engine!$AK1017)</f>
        <v/>
      </c>
      <c r="F959" s="27">
        <f>IF($A959="","",_Engine!$AI1017)</f>
        <v/>
      </c>
      <c r="G959" s="27">
        <f>IF(OR($A959="",_Engine!$D$41=0),"",INDEX(_Engine!$E1017:$X1017,1,(_Engine!$J$41-1)*4+3))</f>
        <v/>
      </c>
      <c r="H959" s="27">
        <f>IF(OR($A959="",_Engine!$D$42=0),"",INDEX(_Engine!$E1017:$X1017,1,(_Engine!$J$42-1)*4+3))</f>
        <v/>
      </c>
      <c r="I959" s="27">
        <f>IF(OR($A959="",_Engine!$D$43=0),"",INDEX(_Engine!$E1017:$X1017,1,(_Engine!$J$43-1)*4+3))</f>
        <v/>
      </c>
      <c r="J959" s="27">
        <f>IF(OR($A959="",_Engine!$D$44=0),"",INDEX(_Engine!$E1017:$X1017,1,(_Engine!$J$44-1)*4+3))</f>
        <v/>
      </c>
      <c r="K959" s="27">
        <f>IF(OR($A959="",_Engine!$D$45=0),"",INDEX(_Engine!$E1017:$X1017,1,(_Engine!$J$45-1)*4+3))</f>
        <v/>
      </c>
    </row>
    <row r="960">
      <c r="A960" s="25">
        <f>IF(957&lt;=_Engine!$B$36,957,"")</f>
        <v/>
      </c>
      <c r="B960" s="26">
        <f>IF($A960="","",EDATE(_Engine!$B$5,$A960-1))</f>
        <v/>
      </c>
      <c r="C960" s="27">
        <f>IF($A960="","",_Engine!$AJ1018)</f>
        <v/>
      </c>
      <c r="D960" s="27">
        <f>IF($A960="","",_Engine!$AK1018)</f>
        <v/>
      </c>
      <c r="E960" s="27">
        <f>IF($A960="","",_Engine!$AJ1018-_Engine!$AK1018)</f>
        <v/>
      </c>
      <c r="F960" s="27">
        <f>IF($A960="","",_Engine!$AI1018)</f>
        <v/>
      </c>
      <c r="G960" s="27">
        <f>IF(OR($A960="",_Engine!$D$41=0),"",INDEX(_Engine!$E1018:$X1018,1,(_Engine!$J$41-1)*4+3))</f>
        <v/>
      </c>
      <c r="H960" s="27">
        <f>IF(OR($A960="",_Engine!$D$42=0),"",INDEX(_Engine!$E1018:$X1018,1,(_Engine!$J$42-1)*4+3))</f>
        <v/>
      </c>
      <c r="I960" s="27">
        <f>IF(OR($A960="",_Engine!$D$43=0),"",INDEX(_Engine!$E1018:$X1018,1,(_Engine!$J$43-1)*4+3))</f>
        <v/>
      </c>
      <c r="J960" s="27">
        <f>IF(OR($A960="",_Engine!$D$44=0),"",INDEX(_Engine!$E1018:$X1018,1,(_Engine!$J$44-1)*4+3))</f>
        <v/>
      </c>
      <c r="K960" s="27">
        <f>IF(OR($A960="",_Engine!$D$45=0),"",INDEX(_Engine!$E1018:$X1018,1,(_Engine!$J$45-1)*4+3))</f>
        <v/>
      </c>
    </row>
    <row r="961">
      <c r="A961" s="25">
        <f>IF(958&lt;=_Engine!$B$36,958,"")</f>
        <v/>
      </c>
      <c r="B961" s="26">
        <f>IF($A961="","",EDATE(_Engine!$B$5,$A961-1))</f>
        <v/>
      </c>
      <c r="C961" s="27">
        <f>IF($A961="","",_Engine!$AJ1019)</f>
        <v/>
      </c>
      <c r="D961" s="27">
        <f>IF($A961="","",_Engine!$AK1019)</f>
        <v/>
      </c>
      <c r="E961" s="27">
        <f>IF($A961="","",_Engine!$AJ1019-_Engine!$AK1019)</f>
        <v/>
      </c>
      <c r="F961" s="27">
        <f>IF($A961="","",_Engine!$AI1019)</f>
        <v/>
      </c>
      <c r="G961" s="27">
        <f>IF(OR($A961="",_Engine!$D$41=0),"",INDEX(_Engine!$E1019:$X1019,1,(_Engine!$J$41-1)*4+3))</f>
        <v/>
      </c>
      <c r="H961" s="27">
        <f>IF(OR($A961="",_Engine!$D$42=0),"",INDEX(_Engine!$E1019:$X1019,1,(_Engine!$J$42-1)*4+3))</f>
        <v/>
      </c>
      <c r="I961" s="27">
        <f>IF(OR($A961="",_Engine!$D$43=0),"",INDEX(_Engine!$E1019:$X1019,1,(_Engine!$J$43-1)*4+3))</f>
        <v/>
      </c>
      <c r="J961" s="27">
        <f>IF(OR($A961="",_Engine!$D$44=0),"",INDEX(_Engine!$E1019:$X1019,1,(_Engine!$J$44-1)*4+3))</f>
        <v/>
      </c>
      <c r="K961" s="27">
        <f>IF(OR($A961="",_Engine!$D$45=0),"",INDEX(_Engine!$E1019:$X1019,1,(_Engine!$J$45-1)*4+3))</f>
        <v/>
      </c>
    </row>
    <row r="962">
      <c r="A962" s="25">
        <f>IF(959&lt;=_Engine!$B$36,959,"")</f>
        <v/>
      </c>
      <c r="B962" s="26">
        <f>IF($A962="","",EDATE(_Engine!$B$5,$A962-1))</f>
        <v/>
      </c>
      <c r="C962" s="27">
        <f>IF($A962="","",_Engine!$AJ1020)</f>
        <v/>
      </c>
      <c r="D962" s="27">
        <f>IF($A962="","",_Engine!$AK1020)</f>
        <v/>
      </c>
      <c r="E962" s="27">
        <f>IF($A962="","",_Engine!$AJ1020-_Engine!$AK1020)</f>
        <v/>
      </c>
      <c r="F962" s="27">
        <f>IF($A962="","",_Engine!$AI1020)</f>
        <v/>
      </c>
      <c r="G962" s="27">
        <f>IF(OR($A962="",_Engine!$D$41=0),"",INDEX(_Engine!$E1020:$X1020,1,(_Engine!$J$41-1)*4+3))</f>
        <v/>
      </c>
      <c r="H962" s="27">
        <f>IF(OR($A962="",_Engine!$D$42=0),"",INDEX(_Engine!$E1020:$X1020,1,(_Engine!$J$42-1)*4+3))</f>
        <v/>
      </c>
      <c r="I962" s="27">
        <f>IF(OR($A962="",_Engine!$D$43=0),"",INDEX(_Engine!$E1020:$X1020,1,(_Engine!$J$43-1)*4+3))</f>
        <v/>
      </c>
      <c r="J962" s="27">
        <f>IF(OR($A962="",_Engine!$D$44=0),"",INDEX(_Engine!$E1020:$X1020,1,(_Engine!$J$44-1)*4+3))</f>
        <v/>
      </c>
      <c r="K962" s="27">
        <f>IF(OR($A962="",_Engine!$D$45=0),"",INDEX(_Engine!$E1020:$X1020,1,(_Engine!$J$45-1)*4+3))</f>
        <v/>
      </c>
    </row>
    <row r="963">
      <c r="A963" s="25">
        <f>IF(960&lt;=_Engine!$B$36,960,"")</f>
        <v/>
      </c>
      <c r="B963" s="26">
        <f>IF($A963="","",EDATE(_Engine!$B$5,$A963-1))</f>
        <v/>
      </c>
      <c r="C963" s="27">
        <f>IF($A963="","",_Engine!$AJ1021)</f>
        <v/>
      </c>
      <c r="D963" s="27">
        <f>IF($A963="","",_Engine!$AK1021)</f>
        <v/>
      </c>
      <c r="E963" s="27">
        <f>IF($A963="","",_Engine!$AJ1021-_Engine!$AK1021)</f>
        <v/>
      </c>
      <c r="F963" s="27">
        <f>IF($A963="","",_Engine!$AI1021)</f>
        <v/>
      </c>
      <c r="G963" s="27">
        <f>IF(OR($A963="",_Engine!$D$41=0),"",INDEX(_Engine!$E1021:$X1021,1,(_Engine!$J$41-1)*4+3))</f>
        <v/>
      </c>
      <c r="H963" s="27">
        <f>IF(OR($A963="",_Engine!$D$42=0),"",INDEX(_Engine!$E1021:$X1021,1,(_Engine!$J$42-1)*4+3))</f>
        <v/>
      </c>
      <c r="I963" s="27">
        <f>IF(OR($A963="",_Engine!$D$43=0),"",INDEX(_Engine!$E1021:$X1021,1,(_Engine!$J$43-1)*4+3))</f>
        <v/>
      </c>
      <c r="J963" s="27">
        <f>IF(OR($A963="",_Engine!$D$44=0),"",INDEX(_Engine!$E1021:$X1021,1,(_Engine!$J$44-1)*4+3))</f>
        <v/>
      </c>
      <c r="K963" s="27">
        <f>IF(OR($A963="",_Engine!$D$45=0),"",INDEX(_Engine!$E1021:$X1021,1,(_Engine!$J$45-1)*4+3))</f>
        <v/>
      </c>
    </row>
    <row r="964">
      <c r="A964" s="25">
        <f>IF(961&lt;=_Engine!$B$36,961,"")</f>
        <v/>
      </c>
      <c r="B964" s="26">
        <f>IF($A964="","",EDATE(_Engine!$B$5,$A964-1))</f>
        <v/>
      </c>
      <c r="C964" s="27">
        <f>IF($A964="","",_Engine!$AJ1022)</f>
        <v/>
      </c>
      <c r="D964" s="27">
        <f>IF($A964="","",_Engine!$AK1022)</f>
        <v/>
      </c>
      <c r="E964" s="27">
        <f>IF($A964="","",_Engine!$AJ1022-_Engine!$AK1022)</f>
        <v/>
      </c>
      <c r="F964" s="27">
        <f>IF($A964="","",_Engine!$AI1022)</f>
        <v/>
      </c>
      <c r="G964" s="27">
        <f>IF(OR($A964="",_Engine!$D$41=0),"",INDEX(_Engine!$E1022:$X1022,1,(_Engine!$J$41-1)*4+3))</f>
        <v/>
      </c>
      <c r="H964" s="27">
        <f>IF(OR($A964="",_Engine!$D$42=0),"",INDEX(_Engine!$E1022:$X1022,1,(_Engine!$J$42-1)*4+3))</f>
        <v/>
      </c>
      <c r="I964" s="27">
        <f>IF(OR($A964="",_Engine!$D$43=0),"",INDEX(_Engine!$E1022:$X1022,1,(_Engine!$J$43-1)*4+3))</f>
        <v/>
      </c>
      <c r="J964" s="27">
        <f>IF(OR($A964="",_Engine!$D$44=0),"",INDEX(_Engine!$E1022:$X1022,1,(_Engine!$J$44-1)*4+3))</f>
        <v/>
      </c>
      <c r="K964" s="27">
        <f>IF(OR($A964="",_Engine!$D$45=0),"",INDEX(_Engine!$E1022:$X1022,1,(_Engine!$J$45-1)*4+3))</f>
        <v/>
      </c>
    </row>
    <row r="965">
      <c r="A965" s="25">
        <f>IF(962&lt;=_Engine!$B$36,962,"")</f>
        <v/>
      </c>
      <c r="B965" s="26">
        <f>IF($A965="","",EDATE(_Engine!$B$5,$A965-1))</f>
        <v/>
      </c>
      <c r="C965" s="27">
        <f>IF($A965="","",_Engine!$AJ1023)</f>
        <v/>
      </c>
      <c r="D965" s="27">
        <f>IF($A965="","",_Engine!$AK1023)</f>
        <v/>
      </c>
      <c r="E965" s="27">
        <f>IF($A965="","",_Engine!$AJ1023-_Engine!$AK1023)</f>
        <v/>
      </c>
      <c r="F965" s="27">
        <f>IF($A965="","",_Engine!$AI1023)</f>
        <v/>
      </c>
      <c r="G965" s="27">
        <f>IF(OR($A965="",_Engine!$D$41=0),"",INDEX(_Engine!$E1023:$X1023,1,(_Engine!$J$41-1)*4+3))</f>
        <v/>
      </c>
      <c r="H965" s="27">
        <f>IF(OR($A965="",_Engine!$D$42=0),"",INDEX(_Engine!$E1023:$X1023,1,(_Engine!$J$42-1)*4+3))</f>
        <v/>
      </c>
      <c r="I965" s="27">
        <f>IF(OR($A965="",_Engine!$D$43=0),"",INDEX(_Engine!$E1023:$X1023,1,(_Engine!$J$43-1)*4+3))</f>
        <v/>
      </c>
      <c r="J965" s="27">
        <f>IF(OR($A965="",_Engine!$D$44=0),"",INDEX(_Engine!$E1023:$X1023,1,(_Engine!$J$44-1)*4+3))</f>
        <v/>
      </c>
      <c r="K965" s="27">
        <f>IF(OR($A965="",_Engine!$D$45=0),"",INDEX(_Engine!$E1023:$X1023,1,(_Engine!$J$45-1)*4+3))</f>
        <v/>
      </c>
    </row>
    <row r="966">
      <c r="A966" s="25">
        <f>IF(963&lt;=_Engine!$B$36,963,"")</f>
        <v/>
      </c>
      <c r="B966" s="26">
        <f>IF($A966="","",EDATE(_Engine!$B$5,$A966-1))</f>
        <v/>
      </c>
      <c r="C966" s="27">
        <f>IF($A966="","",_Engine!$AJ1024)</f>
        <v/>
      </c>
      <c r="D966" s="27">
        <f>IF($A966="","",_Engine!$AK1024)</f>
        <v/>
      </c>
      <c r="E966" s="27">
        <f>IF($A966="","",_Engine!$AJ1024-_Engine!$AK1024)</f>
        <v/>
      </c>
      <c r="F966" s="27">
        <f>IF($A966="","",_Engine!$AI1024)</f>
        <v/>
      </c>
      <c r="G966" s="27">
        <f>IF(OR($A966="",_Engine!$D$41=0),"",INDEX(_Engine!$E1024:$X1024,1,(_Engine!$J$41-1)*4+3))</f>
        <v/>
      </c>
      <c r="H966" s="27">
        <f>IF(OR($A966="",_Engine!$D$42=0),"",INDEX(_Engine!$E1024:$X1024,1,(_Engine!$J$42-1)*4+3))</f>
        <v/>
      </c>
      <c r="I966" s="27">
        <f>IF(OR($A966="",_Engine!$D$43=0),"",INDEX(_Engine!$E1024:$X1024,1,(_Engine!$J$43-1)*4+3))</f>
        <v/>
      </c>
      <c r="J966" s="27">
        <f>IF(OR($A966="",_Engine!$D$44=0),"",INDEX(_Engine!$E1024:$X1024,1,(_Engine!$J$44-1)*4+3))</f>
        <v/>
      </c>
      <c r="K966" s="27">
        <f>IF(OR($A966="",_Engine!$D$45=0),"",INDEX(_Engine!$E1024:$X1024,1,(_Engine!$J$45-1)*4+3))</f>
        <v/>
      </c>
    </row>
    <row r="967">
      <c r="A967" s="25">
        <f>IF(964&lt;=_Engine!$B$36,964,"")</f>
        <v/>
      </c>
      <c r="B967" s="26">
        <f>IF($A967="","",EDATE(_Engine!$B$5,$A967-1))</f>
        <v/>
      </c>
      <c r="C967" s="27">
        <f>IF($A967="","",_Engine!$AJ1025)</f>
        <v/>
      </c>
      <c r="D967" s="27">
        <f>IF($A967="","",_Engine!$AK1025)</f>
        <v/>
      </c>
      <c r="E967" s="27">
        <f>IF($A967="","",_Engine!$AJ1025-_Engine!$AK1025)</f>
        <v/>
      </c>
      <c r="F967" s="27">
        <f>IF($A967="","",_Engine!$AI1025)</f>
        <v/>
      </c>
      <c r="G967" s="27">
        <f>IF(OR($A967="",_Engine!$D$41=0),"",INDEX(_Engine!$E1025:$X1025,1,(_Engine!$J$41-1)*4+3))</f>
        <v/>
      </c>
      <c r="H967" s="27">
        <f>IF(OR($A967="",_Engine!$D$42=0),"",INDEX(_Engine!$E1025:$X1025,1,(_Engine!$J$42-1)*4+3))</f>
        <v/>
      </c>
      <c r="I967" s="27">
        <f>IF(OR($A967="",_Engine!$D$43=0),"",INDEX(_Engine!$E1025:$X1025,1,(_Engine!$J$43-1)*4+3))</f>
        <v/>
      </c>
      <c r="J967" s="27">
        <f>IF(OR($A967="",_Engine!$D$44=0),"",INDEX(_Engine!$E1025:$X1025,1,(_Engine!$J$44-1)*4+3))</f>
        <v/>
      </c>
      <c r="K967" s="27">
        <f>IF(OR($A967="",_Engine!$D$45=0),"",INDEX(_Engine!$E1025:$X1025,1,(_Engine!$J$45-1)*4+3))</f>
        <v/>
      </c>
    </row>
    <row r="968">
      <c r="A968" s="25">
        <f>IF(965&lt;=_Engine!$B$36,965,"")</f>
        <v/>
      </c>
      <c r="B968" s="26">
        <f>IF($A968="","",EDATE(_Engine!$B$5,$A968-1))</f>
        <v/>
      </c>
      <c r="C968" s="27">
        <f>IF($A968="","",_Engine!$AJ1026)</f>
        <v/>
      </c>
      <c r="D968" s="27">
        <f>IF($A968="","",_Engine!$AK1026)</f>
        <v/>
      </c>
      <c r="E968" s="27">
        <f>IF($A968="","",_Engine!$AJ1026-_Engine!$AK1026)</f>
        <v/>
      </c>
      <c r="F968" s="27">
        <f>IF($A968="","",_Engine!$AI1026)</f>
        <v/>
      </c>
      <c r="G968" s="27">
        <f>IF(OR($A968="",_Engine!$D$41=0),"",INDEX(_Engine!$E1026:$X1026,1,(_Engine!$J$41-1)*4+3))</f>
        <v/>
      </c>
      <c r="H968" s="27">
        <f>IF(OR($A968="",_Engine!$D$42=0),"",INDEX(_Engine!$E1026:$X1026,1,(_Engine!$J$42-1)*4+3))</f>
        <v/>
      </c>
      <c r="I968" s="27">
        <f>IF(OR($A968="",_Engine!$D$43=0),"",INDEX(_Engine!$E1026:$X1026,1,(_Engine!$J$43-1)*4+3))</f>
        <v/>
      </c>
      <c r="J968" s="27">
        <f>IF(OR($A968="",_Engine!$D$44=0),"",INDEX(_Engine!$E1026:$X1026,1,(_Engine!$J$44-1)*4+3))</f>
        <v/>
      </c>
      <c r="K968" s="27">
        <f>IF(OR($A968="",_Engine!$D$45=0),"",INDEX(_Engine!$E1026:$X1026,1,(_Engine!$J$45-1)*4+3))</f>
        <v/>
      </c>
    </row>
    <row r="969">
      <c r="A969" s="25">
        <f>IF(966&lt;=_Engine!$B$36,966,"")</f>
        <v/>
      </c>
      <c r="B969" s="26">
        <f>IF($A969="","",EDATE(_Engine!$B$5,$A969-1))</f>
        <v/>
      </c>
      <c r="C969" s="27">
        <f>IF($A969="","",_Engine!$AJ1027)</f>
        <v/>
      </c>
      <c r="D969" s="27">
        <f>IF($A969="","",_Engine!$AK1027)</f>
        <v/>
      </c>
      <c r="E969" s="27">
        <f>IF($A969="","",_Engine!$AJ1027-_Engine!$AK1027)</f>
        <v/>
      </c>
      <c r="F969" s="27">
        <f>IF($A969="","",_Engine!$AI1027)</f>
        <v/>
      </c>
      <c r="G969" s="27">
        <f>IF(OR($A969="",_Engine!$D$41=0),"",INDEX(_Engine!$E1027:$X1027,1,(_Engine!$J$41-1)*4+3))</f>
        <v/>
      </c>
      <c r="H969" s="27">
        <f>IF(OR($A969="",_Engine!$D$42=0),"",INDEX(_Engine!$E1027:$X1027,1,(_Engine!$J$42-1)*4+3))</f>
        <v/>
      </c>
      <c r="I969" s="27">
        <f>IF(OR($A969="",_Engine!$D$43=0),"",INDEX(_Engine!$E1027:$X1027,1,(_Engine!$J$43-1)*4+3))</f>
        <v/>
      </c>
      <c r="J969" s="27">
        <f>IF(OR($A969="",_Engine!$D$44=0),"",INDEX(_Engine!$E1027:$X1027,1,(_Engine!$J$44-1)*4+3))</f>
        <v/>
      </c>
      <c r="K969" s="27">
        <f>IF(OR($A969="",_Engine!$D$45=0),"",INDEX(_Engine!$E1027:$X1027,1,(_Engine!$J$45-1)*4+3))</f>
        <v/>
      </c>
    </row>
    <row r="970">
      <c r="A970" s="25">
        <f>IF(967&lt;=_Engine!$B$36,967,"")</f>
        <v/>
      </c>
      <c r="B970" s="26">
        <f>IF($A970="","",EDATE(_Engine!$B$5,$A970-1))</f>
        <v/>
      </c>
      <c r="C970" s="27">
        <f>IF($A970="","",_Engine!$AJ1028)</f>
        <v/>
      </c>
      <c r="D970" s="27">
        <f>IF($A970="","",_Engine!$AK1028)</f>
        <v/>
      </c>
      <c r="E970" s="27">
        <f>IF($A970="","",_Engine!$AJ1028-_Engine!$AK1028)</f>
        <v/>
      </c>
      <c r="F970" s="27">
        <f>IF($A970="","",_Engine!$AI1028)</f>
        <v/>
      </c>
      <c r="G970" s="27">
        <f>IF(OR($A970="",_Engine!$D$41=0),"",INDEX(_Engine!$E1028:$X1028,1,(_Engine!$J$41-1)*4+3))</f>
        <v/>
      </c>
      <c r="H970" s="27">
        <f>IF(OR($A970="",_Engine!$D$42=0),"",INDEX(_Engine!$E1028:$X1028,1,(_Engine!$J$42-1)*4+3))</f>
        <v/>
      </c>
      <c r="I970" s="27">
        <f>IF(OR($A970="",_Engine!$D$43=0),"",INDEX(_Engine!$E1028:$X1028,1,(_Engine!$J$43-1)*4+3))</f>
        <v/>
      </c>
      <c r="J970" s="27">
        <f>IF(OR($A970="",_Engine!$D$44=0),"",INDEX(_Engine!$E1028:$X1028,1,(_Engine!$J$44-1)*4+3))</f>
        <v/>
      </c>
      <c r="K970" s="27">
        <f>IF(OR($A970="",_Engine!$D$45=0),"",INDEX(_Engine!$E1028:$X1028,1,(_Engine!$J$45-1)*4+3))</f>
        <v/>
      </c>
    </row>
    <row r="971">
      <c r="A971" s="25">
        <f>IF(968&lt;=_Engine!$B$36,968,"")</f>
        <v/>
      </c>
      <c r="B971" s="26">
        <f>IF($A971="","",EDATE(_Engine!$B$5,$A971-1))</f>
        <v/>
      </c>
      <c r="C971" s="27">
        <f>IF($A971="","",_Engine!$AJ1029)</f>
        <v/>
      </c>
      <c r="D971" s="27">
        <f>IF($A971="","",_Engine!$AK1029)</f>
        <v/>
      </c>
      <c r="E971" s="27">
        <f>IF($A971="","",_Engine!$AJ1029-_Engine!$AK1029)</f>
        <v/>
      </c>
      <c r="F971" s="27">
        <f>IF($A971="","",_Engine!$AI1029)</f>
        <v/>
      </c>
      <c r="G971" s="27">
        <f>IF(OR($A971="",_Engine!$D$41=0),"",INDEX(_Engine!$E1029:$X1029,1,(_Engine!$J$41-1)*4+3))</f>
        <v/>
      </c>
      <c r="H971" s="27">
        <f>IF(OR($A971="",_Engine!$D$42=0),"",INDEX(_Engine!$E1029:$X1029,1,(_Engine!$J$42-1)*4+3))</f>
        <v/>
      </c>
      <c r="I971" s="27">
        <f>IF(OR($A971="",_Engine!$D$43=0),"",INDEX(_Engine!$E1029:$X1029,1,(_Engine!$J$43-1)*4+3))</f>
        <v/>
      </c>
      <c r="J971" s="27">
        <f>IF(OR($A971="",_Engine!$D$44=0),"",INDEX(_Engine!$E1029:$X1029,1,(_Engine!$J$44-1)*4+3))</f>
        <v/>
      </c>
      <c r="K971" s="27">
        <f>IF(OR($A971="",_Engine!$D$45=0),"",INDEX(_Engine!$E1029:$X1029,1,(_Engine!$J$45-1)*4+3))</f>
        <v/>
      </c>
    </row>
    <row r="972">
      <c r="A972" s="25">
        <f>IF(969&lt;=_Engine!$B$36,969,"")</f>
        <v/>
      </c>
      <c r="B972" s="26">
        <f>IF($A972="","",EDATE(_Engine!$B$5,$A972-1))</f>
        <v/>
      </c>
      <c r="C972" s="27">
        <f>IF($A972="","",_Engine!$AJ1030)</f>
        <v/>
      </c>
      <c r="D972" s="27">
        <f>IF($A972="","",_Engine!$AK1030)</f>
        <v/>
      </c>
      <c r="E972" s="27">
        <f>IF($A972="","",_Engine!$AJ1030-_Engine!$AK1030)</f>
        <v/>
      </c>
      <c r="F972" s="27">
        <f>IF($A972="","",_Engine!$AI1030)</f>
        <v/>
      </c>
      <c r="G972" s="27">
        <f>IF(OR($A972="",_Engine!$D$41=0),"",INDEX(_Engine!$E1030:$X1030,1,(_Engine!$J$41-1)*4+3))</f>
        <v/>
      </c>
      <c r="H972" s="27">
        <f>IF(OR($A972="",_Engine!$D$42=0),"",INDEX(_Engine!$E1030:$X1030,1,(_Engine!$J$42-1)*4+3))</f>
        <v/>
      </c>
      <c r="I972" s="27">
        <f>IF(OR($A972="",_Engine!$D$43=0),"",INDEX(_Engine!$E1030:$X1030,1,(_Engine!$J$43-1)*4+3))</f>
        <v/>
      </c>
      <c r="J972" s="27">
        <f>IF(OR($A972="",_Engine!$D$44=0),"",INDEX(_Engine!$E1030:$X1030,1,(_Engine!$J$44-1)*4+3))</f>
        <v/>
      </c>
      <c r="K972" s="27">
        <f>IF(OR($A972="",_Engine!$D$45=0),"",INDEX(_Engine!$E1030:$X1030,1,(_Engine!$J$45-1)*4+3))</f>
        <v/>
      </c>
    </row>
    <row r="973">
      <c r="A973" s="25">
        <f>IF(970&lt;=_Engine!$B$36,970,"")</f>
        <v/>
      </c>
      <c r="B973" s="26">
        <f>IF($A973="","",EDATE(_Engine!$B$5,$A973-1))</f>
        <v/>
      </c>
      <c r="C973" s="27">
        <f>IF($A973="","",_Engine!$AJ1031)</f>
        <v/>
      </c>
      <c r="D973" s="27">
        <f>IF($A973="","",_Engine!$AK1031)</f>
        <v/>
      </c>
      <c r="E973" s="27">
        <f>IF($A973="","",_Engine!$AJ1031-_Engine!$AK1031)</f>
        <v/>
      </c>
      <c r="F973" s="27">
        <f>IF($A973="","",_Engine!$AI1031)</f>
        <v/>
      </c>
      <c r="G973" s="27">
        <f>IF(OR($A973="",_Engine!$D$41=0),"",INDEX(_Engine!$E1031:$X1031,1,(_Engine!$J$41-1)*4+3))</f>
        <v/>
      </c>
      <c r="H973" s="27">
        <f>IF(OR($A973="",_Engine!$D$42=0),"",INDEX(_Engine!$E1031:$X1031,1,(_Engine!$J$42-1)*4+3))</f>
        <v/>
      </c>
      <c r="I973" s="27">
        <f>IF(OR($A973="",_Engine!$D$43=0),"",INDEX(_Engine!$E1031:$X1031,1,(_Engine!$J$43-1)*4+3))</f>
        <v/>
      </c>
      <c r="J973" s="27">
        <f>IF(OR($A973="",_Engine!$D$44=0),"",INDEX(_Engine!$E1031:$X1031,1,(_Engine!$J$44-1)*4+3))</f>
        <v/>
      </c>
      <c r="K973" s="27">
        <f>IF(OR($A973="",_Engine!$D$45=0),"",INDEX(_Engine!$E1031:$X1031,1,(_Engine!$J$45-1)*4+3))</f>
        <v/>
      </c>
    </row>
    <row r="974">
      <c r="A974" s="25">
        <f>IF(971&lt;=_Engine!$B$36,971,"")</f>
        <v/>
      </c>
      <c r="B974" s="26">
        <f>IF($A974="","",EDATE(_Engine!$B$5,$A974-1))</f>
        <v/>
      </c>
      <c r="C974" s="27">
        <f>IF($A974="","",_Engine!$AJ1032)</f>
        <v/>
      </c>
      <c r="D974" s="27">
        <f>IF($A974="","",_Engine!$AK1032)</f>
        <v/>
      </c>
      <c r="E974" s="27">
        <f>IF($A974="","",_Engine!$AJ1032-_Engine!$AK1032)</f>
        <v/>
      </c>
      <c r="F974" s="27">
        <f>IF($A974="","",_Engine!$AI1032)</f>
        <v/>
      </c>
      <c r="G974" s="27">
        <f>IF(OR($A974="",_Engine!$D$41=0),"",INDEX(_Engine!$E1032:$X1032,1,(_Engine!$J$41-1)*4+3))</f>
        <v/>
      </c>
      <c r="H974" s="27">
        <f>IF(OR($A974="",_Engine!$D$42=0),"",INDEX(_Engine!$E1032:$X1032,1,(_Engine!$J$42-1)*4+3))</f>
        <v/>
      </c>
      <c r="I974" s="27">
        <f>IF(OR($A974="",_Engine!$D$43=0),"",INDEX(_Engine!$E1032:$X1032,1,(_Engine!$J$43-1)*4+3))</f>
        <v/>
      </c>
      <c r="J974" s="27">
        <f>IF(OR($A974="",_Engine!$D$44=0),"",INDEX(_Engine!$E1032:$X1032,1,(_Engine!$J$44-1)*4+3))</f>
        <v/>
      </c>
      <c r="K974" s="27">
        <f>IF(OR($A974="",_Engine!$D$45=0),"",INDEX(_Engine!$E1032:$X1032,1,(_Engine!$J$45-1)*4+3))</f>
        <v/>
      </c>
    </row>
    <row r="975">
      <c r="A975" s="25">
        <f>IF(972&lt;=_Engine!$B$36,972,"")</f>
        <v/>
      </c>
      <c r="B975" s="26">
        <f>IF($A975="","",EDATE(_Engine!$B$5,$A975-1))</f>
        <v/>
      </c>
      <c r="C975" s="27">
        <f>IF($A975="","",_Engine!$AJ1033)</f>
        <v/>
      </c>
      <c r="D975" s="27">
        <f>IF($A975="","",_Engine!$AK1033)</f>
        <v/>
      </c>
      <c r="E975" s="27">
        <f>IF($A975="","",_Engine!$AJ1033-_Engine!$AK1033)</f>
        <v/>
      </c>
      <c r="F975" s="27">
        <f>IF($A975="","",_Engine!$AI1033)</f>
        <v/>
      </c>
      <c r="G975" s="27">
        <f>IF(OR($A975="",_Engine!$D$41=0),"",INDEX(_Engine!$E1033:$X1033,1,(_Engine!$J$41-1)*4+3))</f>
        <v/>
      </c>
      <c r="H975" s="27">
        <f>IF(OR($A975="",_Engine!$D$42=0),"",INDEX(_Engine!$E1033:$X1033,1,(_Engine!$J$42-1)*4+3))</f>
        <v/>
      </c>
      <c r="I975" s="27">
        <f>IF(OR($A975="",_Engine!$D$43=0),"",INDEX(_Engine!$E1033:$X1033,1,(_Engine!$J$43-1)*4+3))</f>
        <v/>
      </c>
      <c r="J975" s="27">
        <f>IF(OR($A975="",_Engine!$D$44=0),"",INDEX(_Engine!$E1033:$X1033,1,(_Engine!$J$44-1)*4+3))</f>
        <v/>
      </c>
      <c r="K975" s="27">
        <f>IF(OR($A975="",_Engine!$D$45=0),"",INDEX(_Engine!$E1033:$X1033,1,(_Engine!$J$45-1)*4+3))</f>
        <v/>
      </c>
    </row>
    <row r="976">
      <c r="A976" s="25">
        <f>IF(973&lt;=_Engine!$B$36,973,"")</f>
        <v/>
      </c>
      <c r="B976" s="26">
        <f>IF($A976="","",EDATE(_Engine!$B$5,$A976-1))</f>
        <v/>
      </c>
      <c r="C976" s="27">
        <f>IF($A976="","",_Engine!$AJ1034)</f>
        <v/>
      </c>
      <c r="D976" s="27">
        <f>IF($A976="","",_Engine!$AK1034)</f>
        <v/>
      </c>
      <c r="E976" s="27">
        <f>IF($A976="","",_Engine!$AJ1034-_Engine!$AK1034)</f>
        <v/>
      </c>
      <c r="F976" s="27">
        <f>IF($A976="","",_Engine!$AI1034)</f>
        <v/>
      </c>
      <c r="G976" s="27">
        <f>IF(OR($A976="",_Engine!$D$41=0),"",INDEX(_Engine!$E1034:$X1034,1,(_Engine!$J$41-1)*4+3))</f>
        <v/>
      </c>
      <c r="H976" s="27">
        <f>IF(OR($A976="",_Engine!$D$42=0),"",INDEX(_Engine!$E1034:$X1034,1,(_Engine!$J$42-1)*4+3))</f>
        <v/>
      </c>
      <c r="I976" s="27">
        <f>IF(OR($A976="",_Engine!$D$43=0),"",INDEX(_Engine!$E1034:$X1034,1,(_Engine!$J$43-1)*4+3))</f>
        <v/>
      </c>
      <c r="J976" s="27">
        <f>IF(OR($A976="",_Engine!$D$44=0),"",INDEX(_Engine!$E1034:$X1034,1,(_Engine!$J$44-1)*4+3))</f>
        <v/>
      </c>
      <c r="K976" s="27">
        <f>IF(OR($A976="",_Engine!$D$45=0),"",INDEX(_Engine!$E1034:$X1034,1,(_Engine!$J$45-1)*4+3))</f>
        <v/>
      </c>
    </row>
    <row r="977">
      <c r="A977" s="25">
        <f>IF(974&lt;=_Engine!$B$36,974,"")</f>
        <v/>
      </c>
      <c r="B977" s="26">
        <f>IF($A977="","",EDATE(_Engine!$B$5,$A977-1))</f>
        <v/>
      </c>
      <c r="C977" s="27">
        <f>IF($A977="","",_Engine!$AJ1035)</f>
        <v/>
      </c>
      <c r="D977" s="27">
        <f>IF($A977="","",_Engine!$AK1035)</f>
        <v/>
      </c>
      <c r="E977" s="27">
        <f>IF($A977="","",_Engine!$AJ1035-_Engine!$AK1035)</f>
        <v/>
      </c>
      <c r="F977" s="27">
        <f>IF($A977="","",_Engine!$AI1035)</f>
        <v/>
      </c>
      <c r="G977" s="27">
        <f>IF(OR($A977="",_Engine!$D$41=0),"",INDEX(_Engine!$E1035:$X1035,1,(_Engine!$J$41-1)*4+3))</f>
        <v/>
      </c>
      <c r="H977" s="27">
        <f>IF(OR($A977="",_Engine!$D$42=0),"",INDEX(_Engine!$E1035:$X1035,1,(_Engine!$J$42-1)*4+3))</f>
        <v/>
      </c>
      <c r="I977" s="27">
        <f>IF(OR($A977="",_Engine!$D$43=0),"",INDEX(_Engine!$E1035:$X1035,1,(_Engine!$J$43-1)*4+3))</f>
        <v/>
      </c>
      <c r="J977" s="27">
        <f>IF(OR($A977="",_Engine!$D$44=0),"",INDEX(_Engine!$E1035:$X1035,1,(_Engine!$J$44-1)*4+3))</f>
        <v/>
      </c>
      <c r="K977" s="27">
        <f>IF(OR($A977="",_Engine!$D$45=0),"",INDEX(_Engine!$E1035:$X1035,1,(_Engine!$J$45-1)*4+3))</f>
        <v/>
      </c>
    </row>
    <row r="978">
      <c r="A978" s="25">
        <f>IF(975&lt;=_Engine!$B$36,975,"")</f>
        <v/>
      </c>
      <c r="B978" s="26">
        <f>IF($A978="","",EDATE(_Engine!$B$5,$A978-1))</f>
        <v/>
      </c>
      <c r="C978" s="27">
        <f>IF($A978="","",_Engine!$AJ1036)</f>
        <v/>
      </c>
      <c r="D978" s="27">
        <f>IF($A978="","",_Engine!$AK1036)</f>
        <v/>
      </c>
      <c r="E978" s="27">
        <f>IF($A978="","",_Engine!$AJ1036-_Engine!$AK1036)</f>
        <v/>
      </c>
      <c r="F978" s="27">
        <f>IF($A978="","",_Engine!$AI1036)</f>
        <v/>
      </c>
      <c r="G978" s="27">
        <f>IF(OR($A978="",_Engine!$D$41=0),"",INDEX(_Engine!$E1036:$X1036,1,(_Engine!$J$41-1)*4+3))</f>
        <v/>
      </c>
      <c r="H978" s="27">
        <f>IF(OR($A978="",_Engine!$D$42=0),"",INDEX(_Engine!$E1036:$X1036,1,(_Engine!$J$42-1)*4+3))</f>
        <v/>
      </c>
      <c r="I978" s="27">
        <f>IF(OR($A978="",_Engine!$D$43=0),"",INDEX(_Engine!$E1036:$X1036,1,(_Engine!$J$43-1)*4+3))</f>
        <v/>
      </c>
      <c r="J978" s="27">
        <f>IF(OR($A978="",_Engine!$D$44=0),"",INDEX(_Engine!$E1036:$X1036,1,(_Engine!$J$44-1)*4+3))</f>
        <v/>
      </c>
      <c r="K978" s="27">
        <f>IF(OR($A978="",_Engine!$D$45=0),"",INDEX(_Engine!$E1036:$X1036,1,(_Engine!$J$45-1)*4+3))</f>
        <v/>
      </c>
    </row>
    <row r="979">
      <c r="A979" s="25">
        <f>IF(976&lt;=_Engine!$B$36,976,"")</f>
        <v/>
      </c>
      <c r="B979" s="26">
        <f>IF($A979="","",EDATE(_Engine!$B$5,$A979-1))</f>
        <v/>
      </c>
      <c r="C979" s="27">
        <f>IF($A979="","",_Engine!$AJ1037)</f>
        <v/>
      </c>
      <c r="D979" s="27">
        <f>IF($A979="","",_Engine!$AK1037)</f>
        <v/>
      </c>
      <c r="E979" s="27">
        <f>IF($A979="","",_Engine!$AJ1037-_Engine!$AK1037)</f>
        <v/>
      </c>
      <c r="F979" s="27">
        <f>IF($A979="","",_Engine!$AI1037)</f>
        <v/>
      </c>
      <c r="G979" s="27">
        <f>IF(OR($A979="",_Engine!$D$41=0),"",INDEX(_Engine!$E1037:$X1037,1,(_Engine!$J$41-1)*4+3))</f>
        <v/>
      </c>
      <c r="H979" s="27">
        <f>IF(OR($A979="",_Engine!$D$42=0),"",INDEX(_Engine!$E1037:$X1037,1,(_Engine!$J$42-1)*4+3))</f>
        <v/>
      </c>
      <c r="I979" s="27">
        <f>IF(OR($A979="",_Engine!$D$43=0),"",INDEX(_Engine!$E1037:$X1037,1,(_Engine!$J$43-1)*4+3))</f>
        <v/>
      </c>
      <c r="J979" s="27">
        <f>IF(OR($A979="",_Engine!$D$44=0),"",INDEX(_Engine!$E1037:$X1037,1,(_Engine!$J$44-1)*4+3))</f>
        <v/>
      </c>
      <c r="K979" s="27">
        <f>IF(OR($A979="",_Engine!$D$45=0),"",INDEX(_Engine!$E1037:$X1037,1,(_Engine!$J$45-1)*4+3))</f>
        <v/>
      </c>
    </row>
    <row r="980">
      <c r="A980" s="25">
        <f>IF(977&lt;=_Engine!$B$36,977,"")</f>
        <v/>
      </c>
      <c r="B980" s="26">
        <f>IF($A980="","",EDATE(_Engine!$B$5,$A980-1))</f>
        <v/>
      </c>
      <c r="C980" s="27">
        <f>IF($A980="","",_Engine!$AJ1038)</f>
        <v/>
      </c>
      <c r="D980" s="27">
        <f>IF($A980="","",_Engine!$AK1038)</f>
        <v/>
      </c>
      <c r="E980" s="27">
        <f>IF($A980="","",_Engine!$AJ1038-_Engine!$AK1038)</f>
        <v/>
      </c>
      <c r="F980" s="27">
        <f>IF($A980="","",_Engine!$AI1038)</f>
        <v/>
      </c>
      <c r="G980" s="27">
        <f>IF(OR($A980="",_Engine!$D$41=0),"",INDEX(_Engine!$E1038:$X1038,1,(_Engine!$J$41-1)*4+3))</f>
        <v/>
      </c>
      <c r="H980" s="27">
        <f>IF(OR($A980="",_Engine!$D$42=0),"",INDEX(_Engine!$E1038:$X1038,1,(_Engine!$J$42-1)*4+3))</f>
        <v/>
      </c>
      <c r="I980" s="27">
        <f>IF(OR($A980="",_Engine!$D$43=0),"",INDEX(_Engine!$E1038:$X1038,1,(_Engine!$J$43-1)*4+3))</f>
        <v/>
      </c>
      <c r="J980" s="27">
        <f>IF(OR($A980="",_Engine!$D$44=0),"",INDEX(_Engine!$E1038:$X1038,1,(_Engine!$J$44-1)*4+3))</f>
        <v/>
      </c>
      <c r="K980" s="27">
        <f>IF(OR($A980="",_Engine!$D$45=0),"",INDEX(_Engine!$E1038:$X1038,1,(_Engine!$J$45-1)*4+3))</f>
        <v/>
      </c>
    </row>
    <row r="981">
      <c r="A981" s="25">
        <f>IF(978&lt;=_Engine!$B$36,978,"")</f>
        <v/>
      </c>
      <c r="B981" s="26">
        <f>IF($A981="","",EDATE(_Engine!$B$5,$A981-1))</f>
        <v/>
      </c>
      <c r="C981" s="27">
        <f>IF($A981="","",_Engine!$AJ1039)</f>
        <v/>
      </c>
      <c r="D981" s="27">
        <f>IF($A981="","",_Engine!$AK1039)</f>
        <v/>
      </c>
      <c r="E981" s="27">
        <f>IF($A981="","",_Engine!$AJ1039-_Engine!$AK1039)</f>
        <v/>
      </c>
      <c r="F981" s="27">
        <f>IF($A981="","",_Engine!$AI1039)</f>
        <v/>
      </c>
      <c r="G981" s="27">
        <f>IF(OR($A981="",_Engine!$D$41=0),"",INDEX(_Engine!$E1039:$X1039,1,(_Engine!$J$41-1)*4+3))</f>
        <v/>
      </c>
      <c r="H981" s="27">
        <f>IF(OR($A981="",_Engine!$D$42=0),"",INDEX(_Engine!$E1039:$X1039,1,(_Engine!$J$42-1)*4+3))</f>
        <v/>
      </c>
      <c r="I981" s="27">
        <f>IF(OR($A981="",_Engine!$D$43=0),"",INDEX(_Engine!$E1039:$X1039,1,(_Engine!$J$43-1)*4+3))</f>
        <v/>
      </c>
      <c r="J981" s="27">
        <f>IF(OR($A981="",_Engine!$D$44=0),"",INDEX(_Engine!$E1039:$X1039,1,(_Engine!$J$44-1)*4+3))</f>
        <v/>
      </c>
      <c r="K981" s="27">
        <f>IF(OR($A981="",_Engine!$D$45=0),"",INDEX(_Engine!$E1039:$X1039,1,(_Engine!$J$45-1)*4+3))</f>
        <v/>
      </c>
    </row>
    <row r="982">
      <c r="A982" s="25">
        <f>IF(979&lt;=_Engine!$B$36,979,"")</f>
        <v/>
      </c>
      <c r="B982" s="26">
        <f>IF($A982="","",EDATE(_Engine!$B$5,$A982-1))</f>
        <v/>
      </c>
      <c r="C982" s="27">
        <f>IF($A982="","",_Engine!$AJ1040)</f>
        <v/>
      </c>
      <c r="D982" s="27">
        <f>IF($A982="","",_Engine!$AK1040)</f>
        <v/>
      </c>
      <c r="E982" s="27">
        <f>IF($A982="","",_Engine!$AJ1040-_Engine!$AK1040)</f>
        <v/>
      </c>
      <c r="F982" s="27">
        <f>IF($A982="","",_Engine!$AI1040)</f>
        <v/>
      </c>
      <c r="G982" s="27">
        <f>IF(OR($A982="",_Engine!$D$41=0),"",INDEX(_Engine!$E1040:$X1040,1,(_Engine!$J$41-1)*4+3))</f>
        <v/>
      </c>
      <c r="H982" s="27">
        <f>IF(OR($A982="",_Engine!$D$42=0),"",INDEX(_Engine!$E1040:$X1040,1,(_Engine!$J$42-1)*4+3))</f>
        <v/>
      </c>
      <c r="I982" s="27">
        <f>IF(OR($A982="",_Engine!$D$43=0),"",INDEX(_Engine!$E1040:$X1040,1,(_Engine!$J$43-1)*4+3))</f>
        <v/>
      </c>
      <c r="J982" s="27">
        <f>IF(OR($A982="",_Engine!$D$44=0),"",INDEX(_Engine!$E1040:$X1040,1,(_Engine!$J$44-1)*4+3))</f>
        <v/>
      </c>
      <c r="K982" s="27">
        <f>IF(OR($A982="",_Engine!$D$45=0),"",INDEX(_Engine!$E1040:$X1040,1,(_Engine!$J$45-1)*4+3))</f>
        <v/>
      </c>
    </row>
    <row r="983">
      <c r="A983" s="25">
        <f>IF(980&lt;=_Engine!$B$36,980,"")</f>
        <v/>
      </c>
      <c r="B983" s="26">
        <f>IF($A983="","",EDATE(_Engine!$B$5,$A983-1))</f>
        <v/>
      </c>
      <c r="C983" s="27">
        <f>IF($A983="","",_Engine!$AJ1041)</f>
        <v/>
      </c>
      <c r="D983" s="27">
        <f>IF($A983="","",_Engine!$AK1041)</f>
        <v/>
      </c>
      <c r="E983" s="27">
        <f>IF($A983="","",_Engine!$AJ1041-_Engine!$AK1041)</f>
        <v/>
      </c>
      <c r="F983" s="27">
        <f>IF($A983="","",_Engine!$AI1041)</f>
        <v/>
      </c>
      <c r="G983" s="27">
        <f>IF(OR($A983="",_Engine!$D$41=0),"",INDEX(_Engine!$E1041:$X1041,1,(_Engine!$J$41-1)*4+3))</f>
        <v/>
      </c>
      <c r="H983" s="27">
        <f>IF(OR($A983="",_Engine!$D$42=0),"",INDEX(_Engine!$E1041:$X1041,1,(_Engine!$J$42-1)*4+3))</f>
        <v/>
      </c>
      <c r="I983" s="27">
        <f>IF(OR($A983="",_Engine!$D$43=0),"",INDEX(_Engine!$E1041:$X1041,1,(_Engine!$J$43-1)*4+3))</f>
        <v/>
      </c>
      <c r="J983" s="27">
        <f>IF(OR($A983="",_Engine!$D$44=0),"",INDEX(_Engine!$E1041:$X1041,1,(_Engine!$J$44-1)*4+3))</f>
        <v/>
      </c>
      <c r="K983" s="27">
        <f>IF(OR($A983="",_Engine!$D$45=0),"",INDEX(_Engine!$E1041:$X1041,1,(_Engine!$J$45-1)*4+3))</f>
        <v/>
      </c>
    </row>
    <row r="984">
      <c r="A984" s="25">
        <f>IF(981&lt;=_Engine!$B$36,981,"")</f>
        <v/>
      </c>
      <c r="B984" s="26">
        <f>IF($A984="","",EDATE(_Engine!$B$5,$A984-1))</f>
        <v/>
      </c>
      <c r="C984" s="27">
        <f>IF($A984="","",_Engine!$AJ1042)</f>
        <v/>
      </c>
      <c r="D984" s="27">
        <f>IF($A984="","",_Engine!$AK1042)</f>
        <v/>
      </c>
      <c r="E984" s="27">
        <f>IF($A984="","",_Engine!$AJ1042-_Engine!$AK1042)</f>
        <v/>
      </c>
      <c r="F984" s="27">
        <f>IF($A984="","",_Engine!$AI1042)</f>
        <v/>
      </c>
      <c r="G984" s="27">
        <f>IF(OR($A984="",_Engine!$D$41=0),"",INDEX(_Engine!$E1042:$X1042,1,(_Engine!$J$41-1)*4+3))</f>
        <v/>
      </c>
      <c r="H984" s="27">
        <f>IF(OR($A984="",_Engine!$D$42=0),"",INDEX(_Engine!$E1042:$X1042,1,(_Engine!$J$42-1)*4+3))</f>
        <v/>
      </c>
      <c r="I984" s="27">
        <f>IF(OR($A984="",_Engine!$D$43=0),"",INDEX(_Engine!$E1042:$X1042,1,(_Engine!$J$43-1)*4+3))</f>
        <v/>
      </c>
      <c r="J984" s="27">
        <f>IF(OR($A984="",_Engine!$D$44=0),"",INDEX(_Engine!$E1042:$X1042,1,(_Engine!$J$44-1)*4+3))</f>
        <v/>
      </c>
      <c r="K984" s="27">
        <f>IF(OR($A984="",_Engine!$D$45=0),"",INDEX(_Engine!$E1042:$X1042,1,(_Engine!$J$45-1)*4+3))</f>
        <v/>
      </c>
    </row>
    <row r="985">
      <c r="A985" s="25">
        <f>IF(982&lt;=_Engine!$B$36,982,"")</f>
        <v/>
      </c>
      <c r="B985" s="26">
        <f>IF($A985="","",EDATE(_Engine!$B$5,$A985-1))</f>
        <v/>
      </c>
      <c r="C985" s="27">
        <f>IF($A985="","",_Engine!$AJ1043)</f>
        <v/>
      </c>
      <c r="D985" s="27">
        <f>IF($A985="","",_Engine!$AK1043)</f>
        <v/>
      </c>
      <c r="E985" s="27">
        <f>IF($A985="","",_Engine!$AJ1043-_Engine!$AK1043)</f>
        <v/>
      </c>
      <c r="F985" s="27">
        <f>IF($A985="","",_Engine!$AI1043)</f>
        <v/>
      </c>
      <c r="G985" s="27">
        <f>IF(OR($A985="",_Engine!$D$41=0),"",INDEX(_Engine!$E1043:$X1043,1,(_Engine!$J$41-1)*4+3))</f>
        <v/>
      </c>
      <c r="H985" s="27">
        <f>IF(OR($A985="",_Engine!$D$42=0),"",INDEX(_Engine!$E1043:$X1043,1,(_Engine!$J$42-1)*4+3))</f>
        <v/>
      </c>
      <c r="I985" s="27">
        <f>IF(OR($A985="",_Engine!$D$43=0),"",INDEX(_Engine!$E1043:$X1043,1,(_Engine!$J$43-1)*4+3))</f>
        <v/>
      </c>
      <c r="J985" s="27">
        <f>IF(OR($A985="",_Engine!$D$44=0),"",INDEX(_Engine!$E1043:$X1043,1,(_Engine!$J$44-1)*4+3))</f>
        <v/>
      </c>
      <c r="K985" s="27">
        <f>IF(OR($A985="",_Engine!$D$45=0),"",INDEX(_Engine!$E1043:$X1043,1,(_Engine!$J$45-1)*4+3))</f>
        <v/>
      </c>
    </row>
    <row r="986">
      <c r="A986" s="25">
        <f>IF(983&lt;=_Engine!$B$36,983,"")</f>
        <v/>
      </c>
      <c r="B986" s="26">
        <f>IF($A986="","",EDATE(_Engine!$B$5,$A986-1))</f>
        <v/>
      </c>
      <c r="C986" s="27">
        <f>IF($A986="","",_Engine!$AJ1044)</f>
        <v/>
      </c>
      <c r="D986" s="27">
        <f>IF($A986="","",_Engine!$AK1044)</f>
        <v/>
      </c>
      <c r="E986" s="27">
        <f>IF($A986="","",_Engine!$AJ1044-_Engine!$AK1044)</f>
        <v/>
      </c>
      <c r="F986" s="27">
        <f>IF($A986="","",_Engine!$AI1044)</f>
        <v/>
      </c>
      <c r="G986" s="27">
        <f>IF(OR($A986="",_Engine!$D$41=0),"",INDEX(_Engine!$E1044:$X1044,1,(_Engine!$J$41-1)*4+3))</f>
        <v/>
      </c>
      <c r="H986" s="27">
        <f>IF(OR($A986="",_Engine!$D$42=0),"",INDEX(_Engine!$E1044:$X1044,1,(_Engine!$J$42-1)*4+3))</f>
        <v/>
      </c>
      <c r="I986" s="27">
        <f>IF(OR($A986="",_Engine!$D$43=0),"",INDEX(_Engine!$E1044:$X1044,1,(_Engine!$J$43-1)*4+3))</f>
        <v/>
      </c>
      <c r="J986" s="27">
        <f>IF(OR($A986="",_Engine!$D$44=0),"",INDEX(_Engine!$E1044:$X1044,1,(_Engine!$J$44-1)*4+3))</f>
        <v/>
      </c>
      <c r="K986" s="27">
        <f>IF(OR($A986="",_Engine!$D$45=0),"",INDEX(_Engine!$E1044:$X1044,1,(_Engine!$J$45-1)*4+3))</f>
        <v/>
      </c>
    </row>
    <row r="987">
      <c r="A987" s="25">
        <f>IF(984&lt;=_Engine!$B$36,984,"")</f>
        <v/>
      </c>
      <c r="B987" s="26">
        <f>IF($A987="","",EDATE(_Engine!$B$5,$A987-1))</f>
        <v/>
      </c>
      <c r="C987" s="27">
        <f>IF($A987="","",_Engine!$AJ1045)</f>
        <v/>
      </c>
      <c r="D987" s="27">
        <f>IF($A987="","",_Engine!$AK1045)</f>
        <v/>
      </c>
      <c r="E987" s="27">
        <f>IF($A987="","",_Engine!$AJ1045-_Engine!$AK1045)</f>
        <v/>
      </c>
      <c r="F987" s="27">
        <f>IF($A987="","",_Engine!$AI1045)</f>
        <v/>
      </c>
      <c r="G987" s="27">
        <f>IF(OR($A987="",_Engine!$D$41=0),"",INDEX(_Engine!$E1045:$X1045,1,(_Engine!$J$41-1)*4+3))</f>
        <v/>
      </c>
      <c r="H987" s="27">
        <f>IF(OR($A987="",_Engine!$D$42=0),"",INDEX(_Engine!$E1045:$X1045,1,(_Engine!$J$42-1)*4+3))</f>
        <v/>
      </c>
      <c r="I987" s="27">
        <f>IF(OR($A987="",_Engine!$D$43=0),"",INDEX(_Engine!$E1045:$X1045,1,(_Engine!$J$43-1)*4+3))</f>
        <v/>
      </c>
      <c r="J987" s="27">
        <f>IF(OR($A987="",_Engine!$D$44=0),"",INDEX(_Engine!$E1045:$X1045,1,(_Engine!$J$44-1)*4+3))</f>
        <v/>
      </c>
      <c r="K987" s="27">
        <f>IF(OR($A987="",_Engine!$D$45=0),"",INDEX(_Engine!$E1045:$X1045,1,(_Engine!$J$45-1)*4+3))</f>
        <v/>
      </c>
    </row>
    <row r="988">
      <c r="A988" s="25">
        <f>IF(985&lt;=_Engine!$B$36,985,"")</f>
        <v/>
      </c>
      <c r="B988" s="26">
        <f>IF($A988="","",EDATE(_Engine!$B$5,$A988-1))</f>
        <v/>
      </c>
      <c r="C988" s="27">
        <f>IF($A988="","",_Engine!$AJ1046)</f>
        <v/>
      </c>
      <c r="D988" s="27">
        <f>IF($A988="","",_Engine!$AK1046)</f>
        <v/>
      </c>
      <c r="E988" s="27">
        <f>IF($A988="","",_Engine!$AJ1046-_Engine!$AK1046)</f>
        <v/>
      </c>
      <c r="F988" s="27">
        <f>IF($A988="","",_Engine!$AI1046)</f>
        <v/>
      </c>
      <c r="G988" s="27">
        <f>IF(OR($A988="",_Engine!$D$41=0),"",INDEX(_Engine!$E1046:$X1046,1,(_Engine!$J$41-1)*4+3))</f>
        <v/>
      </c>
      <c r="H988" s="27">
        <f>IF(OR($A988="",_Engine!$D$42=0),"",INDEX(_Engine!$E1046:$X1046,1,(_Engine!$J$42-1)*4+3))</f>
        <v/>
      </c>
      <c r="I988" s="27">
        <f>IF(OR($A988="",_Engine!$D$43=0),"",INDEX(_Engine!$E1046:$X1046,1,(_Engine!$J$43-1)*4+3))</f>
        <v/>
      </c>
      <c r="J988" s="27">
        <f>IF(OR($A988="",_Engine!$D$44=0),"",INDEX(_Engine!$E1046:$X1046,1,(_Engine!$J$44-1)*4+3))</f>
        <v/>
      </c>
      <c r="K988" s="27">
        <f>IF(OR($A988="",_Engine!$D$45=0),"",INDEX(_Engine!$E1046:$X1046,1,(_Engine!$J$45-1)*4+3))</f>
        <v/>
      </c>
    </row>
    <row r="989">
      <c r="A989" s="25">
        <f>IF(986&lt;=_Engine!$B$36,986,"")</f>
        <v/>
      </c>
      <c r="B989" s="26">
        <f>IF($A989="","",EDATE(_Engine!$B$5,$A989-1))</f>
        <v/>
      </c>
      <c r="C989" s="27">
        <f>IF($A989="","",_Engine!$AJ1047)</f>
        <v/>
      </c>
      <c r="D989" s="27">
        <f>IF($A989="","",_Engine!$AK1047)</f>
        <v/>
      </c>
      <c r="E989" s="27">
        <f>IF($A989="","",_Engine!$AJ1047-_Engine!$AK1047)</f>
        <v/>
      </c>
      <c r="F989" s="27">
        <f>IF($A989="","",_Engine!$AI1047)</f>
        <v/>
      </c>
      <c r="G989" s="27">
        <f>IF(OR($A989="",_Engine!$D$41=0),"",INDEX(_Engine!$E1047:$X1047,1,(_Engine!$J$41-1)*4+3))</f>
        <v/>
      </c>
      <c r="H989" s="27">
        <f>IF(OR($A989="",_Engine!$D$42=0),"",INDEX(_Engine!$E1047:$X1047,1,(_Engine!$J$42-1)*4+3))</f>
        <v/>
      </c>
      <c r="I989" s="27">
        <f>IF(OR($A989="",_Engine!$D$43=0),"",INDEX(_Engine!$E1047:$X1047,1,(_Engine!$J$43-1)*4+3))</f>
        <v/>
      </c>
      <c r="J989" s="27">
        <f>IF(OR($A989="",_Engine!$D$44=0),"",INDEX(_Engine!$E1047:$X1047,1,(_Engine!$J$44-1)*4+3))</f>
        <v/>
      </c>
      <c r="K989" s="27">
        <f>IF(OR($A989="",_Engine!$D$45=0),"",INDEX(_Engine!$E1047:$X1047,1,(_Engine!$J$45-1)*4+3))</f>
        <v/>
      </c>
    </row>
    <row r="990">
      <c r="A990" s="25">
        <f>IF(987&lt;=_Engine!$B$36,987,"")</f>
        <v/>
      </c>
      <c r="B990" s="26">
        <f>IF($A990="","",EDATE(_Engine!$B$5,$A990-1))</f>
        <v/>
      </c>
      <c r="C990" s="27">
        <f>IF($A990="","",_Engine!$AJ1048)</f>
        <v/>
      </c>
      <c r="D990" s="27">
        <f>IF($A990="","",_Engine!$AK1048)</f>
        <v/>
      </c>
      <c r="E990" s="27">
        <f>IF($A990="","",_Engine!$AJ1048-_Engine!$AK1048)</f>
        <v/>
      </c>
      <c r="F990" s="27">
        <f>IF($A990="","",_Engine!$AI1048)</f>
        <v/>
      </c>
      <c r="G990" s="27">
        <f>IF(OR($A990="",_Engine!$D$41=0),"",INDEX(_Engine!$E1048:$X1048,1,(_Engine!$J$41-1)*4+3))</f>
        <v/>
      </c>
      <c r="H990" s="27">
        <f>IF(OR($A990="",_Engine!$D$42=0),"",INDEX(_Engine!$E1048:$X1048,1,(_Engine!$J$42-1)*4+3))</f>
        <v/>
      </c>
      <c r="I990" s="27">
        <f>IF(OR($A990="",_Engine!$D$43=0),"",INDEX(_Engine!$E1048:$X1048,1,(_Engine!$J$43-1)*4+3))</f>
        <v/>
      </c>
      <c r="J990" s="27">
        <f>IF(OR($A990="",_Engine!$D$44=0),"",INDEX(_Engine!$E1048:$X1048,1,(_Engine!$J$44-1)*4+3))</f>
        <v/>
      </c>
      <c r="K990" s="27">
        <f>IF(OR($A990="",_Engine!$D$45=0),"",INDEX(_Engine!$E1048:$X1048,1,(_Engine!$J$45-1)*4+3))</f>
        <v/>
      </c>
    </row>
    <row r="991">
      <c r="A991" s="25">
        <f>IF(988&lt;=_Engine!$B$36,988,"")</f>
        <v/>
      </c>
      <c r="B991" s="26">
        <f>IF($A991="","",EDATE(_Engine!$B$5,$A991-1))</f>
        <v/>
      </c>
      <c r="C991" s="27">
        <f>IF($A991="","",_Engine!$AJ1049)</f>
        <v/>
      </c>
      <c r="D991" s="27">
        <f>IF($A991="","",_Engine!$AK1049)</f>
        <v/>
      </c>
      <c r="E991" s="27">
        <f>IF($A991="","",_Engine!$AJ1049-_Engine!$AK1049)</f>
        <v/>
      </c>
      <c r="F991" s="27">
        <f>IF($A991="","",_Engine!$AI1049)</f>
        <v/>
      </c>
      <c r="G991" s="27">
        <f>IF(OR($A991="",_Engine!$D$41=0),"",INDEX(_Engine!$E1049:$X1049,1,(_Engine!$J$41-1)*4+3))</f>
        <v/>
      </c>
      <c r="H991" s="27">
        <f>IF(OR($A991="",_Engine!$D$42=0),"",INDEX(_Engine!$E1049:$X1049,1,(_Engine!$J$42-1)*4+3))</f>
        <v/>
      </c>
      <c r="I991" s="27">
        <f>IF(OR($A991="",_Engine!$D$43=0),"",INDEX(_Engine!$E1049:$X1049,1,(_Engine!$J$43-1)*4+3))</f>
        <v/>
      </c>
      <c r="J991" s="27">
        <f>IF(OR($A991="",_Engine!$D$44=0),"",INDEX(_Engine!$E1049:$X1049,1,(_Engine!$J$44-1)*4+3))</f>
        <v/>
      </c>
      <c r="K991" s="27">
        <f>IF(OR($A991="",_Engine!$D$45=0),"",INDEX(_Engine!$E1049:$X1049,1,(_Engine!$J$45-1)*4+3))</f>
        <v/>
      </c>
    </row>
    <row r="992">
      <c r="A992" s="25">
        <f>IF(989&lt;=_Engine!$B$36,989,"")</f>
        <v/>
      </c>
      <c r="B992" s="26">
        <f>IF($A992="","",EDATE(_Engine!$B$5,$A992-1))</f>
        <v/>
      </c>
      <c r="C992" s="27">
        <f>IF($A992="","",_Engine!$AJ1050)</f>
        <v/>
      </c>
      <c r="D992" s="27">
        <f>IF($A992="","",_Engine!$AK1050)</f>
        <v/>
      </c>
      <c r="E992" s="27">
        <f>IF($A992="","",_Engine!$AJ1050-_Engine!$AK1050)</f>
        <v/>
      </c>
      <c r="F992" s="27">
        <f>IF($A992="","",_Engine!$AI1050)</f>
        <v/>
      </c>
      <c r="G992" s="27">
        <f>IF(OR($A992="",_Engine!$D$41=0),"",INDEX(_Engine!$E1050:$X1050,1,(_Engine!$J$41-1)*4+3))</f>
        <v/>
      </c>
      <c r="H992" s="27">
        <f>IF(OR($A992="",_Engine!$D$42=0),"",INDEX(_Engine!$E1050:$X1050,1,(_Engine!$J$42-1)*4+3))</f>
        <v/>
      </c>
      <c r="I992" s="27">
        <f>IF(OR($A992="",_Engine!$D$43=0),"",INDEX(_Engine!$E1050:$X1050,1,(_Engine!$J$43-1)*4+3))</f>
        <v/>
      </c>
      <c r="J992" s="27">
        <f>IF(OR($A992="",_Engine!$D$44=0),"",INDEX(_Engine!$E1050:$X1050,1,(_Engine!$J$44-1)*4+3))</f>
        <v/>
      </c>
      <c r="K992" s="27">
        <f>IF(OR($A992="",_Engine!$D$45=0),"",INDEX(_Engine!$E1050:$X1050,1,(_Engine!$J$45-1)*4+3))</f>
        <v/>
      </c>
    </row>
    <row r="993">
      <c r="A993" s="25">
        <f>IF(990&lt;=_Engine!$B$36,990,"")</f>
        <v/>
      </c>
      <c r="B993" s="26">
        <f>IF($A993="","",EDATE(_Engine!$B$5,$A993-1))</f>
        <v/>
      </c>
      <c r="C993" s="27">
        <f>IF($A993="","",_Engine!$AJ1051)</f>
        <v/>
      </c>
      <c r="D993" s="27">
        <f>IF($A993="","",_Engine!$AK1051)</f>
        <v/>
      </c>
      <c r="E993" s="27">
        <f>IF($A993="","",_Engine!$AJ1051-_Engine!$AK1051)</f>
        <v/>
      </c>
      <c r="F993" s="27">
        <f>IF($A993="","",_Engine!$AI1051)</f>
        <v/>
      </c>
      <c r="G993" s="27">
        <f>IF(OR($A993="",_Engine!$D$41=0),"",INDEX(_Engine!$E1051:$X1051,1,(_Engine!$J$41-1)*4+3))</f>
        <v/>
      </c>
      <c r="H993" s="27">
        <f>IF(OR($A993="",_Engine!$D$42=0),"",INDEX(_Engine!$E1051:$X1051,1,(_Engine!$J$42-1)*4+3))</f>
        <v/>
      </c>
      <c r="I993" s="27">
        <f>IF(OR($A993="",_Engine!$D$43=0),"",INDEX(_Engine!$E1051:$X1051,1,(_Engine!$J$43-1)*4+3))</f>
        <v/>
      </c>
      <c r="J993" s="27">
        <f>IF(OR($A993="",_Engine!$D$44=0),"",INDEX(_Engine!$E1051:$X1051,1,(_Engine!$J$44-1)*4+3))</f>
        <v/>
      </c>
      <c r="K993" s="27">
        <f>IF(OR($A993="",_Engine!$D$45=0),"",INDEX(_Engine!$E1051:$X1051,1,(_Engine!$J$45-1)*4+3))</f>
        <v/>
      </c>
    </row>
    <row r="994">
      <c r="A994" s="25">
        <f>IF(991&lt;=_Engine!$B$36,991,"")</f>
        <v/>
      </c>
      <c r="B994" s="26">
        <f>IF($A994="","",EDATE(_Engine!$B$5,$A994-1))</f>
        <v/>
      </c>
      <c r="C994" s="27">
        <f>IF($A994="","",_Engine!$AJ1052)</f>
        <v/>
      </c>
      <c r="D994" s="27">
        <f>IF($A994="","",_Engine!$AK1052)</f>
        <v/>
      </c>
      <c r="E994" s="27">
        <f>IF($A994="","",_Engine!$AJ1052-_Engine!$AK1052)</f>
        <v/>
      </c>
      <c r="F994" s="27">
        <f>IF($A994="","",_Engine!$AI1052)</f>
        <v/>
      </c>
      <c r="G994" s="27">
        <f>IF(OR($A994="",_Engine!$D$41=0),"",INDEX(_Engine!$E1052:$X1052,1,(_Engine!$J$41-1)*4+3))</f>
        <v/>
      </c>
      <c r="H994" s="27">
        <f>IF(OR($A994="",_Engine!$D$42=0),"",INDEX(_Engine!$E1052:$X1052,1,(_Engine!$J$42-1)*4+3))</f>
        <v/>
      </c>
      <c r="I994" s="27">
        <f>IF(OR($A994="",_Engine!$D$43=0),"",INDEX(_Engine!$E1052:$X1052,1,(_Engine!$J$43-1)*4+3))</f>
        <v/>
      </c>
      <c r="J994" s="27">
        <f>IF(OR($A994="",_Engine!$D$44=0),"",INDEX(_Engine!$E1052:$X1052,1,(_Engine!$J$44-1)*4+3))</f>
        <v/>
      </c>
      <c r="K994" s="27">
        <f>IF(OR($A994="",_Engine!$D$45=0),"",INDEX(_Engine!$E1052:$X1052,1,(_Engine!$J$45-1)*4+3))</f>
        <v/>
      </c>
    </row>
    <row r="995">
      <c r="A995" s="25">
        <f>IF(992&lt;=_Engine!$B$36,992,"")</f>
        <v/>
      </c>
      <c r="B995" s="26">
        <f>IF($A995="","",EDATE(_Engine!$B$5,$A995-1))</f>
        <v/>
      </c>
      <c r="C995" s="27">
        <f>IF($A995="","",_Engine!$AJ1053)</f>
        <v/>
      </c>
      <c r="D995" s="27">
        <f>IF($A995="","",_Engine!$AK1053)</f>
        <v/>
      </c>
      <c r="E995" s="27">
        <f>IF($A995="","",_Engine!$AJ1053-_Engine!$AK1053)</f>
        <v/>
      </c>
      <c r="F995" s="27">
        <f>IF($A995="","",_Engine!$AI1053)</f>
        <v/>
      </c>
      <c r="G995" s="27">
        <f>IF(OR($A995="",_Engine!$D$41=0),"",INDEX(_Engine!$E1053:$X1053,1,(_Engine!$J$41-1)*4+3))</f>
        <v/>
      </c>
      <c r="H995" s="27">
        <f>IF(OR($A995="",_Engine!$D$42=0),"",INDEX(_Engine!$E1053:$X1053,1,(_Engine!$J$42-1)*4+3))</f>
        <v/>
      </c>
      <c r="I995" s="27">
        <f>IF(OR($A995="",_Engine!$D$43=0),"",INDEX(_Engine!$E1053:$X1053,1,(_Engine!$J$43-1)*4+3))</f>
        <v/>
      </c>
      <c r="J995" s="27">
        <f>IF(OR($A995="",_Engine!$D$44=0),"",INDEX(_Engine!$E1053:$X1053,1,(_Engine!$J$44-1)*4+3))</f>
        <v/>
      </c>
      <c r="K995" s="27">
        <f>IF(OR($A995="",_Engine!$D$45=0),"",INDEX(_Engine!$E1053:$X1053,1,(_Engine!$J$45-1)*4+3))</f>
        <v/>
      </c>
    </row>
    <row r="996">
      <c r="A996" s="25">
        <f>IF(993&lt;=_Engine!$B$36,993,"")</f>
        <v/>
      </c>
      <c r="B996" s="26">
        <f>IF($A996="","",EDATE(_Engine!$B$5,$A996-1))</f>
        <v/>
      </c>
      <c r="C996" s="27">
        <f>IF($A996="","",_Engine!$AJ1054)</f>
        <v/>
      </c>
      <c r="D996" s="27">
        <f>IF($A996="","",_Engine!$AK1054)</f>
        <v/>
      </c>
      <c r="E996" s="27">
        <f>IF($A996="","",_Engine!$AJ1054-_Engine!$AK1054)</f>
        <v/>
      </c>
      <c r="F996" s="27">
        <f>IF($A996="","",_Engine!$AI1054)</f>
        <v/>
      </c>
      <c r="G996" s="27">
        <f>IF(OR($A996="",_Engine!$D$41=0),"",INDEX(_Engine!$E1054:$X1054,1,(_Engine!$J$41-1)*4+3))</f>
        <v/>
      </c>
      <c r="H996" s="27">
        <f>IF(OR($A996="",_Engine!$D$42=0),"",INDEX(_Engine!$E1054:$X1054,1,(_Engine!$J$42-1)*4+3))</f>
        <v/>
      </c>
      <c r="I996" s="27">
        <f>IF(OR($A996="",_Engine!$D$43=0),"",INDEX(_Engine!$E1054:$X1054,1,(_Engine!$J$43-1)*4+3))</f>
        <v/>
      </c>
      <c r="J996" s="27">
        <f>IF(OR($A996="",_Engine!$D$44=0),"",INDEX(_Engine!$E1054:$X1054,1,(_Engine!$J$44-1)*4+3))</f>
        <v/>
      </c>
      <c r="K996" s="27">
        <f>IF(OR($A996="",_Engine!$D$45=0),"",INDEX(_Engine!$E1054:$X1054,1,(_Engine!$J$45-1)*4+3))</f>
        <v/>
      </c>
    </row>
    <row r="997">
      <c r="A997" s="25">
        <f>IF(994&lt;=_Engine!$B$36,994,"")</f>
        <v/>
      </c>
      <c r="B997" s="26">
        <f>IF($A997="","",EDATE(_Engine!$B$5,$A997-1))</f>
        <v/>
      </c>
      <c r="C997" s="27">
        <f>IF($A997="","",_Engine!$AJ1055)</f>
        <v/>
      </c>
      <c r="D997" s="27">
        <f>IF($A997="","",_Engine!$AK1055)</f>
        <v/>
      </c>
      <c r="E997" s="27">
        <f>IF($A997="","",_Engine!$AJ1055-_Engine!$AK1055)</f>
        <v/>
      </c>
      <c r="F997" s="27">
        <f>IF($A997="","",_Engine!$AI1055)</f>
        <v/>
      </c>
      <c r="G997" s="27">
        <f>IF(OR($A997="",_Engine!$D$41=0),"",INDEX(_Engine!$E1055:$X1055,1,(_Engine!$J$41-1)*4+3))</f>
        <v/>
      </c>
      <c r="H997" s="27">
        <f>IF(OR($A997="",_Engine!$D$42=0),"",INDEX(_Engine!$E1055:$X1055,1,(_Engine!$J$42-1)*4+3))</f>
        <v/>
      </c>
      <c r="I997" s="27">
        <f>IF(OR($A997="",_Engine!$D$43=0),"",INDEX(_Engine!$E1055:$X1055,1,(_Engine!$J$43-1)*4+3))</f>
        <v/>
      </c>
      <c r="J997" s="27">
        <f>IF(OR($A997="",_Engine!$D$44=0),"",INDEX(_Engine!$E1055:$X1055,1,(_Engine!$J$44-1)*4+3))</f>
        <v/>
      </c>
      <c r="K997" s="27">
        <f>IF(OR($A997="",_Engine!$D$45=0),"",INDEX(_Engine!$E1055:$X1055,1,(_Engine!$J$45-1)*4+3))</f>
        <v/>
      </c>
    </row>
    <row r="998">
      <c r="A998" s="25">
        <f>IF(995&lt;=_Engine!$B$36,995,"")</f>
        <v/>
      </c>
      <c r="B998" s="26">
        <f>IF($A998="","",EDATE(_Engine!$B$5,$A998-1))</f>
        <v/>
      </c>
      <c r="C998" s="27">
        <f>IF($A998="","",_Engine!$AJ1056)</f>
        <v/>
      </c>
      <c r="D998" s="27">
        <f>IF($A998="","",_Engine!$AK1056)</f>
        <v/>
      </c>
      <c r="E998" s="27">
        <f>IF($A998="","",_Engine!$AJ1056-_Engine!$AK1056)</f>
        <v/>
      </c>
      <c r="F998" s="27">
        <f>IF($A998="","",_Engine!$AI1056)</f>
        <v/>
      </c>
      <c r="G998" s="27">
        <f>IF(OR($A998="",_Engine!$D$41=0),"",INDEX(_Engine!$E1056:$X1056,1,(_Engine!$J$41-1)*4+3))</f>
        <v/>
      </c>
      <c r="H998" s="27">
        <f>IF(OR($A998="",_Engine!$D$42=0),"",INDEX(_Engine!$E1056:$X1056,1,(_Engine!$J$42-1)*4+3))</f>
        <v/>
      </c>
      <c r="I998" s="27">
        <f>IF(OR($A998="",_Engine!$D$43=0),"",INDEX(_Engine!$E1056:$X1056,1,(_Engine!$J$43-1)*4+3))</f>
        <v/>
      </c>
      <c r="J998" s="27">
        <f>IF(OR($A998="",_Engine!$D$44=0),"",INDEX(_Engine!$E1056:$X1056,1,(_Engine!$J$44-1)*4+3))</f>
        <v/>
      </c>
      <c r="K998" s="27">
        <f>IF(OR($A998="",_Engine!$D$45=0),"",INDEX(_Engine!$E1056:$X1056,1,(_Engine!$J$45-1)*4+3))</f>
        <v/>
      </c>
    </row>
    <row r="999">
      <c r="A999" s="25">
        <f>IF(996&lt;=_Engine!$B$36,996,"")</f>
        <v/>
      </c>
      <c r="B999" s="26">
        <f>IF($A999="","",EDATE(_Engine!$B$5,$A999-1))</f>
        <v/>
      </c>
      <c r="C999" s="27">
        <f>IF($A999="","",_Engine!$AJ1057)</f>
        <v/>
      </c>
      <c r="D999" s="27">
        <f>IF($A999="","",_Engine!$AK1057)</f>
        <v/>
      </c>
      <c r="E999" s="27">
        <f>IF($A999="","",_Engine!$AJ1057-_Engine!$AK1057)</f>
        <v/>
      </c>
      <c r="F999" s="27">
        <f>IF($A999="","",_Engine!$AI1057)</f>
        <v/>
      </c>
      <c r="G999" s="27">
        <f>IF(OR($A999="",_Engine!$D$41=0),"",INDEX(_Engine!$E1057:$X1057,1,(_Engine!$J$41-1)*4+3))</f>
        <v/>
      </c>
      <c r="H999" s="27">
        <f>IF(OR($A999="",_Engine!$D$42=0),"",INDEX(_Engine!$E1057:$X1057,1,(_Engine!$J$42-1)*4+3))</f>
        <v/>
      </c>
      <c r="I999" s="27">
        <f>IF(OR($A999="",_Engine!$D$43=0),"",INDEX(_Engine!$E1057:$X1057,1,(_Engine!$J$43-1)*4+3))</f>
        <v/>
      </c>
      <c r="J999" s="27">
        <f>IF(OR($A999="",_Engine!$D$44=0),"",INDEX(_Engine!$E1057:$X1057,1,(_Engine!$J$44-1)*4+3))</f>
        <v/>
      </c>
      <c r="K999" s="27">
        <f>IF(OR($A999="",_Engine!$D$45=0),"",INDEX(_Engine!$E1057:$X1057,1,(_Engine!$J$45-1)*4+3))</f>
        <v/>
      </c>
    </row>
    <row r="1000">
      <c r="A1000" s="25">
        <f>IF(997&lt;=_Engine!$B$36,997,"")</f>
        <v/>
      </c>
      <c r="B1000" s="26">
        <f>IF($A1000="","",EDATE(_Engine!$B$5,$A1000-1))</f>
        <v/>
      </c>
      <c r="C1000" s="27">
        <f>IF($A1000="","",_Engine!$AJ1058)</f>
        <v/>
      </c>
      <c r="D1000" s="27">
        <f>IF($A1000="","",_Engine!$AK1058)</f>
        <v/>
      </c>
      <c r="E1000" s="27">
        <f>IF($A1000="","",_Engine!$AJ1058-_Engine!$AK1058)</f>
        <v/>
      </c>
      <c r="F1000" s="27">
        <f>IF($A1000="","",_Engine!$AI1058)</f>
        <v/>
      </c>
      <c r="G1000" s="27">
        <f>IF(OR($A1000="",_Engine!$D$41=0),"",INDEX(_Engine!$E1058:$X1058,1,(_Engine!$J$41-1)*4+3))</f>
        <v/>
      </c>
      <c r="H1000" s="27">
        <f>IF(OR($A1000="",_Engine!$D$42=0),"",INDEX(_Engine!$E1058:$X1058,1,(_Engine!$J$42-1)*4+3))</f>
        <v/>
      </c>
      <c r="I1000" s="27">
        <f>IF(OR($A1000="",_Engine!$D$43=0),"",INDEX(_Engine!$E1058:$X1058,1,(_Engine!$J$43-1)*4+3))</f>
        <v/>
      </c>
      <c r="J1000" s="27">
        <f>IF(OR($A1000="",_Engine!$D$44=0),"",INDEX(_Engine!$E1058:$X1058,1,(_Engine!$J$44-1)*4+3))</f>
        <v/>
      </c>
      <c r="K1000" s="27">
        <f>IF(OR($A1000="",_Engine!$D$45=0),"",INDEX(_Engine!$E1058:$X1058,1,(_Engine!$J$45-1)*4+3))</f>
        <v/>
      </c>
    </row>
    <row r="1001">
      <c r="A1001" s="25">
        <f>IF(998&lt;=_Engine!$B$36,998,"")</f>
        <v/>
      </c>
      <c r="B1001" s="26">
        <f>IF($A1001="","",EDATE(_Engine!$B$5,$A1001-1))</f>
        <v/>
      </c>
      <c r="C1001" s="27">
        <f>IF($A1001="","",_Engine!$AJ1059)</f>
        <v/>
      </c>
      <c r="D1001" s="27">
        <f>IF($A1001="","",_Engine!$AK1059)</f>
        <v/>
      </c>
      <c r="E1001" s="27">
        <f>IF($A1001="","",_Engine!$AJ1059-_Engine!$AK1059)</f>
        <v/>
      </c>
      <c r="F1001" s="27">
        <f>IF($A1001="","",_Engine!$AI1059)</f>
        <v/>
      </c>
      <c r="G1001" s="27">
        <f>IF(OR($A1001="",_Engine!$D$41=0),"",INDEX(_Engine!$E1059:$X1059,1,(_Engine!$J$41-1)*4+3))</f>
        <v/>
      </c>
      <c r="H1001" s="27">
        <f>IF(OR($A1001="",_Engine!$D$42=0),"",INDEX(_Engine!$E1059:$X1059,1,(_Engine!$J$42-1)*4+3))</f>
        <v/>
      </c>
      <c r="I1001" s="27">
        <f>IF(OR($A1001="",_Engine!$D$43=0),"",INDEX(_Engine!$E1059:$X1059,1,(_Engine!$J$43-1)*4+3))</f>
        <v/>
      </c>
      <c r="J1001" s="27">
        <f>IF(OR($A1001="",_Engine!$D$44=0),"",INDEX(_Engine!$E1059:$X1059,1,(_Engine!$J$44-1)*4+3))</f>
        <v/>
      </c>
      <c r="K1001" s="27">
        <f>IF(OR($A1001="",_Engine!$D$45=0),"",INDEX(_Engine!$E1059:$X1059,1,(_Engine!$J$45-1)*4+3))</f>
        <v/>
      </c>
    </row>
    <row r="1002">
      <c r="A1002" s="25">
        <f>IF(999&lt;=_Engine!$B$36,999,"")</f>
        <v/>
      </c>
      <c r="B1002" s="26">
        <f>IF($A1002="","",EDATE(_Engine!$B$5,$A1002-1))</f>
        <v/>
      </c>
      <c r="C1002" s="27">
        <f>IF($A1002="","",_Engine!$AJ1060)</f>
        <v/>
      </c>
      <c r="D1002" s="27">
        <f>IF($A1002="","",_Engine!$AK1060)</f>
        <v/>
      </c>
      <c r="E1002" s="27">
        <f>IF($A1002="","",_Engine!$AJ1060-_Engine!$AK1060)</f>
        <v/>
      </c>
      <c r="F1002" s="27">
        <f>IF($A1002="","",_Engine!$AI1060)</f>
        <v/>
      </c>
      <c r="G1002" s="27">
        <f>IF(OR($A1002="",_Engine!$D$41=0),"",INDEX(_Engine!$E1060:$X1060,1,(_Engine!$J$41-1)*4+3))</f>
        <v/>
      </c>
      <c r="H1002" s="27">
        <f>IF(OR($A1002="",_Engine!$D$42=0),"",INDEX(_Engine!$E1060:$X1060,1,(_Engine!$J$42-1)*4+3))</f>
        <v/>
      </c>
      <c r="I1002" s="27">
        <f>IF(OR($A1002="",_Engine!$D$43=0),"",INDEX(_Engine!$E1060:$X1060,1,(_Engine!$J$43-1)*4+3))</f>
        <v/>
      </c>
      <c r="J1002" s="27">
        <f>IF(OR($A1002="",_Engine!$D$44=0),"",INDEX(_Engine!$E1060:$X1060,1,(_Engine!$J$44-1)*4+3))</f>
        <v/>
      </c>
      <c r="K1002" s="27">
        <f>IF(OR($A1002="",_Engine!$D$45=0),"",INDEX(_Engine!$E1060:$X1060,1,(_Engine!$J$45-1)*4+3))</f>
        <v/>
      </c>
    </row>
    <row r="1003">
      <c r="A1003" s="25">
        <f>IF(1000&lt;=_Engine!$B$36,1000,"")</f>
        <v/>
      </c>
      <c r="B1003" s="26">
        <f>IF($A1003="","",EDATE(_Engine!$B$5,$A1003-1))</f>
        <v/>
      </c>
      <c r="C1003" s="27">
        <f>IF($A1003="","",_Engine!$AJ1061)</f>
        <v/>
      </c>
      <c r="D1003" s="27">
        <f>IF($A1003="","",_Engine!$AK1061)</f>
        <v/>
      </c>
      <c r="E1003" s="27">
        <f>IF($A1003="","",_Engine!$AJ1061-_Engine!$AK1061)</f>
        <v/>
      </c>
      <c r="F1003" s="27">
        <f>IF($A1003="","",_Engine!$AI1061)</f>
        <v/>
      </c>
      <c r="G1003" s="27">
        <f>IF(OR($A1003="",_Engine!$D$41=0),"",INDEX(_Engine!$E1061:$X1061,1,(_Engine!$J$41-1)*4+3))</f>
        <v/>
      </c>
      <c r="H1003" s="27">
        <f>IF(OR($A1003="",_Engine!$D$42=0),"",INDEX(_Engine!$E1061:$X1061,1,(_Engine!$J$42-1)*4+3))</f>
        <v/>
      </c>
      <c r="I1003" s="27">
        <f>IF(OR($A1003="",_Engine!$D$43=0),"",INDEX(_Engine!$E1061:$X1061,1,(_Engine!$J$43-1)*4+3))</f>
        <v/>
      </c>
      <c r="J1003" s="27">
        <f>IF(OR($A1003="",_Engine!$D$44=0),"",INDEX(_Engine!$E1061:$X1061,1,(_Engine!$J$44-1)*4+3))</f>
        <v/>
      </c>
      <c r="K1003" s="27">
        <f>IF(OR($A1003="",_Engine!$D$45=0),"",INDEX(_Engine!$E1061:$X1061,1,(_Engine!$J$45-1)*4+3))</f>
        <v/>
      </c>
    </row>
    <row r="1004">
      <c r="A1004" s="25">
        <f>IF(1001&lt;=_Engine!$B$36,1001,"")</f>
        <v/>
      </c>
      <c r="B1004" s="26">
        <f>IF($A1004="","",EDATE(_Engine!$B$5,$A1004-1))</f>
        <v/>
      </c>
      <c r="C1004" s="27">
        <f>IF($A1004="","",_Engine!$AJ1062)</f>
        <v/>
      </c>
      <c r="D1004" s="27">
        <f>IF($A1004="","",_Engine!$AK1062)</f>
        <v/>
      </c>
      <c r="E1004" s="27">
        <f>IF($A1004="","",_Engine!$AJ1062-_Engine!$AK1062)</f>
        <v/>
      </c>
      <c r="F1004" s="27">
        <f>IF($A1004="","",_Engine!$AI1062)</f>
        <v/>
      </c>
      <c r="G1004" s="27">
        <f>IF(OR($A1004="",_Engine!$D$41=0),"",INDEX(_Engine!$E1062:$X1062,1,(_Engine!$J$41-1)*4+3))</f>
        <v/>
      </c>
      <c r="H1004" s="27">
        <f>IF(OR($A1004="",_Engine!$D$42=0),"",INDEX(_Engine!$E1062:$X1062,1,(_Engine!$J$42-1)*4+3))</f>
        <v/>
      </c>
      <c r="I1004" s="27">
        <f>IF(OR($A1004="",_Engine!$D$43=0),"",INDEX(_Engine!$E1062:$X1062,1,(_Engine!$J$43-1)*4+3))</f>
        <v/>
      </c>
      <c r="J1004" s="27">
        <f>IF(OR($A1004="",_Engine!$D$44=0),"",INDEX(_Engine!$E1062:$X1062,1,(_Engine!$J$44-1)*4+3))</f>
        <v/>
      </c>
      <c r="K1004" s="27">
        <f>IF(OR($A1004="",_Engine!$D$45=0),"",INDEX(_Engine!$E1062:$X1062,1,(_Engine!$J$45-1)*4+3))</f>
        <v/>
      </c>
    </row>
    <row r="1005">
      <c r="A1005" s="25">
        <f>IF(1002&lt;=_Engine!$B$36,1002,"")</f>
        <v/>
      </c>
      <c r="B1005" s="26">
        <f>IF($A1005="","",EDATE(_Engine!$B$5,$A1005-1))</f>
        <v/>
      </c>
      <c r="C1005" s="27">
        <f>IF($A1005="","",_Engine!$AJ1063)</f>
        <v/>
      </c>
      <c r="D1005" s="27">
        <f>IF($A1005="","",_Engine!$AK1063)</f>
        <v/>
      </c>
      <c r="E1005" s="27">
        <f>IF($A1005="","",_Engine!$AJ1063-_Engine!$AK1063)</f>
        <v/>
      </c>
      <c r="F1005" s="27">
        <f>IF($A1005="","",_Engine!$AI1063)</f>
        <v/>
      </c>
      <c r="G1005" s="27">
        <f>IF(OR($A1005="",_Engine!$D$41=0),"",INDEX(_Engine!$E1063:$X1063,1,(_Engine!$J$41-1)*4+3))</f>
        <v/>
      </c>
      <c r="H1005" s="27">
        <f>IF(OR($A1005="",_Engine!$D$42=0),"",INDEX(_Engine!$E1063:$X1063,1,(_Engine!$J$42-1)*4+3))</f>
        <v/>
      </c>
      <c r="I1005" s="27">
        <f>IF(OR($A1005="",_Engine!$D$43=0),"",INDEX(_Engine!$E1063:$X1063,1,(_Engine!$J$43-1)*4+3))</f>
        <v/>
      </c>
      <c r="J1005" s="27">
        <f>IF(OR($A1005="",_Engine!$D$44=0),"",INDEX(_Engine!$E1063:$X1063,1,(_Engine!$J$44-1)*4+3))</f>
        <v/>
      </c>
      <c r="K1005" s="27">
        <f>IF(OR($A1005="",_Engine!$D$45=0),"",INDEX(_Engine!$E1063:$X1063,1,(_Engine!$J$45-1)*4+3))</f>
        <v/>
      </c>
    </row>
    <row r="1006">
      <c r="A1006" s="25">
        <f>IF(1003&lt;=_Engine!$B$36,1003,"")</f>
        <v/>
      </c>
      <c r="B1006" s="26">
        <f>IF($A1006="","",EDATE(_Engine!$B$5,$A1006-1))</f>
        <v/>
      </c>
      <c r="C1006" s="27">
        <f>IF($A1006="","",_Engine!$AJ1064)</f>
        <v/>
      </c>
      <c r="D1006" s="27">
        <f>IF($A1006="","",_Engine!$AK1064)</f>
        <v/>
      </c>
      <c r="E1006" s="27">
        <f>IF($A1006="","",_Engine!$AJ1064-_Engine!$AK1064)</f>
        <v/>
      </c>
      <c r="F1006" s="27">
        <f>IF($A1006="","",_Engine!$AI1064)</f>
        <v/>
      </c>
      <c r="G1006" s="27">
        <f>IF(OR($A1006="",_Engine!$D$41=0),"",INDEX(_Engine!$E1064:$X1064,1,(_Engine!$J$41-1)*4+3))</f>
        <v/>
      </c>
      <c r="H1006" s="27">
        <f>IF(OR($A1006="",_Engine!$D$42=0),"",INDEX(_Engine!$E1064:$X1064,1,(_Engine!$J$42-1)*4+3))</f>
        <v/>
      </c>
      <c r="I1006" s="27">
        <f>IF(OR($A1006="",_Engine!$D$43=0),"",INDEX(_Engine!$E1064:$X1064,1,(_Engine!$J$43-1)*4+3))</f>
        <v/>
      </c>
      <c r="J1006" s="27">
        <f>IF(OR($A1006="",_Engine!$D$44=0),"",INDEX(_Engine!$E1064:$X1064,1,(_Engine!$J$44-1)*4+3))</f>
        <v/>
      </c>
      <c r="K1006" s="27">
        <f>IF(OR($A1006="",_Engine!$D$45=0),"",INDEX(_Engine!$E1064:$X1064,1,(_Engine!$J$45-1)*4+3))</f>
        <v/>
      </c>
    </row>
    <row r="1007">
      <c r="A1007" s="25">
        <f>IF(1004&lt;=_Engine!$B$36,1004,"")</f>
        <v/>
      </c>
      <c r="B1007" s="26">
        <f>IF($A1007="","",EDATE(_Engine!$B$5,$A1007-1))</f>
        <v/>
      </c>
      <c r="C1007" s="27">
        <f>IF($A1007="","",_Engine!$AJ1065)</f>
        <v/>
      </c>
      <c r="D1007" s="27">
        <f>IF($A1007="","",_Engine!$AK1065)</f>
        <v/>
      </c>
      <c r="E1007" s="27">
        <f>IF($A1007="","",_Engine!$AJ1065-_Engine!$AK1065)</f>
        <v/>
      </c>
      <c r="F1007" s="27">
        <f>IF($A1007="","",_Engine!$AI1065)</f>
        <v/>
      </c>
      <c r="G1007" s="27">
        <f>IF(OR($A1007="",_Engine!$D$41=0),"",INDEX(_Engine!$E1065:$X1065,1,(_Engine!$J$41-1)*4+3))</f>
        <v/>
      </c>
      <c r="H1007" s="27">
        <f>IF(OR($A1007="",_Engine!$D$42=0),"",INDEX(_Engine!$E1065:$X1065,1,(_Engine!$J$42-1)*4+3))</f>
        <v/>
      </c>
      <c r="I1007" s="27">
        <f>IF(OR($A1007="",_Engine!$D$43=0),"",INDEX(_Engine!$E1065:$X1065,1,(_Engine!$J$43-1)*4+3))</f>
        <v/>
      </c>
      <c r="J1007" s="27">
        <f>IF(OR($A1007="",_Engine!$D$44=0),"",INDEX(_Engine!$E1065:$X1065,1,(_Engine!$J$44-1)*4+3))</f>
        <v/>
      </c>
      <c r="K1007" s="27">
        <f>IF(OR($A1007="",_Engine!$D$45=0),"",INDEX(_Engine!$E1065:$X1065,1,(_Engine!$J$45-1)*4+3))</f>
        <v/>
      </c>
    </row>
    <row r="1008">
      <c r="A1008" s="25">
        <f>IF(1005&lt;=_Engine!$B$36,1005,"")</f>
        <v/>
      </c>
      <c r="B1008" s="26">
        <f>IF($A1008="","",EDATE(_Engine!$B$5,$A1008-1))</f>
        <v/>
      </c>
      <c r="C1008" s="27">
        <f>IF($A1008="","",_Engine!$AJ1066)</f>
        <v/>
      </c>
      <c r="D1008" s="27">
        <f>IF($A1008="","",_Engine!$AK1066)</f>
        <v/>
      </c>
      <c r="E1008" s="27">
        <f>IF($A1008="","",_Engine!$AJ1066-_Engine!$AK1066)</f>
        <v/>
      </c>
      <c r="F1008" s="27">
        <f>IF($A1008="","",_Engine!$AI1066)</f>
        <v/>
      </c>
      <c r="G1008" s="27">
        <f>IF(OR($A1008="",_Engine!$D$41=0),"",INDEX(_Engine!$E1066:$X1066,1,(_Engine!$J$41-1)*4+3))</f>
        <v/>
      </c>
      <c r="H1008" s="27">
        <f>IF(OR($A1008="",_Engine!$D$42=0),"",INDEX(_Engine!$E1066:$X1066,1,(_Engine!$J$42-1)*4+3))</f>
        <v/>
      </c>
      <c r="I1008" s="27">
        <f>IF(OR($A1008="",_Engine!$D$43=0),"",INDEX(_Engine!$E1066:$X1066,1,(_Engine!$J$43-1)*4+3))</f>
        <v/>
      </c>
      <c r="J1008" s="27">
        <f>IF(OR($A1008="",_Engine!$D$44=0),"",INDEX(_Engine!$E1066:$X1066,1,(_Engine!$J$44-1)*4+3))</f>
        <v/>
      </c>
      <c r="K1008" s="27">
        <f>IF(OR($A1008="",_Engine!$D$45=0),"",INDEX(_Engine!$E1066:$X1066,1,(_Engine!$J$45-1)*4+3))</f>
        <v/>
      </c>
    </row>
    <row r="1009">
      <c r="A1009" s="25">
        <f>IF(1006&lt;=_Engine!$B$36,1006,"")</f>
        <v/>
      </c>
      <c r="B1009" s="26">
        <f>IF($A1009="","",EDATE(_Engine!$B$5,$A1009-1))</f>
        <v/>
      </c>
      <c r="C1009" s="27">
        <f>IF($A1009="","",_Engine!$AJ1067)</f>
        <v/>
      </c>
      <c r="D1009" s="27">
        <f>IF($A1009="","",_Engine!$AK1067)</f>
        <v/>
      </c>
      <c r="E1009" s="27">
        <f>IF($A1009="","",_Engine!$AJ1067-_Engine!$AK1067)</f>
        <v/>
      </c>
      <c r="F1009" s="27">
        <f>IF($A1009="","",_Engine!$AI1067)</f>
        <v/>
      </c>
      <c r="G1009" s="27">
        <f>IF(OR($A1009="",_Engine!$D$41=0),"",INDEX(_Engine!$E1067:$X1067,1,(_Engine!$J$41-1)*4+3))</f>
        <v/>
      </c>
      <c r="H1009" s="27">
        <f>IF(OR($A1009="",_Engine!$D$42=0),"",INDEX(_Engine!$E1067:$X1067,1,(_Engine!$J$42-1)*4+3))</f>
        <v/>
      </c>
      <c r="I1009" s="27">
        <f>IF(OR($A1009="",_Engine!$D$43=0),"",INDEX(_Engine!$E1067:$X1067,1,(_Engine!$J$43-1)*4+3))</f>
        <v/>
      </c>
      <c r="J1009" s="27">
        <f>IF(OR($A1009="",_Engine!$D$44=0),"",INDEX(_Engine!$E1067:$X1067,1,(_Engine!$J$44-1)*4+3))</f>
        <v/>
      </c>
      <c r="K1009" s="27">
        <f>IF(OR($A1009="",_Engine!$D$45=0),"",INDEX(_Engine!$E1067:$X1067,1,(_Engine!$J$45-1)*4+3))</f>
        <v/>
      </c>
    </row>
    <row r="1010">
      <c r="A1010" s="25">
        <f>IF(1007&lt;=_Engine!$B$36,1007,"")</f>
        <v/>
      </c>
      <c r="B1010" s="26">
        <f>IF($A1010="","",EDATE(_Engine!$B$5,$A1010-1))</f>
        <v/>
      </c>
      <c r="C1010" s="27">
        <f>IF($A1010="","",_Engine!$AJ1068)</f>
        <v/>
      </c>
      <c r="D1010" s="27">
        <f>IF($A1010="","",_Engine!$AK1068)</f>
        <v/>
      </c>
      <c r="E1010" s="27">
        <f>IF($A1010="","",_Engine!$AJ1068-_Engine!$AK1068)</f>
        <v/>
      </c>
      <c r="F1010" s="27">
        <f>IF($A1010="","",_Engine!$AI1068)</f>
        <v/>
      </c>
      <c r="G1010" s="27">
        <f>IF(OR($A1010="",_Engine!$D$41=0),"",INDEX(_Engine!$E1068:$X1068,1,(_Engine!$J$41-1)*4+3))</f>
        <v/>
      </c>
      <c r="H1010" s="27">
        <f>IF(OR($A1010="",_Engine!$D$42=0),"",INDEX(_Engine!$E1068:$X1068,1,(_Engine!$J$42-1)*4+3))</f>
        <v/>
      </c>
      <c r="I1010" s="27">
        <f>IF(OR($A1010="",_Engine!$D$43=0),"",INDEX(_Engine!$E1068:$X1068,1,(_Engine!$J$43-1)*4+3))</f>
        <v/>
      </c>
      <c r="J1010" s="27">
        <f>IF(OR($A1010="",_Engine!$D$44=0),"",INDEX(_Engine!$E1068:$X1068,1,(_Engine!$J$44-1)*4+3))</f>
        <v/>
      </c>
      <c r="K1010" s="27">
        <f>IF(OR($A1010="",_Engine!$D$45=0),"",INDEX(_Engine!$E1068:$X1068,1,(_Engine!$J$45-1)*4+3))</f>
        <v/>
      </c>
    </row>
    <row r="1011">
      <c r="A1011" s="25">
        <f>IF(1008&lt;=_Engine!$B$36,1008,"")</f>
        <v/>
      </c>
      <c r="B1011" s="26">
        <f>IF($A1011="","",EDATE(_Engine!$B$5,$A1011-1))</f>
        <v/>
      </c>
      <c r="C1011" s="27">
        <f>IF($A1011="","",_Engine!$AJ1069)</f>
        <v/>
      </c>
      <c r="D1011" s="27">
        <f>IF($A1011="","",_Engine!$AK1069)</f>
        <v/>
      </c>
      <c r="E1011" s="27">
        <f>IF($A1011="","",_Engine!$AJ1069-_Engine!$AK1069)</f>
        <v/>
      </c>
      <c r="F1011" s="27">
        <f>IF($A1011="","",_Engine!$AI1069)</f>
        <v/>
      </c>
      <c r="G1011" s="27">
        <f>IF(OR($A1011="",_Engine!$D$41=0),"",INDEX(_Engine!$E1069:$X1069,1,(_Engine!$J$41-1)*4+3))</f>
        <v/>
      </c>
      <c r="H1011" s="27">
        <f>IF(OR($A1011="",_Engine!$D$42=0),"",INDEX(_Engine!$E1069:$X1069,1,(_Engine!$J$42-1)*4+3))</f>
        <v/>
      </c>
      <c r="I1011" s="27">
        <f>IF(OR($A1011="",_Engine!$D$43=0),"",INDEX(_Engine!$E1069:$X1069,1,(_Engine!$J$43-1)*4+3))</f>
        <v/>
      </c>
      <c r="J1011" s="27">
        <f>IF(OR($A1011="",_Engine!$D$44=0),"",INDEX(_Engine!$E1069:$X1069,1,(_Engine!$J$44-1)*4+3))</f>
        <v/>
      </c>
      <c r="K1011" s="27">
        <f>IF(OR($A1011="",_Engine!$D$45=0),"",INDEX(_Engine!$E1069:$X1069,1,(_Engine!$J$45-1)*4+3))</f>
        <v/>
      </c>
    </row>
    <row r="1012">
      <c r="A1012" s="25">
        <f>IF(1009&lt;=_Engine!$B$36,1009,"")</f>
        <v/>
      </c>
      <c r="B1012" s="26">
        <f>IF($A1012="","",EDATE(_Engine!$B$5,$A1012-1))</f>
        <v/>
      </c>
      <c r="C1012" s="27">
        <f>IF($A1012="","",_Engine!$AJ1070)</f>
        <v/>
      </c>
      <c r="D1012" s="27">
        <f>IF($A1012="","",_Engine!$AK1070)</f>
        <v/>
      </c>
      <c r="E1012" s="27">
        <f>IF($A1012="","",_Engine!$AJ1070-_Engine!$AK1070)</f>
        <v/>
      </c>
      <c r="F1012" s="27">
        <f>IF($A1012="","",_Engine!$AI1070)</f>
        <v/>
      </c>
      <c r="G1012" s="27">
        <f>IF(OR($A1012="",_Engine!$D$41=0),"",INDEX(_Engine!$E1070:$X1070,1,(_Engine!$J$41-1)*4+3))</f>
        <v/>
      </c>
      <c r="H1012" s="27">
        <f>IF(OR($A1012="",_Engine!$D$42=0),"",INDEX(_Engine!$E1070:$X1070,1,(_Engine!$J$42-1)*4+3))</f>
        <v/>
      </c>
      <c r="I1012" s="27">
        <f>IF(OR($A1012="",_Engine!$D$43=0),"",INDEX(_Engine!$E1070:$X1070,1,(_Engine!$J$43-1)*4+3))</f>
        <v/>
      </c>
      <c r="J1012" s="27">
        <f>IF(OR($A1012="",_Engine!$D$44=0),"",INDEX(_Engine!$E1070:$X1070,1,(_Engine!$J$44-1)*4+3))</f>
        <v/>
      </c>
      <c r="K1012" s="27">
        <f>IF(OR($A1012="",_Engine!$D$45=0),"",INDEX(_Engine!$E1070:$X1070,1,(_Engine!$J$45-1)*4+3))</f>
        <v/>
      </c>
    </row>
    <row r="1013">
      <c r="A1013" s="25">
        <f>IF(1010&lt;=_Engine!$B$36,1010,"")</f>
        <v/>
      </c>
      <c r="B1013" s="26">
        <f>IF($A1013="","",EDATE(_Engine!$B$5,$A1013-1))</f>
        <v/>
      </c>
      <c r="C1013" s="27">
        <f>IF($A1013="","",_Engine!$AJ1071)</f>
        <v/>
      </c>
      <c r="D1013" s="27">
        <f>IF($A1013="","",_Engine!$AK1071)</f>
        <v/>
      </c>
      <c r="E1013" s="27">
        <f>IF($A1013="","",_Engine!$AJ1071-_Engine!$AK1071)</f>
        <v/>
      </c>
      <c r="F1013" s="27">
        <f>IF($A1013="","",_Engine!$AI1071)</f>
        <v/>
      </c>
      <c r="G1013" s="27">
        <f>IF(OR($A1013="",_Engine!$D$41=0),"",INDEX(_Engine!$E1071:$X1071,1,(_Engine!$J$41-1)*4+3))</f>
        <v/>
      </c>
      <c r="H1013" s="27">
        <f>IF(OR($A1013="",_Engine!$D$42=0),"",INDEX(_Engine!$E1071:$X1071,1,(_Engine!$J$42-1)*4+3))</f>
        <v/>
      </c>
      <c r="I1013" s="27">
        <f>IF(OR($A1013="",_Engine!$D$43=0),"",INDEX(_Engine!$E1071:$X1071,1,(_Engine!$J$43-1)*4+3))</f>
        <v/>
      </c>
      <c r="J1013" s="27">
        <f>IF(OR($A1013="",_Engine!$D$44=0),"",INDEX(_Engine!$E1071:$X1071,1,(_Engine!$J$44-1)*4+3))</f>
        <v/>
      </c>
      <c r="K1013" s="27">
        <f>IF(OR($A1013="",_Engine!$D$45=0),"",INDEX(_Engine!$E1071:$X1071,1,(_Engine!$J$45-1)*4+3))</f>
        <v/>
      </c>
    </row>
    <row r="1014">
      <c r="A1014" s="25">
        <f>IF(1011&lt;=_Engine!$B$36,1011,"")</f>
        <v/>
      </c>
      <c r="B1014" s="26">
        <f>IF($A1014="","",EDATE(_Engine!$B$5,$A1014-1))</f>
        <v/>
      </c>
      <c r="C1014" s="27">
        <f>IF($A1014="","",_Engine!$AJ1072)</f>
        <v/>
      </c>
      <c r="D1014" s="27">
        <f>IF($A1014="","",_Engine!$AK1072)</f>
        <v/>
      </c>
      <c r="E1014" s="27">
        <f>IF($A1014="","",_Engine!$AJ1072-_Engine!$AK1072)</f>
        <v/>
      </c>
      <c r="F1014" s="27">
        <f>IF($A1014="","",_Engine!$AI1072)</f>
        <v/>
      </c>
      <c r="G1014" s="27">
        <f>IF(OR($A1014="",_Engine!$D$41=0),"",INDEX(_Engine!$E1072:$X1072,1,(_Engine!$J$41-1)*4+3))</f>
        <v/>
      </c>
      <c r="H1014" s="27">
        <f>IF(OR($A1014="",_Engine!$D$42=0),"",INDEX(_Engine!$E1072:$X1072,1,(_Engine!$J$42-1)*4+3))</f>
        <v/>
      </c>
      <c r="I1014" s="27">
        <f>IF(OR($A1014="",_Engine!$D$43=0),"",INDEX(_Engine!$E1072:$X1072,1,(_Engine!$J$43-1)*4+3))</f>
        <v/>
      </c>
      <c r="J1014" s="27">
        <f>IF(OR($A1014="",_Engine!$D$44=0),"",INDEX(_Engine!$E1072:$X1072,1,(_Engine!$J$44-1)*4+3))</f>
        <v/>
      </c>
      <c r="K1014" s="27">
        <f>IF(OR($A1014="",_Engine!$D$45=0),"",INDEX(_Engine!$E1072:$X1072,1,(_Engine!$J$45-1)*4+3))</f>
        <v/>
      </c>
    </row>
    <row r="1015">
      <c r="A1015" s="25">
        <f>IF(1012&lt;=_Engine!$B$36,1012,"")</f>
        <v/>
      </c>
      <c r="B1015" s="26">
        <f>IF($A1015="","",EDATE(_Engine!$B$5,$A1015-1))</f>
        <v/>
      </c>
      <c r="C1015" s="27">
        <f>IF($A1015="","",_Engine!$AJ1073)</f>
        <v/>
      </c>
      <c r="D1015" s="27">
        <f>IF($A1015="","",_Engine!$AK1073)</f>
        <v/>
      </c>
      <c r="E1015" s="27">
        <f>IF($A1015="","",_Engine!$AJ1073-_Engine!$AK1073)</f>
        <v/>
      </c>
      <c r="F1015" s="27">
        <f>IF($A1015="","",_Engine!$AI1073)</f>
        <v/>
      </c>
      <c r="G1015" s="27">
        <f>IF(OR($A1015="",_Engine!$D$41=0),"",INDEX(_Engine!$E1073:$X1073,1,(_Engine!$J$41-1)*4+3))</f>
        <v/>
      </c>
      <c r="H1015" s="27">
        <f>IF(OR($A1015="",_Engine!$D$42=0),"",INDEX(_Engine!$E1073:$X1073,1,(_Engine!$J$42-1)*4+3))</f>
        <v/>
      </c>
      <c r="I1015" s="27">
        <f>IF(OR($A1015="",_Engine!$D$43=0),"",INDEX(_Engine!$E1073:$X1073,1,(_Engine!$J$43-1)*4+3))</f>
        <v/>
      </c>
      <c r="J1015" s="27">
        <f>IF(OR($A1015="",_Engine!$D$44=0),"",INDEX(_Engine!$E1073:$X1073,1,(_Engine!$J$44-1)*4+3))</f>
        <v/>
      </c>
      <c r="K1015" s="27">
        <f>IF(OR($A1015="",_Engine!$D$45=0),"",INDEX(_Engine!$E1073:$X1073,1,(_Engine!$J$45-1)*4+3))</f>
        <v/>
      </c>
    </row>
    <row r="1016">
      <c r="A1016" s="25">
        <f>IF(1013&lt;=_Engine!$B$36,1013,"")</f>
        <v/>
      </c>
      <c r="B1016" s="26">
        <f>IF($A1016="","",EDATE(_Engine!$B$5,$A1016-1))</f>
        <v/>
      </c>
      <c r="C1016" s="27">
        <f>IF($A1016="","",_Engine!$AJ1074)</f>
        <v/>
      </c>
      <c r="D1016" s="27">
        <f>IF($A1016="","",_Engine!$AK1074)</f>
        <v/>
      </c>
      <c r="E1016" s="27">
        <f>IF($A1016="","",_Engine!$AJ1074-_Engine!$AK1074)</f>
        <v/>
      </c>
      <c r="F1016" s="27">
        <f>IF($A1016="","",_Engine!$AI1074)</f>
        <v/>
      </c>
      <c r="G1016" s="27">
        <f>IF(OR($A1016="",_Engine!$D$41=0),"",INDEX(_Engine!$E1074:$X1074,1,(_Engine!$J$41-1)*4+3))</f>
        <v/>
      </c>
      <c r="H1016" s="27">
        <f>IF(OR($A1016="",_Engine!$D$42=0),"",INDEX(_Engine!$E1074:$X1074,1,(_Engine!$J$42-1)*4+3))</f>
        <v/>
      </c>
      <c r="I1016" s="27">
        <f>IF(OR($A1016="",_Engine!$D$43=0),"",INDEX(_Engine!$E1074:$X1074,1,(_Engine!$J$43-1)*4+3))</f>
        <v/>
      </c>
      <c r="J1016" s="27">
        <f>IF(OR($A1016="",_Engine!$D$44=0),"",INDEX(_Engine!$E1074:$X1074,1,(_Engine!$J$44-1)*4+3))</f>
        <v/>
      </c>
      <c r="K1016" s="27">
        <f>IF(OR($A1016="",_Engine!$D$45=0),"",INDEX(_Engine!$E1074:$X1074,1,(_Engine!$J$45-1)*4+3))</f>
        <v/>
      </c>
    </row>
    <row r="1017">
      <c r="A1017" s="25">
        <f>IF(1014&lt;=_Engine!$B$36,1014,"")</f>
        <v/>
      </c>
      <c r="B1017" s="26">
        <f>IF($A1017="","",EDATE(_Engine!$B$5,$A1017-1))</f>
        <v/>
      </c>
      <c r="C1017" s="27">
        <f>IF($A1017="","",_Engine!$AJ1075)</f>
        <v/>
      </c>
      <c r="D1017" s="27">
        <f>IF($A1017="","",_Engine!$AK1075)</f>
        <v/>
      </c>
      <c r="E1017" s="27">
        <f>IF($A1017="","",_Engine!$AJ1075-_Engine!$AK1075)</f>
        <v/>
      </c>
      <c r="F1017" s="27">
        <f>IF($A1017="","",_Engine!$AI1075)</f>
        <v/>
      </c>
      <c r="G1017" s="27">
        <f>IF(OR($A1017="",_Engine!$D$41=0),"",INDEX(_Engine!$E1075:$X1075,1,(_Engine!$J$41-1)*4+3))</f>
        <v/>
      </c>
      <c r="H1017" s="27">
        <f>IF(OR($A1017="",_Engine!$D$42=0),"",INDEX(_Engine!$E1075:$X1075,1,(_Engine!$J$42-1)*4+3))</f>
        <v/>
      </c>
      <c r="I1017" s="27">
        <f>IF(OR($A1017="",_Engine!$D$43=0),"",INDEX(_Engine!$E1075:$X1075,1,(_Engine!$J$43-1)*4+3))</f>
        <v/>
      </c>
      <c r="J1017" s="27">
        <f>IF(OR($A1017="",_Engine!$D$44=0),"",INDEX(_Engine!$E1075:$X1075,1,(_Engine!$J$44-1)*4+3))</f>
        <v/>
      </c>
      <c r="K1017" s="27">
        <f>IF(OR($A1017="",_Engine!$D$45=0),"",INDEX(_Engine!$E1075:$X1075,1,(_Engine!$J$45-1)*4+3))</f>
        <v/>
      </c>
    </row>
    <row r="1018">
      <c r="A1018" s="25">
        <f>IF(1015&lt;=_Engine!$B$36,1015,"")</f>
        <v/>
      </c>
      <c r="B1018" s="26">
        <f>IF($A1018="","",EDATE(_Engine!$B$5,$A1018-1))</f>
        <v/>
      </c>
      <c r="C1018" s="27">
        <f>IF($A1018="","",_Engine!$AJ1076)</f>
        <v/>
      </c>
      <c r="D1018" s="27">
        <f>IF($A1018="","",_Engine!$AK1076)</f>
        <v/>
      </c>
      <c r="E1018" s="27">
        <f>IF($A1018="","",_Engine!$AJ1076-_Engine!$AK1076)</f>
        <v/>
      </c>
      <c r="F1018" s="27">
        <f>IF($A1018="","",_Engine!$AI1076)</f>
        <v/>
      </c>
      <c r="G1018" s="27">
        <f>IF(OR($A1018="",_Engine!$D$41=0),"",INDEX(_Engine!$E1076:$X1076,1,(_Engine!$J$41-1)*4+3))</f>
        <v/>
      </c>
      <c r="H1018" s="27">
        <f>IF(OR($A1018="",_Engine!$D$42=0),"",INDEX(_Engine!$E1076:$X1076,1,(_Engine!$J$42-1)*4+3))</f>
        <v/>
      </c>
      <c r="I1018" s="27">
        <f>IF(OR($A1018="",_Engine!$D$43=0),"",INDEX(_Engine!$E1076:$X1076,1,(_Engine!$J$43-1)*4+3))</f>
        <v/>
      </c>
      <c r="J1018" s="27">
        <f>IF(OR($A1018="",_Engine!$D$44=0),"",INDEX(_Engine!$E1076:$X1076,1,(_Engine!$J$44-1)*4+3))</f>
        <v/>
      </c>
      <c r="K1018" s="27">
        <f>IF(OR($A1018="",_Engine!$D$45=0),"",INDEX(_Engine!$E1076:$X1076,1,(_Engine!$J$45-1)*4+3))</f>
        <v/>
      </c>
    </row>
    <row r="1019">
      <c r="A1019" s="25">
        <f>IF(1016&lt;=_Engine!$B$36,1016,"")</f>
        <v/>
      </c>
      <c r="B1019" s="26">
        <f>IF($A1019="","",EDATE(_Engine!$B$5,$A1019-1))</f>
        <v/>
      </c>
      <c r="C1019" s="27">
        <f>IF($A1019="","",_Engine!$AJ1077)</f>
        <v/>
      </c>
      <c r="D1019" s="27">
        <f>IF($A1019="","",_Engine!$AK1077)</f>
        <v/>
      </c>
      <c r="E1019" s="27">
        <f>IF($A1019="","",_Engine!$AJ1077-_Engine!$AK1077)</f>
        <v/>
      </c>
      <c r="F1019" s="27">
        <f>IF($A1019="","",_Engine!$AI1077)</f>
        <v/>
      </c>
      <c r="G1019" s="27">
        <f>IF(OR($A1019="",_Engine!$D$41=0),"",INDEX(_Engine!$E1077:$X1077,1,(_Engine!$J$41-1)*4+3))</f>
        <v/>
      </c>
      <c r="H1019" s="27">
        <f>IF(OR($A1019="",_Engine!$D$42=0),"",INDEX(_Engine!$E1077:$X1077,1,(_Engine!$J$42-1)*4+3))</f>
        <v/>
      </c>
      <c r="I1019" s="27">
        <f>IF(OR($A1019="",_Engine!$D$43=0),"",INDEX(_Engine!$E1077:$X1077,1,(_Engine!$J$43-1)*4+3))</f>
        <v/>
      </c>
      <c r="J1019" s="27">
        <f>IF(OR($A1019="",_Engine!$D$44=0),"",INDEX(_Engine!$E1077:$X1077,1,(_Engine!$J$44-1)*4+3))</f>
        <v/>
      </c>
      <c r="K1019" s="27">
        <f>IF(OR($A1019="",_Engine!$D$45=0),"",INDEX(_Engine!$E1077:$X1077,1,(_Engine!$J$45-1)*4+3))</f>
        <v/>
      </c>
    </row>
    <row r="1020">
      <c r="A1020" s="25">
        <f>IF(1017&lt;=_Engine!$B$36,1017,"")</f>
        <v/>
      </c>
      <c r="B1020" s="26">
        <f>IF($A1020="","",EDATE(_Engine!$B$5,$A1020-1))</f>
        <v/>
      </c>
      <c r="C1020" s="27">
        <f>IF($A1020="","",_Engine!$AJ1078)</f>
        <v/>
      </c>
      <c r="D1020" s="27">
        <f>IF($A1020="","",_Engine!$AK1078)</f>
        <v/>
      </c>
      <c r="E1020" s="27">
        <f>IF($A1020="","",_Engine!$AJ1078-_Engine!$AK1078)</f>
        <v/>
      </c>
      <c r="F1020" s="27">
        <f>IF($A1020="","",_Engine!$AI1078)</f>
        <v/>
      </c>
      <c r="G1020" s="27">
        <f>IF(OR($A1020="",_Engine!$D$41=0),"",INDEX(_Engine!$E1078:$X1078,1,(_Engine!$J$41-1)*4+3))</f>
        <v/>
      </c>
      <c r="H1020" s="27">
        <f>IF(OR($A1020="",_Engine!$D$42=0),"",INDEX(_Engine!$E1078:$X1078,1,(_Engine!$J$42-1)*4+3))</f>
        <v/>
      </c>
      <c r="I1020" s="27">
        <f>IF(OR($A1020="",_Engine!$D$43=0),"",INDEX(_Engine!$E1078:$X1078,1,(_Engine!$J$43-1)*4+3))</f>
        <v/>
      </c>
      <c r="J1020" s="27">
        <f>IF(OR($A1020="",_Engine!$D$44=0),"",INDEX(_Engine!$E1078:$X1078,1,(_Engine!$J$44-1)*4+3))</f>
        <v/>
      </c>
      <c r="K1020" s="27">
        <f>IF(OR($A1020="",_Engine!$D$45=0),"",INDEX(_Engine!$E1078:$X1078,1,(_Engine!$J$45-1)*4+3))</f>
        <v/>
      </c>
    </row>
    <row r="1021">
      <c r="A1021" s="25">
        <f>IF(1018&lt;=_Engine!$B$36,1018,"")</f>
        <v/>
      </c>
      <c r="B1021" s="26">
        <f>IF($A1021="","",EDATE(_Engine!$B$5,$A1021-1))</f>
        <v/>
      </c>
      <c r="C1021" s="27">
        <f>IF($A1021="","",_Engine!$AJ1079)</f>
        <v/>
      </c>
      <c r="D1021" s="27">
        <f>IF($A1021="","",_Engine!$AK1079)</f>
        <v/>
      </c>
      <c r="E1021" s="27">
        <f>IF($A1021="","",_Engine!$AJ1079-_Engine!$AK1079)</f>
        <v/>
      </c>
      <c r="F1021" s="27">
        <f>IF($A1021="","",_Engine!$AI1079)</f>
        <v/>
      </c>
      <c r="G1021" s="27">
        <f>IF(OR($A1021="",_Engine!$D$41=0),"",INDEX(_Engine!$E1079:$X1079,1,(_Engine!$J$41-1)*4+3))</f>
        <v/>
      </c>
      <c r="H1021" s="27">
        <f>IF(OR($A1021="",_Engine!$D$42=0),"",INDEX(_Engine!$E1079:$X1079,1,(_Engine!$J$42-1)*4+3))</f>
        <v/>
      </c>
      <c r="I1021" s="27">
        <f>IF(OR($A1021="",_Engine!$D$43=0),"",INDEX(_Engine!$E1079:$X1079,1,(_Engine!$J$43-1)*4+3))</f>
        <v/>
      </c>
      <c r="J1021" s="27">
        <f>IF(OR($A1021="",_Engine!$D$44=0),"",INDEX(_Engine!$E1079:$X1079,1,(_Engine!$J$44-1)*4+3))</f>
        <v/>
      </c>
      <c r="K1021" s="27">
        <f>IF(OR($A1021="",_Engine!$D$45=0),"",INDEX(_Engine!$E1079:$X1079,1,(_Engine!$J$45-1)*4+3))</f>
        <v/>
      </c>
    </row>
    <row r="1022">
      <c r="A1022" s="25">
        <f>IF(1019&lt;=_Engine!$B$36,1019,"")</f>
        <v/>
      </c>
      <c r="B1022" s="26">
        <f>IF($A1022="","",EDATE(_Engine!$B$5,$A1022-1))</f>
        <v/>
      </c>
      <c r="C1022" s="27">
        <f>IF($A1022="","",_Engine!$AJ1080)</f>
        <v/>
      </c>
      <c r="D1022" s="27">
        <f>IF($A1022="","",_Engine!$AK1080)</f>
        <v/>
      </c>
      <c r="E1022" s="27">
        <f>IF($A1022="","",_Engine!$AJ1080-_Engine!$AK1080)</f>
        <v/>
      </c>
      <c r="F1022" s="27">
        <f>IF($A1022="","",_Engine!$AI1080)</f>
        <v/>
      </c>
      <c r="G1022" s="27">
        <f>IF(OR($A1022="",_Engine!$D$41=0),"",INDEX(_Engine!$E1080:$X1080,1,(_Engine!$J$41-1)*4+3))</f>
        <v/>
      </c>
      <c r="H1022" s="27">
        <f>IF(OR($A1022="",_Engine!$D$42=0),"",INDEX(_Engine!$E1080:$X1080,1,(_Engine!$J$42-1)*4+3))</f>
        <v/>
      </c>
      <c r="I1022" s="27">
        <f>IF(OR($A1022="",_Engine!$D$43=0),"",INDEX(_Engine!$E1080:$X1080,1,(_Engine!$J$43-1)*4+3))</f>
        <v/>
      </c>
      <c r="J1022" s="27">
        <f>IF(OR($A1022="",_Engine!$D$44=0),"",INDEX(_Engine!$E1080:$X1080,1,(_Engine!$J$44-1)*4+3))</f>
        <v/>
      </c>
      <c r="K1022" s="27">
        <f>IF(OR($A1022="",_Engine!$D$45=0),"",INDEX(_Engine!$E1080:$X1080,1,(_Engine!$J$45-1)*4+3))</f>
        <v/>
      </c>
    </row>
    <row r="1023">
      <c r="A1023" s="25">
        <f>IF(1020&lt;=_Engine!$B$36,1020,"")</f>
        <v/>
      </c>
      <c r="B1023" s="26">
        <f>IF($A1023="","",EDATE(_Engine!$B$5,$A1023-1))</f>
        <v/>
      </c>
      <c r="C1023" s="27">
        <f>IF($A1023="","",_Engine!$AJ1081)</f>
        <v/>
      </c>
      <c r="D1023" s="27">
        <f>IF($A1023="","",_Engine!$AK1081)</f>
        <v/>
      </c>
      <c r="E1023" s="27">
        <f>IF($A1023="","",_Engine!$AJ1081-_Engine!$AK1081)</f>
        <v/>
      </c>
      <c r="F1023" s="27">
        <f>IF($A1023="","",_Engine!$AI1081)</f>
        <v/>
      </c>
      <c r="G1023" s="27">
        <f>IF(OR($A1023="",_Engine!$D$41=0),"",INDEX(_Engine!$E1081:$X1081,1,(_Engine!$J$41-1)*4+3))</f>
        <v/>
      </c>
      <c r="H1023" s="27">
        <f>IF(OR($A1023="",_Engine!$D$42=0),"",INDEX(_Engine!$E1081:$X1081,1,(_Engine!$J$42-1)*4+3))</f>
        <v/>
      </c>
      <c r="I1023" s="27">
        <f>IF(OR($A1023="",_Engine!$D$43=0),"",INDEX(_Engine!$E1081:$X1081,1,(_Engine!$J$43-1)*4+3))</f>
        <v/>
      </c>
      <c r="J1023" s="27">
        <f>IF(OR($A1023="",_Engine!$D$44=0),"",INDEX(_Engine!$E1081:$X1081,1,(_Engine!$J$44-1)*4+3))</f>
        <v/>
      </c>
      <c r="K1023" s="27">
        <f>IF(OR($A1023="",_Engine!$D$45=0),"",INDEX(_Engine!$E1081:$X1081,1,(_Engine!$J$45-1)*4+3))</f>
        <v/>
      </c>
    </row>
    <row r="1024">
      <c r="A1024" s="25">
        <f>IF(1021&lt;=_Engine!$B$36,1021,"")</f>
        <v/>
      </c>
      <c r="B1024" s="26">
        <f>IF($A1024="","",EDATE(_Engine!$B$5,$A1024-1))</f>
        <v/>
      </c>
      <c r="C1024" s="27">
        <f>IF($A1024="","",_Engine!$AJ1082)</f>
        <v/>
      </c>
      <c r="D1024" s="27">
        <f>IF($A1024="","",_Engine!$AK1082)</f>
        <v/>
      </c>
      <c r="E1024" s="27">
        <f>IF($A1024="","",_Engine!$AJ1082-_Engine!$AK1082)</f>
        <v/>
      </c>
      <c r="F1024" s="27">
        <f>IF($A1024="","",_Engine!$AI1082)</f>
        <v/>
      </c>
      <c r="G1024" s="27">
        <f>IF(OR($A1024="",_Engine!$D$41=0),"",INDEX(_Engine!$E1082:$X1082,1,(_Engine!$J$41-1)*4+3))</f>
        <v/>
      </c>
      <c r="H1024" s="27">
        <f>IF(OR($A1024="",_Engine!$D$42=0),"",INDEX(_Engine!$E1082:$X1082,1,(_Engine!$J$42-1)*4+3))</f>
        <v/>
      </c>
      <c r="I1024" s="27">
        <f>IF(OR($A1024="",_Engine!$D$43=0),"",INDEX(_Engine!$E1082:$X1082,1,(_Engine!$J$43-1)*4+3))</f>
        <v/>
      </c>
      <c r="J1024" s="27">
        <f>IF(OR($A1024="",_Engine!$D$44=0),"",INDEX(_Engine!$E1082:$X1082,1,(_Engine!$J$44-1)*4+3))</f>
        <v/>
      </c>
      <c r="K1024" s="27">
        <f>IF(OR($A1024="",_Engine!$D$45=0),"",INDEX(_Engine!$E1082:$X1082,1,(_Engine!$J$45-1)*4+3))</f>
        <v/>
      </c>
    </row>
    <row r="1025">
      <c r="A1025" s="25">
        <f>IF(1022&lt;=_Engine!$B$36,1022,"")</f>
        <v/>
      </c>
      <c r="B1025" s="26">
        <f>IF($A1025="","",EDATE(_Engine!$B$5,$A1025-1))</f>
        <v/>
      </c>
      <c r="C1025" s="27">
        <f>IF($A1025="","",_Engine!$AJ1083)</f>
        <v/>
      </c>
      <c r="D1025" s="27">
        <f>IF($A1025="","",_Engine!$AK1083)</f>
        <v/>
      </c>
      <c r="E1025" s="27">
        <f>IF($A1025="","",_Engine!$AJ1083-_Engine!$AK1083)</f>
        <v/>
      </c>
      <c r="F1025" s="27">
        <f>IF($A1025="","",_Engine!$AI1083)</f>
        <v/>
      </c>
      <c r="G1025" s="27">
        <f>IF(OR($A1025="",_Engine!$D$41=0),"",INDEX(_Engine!$E1083:$X1083,1,(_Engine!$J$41-1)*4+3))</f>
        <v/>
      </c>
      <c r="H1025" s="27">
        <f>IF(OR($A1025="",_Engine!$D$42=0),"",INDEX(_Engine!$E1083:$X1083,1,(_Engine!$J$42-1)*4+3))</f>
        <v/>
      </c>
      <c r="I1025" s="27">
        <f>IF(OR($A1025="",_Engine!$D$43=0),"",INDEX(_Engine!$E1083:$X1083,1,(_Engine!$J$43-1)*4+3))</f>
        <v/>
      </c>
      <c r="J1025" s="27">
        <f>IF(OR($A1025="",_Engine!$D$44=0),"",INDEX(_Engine!$E1083:$X1083,1,(_Engine!$J$44-1)*4+3))</f>
        <v/>
      </c>
      <c r="K1025" s="27">
        <f>IF(OR($A1025="",_Engine!$D$45=0),"",INDEX(_Engine!$E1083:$X1083,1,(_Engine!$J$45-1)*4+3))</f>
        <v/>
      </c>
    </row>
    <row r="1026">
      <c r="A1026" s="25">
        <f>IF(1023&lt;=_Engine!$B$36,1023,"")</f>
        <v/>
      </c>
      <c r="B1026" s="26">
        <f>IF($A1026="","",EDATE(_Engine!$B$5,$A1026-1))</f>
        <v/>
      </c>
      <c r="C1026" s="27">
        <f>IF($A1026="","",_Engine!$AJ1084)</f>
        <v/>
      </c>
      <c r="D1026" s="27">
        <f>IF($A1026="","",_Engine!$AK1084)</f>
        <v/>
      </c>
      <c r="E1026" s="27">
        <f>IF($A1026="","",_Engine!$AJ1084-_Engine!$AK1084)</f>
        <v/>
      </c>
      <c r="F1026" s="27">
        <f>IF($A1026="","",_Engine!$AI1084)</f>
        <v/>
      </c>
      <c r="G1026" s="27">
        <f>IF(OR($A1026="",_Engine!$D$41=0),"",INDEX(_Engine!$E1084:$X1084,1,(_Engine!$J$41-1)*4+3))</f>
        <v/>
      </c>
      <c r="H1026" s="27">
        <f>IF(OR($A1026="",_Engine!$D$42=0),"",INDEX(_Engine!$E1084:$X1084,1,(_Engine!$J$42-1)*4+3))</f>
        <v/>
      </c>
      <c r="I1026" s="27">
        <f>IF(OR($A1026="",_Engine!$D$43=0),"",INDEX(_Engine!$E1084:$X1084,1,(_Engine!$J$43-1)*4+3))</f>
        <v/>
      </c>
      <c r="J1026" s="27">
        <f>IF(OR($A1026="",_Engine!$D$44=0),"",INDEX(_Engine!$E1084:$X1084,1,(_Engine!$J$44-1)*4+3))</f>
        <v/>
      </c>
      <c r="K1026" s="27">
        <f>IF(OR($A1026="",_Engine!$D$45=0),"",INDEX(_Engine!$E1084:$X1084,1,(_Engine!$J$45-1)*4+3))</f>
        <v/>
      </c>
    </row>
    <row r="1027">
      <c r="A1027" s="25">
        <f>IF(1024&lt;=_Engine!$B$36,1024,"")</f>
        <v/>
      </c>
      <c r="B1027" s="26">
        <f>IF($A1027="","",EDATE(_Engine!$B$5,$A1027-1))</f>
        <v/>
      </c>
      <c r="C1027" s="27">
        <f>IF($A1027="","",_Engine!$AJ1085)</f>
        <v/>
      </c>
      <c r="D1027" s="27">
        <f>IF($A1027="","",_Engine!$AK1085)</f>
        <v/>
      </c>
      <c r="E1027" s="27">
        <f>IF($A1027="","",_Engine!$AJ1085-_Engine!$AK1085)</f>
        <v/>
      </c>
      <c r="F1027" s="27">
        <f>IF($A1027="","",_Engine!$AI1085)</f>
        <v/>
      </c>
      <c r="G1027" s="27">
        <f>IF(OR($A1027="",_Engine!$D$41=0),"",INDEX(_Engine!$E1085:$X1085,1,(_Engine!$J$41-1)*4+3))</f>
        <v/>
      </c>
      <c r="H1027" s="27">
        <f>IF(OR($A1027="",_Engine!$D$42=0),"",INDEX(_Engine!$E1085:$X1085,1,(_Engine!$J$42-1)*4+3))</f>
        <v/>
      </c>
      <c r="I1027" s="27">
        <f>IF(OR($A1027="",_Engine!$D$43=0),"",INDEX(_Engine!$E1085:$X1085,1,(_Engine!$J$43-1)*4+3))</f>
        <v/>
      </c>
      <c r="J1027" s="27">
        <f>IF(OR($A1027="",_Engine!$D$44=0),"",INDEX(_Engine!$E1085:$X1085,1,(_Engine!$J$44-1)*4+3))</f>
        <v/>
      </c>
      <c r="K1027" s="27">
        <f>IF(OR($A1027="",_Engine!$D$45=0),"",INDEX(_Engine!$E1085:$X1085,1,(_Engine!$J$45-1)*4+3))</f>
        <v/>
      </c>
    </row>
    <row r="1028">
      <c r="A1028" s="25">
        <f>IF(1025&lt;=_Engine!$B$36,1025,"")</f>
        <v/>
      </c>
      <c r="B1028" s="26">
        <f>IF($A1028="","",EDATE(_Engine!$B$5,$A1028-1))</f>
        <v/>
      </c>
      <c r="C1028" s="27">
        <f>IF($A1028="","",_Engine!$AJ1086)</f>
        <v/>
      </c>
      <c r="D1028" s="27">
        <f>IF($A1028="","",_Engine!$AK1086)</f>
        <v/>
      </c>
      <c r="E1028" s="27">
        <f>IF($A1028="","",_Engine!$AJ1086-_Engine!$AK1086)</f>
        <v/>
      </c>
      <c r="F1028" s="27">
        <f>IF($A1028="","",_Engine!$AI1086)</f>
        <v/>
      </c>
      <c r="G1028" s="27">
        <f>IF(OR($A1028="",_Engine!$D$41=0),"",INDEX(_Engine!$E1086:$X1086,1,(_Engine!$J$41-1)*4+3))</f>
        <v/>
      </c>
      <c r="H1028" s="27">
        <f>IF(OR($A1028="",_Engine!$D$42=0),"",INDEX(_Engine!$E1086:$X1086,1,(_Engine!$J$42-1)*4+3))</f>
        <v/>
      </c>
      <c r="I1028" s="27">
        <f>IF(OR($A1028="",_Engine!$D$43=0),"",INDEX(_Engine!$E1086:$X1086,1,(_Engine!$J$43-1)*4+3))</f>
        <v/>
      </c>
      <c r="J1028" s="27">
        <f>IF(OR($A1028="",_Engine!$D$44=0),"",INDEX(_Engine!$E1086:$X1086,1,(_Engine!$J$44-1)*4+3))</f>
        <v/>
      </c>
      <c r="K1028" s="27">
        <f>IF(OR($A1028="",_Engine!$D$45=0),"",INDEX(_Engine!$E1086:$X1086,1,(_Engine!$J$45-1)*4+3))</f>
        <v/>
      </c>
    </row>
    <row r="1029">
      <c r="A1029" s="25">
        <f>IF(1026&lt;=_Engine!$B$36,1026,"")</f>
        <v/>
      </c>
      <c r="B1029" s="26">
        <f>IF($A1029="","",EDATE(_Engine!$B$5,$A1029-1))</f>
        <v/>
      </c>
      <c r="C1029" s="27">
        <f>IF($A1029="","",_Engine!$AJ1087)</f>
        <v/>
      </c>
      <c r="D1029" s="27">
        <f>IF($A1029="","",_Engine!$AK1087)</f>
        <v/>
      </c>
      <c r="E1029" s="27">
        <f>IF($A1029="","",_Engine!$AJ1087-_Engine!$AK1087)</f>
        <v/>
      </c>
      <c r="F1029" s="27">
        <f>IF($A1029="","",_Engine!$AI1087)</f>
        <v/>
      </c>
      <c r="G1029" s="27">
        <f>IF(OR($A1029="",_Engine!$D$41=0),"",INDEX(_Engine!$E1087:$X1087,1,(_Engine!$J$41-1)*4+3))</f>
        <v/>
      </c>
      <c r="H1029" s="27">
        <f>IF(OR($A1029="",_Engine!$D$42=0),"",INDEX(_Engine!$E1087:$X1087,1,(_Engine!$J$42-1)*4+3))</f>
        <v/>
      </c>
      <c r="I1029" s="27">
        <f>IF(OR($A1029="",_Engine!$D$43=0),"",INDEX(_Engine!$E1087:$X1087,1,(_Engine!$J$43-1)*4+3))</f>
        <v/>
      </c>
      <c r="J1029" s="27">
        <f>IF(OR($A1029="",_Engine!$D$44=0),"",INDEX(_Engine!$E1087:$X1087,1,(_Engine!$J$44-1)*4+3))</f>
        <v/>
      </c>
      <c r="K1029" s="27">
        <f>IF(OR($A1029="",_Engine!$D$45=0),"",INDEX(_Engine!$E1087:$X1087,1,(_Engine!$J$45-1)*4+3))</f>
        <v/>
      </c>
    </row>
    <row r="1030">
      <c r="A1030" s="25">
        <f>IF(1027&lt;=_Engine!$B$36,1027,"")</f>
        <v/>
      </c>
      <c r="B1030" s="26">
        <f>IF($A1030="","",EDATE(_Engine!$B$5,$A1030-1))</f>
        <v/>
      </c>
      <c r="C1030" s="27">
        <f>IF($A1030="","",_Engine!$AJ1088)</f>
        <v/>
      </c>
      <c r="D1030" s="27">
        <f>IF($A1030="","",_Engine!$AK1088)</f>
        <v/>
      </c>
      <c r="E1030" s="27">
        <f>IF($A1030="","",_Engine!$AJ1088-_Engine!$AK1088)</f>
        <v/>
      </c>
      <c r="F1030" s="27">
        <f>IF($A1030="","",_Engine!$AI1088)</f>
        <v/>
      </c>
      <c r="G1030" s="27">
        <f>IF(OR($A1030="",_Engine!$D$41=0),"",INDEX(_Engine!$E1088:$X1088,1,(_Engine!$J$41-1)*4+3))</f>
        <v/>
      </c>
      <c r="H1030" s="27">
        <f>IF(OR($A1030="",_Engine!$D$42=0),"",INDEX(_Engine!$E1088:$X1088,1,(_Engine!$J$42-1)*4+3))</f>
        <v/>
      </c>
      <c r="I1030" s="27">
        <f>IF(OR($A1030="",_Engine!$D$43=0),"",INDEX(_Engine!$E1088:$X1088,1,(_Engine!$J$43-1)*4+3))</f>
        <v/>
      </c>
      <c r="J1030" s="27">
        <f>IF(OR($A1030="",_Engine!$D$44=0),"",INDEX(_Engine!$E1088:$X1088,1,(_Engine!$J$44-1)*4+3))</f>
        <v/>
      </c>
      <c r="K1030" s="27">
        <f>IF(OR($A1030="",_Engine!$D$45=0),"",INDEX(_Engine!$E1088:$X1088,1,(_Engine!$J$45-1)*4+3))</f>
        <v/>
      </c>
    </row>
    <row r="1031">
      <c r="A1031" s="25">
        <f>IF(1028&lt;=_Engine!$B$36,1028,"")</f>
        <v/>
      </c>
      <c r="B1031" s="26">
        <f>IF($A1031="","",EDATE(_Engine!$B$5,$A1031-1))</f>
        <v/>
      </c>
      <c r="C1031" s="27">
        <f>IF($A1031="","",_Engine!$AJ1089)</f>
        <v/>
      </c>
      <c r="D1031" s="27">
        <f>IF($A1031="","",_Engine!$AK1089)</f>
        <v/>
      </c>
      <c r="E1031" s="27">
        <f>IF($A1031="","",_Engine!$AJ1089-_Engine!$AK1089)</f>
        <v/>
      </c>
      <c r="F1031" s="27">
        <f>IF($A1031="","",_Engine!$AI1089)</f>
        <v/>
      </c>
      <c r="G1031" s="27">
        <f>IF(OR($A1031="",_Engine!$D$41=0),"",INDEX(_Engine!$E1089:$X1089,1,(_Engine!$J$41-1)*4+3))</f>
        <v/>
      </c>
      <c r="H1031" s="27">
        <f>IF(OR($A1031="",_Engine!$D$42=0),"",INDEX(_Engine!$E1089:$X1089,1,(_Engine!$J$42-1)*4+3))</f>
        <v/>
      </c>
      <c r="I1031" s="27">
        <f>IF(OR($A1031="",_Engine!$D$43=0),"",INDEX(_Engine!$E1089:$X1089,1,(_Engine!$J$43-1)*4+3))</f>
        <v/>
      </c>
      <c r="J1031" s="27">
        <f>IF(OR($A1031="",_Engine!$D$44=0),"",INDEX(_Engine!$E1089:$X1089,1,(_Engine!$J$44-1)*4+3))</f>
        <v/>
      </c>
      <c r="K1031" s="27">
        <f>IF(OR($A1031="",_Engine!$D$45=0),"",INDEX(_Engine!$E1089:$X1089,1,(_Engine!$J$45-1)*4+3))</f>
        <v/>
      </c>
    </row>
    <row r="1032">
      <c r="A1032" s="25">
        <f>IF(1029&lt;=_Engine!$B$36,1029,"")</f>
        <v/>
      </c>
      <c r="B1032" s="26">
        <f>IF($A1032="","",EDATE(_Engine!$B$5,$A1032-1))</f>
        <v/>
      </c>
      <c r="C1032" s="27">
        <f>IF($A1032="","",_Engine!$AJ1090)</f>
        <v/>
      </c>
      <c r="D1032" s="27">
        <f>IF($A1032="","",_Engine!$AK1090)</f>
        <v/>
      </c>
      <c r="E1032" s="27">
        <f>IF($A1032="","",_Engine!$AJ1090-_Engine!$AK1090)</f>
        <v/>
      </c>
      <c r="F1032" s="27">
        <f>IF($A1032="","",_Engine!$AI1090)</f>
        <v/>
      </c>
      <c r="G1032" s="27">
        <f>IF(OR($A1032="",_Engine!$D$41=0),"",INDEX(_Engine!$E1090:$X1090,1,(_Engine!$J$41-1)*4+3))</f>
        <v/>
      </c>
      <c r="H1032" s="27">
        <f>IF(OR($A1032="",_Engine!$D$42=0),"",INDEX(_Engine!$E1090:$X1090,1,(_Engine!$J$42-1)*4+3))</f>
        <v/>
      </c>
      <c r="I1032" s="27">
        <f>IF(OR($A1032="",_Engine!$D$43=0),"",INDEX(_Engine!$E1090:$X1090,1,(_Engine!$J$43-1)*4+3))</f>
        <v/>
      </c>
      <c r="J1032" s="27">
        <f>IF(OR($A1032="",_Engine!$D$44=0),"",INDEX(_Engine!$E1090:$X1090,1,(_Engine!$J$44-1)*4+3))</f>
        <v/>
      </c>
      <c r="K1032" s="27">
        <f>IF(OR($A1032="",_Engine!$D$45=0),"",INDEX(_Engine!$E1090:$X1090,1,(_Engine!$J$45-1)*4+3))</f>
        <v/>
      </c>
    </row>
    <row r="1033">
      <c r="A1033" s="25">
        <f>IF(1030&lt;=_Engine!$B$36,1030,"")</f>
        <v/>
      </c>
      <c r="B1033" s="26">
        <f>IF($A1033="","",EDATE(_Engine!$B$5,$A1033-1))</f>
        <v/>
      </c>
      <c r="C1033" s="27">
        <f>IF($A1033="","",_Engine!$AJ1091)</f>
        <v/>
      </c>
      <c r="D1033" s="27">
        <f>IF($A1033="","",_Engine!$AK1091)</f>
        <v/>
      </c>
      <c r="E1033" s="27">
        <f>IF($A1033="","",_Engine!$AJ1091-_Engine!$AK1091)</f>
        <v/>
      </c>
      <c r="F1033" s="27">
        <f>IF($A1033="","",_Engine!$AI1091)</f>
        <v/>
      </c>
      <c r="G1033" s="27">
        <f>IF(OR($A1033="",_Engine!$D$41=0),"",INDEX(_Engine!$E1091:$X1091,1,(_Engine!$J$41-1)*4+3))</f>
        <v/>
      </c>
      <c r="H1033" s="27">
        <f>IF(OR($A1033="",_Engine!$D$42=0),"",INDEX(_Engine!$E1091:$X1091,1,(_Engine!$J$42-1)*4+3))</f>
        <v/>
      </c>
      <c r="I1033" s="27">
        <f>IF(OR($A1033="",_Engine!$D$43=0),"",INDEX(_Engine!$E1091:$X1091,1,(_Engine!$J$43-1)*4+3))</f>
        <v/>
      </c>
      <c r="J1033" s="27">
        <f>IF(OR($A1033="",_Engine!$D$44=0),"",INDEX(_Engine!$E1091:$X1091,1,(_Engine!$J$44-1)*4+3))</f>
        <v/>
      </c>
      <c r="K1033" s="27">
        <f>IF(OR($A1033="",_Engine!$D$45=0),"",INDEX(_Engine!$E1091:$X1091,1,(_Engine!$J$45-1)*4+3))</f>
        <v/>
      </c>
    </row>
    <row r="1034">
      <c r="A1034" s="25">
        <f>IF(1031&lt;=_Engine!$B$36,1031,"")</f>
        <v/>
      </c>
      <c r="B1034" s="26">
        <f>IF($A1034="","",EDATE(_Engine!$B$5,$A1034-1))</f>
        <v/>
      </c>
      <c r="C1034" s="27">
        <f>IF($A1034="","",_Engine!$AJ1092)</f>
        <v/>
      </c>
      <c r="D1034" s="27">
        <f>IF($A1034="","",_Engine!$AK1092)</f>
        <v/>
      </c>
      <c r="E1034" s="27">
        <f>IF($A1034="","",_Engine!$AJ1092-_Engine!$AK1092)</f>
        <v/>
      </c>
      <c r="F1034" s="27">
        <f>IF($A1034="","",_Engine!$AI1092)</f>
        <v/>
      </c>
      <c r="G1034" s="27">
        <f>IF(OR($A1034="",_Engine!$D$41=0),"",INDEX(_Engine!$E1092:$X1092,1,(_Engine!$J$41-1)*4+3))</f>
        <v/>
      </c>
      <c r="H1034" s="27">
        <f>IF(OR($A1034="",_Engine!$D$42=0),"",INDEX(_Engine!$E1092:$X1092,1,(_Engine!$J$42-1)*4+3))</f>
        <v/>
      </c>
      <c r="I1034" s="27">
        <f>IF(OR($A1034="",_Engine!$D$43=0),"",INDEX(_Engine!$E1092:$X1092,1,(_Engine!$J$43-1)*4+3))</f>
        <v/>
      </c>
      <c r="J1034" s="27">
        <f>IF(OR($A1034="",_Engine!$D$44=0),"",INDEX(_Engine!$E1092:$X1092,1,(_Engine!$J$44-1)*4+3))</f>
        <v/>
      </c>
      <c r="K1034" s="27">
        <f>IF(OR($A1034="",_Engine!$D$45=0),"",INDEX(_Engine!$E1092:$X1092,1,(_Engine!$J$45-1)*4+3))</f>
        <v/>
      </c>
    </row>
    <row r="1035">
      <c r="A1035" s="25">
        <f>IF(1032&lt;=_Engine!$B$36,1032,"")</f>
        <v/>
      </c>
      <c r="B1035" s="26">
        <f>IF($A1035="","",EDATE(_Engine!$B$5,$A1035-1))</f>
        <v/>
      </c>
      <c r="C1035" s="27">
        <f>IF($A1035="","",_Engine!$AJ1093)</f>
        <v/>
      </c>
      <c r="D1035" s="27">
        <f>IF($A1035="","",_Engine!$AK1093)</f>
        <v/>
      </c>
      <c r="E1035" s="27">
        <f>IF($A1035="","",_Engine!$AJ1093-_Engine!$AK1093)</f>
        <v/>
      </c>
      <c r="F1035" s="27">
        <f>IF($A1035="","",_Engine!$AI1093)</f>
        <v/>
      </c>
      <c r="G1035" s="27">
        <f>IF(OR($A1035="",_Engine!$D$41=0),"",INDEX(_Engine!$E1093:$X1093,1,(_Engine!$J$41-1)*4+3))</f>
        <v/>
      </c>
      <c r="H1035" s="27">
        <f>IF(OR($A1035="",_Engine!$D$42=0),"",INDEX(_Engine!$E1093:$X1093,1,(_Engine!$J$42-1)*4+3))</f>
        <v/>
      </c>
      <c r="I1035" s="27">
        <f>IF(OR($A1035="",_Engine!$D$43=0),"",INDEX(_Engine!$E1093:$X1093,1,(_Engine!$J$43-1)*4+3))</f>
        <v/>
      </c>
      <c r="J1035" s="27">
        <f>IF(OR($A1035="",_Engine!$D$44=0),"",INDEX(_Engine!$E1093:$X1093,1,(_Engine!$J$44-1)*4+3))</f>
        <v/>
      </c>
      <c r="K1035" s="27">
        <f>IF(OR($A1035="",_Engine!$D$45=0),"",INDEX(_Engine!$E1093:$X1093,1,(_Engine!$J$45-1)*4+3))</f>
        <v/>
      </c>
    </row>
    <row r="1036">
      <c r="A1036" s="25">
        <f>IF(1033&lt;=_Engine!$B$36,1033,"")</f>
        <v/>
      </c>
      <c r="B1036" s="26">
        <f>IF($A1036="","",EDATE(_Engine!$B$5,$A1036-1))</f>
        <v/>
      </c>
      <c r="C1036" s="27">
        <f>IF($A1036="","",_Engine!$AJ1094)</f>
        <v/>
      </c>
      <c r="D1036" s="27">
        <f>IF($A1036="","",_Engine!$AK1094)</f>
        <v/>
      </c>
      <c r="E1036" s="27">
        <f>IF($A1036="","",_Engine!$AJ1094-_Engine!$AK1094)</f>
        <v/>
      </c>
      <c r="F1036" s="27">
        <f>IF($A1036="","",_Engine!$AI1094)</f>
        <v/>
      </c>
      <c r="G1036" s="27">
        <f>IF(OR($A1036="",_Engine!$D$41=0),"",INDEX(_Engine!$E1094:$X1094,1,(_Engine!$J$41-1)*4+3))</f>
        <v/>
      </c>
      <c r="H1036" s="27">
        <f>IF(OR($A1036="",_Engine!$D$42=0),"",INDEX(_Engine!$E1094:$X1094,1,(_Engine!$J$42-1)*4+3))</f>
        <v/>
      </c>
      <c r="I1036" s="27">
        <f>IF(OR($A1036="",_Engine!$D$43=0),"",INDEX(_Engine!$E1094:$X1094,1,(_Engine!$J$43-1)*4+3))</f>
        <v/>
      </c>
      <c r="J1036" s="27">
        <f>IF(OR($A1036="",_Engine!$D$44=0),"",INDEX(_Engine!$E1094:$X1094,1,(_Engine!$J$44-1)*4+3))</f>
        <v/>
      </c>
      <c r="K1036" s="27">
        <f>IF(OR($A1036="",_Engine!$D$45=0),"",INDEX(_Engine!$E1094:$X1094,1,(_Engine!$J$45-1)*4+3))</f>
        <v/>
      </c>
    </row>
    <row r="1037">
      <c r="A1037" s="25">
        <f>IF(1034&lt;=_Engine!$B$36,1034,"")</f>
        <v/>
      </c>
      <c r="B1037" s="26">
        <f>IF($A1037="","",EDATE(_Engine!$B$5,$A1037-1))</f>
        <v/>
      </c>
      <c r="C1037" s="27">
        <f>IF($A1037="","",_Engine!$AJ1095)</f>
        <v/>
      </c>
      <c r="D1037" s="27">
        <f>IF($A1037="","",_Engine!$AK1095)</f>
        <v/>
      </c>
      <c r="E1037" s="27">
        <f>IF($A1037="","",_Engine!$AJ1095-_Engine!$AK1095)</f>
        <v/>
      </c>
      <c r="F1037" s="27">
        <f>IF($A1037="","",_Engine!$AI1095)</f>
        <v/>
      </c>
      <c r="G1037" s="27">
        <f>IF(OR($A1037="",_Engine!$D$41=0),"",INDEX(_Engine!$E1095:$X1095,1,(_Engine!$J$41-1)*4+3))</f>
        <v/>
      </c>
      <c r="H1037" s="27">
        <f>IF(OR($A1037="",_Engine!$D$42=0),"",INDEX(_Engine!$E1095:$X1095,1,(_Engine!$J$42-1)*4+3))</f>
        <v/>
      </c>
      <c r="I1037" s="27">
        <f>IF(OR($A1037="",_Engine!$D$43=0),"",INDEX(_Engine!$E1095:$X1095,1,(_Engine!$J$43-1)*4+3))</f>
        <v/>
      </c>
      <c r="J1037" s="27">
        <f>IF(OR($A1037="",_Engine!$D$44=0),"",INDEX(_Engine!$E1095:$X1095,1,(_Engine!$J$44-1)*4+3))</f>
        <v/>
      </c>
      <c r="K1037" s="27">
        <f>IF(OR($A1037="",_Engine!$D$45=0),"",INDEX(_Engine!$E1095:$X1095,1,(_Engine!$J$45-1)*4+3))</f>
        <v/>
      </c>
    </row>
    <row r="1038">
      <c r="A1038" s="25">
        <f>IF(1035&lt;=_Engine!$B$36,1035,"")</f>
        <v/>
      </c>
      <c r="B1038" s="26">
        <f>IF($A1038="","",EDATE(_Engine!$B$5,$A1038-1))</f>
        <v/>
      </c>
      <c r="C1038" s="27">
        <f>IF($A1038="","",_Engine!$AJ1096)</f>
        <v/>
      </c>
      <c r="D1038" s="27">
        <f>IF($A1038="","",_Engine!$AK1096)</f>
        <v/>
      </c>
      <c r="E1038" s="27">
        <f>IF($A1038="","",_Engine!$AJ1096-_Engine!$AK1096)</f>
        <v/>
      </c>
      <c r="F1038" s="27">
        <f>IF($A1038="","",_Engine!$AI1096)</f>
        <v/>
      </c>
      <c r="G1038" s="27">
        <f>IF(OR($A1038="",_Engine!$D$41=0),"",INDEX(_Engine!$E1096:$X1096,1,(_Engine!$J$41-1)*4+3))</f>
        <v/>
      </c>
      <c r="H1038" s="27">
        <f>IF(OR($A1038="",_Engine!$D$42=0),"",INDEX(_Engine!$E1096:$X1096,1,(_Engine!$J$42-1)*4+3))</f>
        <v/>
      </c>
      <c r="I1038" s="27">
        <f>IF(OR($A1038="",_Engine!$D$43=0),"",INDEX(_Engine!$E1096:$X1096,1,(_Engine!$J$43-1)*4+3))</f>
        <v/>
      </c>
      <c r="J1038" s="27">
        <f>IF(OR($A1038="",_Engine!$D$44=0),"",INDEX(_Engine!$E1096:$X1096,1,(_Engine!$J$44-1)*4+3))</f>
        <v/>
      </c>
      <c r="K1038" s="27">
        <f>IF(OR($A1038="",_Engine!$D$45=0),"",INDEX(_Engine!$E1096:$X1096,1,(_Engine!$J$45-1)*4+3))</f>
        <v/>
      </c>
    </row>
    <row r="1039">
      <c r="A1039" s="25">
        <f>IF(1036&lt;=_Engine!$B$36,1036,"")</f>
        <v/>
      </c>
      <c r="B1039" s="26">
        <f>IF($A1039="","",EDATE(_Engine!$B$5,$A1039-1))</f>
        <v/>
      </c>
      <c r="C1039" s="27">
        <f>IF($A1039="","",_Engine!$AJ1097)</f>
        <v/>
      </c>
      <c r="D1039" s="27">
        <f>IF($A1039="","",_Engine!$AK1097)</f>
        <v/>
      </c>
      <c r="E1039" s="27">
        <f>IF($A1039="","",_Engine!$AJ1097-_Engine!$AK1097)</f>
        <v/>
      </c>
      <c r="F1039" s="27">
        <f>IF($A1039="","",_Engine!$AI1097)</f>
        <v/>
      </c>
      <c r="G1039" s="27">
        <f>IF(OR($A1039="",_Engine!$D$41=0),"",INDEX(_Engine!$E1097:$X1097,1,(_Engine!$J$41-1)*4+3))</f>
        <v/>
      </c>
      <c r="H1039" s="27">
        <f>IF(OR($A1039="",_Engine!$D$42=0),"",INDEX(_Engine!$E1097:$X1097,1,(_Engine!$J$42-1)*4+3))</f>
        <v/>
      </c>
      <c r="I1039" s="27">
        <f>IF(OR($A1039="",_Engine!$D$43=0),"",INDEX(_Engine!$E1097:$X1097,1,(_Engine!$J$43-1)*4+3))</f>
        <v/>
      </c>
      <c r="J1039" s="27">
        <f>IF(OR($A1039="",_Engine!$D$44=0),"",INDEX(_Engine!$E1097:$X1097,1,(_Engine!$J$44-1)*4+3))</f>
        <v/>
      </c>
      <c r="K1039" s="27">
        <f>IF(OR($A1039="",_Engine!$D$45=0),"",INDEX(_Engine!$E1097:$X1097,1,(_Engine!$J$45-1)*4+3))</f>
        <v/>
      </c>
    </row>
    <row r="1040">
      <c r="A1040" s="25">
        <f>IF(1037&lt;=_Engine!$B$36,1037,"")</f>
        <v/>
      </c>
      <c r="B1040" s="26">
        <f>IF($A1040="","",EDATE(_Engine!$B$5,$A1040-1))</f>
        <v/>
      </c>
      <c r="C1040" s="27">
        <f>IF($A1040="","",_Engine!$AJ1098)</f>
        <v/>
      </c>
      <c r="D1040" s="27">
        <f>IF($A1040="","",_Engine!$AK1098)</f>
        <v/>
      </c>
      <c r="E1040" s="27">
        <f>IF($A1040="","",_Engine!$AJ1098-_Engine!$AK1098)</f>
        <v/>
      </c>
      <c r="F1040" s="27">
        <f>IF($A1040="","",_Engine!$AI1098)</f>
        <v/>
      </c>
      <c r="G1040" s="27">
        <f>IF(OR($A1040="",_Engine!$D$41=0),"",INDEX(_Engine!$E1098:$X1098,1,(_Engine!$J$41-1)*4+3))</f>
        <v/>
      </c>
      <c r="H1040" s="27">
        <f>IF(OR($A1040="",_Engine!$D$42=0),"",INDEX(_Engine!$E1098:$X1098,1,(_Engine!$J$42-1)*4+3))</f>
        <v/>
      </c>
      <c r="I1040" s="27">
        <f>IF(OR($A1040="",_Engine!$D$43=0),"",INDEX(_Engine!$E1098:$X1098,1,(_Engine!$J$43-1)*4+3))</f>
        <v/>
      </c>
      <c r="J1040" s="27">
        <f>IF(OR($A1040="",_Engine!$D$44=0),"",INDEX(_Engine!$E1098:$X1098,1,(_Engine!$J$44-1)*4+3))</f>
        <v/>
      </c>
      <c r="K1040" s="27">
        <f>IF(OR($A1040="",_Engine!$D$45=0),"",INDEX(_Engine!$E1098:$X1098,1,(_Engine!$J$45-1)*4+3))</f>
        <v/>
      </c>
    </row>
    <row r="1041">
      <c r="A1041" s="25">
        <f>IF(1038&lt;=_Engine!$B$36,1038,"")</f>
        <v/>
      </c>
      <c r="B1041" s="26">
        <f>IF($A1041="","",EDATE(_Engine!$B$5,$A1041-1))</f>
        <v/>
      </c>
      <c r="C1041" s="27">
        <f>IF($A1041="","",_Engine!$AJ1099)</f>
        <v/>
      </c>
      <c r="D1041" s="27">
        <f>IF($A1041="","",_Engine!$AK1099)</f>
        <v/>
      </c>
      <c r="E1041" s="27">
        <f>IF($A1041="","",_Engine!$AJ1099-_Engine!$AK1099)</f>
        <v/>
      </c>
      <c r="F1041" s="27">
        <f>IF($A1041="","",_Engine!$AI1099)</f>
        <v/>
      </c>
      <c r="G1041" s="27">
        <f>IF(OR($A1041="",_Engine!$D$41=0),"",INDEX(_Engine!$E1099:$X1099,1,(_Engine!$J$41-1)*4+3))</f>
        <v/>
      </c>
      <c r="H1041" s="27">
        <f>IF(OR($A1041="",_Engine!$D$42=0),"",INDEX(_Engine!$E1099:$X1099,1,(_Engine!$J$42-1)*4+3))</f>
        <v/>
      </c>
      <c r="I1041" s="27">
        <f>IF(OR($A1041="",_Engine!$D$43=0),"",INDEX(_Engine!$E1099:$X1099,1,(_Engine!$J$43-1)*4+3))</f>
        <v/>
      </c>
      <c r="J1041" s="27">
        <f>IF(OR($A1041="",_Engine!$D$44=0),"",INDEX(_Engine!$E1099:$X1099,1,(_Engine!$J$44-1)*4+3))</f>
        <v/>
      </c>
      <c r="K1041" s="27">
        <f>IF(OR($A1041="",_Engine!$D$45=0),"",INDEX(_Engine!$E1099:$X1099,1,(_Engine!$J$45-1)*4+3))</f>
        <v/>
      </c>
    </row>
    <row r="1042">
      <c r="A1042" s="25">
        <f>IF(1039&lt;=_Engine!$B$36,1039,"")</f>
        <v/>
      </c>
      <c r="B1042" s="26">
        <f>IF($A1042="","",EDATE(_Engine!$B$5,$A1042-1))</f>
        <v/>
      </c>
      <c r="C1042" s="27">
        <f>IF($A1042="","",_Engine!$AJ1100)</f>
        <v/>
      </c>
      <c r="D1042" s="27">
        <f>IF($A1042="","",_Engine!$AK1100)</f>
        <v/>
      </c>
      <c r="E1042" s="27">
        <f>IF($A1042="","",_Engine!$AJ1100-_Engine!$AK1100)</f>
        <v/>
      </c>
      <c r="F1042" s="27">
        <f>IF($A1042="","",_Engine!$AI1100)</f>
        <v/>
      </c>
      <c r="G1042" s="27">
        <f>IF(OR($A1042="",_Engine!$D$41=0),"",INDEX(_Engine!$E1100:$X1100,1,(_Engine!$J$41-1)*4+3))</f>
        <v/>
      </c>
      <c r="H1042" s="27">
        <f>IF(OR($A1042="",_Engine!$D$42=0),"",INDEX(_Engine!$E1100:$X1100,1,(_Engine!$J$42-1)*4+3))</f>
        <v/>
      </c>
      <c r="I1042" s="27">
        <f>IF(OR($A1042="",_Engine!$D$43=0),"",INDEX(_Engine!$E1100:$X1100,1,(_Engine!$J$43-1)*4+3))</f>
        <v/>
      </c>
      <c r="J1042" s="27">
        <f>IF(OR($A1042="",_Engine!$D$44=0),"",INDEX(_Engine!$E1100:$X1100,1,(_Engine!$J$44-1)*4+3))</f>
        <v/>
      </c>
      <c r="K1042" s="27">
        <f>IF(OR($A1042="",_Engine!$D$45=0),"",INDEX(_Engine!$E1100:$X1100,1,(_Engine!$J$45-1)*4+3))</f>
        <v/>
      </c>
    </row>
    <row r="1043">
      <c r="A1043" s="25">
        <f>IF(1040&lt;=_Engine!$B$36,1040,"")</f>
        <v/>
      </c>
      <c r="B1043" s="26">
        <f>IF($A1043="","",EDATE(_Engine!$B$5,$A1043-1))</f>
        <v/>
      </c>
      <c r="C1043" s="27">
        <f>IF($A1043="","",_Engine!$AJ1101)</f>
        <v/>
      </c>
      <c r="D1043" s="27">
        <f>IF($A1043="","",_Engine!$AK1101)</f>
        <v/>
      </c>
      <c r="E1043" s="27">
        <f>IF($A1043="","",_Engine!$AJ1101-_Engine!$AK1101)</f>
        <v/>
      </c>
      <c r="F1043" s="27">
        <f>IF($A1043="","",_Engine!$AI1101)</f>
        <v/>
      </c>
      <c r="G1043" s="27">
        <f>IF(OR($A1043="",_Engine!$D$41=0),"",INDEX(_Engine!$E1101:$X1101,1,(_Engine!$J$41-1)*4+3))</f>
        <v/>
      </c>
      <c r="H1043" s="27">
        <f>IF(OR($A1043="",_Engine!$D$42=0),"",INDEX(_Engine!$E1101:$X1101,1,(_Engine!$J$42-1)*4+3))</f>
        <v/>
      </c>
      <c r="I1043" s="27">
        <f>IF(OR($A1043="",_Engine!$D$43=0),"",INDEX(_Engine!$E1101:$X1101,1,(_Engine!$J$43-1)*4+3))</f>
        <v/>
      </c>
      <c r="J1043" s="27">
        <f>IF(OR($A1043="",_Engine!$D$44=0),"",INDEX(_Engine!$E1101:$X1101,1,(_Engine!$J$44-1)*4+3))</f>
        <v/>
      </c>
      <c r="K1043" s="27">
        <f>IF(OR($A1043="",_Engine!$D$45=0),"",INDEX(_Engine!$E1101:$X1101,1,(_Engine!$J$45-1)*4+3))</f>
        <v/>
      </c>
    </row>
    <row r="1044">
      <c r="A1044" s="25">
        <f>IF(1041&lt;=_Engine!$B$36,1041,"")</f>
        <v/>
      </c>
      <c r="B1044" s="26">
        <f>IF($A1044="","",EDATE(_Engine!$B$5,$A1044-1))</f>
        <v/>
      </c>
      <c r="C1044" s="27">
        <f>IF($A1044="","",_Engine!$AJ1102)</f>
        <v/>
      </c>
      <c r="D1044" s="27">
        <f>IF($A1044="","",_Engine!$AK1102)</f>
        <v/>
      </c>
      <c r="E1044" s="27">
        <f>IF($A1044="","",_Engine!$AJ1102-_Engine!$AK1102)</f>
        <v/>
      </c>
      <c r="F1044" s="27">
        <f>IF($A1044="","",_Engine!$AI1102)</f>
        <v/>
      </c>
      <c r="G1044" s="27">
        <f>IF(OR($A1044="",_Engine!$D$41=0),"",INDEX(_Engine!$E1102:$X1102,1,(_Engine!$J$41-1)*4+3))</f>
        <v/>
      </c>
      <c r="H1044" s="27">
        <f>IF(OR($A1044="",_Engine!$D$42=0),"",INDEX(_Engine!$E1102:$X1102,1,(_Engine!$J$42-1)*4+3))</f>
        <v/>
      </c>
      <c r="I1044" s="27">
        <f>IF(OR($A1044="",_Engine!$D$43=0),"",INDEX(_Engine!$E1102:$X1102,1,(_Engine!$J$43-1)*4+3))</f>
        <v/>
      </c>
      <c r="J1044" s="27">
        <f>IF(OR($A1044="",_Engine!$D$44=0),"",INDEX(_Engine!$E1102:$X1102,1,(_Engine!$J$44-1)*4+3))</f>
        <v/>
      </c>
      <c r="K1044" s="27">
        <f>IF(OR($A1044="",_Engine!$D$45=0),"",INDEX(_Engine!$E1102:$X1102,1,(_Engine!$J$45-1)*4+3))</f>
        <v/>
      </c>
    </row>
    <row r="1045">
      <c r="A1045" s="25">
        <f>IF(1042&lt;=_Engine!$B$36,1042,"")</f>
        <v/>
      </c>
      <c r="B1045" s="26">
        <f>IF($A1045="","",EDATE(_Engine!$B$5,$A1045-1))</f>
        <v/>
      </c>
      <c r="C1045" s="27">
        <f>IF($A1045="","",_Engine!$AJ1103)</f>
        <v/>
      </c>
      <c r="D1045" s="27">
        <f>IF($A1045="","",_Engine!$AK1103)</f>
        <v/>
      </c>
      <c r="E1045" s="27">
        <f>IF($A1045="","",_Engine!$AJ1103-_Engine!$AK1103)</f>
        <v/>
      </c>
      <c r="F1045" s="27">
        <f>IF($A1045="","",_Engine!$AI1103)</f>
        <v/>
      </c>
      <c r="G1045" s="27">
        <f>IF(OR($A1045="",_Engine!$D$41=0),"",INDEX(_Engine!$E1103:$X1103,1,(_Engine!$J$41-1)*4+3))</f>
        <v/>
      </c>
      <c r="H1045" s="27">
        <f>IF(OR($A1045="",_Engine!$D$42=0),"",INDEX(_Engine!$E1103:$X1103,1,(_Engine!$J$42-1)*4+3))</f>
        <v/>
      </c>
      <c r="I1045" s="27">
        <f>IF(OR($A1045="",_Engine!$D$43=0),"",INDEX(_Engine!$E1103:$X1103,1,(_Engine!$J$43-1)*4+3))</f>
        <v/>
      </c>
      <c r="J1045" s="27">
        <f>IF(OR($A1045="",_Engine!$D$44=0),"",INDEX(_Engine!$E1103:$X1103,1,(_Engine!$J$44-1)*4+3))</f>
        <v/>
      </c>
      <c r="K1045" s="27">
        <f>IF(OR($A1045="",_Engine!$D$45=0),"",INDEX(_Engine!$E1103:$X1103,1,(_Engine!$J$45-1)*4+3))</f>
        <v/>
      </c>
    </row>
    <row r="1046">
      <c r="A1046" s="25">
        <f>IF(1043&lt;=_Engine!$B$36,1043,"")</f>
        <v/>
      </c>
      <c r="B1046" s="26">
        <f>IF($A1046="","",EDATE(_Engine!$B$5,$A1046-1))</f>
        <v/>
      </c>
      <c r="C1046" s="27">
        <f>IF($A1046="","",_Engine!$AJ1104)</f>
        <v/>
      </c>
      <c r="D1046" s="27">
        <f>IF($A1046="","",_Engine!$AK1104)</f>
        <v/>
      </c>
      <c r="E1046" s="27">
        <f>IF($A1046="","",_Engine!$AJ1104-_Engine!$AK1104)</f>
        <v/>
      </c>
      <c r="F1046" s="27">
        <f>IF($A1046="","",_Engine!$AI1104)</f>
        <v/>
      </c>
      <c r="G1046" s="27">
        <f>IF(OR($A1046="",_Engine!$D$41=0),"",INDEX(_Engine!$E1104:$X1104,1,(_Engine!$J$41-1)*4+3))</f>
        <v/>
      </c>
      <c r="H1046" s="27">
        <f>IF(OR($A1046="",_Engine!$D$42=0),"",INDEX(_Engine!$E1104:$X1104,1,(_Engine!$J$42-1)*4+3))</f>
        <v/>
      </c>
      <c r="I1046" s="27">
        <f>IF(OR($A1046="",_Engine!$D$43=0),"",INDEX(_Engine!$E1104:$X1104,1,(_Engine!$J$43-1)*4+3))</f>
        <v/>
      </c>
      <c r="J1046" s="27">
        <f>IF(OR($A1046="",_Engine!$D$44=0),"",INDEX(_Engine!$E1104:$X1104,1,(_Engine!$J$44-1)*4+3))</f>
        <v/>
      </c>
      <c r="K1046" s="27">
        <f>IF(OR($A1046="",_Engine!$D$45=0),"",INDEX(_Engine!$E1104:$X1104,1,(_Engine!$J$45-1)*4+3))</f>
        <v/>
      </c>
    </row>
    <row r="1047">
      <c r="A1047" s="25">
        <f>IF(1044&lt;=_Engine!$B$36,1044,"")</f>
        <v/>
      </c>
      <c r="B1047" s="26">
        <f>IF($A1047="","",EDATE(_Engine!$B$5,$A1047-1))</f>
        <v/>
      </c>
      <c r="C1047" s="27">
        <f>IF($A1047="","",_Engine!$AJ1105)</f>
        <v/>
      </c>
      <c r="D1047" s="27">
        <f>IF($A1047="","",_Engine!$AK1105)</f>
        <v/>
      </c>
      <c r="E1047" s="27">
        <f>IF($A1047="","",_Engine!$AJ1105-_Engine!$AK1105)</f>
        <v/>
      </c>
      <c r="F1047" s="27">
        <f>IF($A1047="","",_Engine!$AI1105)</f>
        <v/>
      </c>
      <c r="G1047" s="27">
        <f>IF(OR($A1047="",_Engine!$D$41=0),"",INDEX(_Engine!$E1105:$X1105,1,(_Engine!$J$41-1)*4+3))</f>
        <v/>
      </c>
      <c r="H1047" s="27">
        <f>IF(OR($A1047="",_Engine!$D$42=0),"",INDEX(_Engine!$E1105:$X1105,1,(_Engine!$J$42-1)*4+3))</f>
        <v/>
      </c>
      <c r="I1047" s="27">
        <f>IF(OR($A1047="",_Engine!$D$43=0),"",INDEX(_Engine!$E1105:$X1105,1,(_Engine!$J$43-1)*4+3))</f>
        <v/>
      </c>
      <c r="J1047" s="27">
        <f>IF(OR($A1047="",_Engine!$D$44=0),"",INDEX(_Engine!$E1105:$X1105,1,(_Engine!$J$44-1)*4+3))</f>
        <v/>
      </c>
      <c r="K1047" s="27">
        <f>IF(OR($A1047="",_Engine!$D$45=0),"",INDEX(_Engine!$E1105:$X1105,1,(_Engine!$J$45-1)*4+3))</f>
        <v/>
      </c>
    </row>
    <row r="1048">
      <c r="A1048" s="25">
        <f>IF(1045&lt;=_Engine!$B$36,1045,"")</f>
        <v/>
      </c>
      <c r="B1048" s="26">
        <f>IF($A1048="","",EDATE(_Engine!$B$5,$A1048-1))</f>
        <v/>
      </c>
      <c r="C1048" s="27">
        <f>IF($A1048="","",_Engine!$AJ1106)</f>
        <v/>
      </c>
      <c r="D1048" s="27">
        <f>IF($A1048="","",_Engine!$AK1106)</f>
        <v/>
      </c>
      <c r="E1048" s="27">
        <f>IF($A1048="","",_Engine!$AJ1106-_Engine!$AK1106)</f>
        <v/>
      </c>
      <c r="F1048" s="27">
        <f>IF($A1048="","",_Engine!$AI1106)</f>
        <v/>
      </c>
      <c r="G1048" s="27">
        <f>IF(OR($A1048="",_Engine!$D$41=0),"",INDEX(_Engine!$E1106:$X1106,1,(_Engine!$J$41-1)*4+3))</f>
        <v/>
      </c>
      <c r="H1048" s="27">
        <f>IF(OR($A1048="",_Engine!$D$42=0),"",INDEX(_Engine!$E1106:$X1106,1,(_Engine!$J$42-1)*4+3))</f>
        <v/>
      </c>
      <c r="I1048" s="27">
        <f>IF(OR($A1048="",_Engine!$D$43=0),"",INDEX(_Engine!$E1106:$X1106,1,(_Engine!$J$43-1)*4+3))</f>
        <v/>
      </c>
      <c r="J1048" s="27">
        <f>IF(OR($A1048="",_Engine!$D$44=0),"",INDEX(_Engine!$E1106:$X1106,1,(_Engine!$J$44-1)*4+3))</f>
        <v/>
      </c>
      <c r="K1048" s="27">
        <f>IF(OR($A1048="",_Engine!$D$45=0),"",INDEX(_Engine!$E1106:$X1106,1,(_Engine!$J$45-1)*4+3))</f>
        <v/>
      </c>
    </row>
    <row r="1049">
      <c r="A1049" s="25">
        <f>IF(1046&lt;=_Engine!$B$36,1046,"")</f>
        <v/>
      </c>
      <c r="B1049" s="26">
        <f>IF($A1049="","",EDATE(_Engine!$B$5,$A1049-1))</f>
        <v/>
      </c>
      <c r="C1049" s="27">
        <f>IF($A1049="","",_Engine!$AJ1107)</f>
        <v/>
      </c>
      <c r="D1049" s="27">
        <f>IF($A1049="","",_Engine!$AK1107)</f>
        <v/>
      </c>
      <c r="E1049" s="27">
        <f>IF($A1049="","",_Engine!$AJ1107-_Engine!$AK1107)</f>
        <v/>
      </c>
      <c r="F1049" s="27">
        <f>IF($A1049="","",_Engine!$AI1107)</f>
        <v/>
      </c>
      <c r="G1049" s="27">
        <f>IF(OR($A1049="",_Engine!$D$41=0),"",INDEX(_Engine!$E1107:$X1107,1,(_Engine!$J$41-1)*4+3))</f>
        <v/>
      </c>
      <c r="H1049" s="27">
        <f>IF(OR($A1049="",_Engine!$D$42=0),"",INDEX(_Engine!$E1107:$X1107,1,(_Engine!$J$42-1)*4+3))</f>
        <v/>
      </c>
      <c r="I1049" s="27">
        <f>IF(OR($A1049="",_Engine!$D$43=0),"",INDEX(_Engine!$E1107:$X1107,1,(_Engine!$J$43-1)*4+3))</f>
        <v/>
      </c>
      <c r="J1049" s="27">
        <f>IF(OR($A1049="",_Engine!$D$44=0),"",INDEX(_Engine!$E1107:$X1107,1,(_Engine!$J$44-1)*4+3))</f>
        <v/>
      </c>
      <c r="K1049" s="27">
        <f>IF(OR($A1049="",_Engine!$D$45=0),"",INDEX(_Engine!$E1107:$X1107,1,(_Engine!$J$45-1)*4+3))</f>
        <v/>
      </c>
    </row>
    <row r="1050">
      <c r="A1050" s="25">
        <f>IF(1047&lt;=_Engine!$B$36,1047,"")</f>
        <v/>
      </c>
      <c r="B1050" s="26">
        <f>IF($A1050="","",EDATE(_Engine!$B$5,$A1050-1))</f>
        <v/>
      </c>
      <c r="C1050" s="27">
        <f>IF($A1050="","",_Engine!$AJ1108)</f>
        <v/>
      </c>
      <c r="D1050" s="27">
        <f>IF($A1050="","",_Engine!$AK1108)</f>
        <v/>
      </c>
      <c r="E1050" s="27">
        <f>IF($A1050="","",_Engine!$AJ1108-_Engine!$AK1108)</f>
        <v/>
      </c>
      <c r="F1050" s="27">
        <f>IF($A1050="","",_Engine!$AI1108)</f>
        <v/>
      </c>
      <c r="G1050" s="27">
        <f>IF(OR($A1050="",_Engine!$D$41=0),"",INDEX(_Engine!$E1108:$X1108,1,(_Engine!$J$41-1)*4+3))</f>
        <v/>
      </c>
      <c r="H1050" s="27">
        <f>IF(OR($A1050="",_Engine!$D$42=0),"",INDEX(_Engine!$E1108:$X1108,1,(_Engine!$J$42-1)*4+3))</f>
        <v/>
      </c>
      <c r="I1050" s="27">
        <f>IF(OR($A1050="",_Engine!$D$43=0),"",INDEX(_Engine!$E1108:$X1108,1,(_Engine!$J$43-1)*4+3))</f>
        <v/>
      </c>
      <c r="J1050" s="27">
        <f>IF(OR($A1050="",_Engine!$D$44=0),"",INDEX(_Engine!$E1108:$X1108,1,(_Engine!$J$44-1)*4+3))</f>
        <v/>
      </c>
      <c r="K1050" s="27">
        <f>IF(OR($A1050="",_Engine!$D$45=0),"",INDEX(_Engine!$E1108:$X1108,1,(_Engine!$J$45-1)*4+3))</f>
        <v/>
      </c>
    </row>
    <row r="1051">
      <c r="A1051" s="25">
        <f>IF(1048&lt;=_Engine!$B$36,1048,"")</f>
        <v/>
      </c>
      <c r="B1051" s="26">
        <f>IF($A1051="","",EDATE(_Engine!$B$5,$A1051-1))</f>
        <v/>
      </c>
      <c r="C1051" s="27">
        <f>IF($A1051="","",_Engine!$AJ1109)</f>
        <v/>
      </c>
      <c r="D1051" s="27">
        <f>IF($A1051="","",_Engine!$AK1109)</f>
        <v/>
      </c>
      <c r="E1051" s="27">
        <f>IF($A1051="","",_Engine!$AJ1109-_Engine!$AK1109)</f>
        <v/>
      </c>
      <c r="F1051" s="27">
        <f>IF($A1051="","",_Engine!$AI1109)</f>
        <v/>
      </c>
      <c r="G1051" s="27">
        <f>IF(OR($A1051="",_Engine!$D$41=0),"",INDEX(_Engine!$E1109:$X1109,1,(_Engine!$J$41-1)*4+3))</f>
        <v/>
      </c>
      <c r="H1051" s="27">
        <f>IF(OR($A1051="",_Engine!$D$42=0),"",INDEX(_Engine!$E1109:$X1109,1,(_Engine!$J$42-1)*4+3))</f>
        <v/>
      </c>
      <c r="I1051" s="27">
        <f>IF(OR($A1051="",_Engine!$D$43=0),"",INDEX(_Engine!$E1109:$X1109,1,(_Engine!$J$43-1)*4+3))</f>
        <v/>
      </c>
      <c r="J1051" s="27">
        <f>IF(OR($A1051="",_Engine!$D$44=0),"",INDEX(_Engine!$E1109:$X1109,1,(_Engine!$J$44-1)*4+3))</f>
        <v/>
      </c>
      <c r="K1051" s="27">
        <f>IF(OR($A1051="",_Engine!$D$45=0),"",INDEX(_Engine!$E1109:$X1109,1,(_Engine!$J$45-1)*4+3))</f>
        <v/>
      </c>
    </row>
    <row r="1052">
      <c r="A1052" s="25">
        <f>IF(1049&lt;=_Engine!$B$36,1049,"")</f>
        <v/>
      </c>
      <c r="B1052" s="26">
        <f>IF($A1052="","",EDATE(_Engine!$B$5,$A1052-1))</f>
        <v/>
      </c>
      <c r="C1052" s="27">
        <f>IF($A1052="","",_Engine!$AJ1110)</f>
        <v/>
      </c>
      <c r="D1052" s="27">
        <f>IF($A1052="","",_Engine!$AK1110)</f>
        <v/>
      </c>
      <c r="E1052" s="27">
        <f>IF($A1052="","",_Engine!$AJ1110-_Engine!$AK1110)</f>
        <v/>
      </c>
      <c r="F1052" s="27">
        <f>IF($A1052="","",_Engine!$AI1110)</f>
        <v/>
      </c>
      <c r="G1052" s="27">
        <f>IF(OR($A1052="",_Engine!$D$41=0),"",INDEX(_Engine!$E1110:$X1110,1,(_Engine!$J$41-1)*4+3))</f>
        <v/>
      </c>
      <c r="H1052" s="27">
        <f>IF(OR($A1052="",_Engine!$D$42=0),"",INDEX(_Engine!$E1110:$X1110,1,(_Engine!$J$42-1)*4+3))</f>
        <v/>
      </c>
      <c r="I1052" s="27">
        <f>IF(OR($A1052="",_Engine!$D$43=0),"",INDEX(_Engine!$E1110:$X1110,1,(_Engine!$J$43-1)*4+3))</f>
        <v/>
      </c>
      <c r="J1052" s="27">
        <f>IF(OR($A1052="",_Engine!$D$44=0),"",INDEX(_Engine!$E1110:$X1110,1,(_Engine!$J$44-1)*4+3))</f>
        <v/>
      </c>
      <c r="K1052" s="27">
        <f>IF(OR($A1052="",_Engine!$D$45=0),"",INDEX(_Engine!$E1110:$X1110,1,(_Engine!$J$45-1)*4+3))</f>
        <v/>
      </c>
    </row>
    <row r="1053">
      <c r="A1053" s="25">
        <f>IF(1050&lt;=_Engine!$B$36,1050,"")</f>
        <v/>
      </c>
      <c r="B1053" s="26">
        <f>IF($A1053="","",EDATE(_Engine!$B$5,$A1053-1))</f>
        <v/>
      </c>
      <c r="C1053" s="27">
        <f>IF($A1053="","",_Engine!$AJ1111)</f>
        <v/>
      </c>
      <c r="D1053" s="27">
        <f>IF($A1053="","",_Engine!$AK1111)</f>
        <v/>
      </c>
      <c r="E1053" s="27">
        <f>IF($A1053="","",_Engine!$AJ1111-_Engine!$AK1111)</f>
        <v/>
      </c>
      <c r="F1053" s="27">
        <f>IF($A1053="","",_Engine!$AI1111)</f>
        <v/>
      </c>
      <c r="G1053" s="27">
        <f>IF(OR($A1053="",_Engine!$D$41=0),"",INDEX(_Engine!$E1111:$X1111,1,(_Engine!$J$41-1)*4+3))</f>
        <v/>
      </c>
      <c r="H1053" s="27">
        <f>IF(OR($A1053="",_Engine!$D$42=0),"",INDEX(_Engine!$E1111:$X1111,1,(_Engine!$J$42-1)*4+3))</f>
        <v/>
      </c>
      <c r="I1053" s="27">
        <f>IF(OR($A1053="",_Engine!$D$43=0),"",INDEX(_Engine!$E1111:$X1111,1,(_Engine!$J$43-1)*4+3))</f>
        <v/>
      </c>
      <c r="J1053" s="27">
        <f>IF(OR($A1053="",_Engine!$D$44=0),"",INDEX(_Engine!$E1111:$X1111,1,(_Engine!$J$44-1)*4+3))</f>
        <v/>
      </c>
      <c r="K1053" s="27">
        <f>IF(OR($A1053="",_Engine!$D$45=0),"",INDEX(_Engine!$E1111:$X1111,1,(_Engine!$J$45-1)*4+3))</f>
        <v/>
      </c>
    </row>
    <row r="1054">
      <c r="A1054" s="25">
        <f>IF(1051&lt;=_Engine!$B$36,1051,"")</f>
        <v/>
      </c>
      <c r="B1054" s="26">
        <f>IF($A1054="","",EDATE(_Engine!$B$5,$A1054-1))</f>
        <v/>
      </c>
      <c r="C1054" s="27">
        <f>IF($A1054="","",_Engine!$AJ1112)</f>
        <v/>
      </c>
      <c r="D1054" s="27">
        <f>IF($A1054="","",_Engine!$AK1112)</f>
        <v/>
      </c>
      <c r="E1054" s="27">
        <f>IF($A1054="","",_Engine!$AJ1112-_Engine!$AK1112)</f>
        <v/>
      </c>
      <c r="F1054" s="27">
        <f>IF($A1054="","",_Engine!$AI1112)</f>
        <v/>
      </c>
      <c r="G1054" s="27">
        <f>IF(OR($A1054="",_Engine!$D$41=0),"",INDEX(_Engine!$E1112:$X1112,1,(_Engine!$J$41-1)*4+3))</f>
        <v/>
      </c>
      <c r="H1054" s="27">
        <f>IF(OR($A1054="",_Engine!$D$42=0),"",INDEX(_Engine!$E1112:$X1112,1,(_Engine!$J$42-1)*4+3))</f>
        <v/>
      </c>
      <c r="I1054" s="27">
        <f>IF(OR($A1054="",_Engine!$D$43=0),"",INDEX(_Engine!$E1112:$X1112,1,(_Engine!$J$43-1)*4+3))</f>
        <v/>
      </c>
      <c r="J1054" s="27">
        <f>IF(OR($A1054="",_Engine!$D$44=0),"",INDEX(_Engine!$E1112:$X1112,1,(_Engine!$J$44-1)*4+3))</f>
        <v/>
      </c>
      <c r="K1054" s="27">
        <f>IF(OR($A1054="",_Engine!$D$45=0),"",INDEX(_Engine!$E1112:$X1112,1,(_Engine!$J$45-1)*4+3))</f>
        <v/>
      </c>
    </row>
    <row r="1055">
      <c r="A1055" s="25">
        <f>IF(1052&lt;=_Engine!$B$36,1052,"")</f>
        <v/>
      </c>
      <c r="B1055" s="26">
        <f>IF($A1055="","",EDATE(_Engine!$B$5,$A1055-1))</f>
        <v/>
      </c>
      <c r="C1055" s="27">
        <f>IF($A1055="","",_Engine!$AJ1113)</f>
        <v/>
      </c>
      <c r="D1055" s="27">
        <f>IF($A1055="","",_Engine!$AK1113)</f>
        <v/>
      </c>
      <c r="E1055" s="27">
        <f>IF($A1055="","",_Engine!$AJ1113-_Engine!$AK1113)</f>
        <v/>
      </c>
      <c r="F1055" s="27">
        <f>IF($A1055="","",_Engine!$AI1113)</f>
        <v/>
      </c>
      <c r="G1055" s="27">
        <f>IF(OR($A1055="",_Engine!$D$41=0),"",INDEX(_Engine!$E1113:$X1113,1,(_Engine!$J$41-1)*4+3))</f>
        <v/>
      </c>
      <c r="H1055" s="27">
        <f>IF(OR($A1055="",_Engine!$D$42=0),"",INDEX(_Engine!$E1113:$X1113,1,(_Engine!$J$42-1)*4+3))</f>
        <v/>
      </c>
      <c r="I1055" s="27">
        <f>IF(OR($A1055="",_Engine!$D$43=0),"",INDEX(_Engine!$E1113:$X1113,1,(_Engine!$J$43-1)*4+3))</f>
        <v/>
      </c>
      <c r="J1055" s="27">
        <f>IF(OR($A1055="",_Engine!$D$44=0),"",INDEX(_Engine!$E1113:$X1113,1,(_Engine!$J$44-1)*4+3))</f>
        <v/>
      </c>
      <c r="K1055" s="27">
        <f>IF(OR($A1055="",_Engine!$D$45=0),"",INDEX(_Engine!$E1113:$X1113,1,(_Engine!$J$45-1)*4+3))</f>
        <v/>
      </c>
    </row>
    <row r="1056">
      <c r="A1056" s="25">
        <f>IF(1053&lt;=_Engine!$B$36,1053,"")</f>
        <v/>
      </c>
      <c r="B1056" s="26">
        <f>IF($A1056="","",EDATE(_Engine!$B$5,$A1056-1))</f>
        <v/>
      </c>
      <c r="C1056" s="27">
        <f>IF($A1056="","",_Engine!$AJ1114)</f>
        <v/>
      </c>
      <c r="D1056" s="27">
        <f>IF($A1056="","",_Engine!$AK1114)</f>
        <v/>
      </c>
      <c r="E1056" s="27">
        <f>IF($A1056="","",_Engine!$AJ1114-_Engine!$AK1114)</f>
        <v/>
      </c>
      <c r="F1056" s="27">
        <f>IF($A1056="","",_Engine!$AI1114)</f>
        <v/>
      </c>
      <c r="G1056" s="27">
        <f>IF(OR($A1056="",_Engine!$D$41=0),"",INDEX(_Engine!$E1114:$X1114,1,(_Engine!$J$41-1)*4+3))</f>
        <v/>
      </c>
      <c r="H1056" s="27">
        <f>IF(OR($A1056="",_Engine!$D$42=0),"",INDEX(_Engine!$E1114:$X1114,1,(_Engine!$J$42-1)*4+3))</f>
        <v/>
      </c>
      <c r="I1056" s="27">
        <f>IF(OR($A1056="",_Engine!$D$43=0),"",INDEX(_Engine!$E1114:$X1114,1,(_Engine!$J$43-1)*4+3))</f>
        <v/>
      </c>
      <c r="J1056" s="27">
        <f>IF(OR($A1056="",_Engine!$D$44=0),"",INDEX(_Engine!$E1114:$X1114,1,(_Engine!$J$44-1)*4+3))</f>
        <v/>
      </c>
      <c r="K1056" s="27">
        <f>IF(OR($A1056="",_Engine!$D$45=0),"",INDEX(_Engine!$E1114:$X1114,1,(_Engine!$J$45-1)*4+3))</f>
        <v/>
      </c>
    </row>
    <row r="1057">
      <c r="A1057" s="25">
        <f>IF(1054&lt;=_Engine!$B$36,1054,"")</f>
        <v/>
      </c>
      <c r="B1057" s="26">
        <f>IF($A1057="","",EDATE(_Engine!$B$5,$A1057-1))</f>
        <v/>
      </c>
      <c r="C1057" s="27">
        <f>IF($A1057="","",_Engine!$AJ1115)</f>
        <v/>
      </c>
      <c r="D1057" s="27">
        <f>IF($A1057="","",_Engine!$AK1115)</f>
        <v/>
      </c>
      <c r="E1057" s="27">
        <f>IF($A1057="","",_Engine!$AJ1115-_Engine!$AK1115)</f>
        <v/>
      </c>
      <c r="F1057" s="27">
        <f>IF($A1057="","",_Engine!$AI1115)</f>
        <v/>
      </c>
      <c r="G1057" s="27">
        <f>IF(OR($A1057="",_Engine!$D$41=0),"",INDEX(_Engine!$E1115:$X1115,1,(_Engine!$J$41-1)*4+3))</f>
        <v/>
      </c>
      <c r="H1057" s="27">
        <f>IF(OR($A1057="",_Engine!$D$42=0),"",INDEX(_Engine!$E1115:$X1115,1,(_Engine!$J$42-1)*4+3))</f>
        <v/>
      </c>
      <c r="I1057" s="27">
        <f>IF(OR($A1057="",_Engine!$D$43=0),"",INDEX(_Engine!$E1115:$X1115,1,(_Engine!$J$43-1)*4+3))</f>
        <v/>
      </c>
      <c r="J1057" s="27">
        <f>IF(OR($A1057="",_Engine!$D$44=0),"",INDEX(_Engine!$E1115:$X1115,1,(_Engine!$J$44-1)*4+3))</f>
        <v/>
      </c>
      <c r="K1057" s="27">
        <f>IF(OR($A1057="",_Engine!$D$45=0),"",INDEX(_Engine!$E1115:$X1115,1,(_Engine!$J$45-1)*4+3))</f>
        <v/>
      </c>
    </row>
    <row r="1058">
      <c r="A1058" s="25">
        <f>IF(1055&lt;=_Engine!$B$36,1055,"")</f>
        <v/>
      </c>
      <c r="B1058" s="26">
        <f>IF($A1058="","",EDATE(_Engine!$B$5,$A1058-1))</f>
        <v/>
      </c>
      <c r="C1058" s="27">
        <f>IF($A1058="","",_Engine!$AJ1116)</f>
        <v/>
      </c>
      <c r="D1058" s="27">
        <f>IF($A1058="","",_Engine!$AK1116)</f>
        <v/>
      </c>
      <c r="E1058" s="27">
        <f>IF($A1058="","",_Engine!$AJ1116-_Engine!$AK1116)</f>
        <v/>
      </c>
      <c r="F1058" s="27">
        <f>IF($A1058="","",_Engine!$AI1116)</f>
        <v/>
      </c>
      <c r="G1058" s="27">
        <f>IF(OR($A1058="",_Engine!$D$41=0),"",INDEX(_Engine!$E1116:$X1116,1,(_Engine!$J$41-1)*4+3))</f>
        <v/>
      </c>
      <c r="H1058" s="27">
        <f>IF(OR($A1058="",_Engine!$D$42=0),"",INDEX(_Engine!$E1116:$X1116,1,(_Engine!$J$42-1)*4+3))</f>
        <v/>
      </c>
      <c r="I1058" s="27">
        <f>IF(OR($A1058="",_Engine!$D$43=0),"",INDEX(_Engine!$E1116:$X1116,1,(_Engine!$J$43-1)*4+3))</f>
        <v/>
      </c>
      <c r="J1058" s="27">
        <f>IF(OR($A1058="",_Engine!$D$44=0),"",INDEX(_Engine!$E1116:$X1116,1,(_Engine!$J$44-1)*4+3))</f>
        <v/>
      </c>
      <c r="K1058" s="27">
        <f>IF(OR($A1058="",_Engine!$D$45=0),"",INDEX(_Engine!$E1116:$X1116,1,(_Engine!$J$45-1)*4+3))</f>
        <v/>
      </c>
    </row>
    <row r="1059">
      <c r="A1059" s="25">
        <f>IF(1056&lt;=_Engine!$B$36,1056,"")</f>
        <v/>
      </c>
      <c r="B1059" s="26">
        <f>IF($A1059="","",EDATE(_Engine!$B$5,$A1059-1))</f>
        <v/>
      </c>
      <c r="C1059" s="27">
        <f>IF($A1059="","",_Engine!$AJ1117)</f>
        <v/>
      </c>
      <c r="D1059" s="27">
        <f>IF($A1059="","",_Engine!$AK1117)</f>
        <v/>
      </c>
      <c r="E1059" s="27">
        <f>IF($A1059="","",_Engine!$AJ1117-_Engine!$AK1117)</f>
        <v/>
      </c>
      <c r="F1059" s="27">
        <f>IF($A1059="","",_Engine!$AI1117)</f>
        <v/>
      </c>
      <c r="G1059" s="27">
        <f>IF(OR($A1059="",_Engine!$D$41=0),"",INDEX(_Engine!$E1117:$X1117,1,(_Engine!$J$41-1)*4+3))</f>
        <v/>
      </c>
      <c r="H1059" s="27">
        <f>IF(OR($A1059="",_Engine!$D$42=0),"",INDEX(_Engine!$E1117:$X1117,1,(_Engine!$J$42-1)*4+3))</f>
        <v/>
      </c>
      <c r="I1059" s="27">
        <f>IF(OR($A1059="",_Engine!$D$43=0),"",INDEX(_Engine!$E1117:$X1117,1,(_Engine!$J$43-1)*4+3))</f>
        <v/>
      </c>
      <c r="J1059" s="27">
        <f>IF(OR($A1059="",_Engine!$D$44=0),"",INDEX(_Engine!$E1117:$X1117,1,(_Engine!$J$44-1)*4+3))</f>
        <v/>
      </c>
      <c r="K1059" s="27">
        <f>IF(OR($A1059="",_Engine!$D$45=0),"",INDEX(_Engine!$E1117:$X1117,1,(_Engine!$J$45-1)*4+3))</f>
        <v/>
      </c>
    </row>
    <row r="1060">
      <c r="A1060" s="25">
        <f>IF(1057&lt;=_Engine!$B$36,1057,"")</f>
        <v/>
      </c>
      <c r="B1060" s="26">
        <f>IF($A1060="","",EDATE(_Engine!$B$5,$A1060-1))</f>
        <v/>
      </c>
      <c r="C1060" s="27">
        <f>IF($A1060="","",_Engine!$AJ1118)</f>
        <v/>
      </c>
      <c r="D1060" s="27">
        <f>IF($A1060="","",_Engine!$AK1118)</f>
        <v/>
      </c>
      <c r="E1060" s="27">
        <f>IF($A1060="","",_Engine!$AJ1118-_Engine!$AK1118)</f>
        <v/>
      </c>
      <c r="F1060" s="27">
        <f>IF($A1060="","",_Engine!$AI1118)</f>
        <v/>
      </c>
      <c r="G1060" s="27">
        <f>IF(OR($A1060="",_Engine!$D$41=0),"",INDEX(_Engine!$E1118:$X1118,1,(_Engine!$J$41-1)*4+3))</f>
        <v/>
      </c>
      <c r="H1060" s="27">
        <f>IF(OR($A1060="",_Engine!$D$42=0),"",INDEX(_Engine!$E1118:$X1118,1,(_Engine!$J$42-1)*4+3))</f>
        <v/>
      </c>
      <c r="I1060" s="27">
        <f>IF(OR($A1060="",_Engine!$D$43=0),"",INDEX(_Engine!$E1118:$X1118,1,(_Engine!$J$43-1)*4+3))</f>
        <v/>
      </c>
      <c r="J1060" s="27">
        <f>IF(OR($A1060="",_Engine!$D$44=0),"",INDEX(_Engine!$E1118:$X1118,1,(_Engine!$J$44-1)*4+3))</f>
        <v/>
      </c>
      <c r="K1060" s="27">
        <f>IF(OR($A1060="",_Engine!$D$45=0),"",INDEX(_Engine!$E1118:$X1118,1,(_Engine!$J$45-1)*4+3))</f>
        <v/>
      </c>
    </row>
    <row r="1061">
      <c r="A1061" s="25">
        <f>IF(1058&lt;=_Engine!$B$36,1058,"")</f>
        <v/>
      </c>
      <c r="B1061" s="26">
        <f>IF($A1061="","",EDATE(_Engine!$B$5,$A1061-1))</f>
        <v/>
      </c>
      <c r="C1061" s="27">
        <f>IF($A1061="","",_Engine!$AJ1119)</f>
        <v/>
      </c>
      <c r="D1061" s="27">
        <f>IF($A1061="","",_Engine!$AK1119)</f>
        <v/>
      </c>
      <c r="E1061" s="27">
        <f>IF($A1061="","",_Engine!$AJ1119-_Engine!$AK1119)</f>
        <v/>
      </c>
      <c r="F1061" s="27">
        <f>IF($A1061="","",_Engine!$AI1119)</f>
        <v/>
      </c>
      <c r="G1061" s="27">
        <f>IF(OR($A1061="",_Engine!$D$41=0),"",INDEX(_Engine!$E1119:$X1119,1,(_Engine!$J$41-1)*4+3))</f>
        <v/>
      </c>
      <c r="H1061" s="27">
        <f>IF(OR($A1061="",_Engine!$D$42=0),"",INDEX(_Engine!$E1119:$X1119,1,(_Engine!$J$42-1)*4+3))</f>
        <v/>
      </c>
      <c r="I1061" s="27">
        <f>IF(OR($A1061="",_Engine!$D$43=0),"",INDEX(_Engine!$E1119:$X1119,1,(_Engine!$J$43-1)*4+3))</f>
        <v/>
      </c>
      <c r="J1061" s="27">
        <f>IF(OR($A1061="",_Engine!$D$44=0),"",INDEX(_Engine!$E1119:$X1119,1,(_Engine!$J$44-1)*4+3))</f>
        <v/>
      </c>
      <c r="K1061" s="27">
        <f>IF(OR($A1061="",_Engine!$D$45=0),"",INDEX(_Engine!$E1119:$X1119,1,(_Engine!$J$45-1)*4+3))</f>
        <v/>
      </c>
    </row>
    <row r="1062">
      <c r="A1062" s="25">
        <f>IF(1059&lt;=_Engine!$B$36,1059,"")</f>
        <v/>
      </c>
      <c r="B1062" s="26">
        <f>IF($A1062="","",EDATE(_Engine!$B$5,$A1062-1))</f>
        <v/>
      </c>
      <c r="C1062" s="27">
        <f>IF($A1062="","",_Engine!$AJ1120)</f>
        <v/>
      </c>
      <c r="D1062" s="27">
        <f>IF($A1062="","",_Engine!$AK1120)</f>
        <v/>
      </c>
      <c r="E1062" s="27">
        <f>IF($A1062="","",_Engine!$AJ1120-_Engine!$AK1120)</f>
        <v/>
      </c>
      <c r="F1062" s="27">
        <f>IF($A1062="","",_Engine!$AI1120)</f>
        <v/>
      </c>
      <c r="G1062" s="27">
        <f>IF(OR($A1062="",_Engine!$D$41=0),"",INDEX(_Engine!$E1120:$X1120,1,(_Engine!$J$41-1)*4+3))</f>
        <v/>
      </c>
      <c r="H1062" s="27">
        <f>IF(OR($A1062="",_Engine!$D$42=0),"",INDEX(_Engine!$E1120:$X1120,1,(_Engine!$J$42-1)*4+3))</f>
        <v/>
      </c>
      <c r="I1062" s="27">
        <f>IF(OR($A1062="",_Engine!$D$43=0),"",INDEX(_Engine!$E1120:$X1120,1,(_Engine!$J$43-1)*4+3))</f>
        <v/>
      </c>
      <c r="J1062" s="27">
        <f>IF(OR($A1062="",_Engine!$D$44=0),"",INDEX(_Engine!$E1120:$X1120,1,(_Engine!$J$44-1)*4+3))</f>
        <v/>
      </c>
      <c r="K1062" s="27">
        <f>IF(OR($A1062="",_Engine!$D$45=0),"",INDEX(_Engine!$E1120:$X1120,1,(_Engine!$J$45-1)*4+3))</f>
        <v/>
      </c>
    </row>
    <row r="1063">
      <c r="A1063" s="25">
        <f>IF(1060&lt;=_Engine!$B$36,1060,"")</f>
        <v/>
      </c>
      <c r="B1063" s="26">
        <f>IF($A1063="","",EDATE(_Engine!$B$5,$A1063-1))</f>
        <v/>
      </c>
      <c r="C1063" s="27">
        <f>IF($A1063="","",_Engine!$AJ1121)</f>
        <v/>
      </c>
      <c r="D1063" s="27">
        <f>IF($A1063="","",_Engine!$AK1121)</f>
        <v/>
      </c>
      <c r="E1063" s="27">
        <f>IF($A1063="","",_Engine!$AJ1121-_Engine!$AK1121)</f>
        <v/>
      </c>
      <c r="F1063" s="27">
        <f>IF($A1063="","",_Engine!$AI1121)</f>
        <v/>
      </c>
      <c r="G1063" s="27">
        <f>IF(OR($A1063="",_Engine!$D$41=0),"",INDEX(_Engine!$E1121:$X1121,1,(_Engine!$J$41-1)*4+3))</f>
        <v/>
      </c>
      <c r="H1063" s="27">
        <f>IF(OR($A1063="",_Engine!$D$42=0),"",INDEX(_Engine!$E1121:$X1121,1,(_Engine!$J$42-1)*4+3))</f>
        <v/>
      </c>
      <c r="I1063" s="27">
        <f>IF(OR($A1063="",_Engine!$D$43=0),"",INDEX(_Engine!$E1121:$X1121,1,(_Engine!$J$43-1)*4+3))</f>
        <v/>
      </c>
      <c r="J1063" s="27">
        <f>IF(OR($A1063="",_Engine!$D$44=0),"",INDEX(_Engine!$E1121:$X1121,1,(_Engine!$J$44-1)*4+3))</f>
        <v/>
      </c>
      <c r="K1063" s="27">
        <f>IF(OR($A1063="",_Engine!$D$45=0),"",INDEX(_Engine!$E1121:$X1121,1,(_Engine!$J$45-1)*4+3))</f>
        <v/>
      </c>
    </row>
    <row r="1064">
      <c r="A1064" s="25">
        <f>IF(1061&lt;=_Engine!$B$36,1061,"")</f>
        <v/>
      </c>
      <c r="B1064" s="26">
        <f>IF($A1064="","",EDATE(_Engine!$B$5,$A1064-1))</f>
        <v/>
      </c>
      <c r="C1064" s="27">
        <f>IF($A1064="","",_Engine!$AJ1122)</f>
        <v/>
      </c>
      <c r="D1064" s="27">
        <f>IF($A1064="","",_Engine!$AK1122)</f>
        <v/>
      </c>
      <c r="E1064" s="27">
        <f>IF($A1064="","",_Engine!$AJ1122-_Engine!$AK1122)</f>
        <v/>
      </c>
      <c r="F1064" s="27">
        <f>IF($A1064="","",_Engine!$AI1122)</f>
        <v/>
      </c>
      <c r="G1064" s="27">
        <f>IF(OR($A1064="",_Engine!$D$41=0),"",INDEX(_Engine!$E1122:$X1122,1,(_Engine!$J$41-1)*4+3))</f>
        <v/>
      </c>
      <c r="H1064" s="27">
        <f>IF(OR($A1064="",_Engine!$D$42=0),"",INDEX(_Engine!$E1122:$X1122,1,(_Engine!$J$42-1)*4+3))</f>
        <v/>
      </c>
      <c r="I1064" s="27">
        <f>IF(OR($A1064="",_Engine!$D$43=0),"",INDEX(_Engine!$E1122:$X1122,1,(_Engine!$J$43-1)*4+3))</f>
        <v/>
      </c>
      <c r="J1064" s="27">
        <f>IF(OR($A1064="",_Engine!$D$44=0),"",INDEX(_Engine!$E1122:$X1122,1,(_Engine!$J$44-1)*4+3))</f>
        <v/>
      </c>
      <c r="K1064" s="27">
        <f>IF(OR($A1064="",_Engine!$D$45=0),"",INDEX(_Engine!$E1122:$X1122,1,(_Engine!$J$45-1)*4+3))</f>
        <v/>
      </c>
    </row>
    <row r="1065">
      <c r="A1065" s="25">
        <f>IF(1062&lt;=_Engine!$B$36,1062,"")</f>
        <v/>
      </c>
      <c r="B1065" s="26">
        <f>IF($A1065="","",EDATE(_Engine!$B$5,$A1065-1))</f>
        <v/>
      </c>
      <c r="C1065" s="27">
        <f>IF($A1065="","",_Engine!$AJ1123)</f>
        <v/>
      </c>
      <c r="D1065" s="27">
        <f>IF($A1065="","",_Engine!$AK1123)</f>
        <v/>
      </c>
      <c r="E1065" s="27">
        <f>IF($A1065="","",_Engine!$AJ1123-_Engine!$AK1123)</f>
        <v/>
      </c>
      <c r="F1065" s="27">
        <f>IF($A1065="","",_Engine!$AI1123)</f>
        <v/>
      </c>
      <c r="G1065" s="27">
        <f>IF(OR($A1065="",_Engine!$D$41=0),"",INDEX(_Engine!$E1123:$X1123,1,(_Engine!$J$41-1)*4+3))</f>
        <v/>
      </c>
      <c r="H1065" s="27">
        <f>IF(OR($A1065="",_Engine!$D$42=0),"",INDEX(_Engine!$E1123:$X1123,1,(_Engine!$J$42-1)*4+3))</f>
        <v/>
      </c>
      <c r="I1065" s="27">
        <f>IF(OR($A1065="",_Engine!$D$43=0),"",INDEX(_Engine!$E1123:$X1123,1,(_Engine!$J$43-1)*4+3))</f>
        <v/>
      </c>
      <c r="J1065" s="27">
        <f>IF(OR($A1065="",_Engine!$D$44=0),"",INDEX(_Engine!$E1123:$X1123,1,(_Engine!$J$44-1)*4+3))</f>
        <v/>
      </c>
      <c r="K1065" s="27">
        <f>IF(OR($A1065="",_Engine!$D$45=0),"",INDEX(_Engine!$E1123:$X1123,1,(_Engine!$J$45-1)*4+3))</f>
        <v/>
      </c>
    </row>
    <row r="1066">
      <c r="A1066" s="25">
        <f>IF(1063&lt;=_Engine!$B$36,1063,"")</f>
        <v/>
      </c>
      <c r="B1066" s="26">
        <f>IF($A1066="","",EDATE(_Engine!$B$5,$A1066-1))</f>
        <v/>
      </c>
      <c r="C1066" s="27">
        <f>IF($A1066="","",_Engine!$AJ1124)</f>
        <v/>
      </c>
      <c r="D1066" s="27">
        <f>IF($A1066="","",_Engine!$AK1124)</f>
        <v/>
      </c>
      <c r="E1066" s="27">
        <f>IF($A1066="","",_Engine!$AJ1124-_Engine!$AK1124)</f>
        <v/>
      </c>
      <c r="F1066" s="27">
        <f>IF($A1066="","",_Engine!$AI1124)</f>
        <v/>
      </c>
      <c r="G1066" s="27">
        <f>IF(OR($A1066="",_Engine!$D$41=0),"",INDEX(_Engine!$E1124:$X1124,1,(_Engine!$J$41-1)*4+3))</f>
        <v/>
      </c>
      <c r="H1066" s="27">
        <f>IF(OR($A1066="",_Engine!$D$42=0),"",INDEX(_Engine!$E1124:$X1124,1,(_Engine!$J$42-1)*4+3))</f>
        <v/>
      </c>
      <c r="I1066" s="27">
        <f>IF(OR($A1066="",_Engine!$D$43=0),"",INDEX(_Engine!$E1124:$X1124,1,(_Engine!$J$43-1)*4+3))</f>
        <v/>
      </c>
      <c r="J1066" s="27">
        <f>IF(OR($A1066="",_Engine!$D$44=0),"",INDEX(_Engine!$E1124:$X1124,1,(_Engine!$J$44-1)*4+3))</f>
        <v/>
      </c>
      <c r="K1066" s="27">
        <f>IF(OR($A1066="",_Engine!$D$45=0),"",INDEX(_Engine!$E1124:$X1124,1,(_Engine!$J$45-1)*4+3))</f>
        <v/>
      </c>
    </row>
    <row r="1067">
      <c r="A1067" s="25">
        <f>IF(1064&lt;=_Engine!$B$36,1064,"")</f>
        <v/>
      </c>
      <c r="B1067" s="26">
        <f>IF($A1067="","",EDATE(_Engine!$B$5,$A1067-1))</f>
        <v/>
      </c>
      <c r="C1067" s="27">
        <f>IF($A1067="","",_Engine!$AJ1125)</f>
        <v/>
      </c>
      <c r="D1067" s="27">
        <f>IF($A1067="","",_Engine!$AK1125)</f>
        <v/>
      </c>
      <c r="E1067" s="27">
        <f>IF($A1067="","",_Engine!$AJ1125-_Engine!$AK1125)</f>
        <v/>
      </c>
      <c r="F1067" s="27">
        <f>IF($A1067="","",_Engine!$AI1125)</f>
        <v/>
      </c>
      <c r="G1067" s="27">
        <f>IF(OR($A1067="",_Engine!$D$41=0),"",INDEX(_Engine!$E1125:$X1125,1,(_Engine!$J$41-1)*4+3))</f>
        <v/>
      </c>
      <c r="H1067" s="27">
        <f>IF(OR($A1067="",_Engine!$D$42=0),"",INDEX(_Engine!$E1125:$X1125,1,(_Engine!$J$42-1)*4+3))</f>
        <v/>
      </c>
      <c r="I1067" s="27">
        <f>IF(OR($A1067="",_Engine!$D$43=0),"",INDEX(_Engine!$E1125:$X1125,1,(_Engine!$J$43-1)*4+3))</f>
        <v/>
      </c>
      <c r="J1067" s="27">
        <f>IF(OR($A1067="",_Engine!$D$44=0),"",INDEX(_Engine!$E1125:$X1125,1,(_Engine!$J$44-1)*4+3))</f>
        <v/>
      </c>
      <c r="K1067" s="27">
        <f>IF(OR($A1067="",_Engine!$D$45=0),"",INDEX(_Engine!$E1125:$X1125,1,(_Engine!$J$45-1)*4+3))</f>
        <v/>
      </c>
    </row>
    <row r="1068">
      <c r="A1068" s="25">
        <f>IF(1065&lt;=_Engine!$B$36,1065,"")</f>
        <v/>
      </c>
      <c r="B1068" s="26">
        <f>IF($A1068="","",EDATE(_Engine!$B$5,$A1068-1))</f>
        <v/>
      </c>
      <c r="C1068" s="27">
        <f>IF($A1068="","",_Engine!$AJ1126)</f>
        <v/>
      </c>
      <c r="D1068" s="27">
        <f>IF($A1068="","",_Engine!$AK1126)</f>
        <v/>
      </c>
      <c r="E1068" s="27">
        <f>IF($A1068="","",_Engine!$AJ1126-_Engine!$AK1126)</f>
        <v/>
      </c>
      <c r="F1068" s="27">
        <f>IF($A1068="","",_Engine!$AI1126)</f>
        <v/>
      </c>
      <c r="G1068" s="27">
        <f>IF(OR($A1068="",_Engine!$D$41=0),"",INDEX(_Engine!$E1126:$X1126,1,(_Engine!$J$41-1)*4+3))</f>
        <v/>
      </c>
      <c r="H1068" s="27">
        <f>IF(OR($A1068="",_Engine!$D$42=0),"",INDEX(_Engine!$E1126:$X1126,1,(_Engine!$J$42-1)*4+3))</f>
        <v/>
      </c>
      <c r="I1068" s="27">
        <f>IF(OR($A1068="",_Engine!$D$43=0),"",INDEX(_Engine!$E1126:$X1126,1,(_Engine!$J$43-1)*4+3))</f>
        <v/>
      </c>
      <c r="J1068" s="27">
        <f>IF(OR($A1068="",_Engine!$D$44=0),"",INDEX(_Engine!$E1126:$X1126,1,(_Engine!$J$44-1)*4+3))</f>
        <v/>
      </c>
      <c r="K1068" s="27">
        <f>IF(OR($A1068="",_Engine!$D$45=0),"",INDEX(_Engine!$E1126:$X1126,1,(_Engine!$J$45-1)*4+3))</f>
        <v/>
      </c>
    </row>
    <row r="1069">
      <c r="A1069" s="25">
        <f>IF(1066&lt;=_Engine!$B$36,1066,"")</f>
        <v/>
      </c>
      <c r="B1069" s="26">
        <f>IF($A1069="","",EDATE(_Engine!$B$5,$A1069-1))</f>
        <v/>
      </c>
      <c r="C1069" s="27">
        <f>IF($A1069="","",_Engine!$AJ1127)</f>
        <v/>
      </c>
      <c r="D1069" s="27">
        <f>IF($A1069="","",_Engine!$AK1127)</f>
        <v/>
      </c>
      <c r="E1069" s="27">
        <f>IF($A1069="","",_Engine!$AJ1127-_Engine!$AK1127)</f>
        <v/>
      </c>
      <c r="F1069" s="27">
        <f>IF($A1069="","",_Engine!$AI1127)</f>
        <v/>
      </c>
      <c r="G1069" s="27">
        <f>IF(OR($A1069="",_Engine!$D$41=0),"",INDEX(_Engine!$E1127:$X1127,1,(_Engine!$J$41-1)*4+3))</f>
        <v/>
      </c>
      <c r="H1069" s="27">
        <f>IF(OR($A1069="",_Engine!$D$42=0),"",INDEX(_Engine!$E1127:$X1127,1,(_Engine!$J$42-1)*4+3))</f>
        <v/>
      </c>
      <c r="I1069" s="27">
        <f>IF(OR($A1069="",_Engine!$D$43=0),"",INDEX(_Engine!$E1127:$X1127,1,(_Engine!$J$43-1)*4+3))</f>
        <v/>
      </c>
      <c r="J1069" s="27">
        <f>IF(OR($A1069="",_Engine!$D$44=0),"",INDEX(_Engine!$E1127:$X1127,1,(_Engine!$J$44-1)*4+3))</f>
        <v/>
      </c>
      <c r="K1069" s="27">
        <f>IF(OR($A1069="",_Engine!$D$45=0),"",INDEX(_Engine!$E1127:$X1127,1,(_Engine!$J$45-1)*4+3))</f>
        <v/>
      </c>
    </row>
    <row r="1070">
      <c r="A1070" s="25">
        <f>IF(1067&lt;=_Engine!$B$36,1067,"")</f>
        <v/>
      </c>
      <c r="B1070" s="26">
        <f>IF($A1070="","",EDATE(_Engine!$B$5,$A1070-1))</f>
        <v/>
      </c>
      <c r="C1070" s="27">
        <f>IF($A1070="","",_Engine!$AJ1128)</f>
        <v/>
      </c>
      <c r="D1070" s="27">
        <f>IF($A1070="","",_Engine!$AK1128)</f>
        <v/>
      </c>
      <c r="E1070" s="27">
        <f>IF($A1070="","",_Engine!$AJ1128-_Engine!$AK1128)</f>
        <v/>
      </c>
      <c r="F1070" s="27">
        <f>IF($A1070="","",_Engine!$AI1128)</f>
        <v/>
      </c>
      <c r="G1070" s="27">
        <f>IF(OR($A1070="",_Engine!$D$41=0),"",INDEX(_Engine!$E1128:$X1128,1,(_Engine!$J$41-1)*4+3))</f>
        <v/>
      </c>
      <c r="H1070" s="27">
        <f>IF(OR($A1070="",_Engine!$D$42=0),"",INDEX(_Engine!$E1128:$X1128,1,(_Engine!$J$42-1)*4+3))</f>
        <v/>
      </c>
      <c r="I1070" s="27">
        <f>IF(OR($A1070="",_Engine!$D$43=0),"",INDEX(_Engine!$E1128:$X1128,1,(_Engine!$J$43-1)*4+3))</f>
        <v/>
      </c>
      <c r="J1070" s="27">
        <f>IF(OR($A1070="",_Engine!$D$44=0),"",INDEX(_Engine!$E1128:$X1128,1,(_Engine!$J$44-1)*4+3))</f>
        <v/>
      </c>
      <c r="K1070" s="27">
        <f>IF(OR($A1070="",_Engine!$D$45=0),"",INDEX(_Engine!$E1128:$X1128,1,(_Engine!$J$45-1)*4+3))</f>
        <v/>
      </c>
    </row>
    <row r="1071">
      <c r="A1071" s="25">
        <f>IF(1068&lt;=_Engine!$B$36,1068,"")</f>
        <v/>
      </c>
      <c r="B1071" s="26">
        <f>IF($A1071="","",EDATE(_Engine!$B$5,$A1071-1))</f>
        <v/>
      </c>
      <c r="C1071" s="27">
        <f>IF($A1071="","",_Engine!$AJ1129)</f>
        <v/>
      </c>
      <c r="D1071" s="27">
        <f>IF($A1071="","",_Engine!$AK1129)</f>
        <v/>
      </c>
      <c r="E1071" s="27">
        <f>IF($A1071="","",_Engine!$AJ1129-_Engine!$AK1129)</f>
        <v/>
      </c>
      <c r="F1071" s="27">
        <f>IF($A1071="","",_Engine!$AI1129)</f>
        <v/>
      </c>
      <c r="G1071" s="27">
        <f>IF(OR($A1071="",_Engine!$D$41=0),"",INDEX(_Engine!$E1129:$X1129,1,(_Engine!$J$41-1)*4+3))</f>
        <v/>
      </c>
      <c r="H1071" s="27">
        <f>IF(OR($A1071="",_Engine!$D$42=0),"",INDEX(_Engine!$E1129:$X1129,1,(_Engine!$J$42-1)*4+3))</f>
        <v/>
      </c>
      <c r="I1071" s="27">
        <f>IF(OR($A1071="",_Engine!$D$43=0),"",INDEX(_Engine!$E1129:$X1129,1,(_Engine!$J$43-1)*4+3))</f>
        <v/>
      </c>
      <c r="J1071" s="27">
        <f>IF(OR($A1071="",_Engine!$D$44=0),"",INDEX(_Engine!$E1129:$X1129,1,(_Engine!$J$44-1)*4+3))</f>
        <v/>
      </c>
      <c r="K1071" s="27">
        <f>IF(OR($A1071="",_Engine!$D$45=0),"",INDEX(_Engine!$E1129:$X1129,1,(_Engine!$J$45-1)*4+3))</f>
        <v/>
      </c>
    </row>
    <row r="1072">
      <c r="A1072" s="25">
        <f>IF(1069&lt;=_Engine!$B$36,1069,"")</f>
        <v/>
      </c>
      <c r="B1072" s="26">
        <f>IF($A1072="","",EDATE(_Engine!$B$5,$A1072-1))</f>
        <v/>
      </c>
      <c r="C1072" s="27">
        <f>IF($A1072="","",_Engine!$AJ1130)</f>
        <v/>
      </c>
      <c r="D1072" s="27">
        <f>IF($A1072="","",_Engine!$AK1130)</f>
        <v/>
      </c>
      <c r="E1072" s="27">
        <f>IF($A1072="","",_Engine!$AJ1130-_Engine!$AK1130)</f>
        <v/>
      </c>
      <c r="F1072" s="27">
        <f>IF($A1072="","",_Engine!$AI1130)</f>
        <v/>
      </c>
      <c r="G1072" s="27">
        <f>IF(OR($A1072="",_Engine!$D$41=0),"",INDEX(_Engine!$E1130:$X1130,1,(_Engine!$J$41-1)*4+3))</f>
        <v/>
      </c>
      <c r="H1072" s="27">
        <f>IF(OR($A1072="",_Engine!$D$42=0),"",INDEX(_Engine!$E1130:$X1130,1,(_Engine!$J$42-1)*4+3))</f>
        <v/>
      </c>
      <c r="I1072" s="27">
        <f>IF(OR($A1072="",_Engine!$D$43=0),"",INDEX(_Engine!$E1130:$X1130,1,(_Engine!$J$43-1)*4+3))</f>
        <v/>
      </c>
      <c r="J1072" s="27">
        <f>IF(OR($A1072="",_Engine!$D$44=0),"",INDEX(_Engine!$E1130:$X1130,1,(_Engine!$J$44-1)*4+3))</f>
        <v/>
      </c>
      <c r="K1072" s="27">
        <f>IF(OR($A1072="",_Engine!$D$45=0),"",INDEX(_Engine!$E1130:$X1130,1,(_Engine!$J$45-1)*4+3))</f>
        <v/>
      </c>
    </row>
    <row r="1073">
      <c r="A1073" s="25">
        <f>IF(1070&lt;=_Engine!$B$36,1070,"")</f>
        <v/>
      </c>
      <c r="B1073" s="26">
        <f>IF($A1073="","",EDATE(_Engine!$B$5,$A1073-1))</f>
        <v/>
      </c>
      <c r="C1073" s="27">
        <f>IF($A1073="","",_Engine!$AJ1131)</f>
        <v/>
      </c>
      <c r="D1073" s="27">
        <f>IF($A1073="","",_Engine!$AK1131)</f>
        <v/>
      </c>
      <c r="E1073" s="27">
        <f>IF($A1073="","",_Engine!$AJ1131-_Engine!$AK1131)</f>
        <v/>
      </c>
      <c r="F1073" s="27">
        <f>IF($A1073="","",_Engine!$AI1131)</f>
        <v/>
      </c>
      <c r="G1073" s="27">
        <f>IF(OR($A1073="",_Engine!$D$41=0),"",INDEX(_Engine!$E1131:$X1131,1,(_Engine!$J$41-1)*4+3))</f>
        <v/>
      </c>
      <c r="H1073" s="27">
        <f>IF(OR($A1073="",_Engine!$D$42=0),"",INDEX(_Engine!$E1131:$X1131,1,(_Engine!$J$42-1)*4+3))</f>
        <v/>
      </c>
      <c r="I1073" s="27">
        <f>IF(OR($A1073="",_Engine!$D$43=0),"",INDEX(_Engine!$E1131:$X1131,1,(_Engine!$J$43-1)*4+3))</f>
        <v/>
      </c>
      <c r="J1073" s="27">
        <f>IF(OR($A1073="",_Engine!$D$44=0),"",INDEX(_Engine!$E1131:$X1131,1,(_Engine!$J$44-1)*4+3))</f>
        <v/>
      </c>
      <c r="K1073" s="27">
        <f>IF(OR($A1073="",_Engine!$D$45=0),"",INDEX(_Engine!$E1131:$X1131,1,(_Engine!$J$45-1)*4+3))</f>
        <v/>
      </c>
    </row>
    <row r="1074">
      <c r="A1074" s="25">
        <f>IF(1071&lt;=_Engine!$B$36,1071,"")</f>
        <v/>
      </c>
      <c r="B1074" s="26">
        <f>IF($A1074="","",EDATE(_Engine!$B$5,$A1074-1))</f>
        <v/>
      </c>
      <c r="C1074" s="27">
        <f>IF($A1074="","",_Engine!$AJ1132)</f>
        <v/>
      </c>
      <c r="D1074" s="27">
        <f>IF($A1074="","",_Engine!$AK1132)</f>
        <v/>
      </c>
      <c r="E1074" s="27">
        <f>IF($A1074="","",_Engine!$AJ1132-_Engine!$AK1132)</f>
        <v/>
      </c>
      <c r="F1074" s="27">
        <f>IF($A1074="","",_Engine!$AI1132)</f>
        <v/>
      </c>
      <c r="G1074" s="27">
        <f>IF(OR($A1074="",_Engine!$D$41=0),"",INDEX(_Engine!$E1132:$X1132,1,(_Engine!$J$41-1)*4+3))</f>
        <v/>
      </c>
      <c r="H1074" s="27">
        <f>IF(OR($A1074="",_Engine!$D$42=0),"",INDEX(_Engine!$E1132:$X1132,1,(_Engine!$J$42-1)*4+3))</f>
        <v/>
      </c>
      <c r="I1074" s="27">
        <f>IF(OR($A1074="",_Engine!$D$43=0),"",INDEX(_Engine!$E1132:$X1132,1,(_Engine!$J$43-1)*4+3))</f>
        <v/>
      </c>
      <c r="J1074" s="27">
        <f>IF(OR($A1074="",_Engine!$D$44=0),"",INDEX(_Engine!$E1132:$X1132,1,(_Engine!$J$44-1)*4+3))</f>
        <v/>
      </c>
      <c r="K1074" s="27">
        <f>IF(OR($A1074="",_Engine!$D$45=0),"",INDEX(_Engine!$E1132:$X1132,1,(_Engine!$J$45-1)*4+3))</f>
        <v/>
      </c>
    </row>
    <row r="1075">
      <c r="A1075" s="25">
        <f>IF(1072&lt;=_Engine!$B$36,1072,"")</f>
        <v/>
      </c>
      <c r="B1075" s="26">
        <f>IF($A1075="","",EDATE(_Engine!$B$5,$A1075-1))</f>
        <v/>
      </c>
      <c r="C1075" s="27">
        <f>IF($A1075="","",_Engine!$AJ1133)</f>
        <v/>
      </c>
      <c r="D1075" s="27">
        <f>IF($A1075="","",_Engine!$AK1133)</f>
        <v/>
      </c>
      <c r="E1075" s="27">
        <f>IF($A1075="","",_Engine!$AJ1133-_Engine!$AK1133)</f>
        <v/>
      </c>
      <c r="F1075" s="27">
        <f>IF($A1075="","",_Engine!$AI1133)</f>
        <v/>
      </c>
      <c r="G1075" s="27">
        <f>IF(OR($A1075="",_Engine!$D$41=0),"",INDEX(_Engine!$E1133:$X1133,1,(_Engine!$J$41-1)*4+3))</f>
        <v/>
      </c>
      <c r="H1075" s="27">
        <f>IF(OR($A1075="",_Engine!$D$42=0),"",INDEX(_Engine!$E1133:$X1133,1,(_Engine!$J$42-1)*4+3))</f>
        <v/>
      </c>
      <c r="I1075" s="27">
        <f>IF(OR($A1075="",_Engine!$D$43=0),"",INDEX(_Engine!$E1133:$X1133,1,(_Engine!$J$43-1)*4+3))</f>
        <v/>
      </c>
      <c r="J1075" s="27">
        <f>IF(OR($A1075="",_Engine!$D$44=0),"",INDEX(_Engine!$E1133:$X1133,1,(_Engine!$J$44-1)*4+3))</f>
        <v/>
      </c>
      <c r="K1075" s="27">
        <f>IF(OR($A1075="",_Engine!$D$45=0),"",INDEX(_Engine!$E1133:$X1133,1,(_Engine!$J$45-1)*4+3))</f>
        <v/>
      </c>
    </row>
    <row r="1076">
      <c r="A1076" s="25">
        <f>IF(1073&lt;=_Engine!$B$36,1073,"")</f>
        <v/>
      </c>
      <c r="B1076" s="26">
        <f>IF($A1076="","",EDATE(_Engine!$B$5,$A1076-1))</f>
        <v/>
      </c>
      <c r="C1076" s="27">
        <f>IF($A1076="","",_Engine!$AJ1134)</f>
        <v/>
      </c>
      <c r="D1076" s="27">
        <f>IF($A1076="","",_Engine!$AK1134)</f>
        <v/>
      </c>
      <c r="E1076" s="27">
        <f>IF($A1076="","",_Engine!$AJ1134-_Engine!$AK1134)</f>
        <v/>
      </c>
      <c r="F1076" s="27">
        <f>IF($A1076="","",_Engine!$AI1134)</f>
        <v/>
      </c>
      <c r="G1076" s="27">
        <f>IF(OR($A1076="",_Engine!$D$41=0),"",INDEX(_Engine!$E1134:$X1134,1,(_Engine!$J$41-1)*4+3))</f>
        <v/>
      </c>
      <c r="H1076" s="27">
        <f>IF(OR($A1076="",_Engine!$D$42=0),"",INDEX(_Engine!$E1134:$X1134,1,(_Engine!$J$42-1)*4+3))</f>
        <v/>
      </c>
      <c r="I1076" s="27">
        <f>IF(OR($A1076="",_Engine!$D$43=0),"",INDEX(_Engine!$E1134:$X1134,1,(_Engine!$J$43-1)*4+3))</f>
        <v/>
      </c>
      <c r="J1076" s="27">
        <f>IF(OR($A1076="",_Engine!$D$44=0),"",INDEX(_Engine!$E1134:$X1134,1,(_Engine!$J$44-1)*4+3))</f>
        <v/>
      </c>
      <c r="K1076" s="27">
        <f>IF(OR($A1076="",_Engine!$D$45=0),"",INDEX(_Engine!$E1134:$X1134,1,(_Engine!$J$45-1)*4+3))</f>
        <v/>
      </c>
    </row>
    <row r="1077">
      <c r="A1077" s="25">
        <f>IF(1074&lt;=_Engine!$B$36,1074,"")</f>
        <v/>
      </c>
      <c r="B1077" s="26">
        <f>IF($A1077="","",EDATE(_Engine!$B$5,$A1077-1))</f>
        <v/>
      </c>
      <c r="C1077" s="27">
        <f>IF($A1077="","",_Engine!$AJ1135)</f>
        <v/>
      </c>
      <c r="D1077" s="27">
        <f>IF($A1077="","",_Engine!$AK1135)</f>
        <v/>
      </c>
      <c r="E1077" s="27">
        <f>IF($A1077="","",_Engine!$AJ1135-_Engine!$AK1135)</f>
        <v/>
      </c>
      <c r="F1077" s="27">
        <f>IF($A1077="","",_Engine!$AI1135)</f>
        <v/>
      </c>
      <c r="G1077" s="27">
        <f>IF(OR($A1077="",_Engine!$D$41=0),"",INDEX(_Engine!$E1135:$X1135,1,(_Engine!$J$41-1)*4+3))</f>
        <v/>
      </c>
      <c r="H1077" s="27">
        <f>IF(OR($A1077="",_Engine!$D$42=0),"",INDEX(_Engine!$E1135:$X1135,1,(_Engine!$J$42-1)*4+3))</f>
        <v/>
      </c>
      <c r="I1077" s="27">
        <f>IF(OR($A1077="",_Engine!$D$43=0),"",INDEX(_Engine!$E1135:$X1135,1,(_Engine!$J$43-1)*4+3))</f>
        <v/>
      </c>
      <c r="J1077" s="27">
        <f>IF(OR($A1077="",_Engine!$D$44=0),"",INDEX(_Engine!$E1135:$X1135,1,(_Engine!$J$44-1)*4+3))</f>
        <v/>
      </c>
      <c r="K1077" s="27">
        <f>IF(OR($A1077="",_Engine!$D$45=0),"",INDEX(_Engine!$E1135:$X1135,1,(_Engine!$J$45-1)*4+3))</f>
        <v/>
      </c>
    </row>
    <row r="1078">
      <c r="A1078" s="25">
        <f>IF(1075&lt;=_Engine!$B$36,1075,"")</f>
        <v/>
      </c>
      <c r="B1078" s="26">
        <f>IF($A1078="","",EDATE(_Engine!$B$5,$A1078-1))</f>
        <v/>
      </c>
      <c r="C1078" s="27">
        <f>IF($A1078="","",_Engine!$AJ1136)</f>
        <v/>
      </c>
      <c r="D1078" s="27">
        <f>IF($A1078="","",_Engine!$AK1136)</f>
        <v/>
      </c>
      <c r="E1078" s="27">
        <f>IF($A1078="","",_Engine!$AJ1136-_Engine!$AK1136)</f>
        <v/>
      </c>
      <c r="F1078" s="27">
        <f>IF($A1078="","",_Engine!$AI1136)</f>
        <v/>
      </c>
      <c r="G1078" s="27">
        <f>IF(OR($A1078="",_Engine!$D$41=0),"",INDEX(_Engine!$E1136:$X1136,1,(_Engine!$J$41-1)*4+3))</f>
        <v/>
      </c>
      <c r="H1078" s="27">
        <f>IF(OR($A1078="",_Engine!$D$42=0),"",INDEX(_Engine!$E1136:$X1136,1,(_Engine!$J$42-1)*4+3))</f>
        <v/>
      </c>
      <c r="I1078" s="27">
        <f>IF(OR($A1078="",_Engine!$D$43=0),"",INDEX(_Engine!$E1136:$X1136,1,(_Engine!$J$43-1)*4+3))</f>
        <v/>
      </c>
      <c r="J1078" s="27">
        <f>IF(OR($A1078="",_Engine!$D$44=0),"",INDEX(_Engine!$E1136:$X1136,1,(_Engine!$J$44-1)*4+3))</f>
        <v/>
      </c>
      <c r="K1078" s="27">
        <f>IF(OR($A1078="",_Engine!$D$45=0),"",INDEX(_Engine!$E1136:$X1136,1,(_Engine!$J$45-1)*4+3))</f>
        <v/>
      </c>
    </row>
    <row r="1079">
      <c r="A1079" s="25">
        <f>IF(1076&lt;=_Engine!$B$36,1076,"")</f>
        <v/>
      </c>
      <c r="B1079" s="26">
        <f>IF($A1079="","",EDATE(_Engine!$B$5,$A1079-1))</f>
        <v/>
      </c>
      <c r="C1079" s="27">
        <f>IF($A1079="","",_Engine!$AJ1137)</f>
        <v/>
      </c>
      <c r="D1079" s="27">
        <f>IF($A1079="","",_Engine!$AK1137)</f>
        <v/>
      </c>
      <c r="E1079" s="27">
        <f>IF($A1079="","",_Engine!$AJ1137-_Engine!$AK1137)</f>
        <v/>
      </c>
      <c r="F1079" s="27">
        <f>IF($A1079="","",_Engine!$AI1137)</f>
        <v/>
      </c>
      <c r="G1079" s="27">
        <f>IF(OR($A1079="",_Engine!$D$41=0),"",INDEX(_Engine!$E1137:$X1137,1,(_Engine!$J$41-1)*4+3))</f>
        <v/>
      </c>
      <c r="H1079" s="27">
        <f>IF(OR($A1079="",_Engine!$D$42=0),"",INDEX(_Engine!$E1137:$X1137,1,(_Engine!$J$42-1)*4+3))</f>
        <v/>
      </c>
      <c r="I1079" s="27">
        <f>IF(OR($A1079="",_Engine!$D$43=0),"",INDEX(_Engine!$E1137:$X1137,1,(_Engine!$J$43-1)*4+3))</f>
        <v/>
      </c>
      <c r="J1079" s="27">
        <f>IF(OR($A1079="",_Engine!$D$44=0),"",INDEX(_Engine!$E1137:$X1137,1,(_Engine!$J$44-1)*4+3))</f>
        <v/>
      </c>
      <c r="K1079" s="27">
        <f>IF(OR($A1079="",_Engine!$D$45=0),"",INDEX(_Engine!$E1137:$X1137,1,(_Engine!$J$45-1)*4+3))</f>
        <v/>
      </c>
    </row>
    <row r="1080">
      <c r="A1080" s="25">
        <f>IF(1077&lt;=_Engine!$B$36,1077,"")</f>
        <v/>
      </c>
      <c r="B1080" s="26">
        <f>IF($A1080="","",EDATE(_Engine!$B$5,$A1080-1))</f>
        <v/>
      </c>
      <c r="C1080" s="27">
        <f>IF($A1080="","",_Engine!$AJ1138)</f>
        <v/>
      </c>
      <c r="D1080" s="27">
        <f>IF($A1080="","",_Engine!$AK1138)</f>
        <v/>
      </c>
      <c r="E1080" s="27">
        <f>IF($A1080="","",_Engine!$AJ1138-_Engine!$AK1138)</f>
        <v/>
      </c>
      <c r="F1080" s="27">
        <f>IF($A1080="","",_Engine!$AI1138)</f>
        <v/>
      </c>
      <c r="G1080" s="27">
        <f>IF(OR($A1080="",_Engine!$D$41=0),"",INDEX(_Engine!$E1138:$X1138,1,(_Engine!$J$41-1)*4+3))</f>
        <v/>
      </c>
      <c r="H1080" s="27">
        <f>IF(OR($A1080="",_Engine!$D$42=0),"",INDEX(_Engine!$E1138:$X1138,1,(_Engine!$J$42-1)*4+3))</f>
        <v/>
      </c>
      <c r="I1080" s="27">
        <f>IF(OR($A1080="",_Engine!$D$43=0),"",INDEX(_Engine!$E1138:$X1138,1,(_Engine!$J$43-1)*4+3))</f>
        <v/>
      </c>
      <c r="J1080" s="27">
        <f>IF(OR($A1080="",_Engine!$D$44=0),"",INDEX(_Engine!$E1138:$X1138,1,(_Engine!$J$44-1)*4+3))</f>
        <v/>
      </c>
      <c r="K1080" s="27">
        <f>IF(OR($A1080="",_Engine!$D$45=0),"",INDEX(_Engine!$E1138:$X1138,1,(_Engine!$J$45-1)*4+3))</f>
        <v/>
      </c>
    </row>
    <row r="1081">
      <c r="A1081" s="25">
        <f>IF(1078&lt;=_Engine!$B$36,1078,"")</f>
        <v/>
      </c>
      <c r="B1081" s="26">
        <f>IF($A1081="","",EDATE(_Engine!$B$5,$A1081-1))</f>
        <v/>
      </c>
      <c r="C1081" s="27">
        <f>IF($A1081="","",_Engine!$AJ1139)</f>
        <v/>
      </c>
      <c r="D1081" s="27">
        <f>IF($A1081="","",_Engine!$AK1139)</f>
        <v/>
      </c>
      <c r="E1081" s="27">
        <f>IF($A1081="","",_Engine!$AJ1139-_Engine!$AK1139)</f>
        <v/>
      </c>
      <c r="F1081" s="27">
        <f>IF($A1081="","",_Engine!$AI1139)</f>
        <v/>
      </c>
      <c r="G1081" s="27">
        <f>IF(OR($A1081="",_Engine!$D$41=0),"",INDEX(_Engine!$E1139:$X1139,1,(_Engine!$J$41-1)*4+3))</f>
        <v/>
      </c>
      <c r="H1081" s="27">
        <f>IF(OR($A1081="",_Engine!$D$42=0),"",INDEX(_Engine!$E1139:$X1139,1,(_Engine!$J$42-1)*4+3))</f>
        <v/>
      </c>
      <c r="I1081" s="27">
        <f>IF(OR($A1081="",_Engine!$D$43=0),"",INDEX(_Engine!$E1139:$X1139,1,(_Engine!$J$43-1)*4+3))</f>
        <v/>
      </c>
      <c r="J1081" s="27">
        <f>IF(OR($A1081="",_Engine!$D$44=0),"",INDEX(_Engine!$E1139:$X1139,1,(_Engine!$J$44-1)*4+3))</f>
        <v/>
      </c>
      <c r="K1081" s="27">
        <f>IF(OR($A1081="",_Engine!$D$45=0),"",INDEX(_Engine!$E1139:$X1139,1,(_Engine!$J$45-1)*4+3))</f>
        <v/>
      </c>
    </row>
    <row r="1082">
      <c r="A1082" s="25">
        <f>IF(1079&lt;=_Engine!$B$36,1079,"")</f>
        <v/>
      </c>
      <c r="B1082" s="26">
        <f>IF($A1082="","",EDATE(_Engine!$B$5,$A1082-1))</f>
        <v/>
      </c>
      <c r="C1082" s="27">
        <f>IF($A1082="","",_Engine!$AJ1140)</f>
        <v/>
      </c>
      <c r="D1082" s="27">
        <f>IF($A1082="","",_Engine!$AK1140)</f>
        <v/>
      </c>
      <c r="E1082" s="27">
        <f>IF($A1082="","",_Engine!$AJ1140-_Engine!$AK1140)</f>
        <v/>
      </c>
      <c r="F1082" s="27">
        <f>IF($A1082="","",_Engine!$AI1140)</f>
        <v/>
      </c>
      <c r="G1082" s="27">
        <f>IF(OR($A1082="",_Engine!$D$41=0),"",INDEX(_Engine!$E1140:$X1140,1,(_Engine!$J$41-1)*4+3))</f>
        <v/>
      </c>
      <c r="H1082" s="27">
        <f>IF(OR($A1082="",_Engine!$D$42=0),"",INDEX(_Engine!$E1140:$X1140,1,(_Engine!$J$42-1)*4+3))</f>
        <v/>
      </c>
      <c r="I1082" s="27">
        <f>IF(OR($A1082="",_Engine!$D$43=0),"",INDEX(_Engine!$E1140:$X1140,1,(_Engine!$J$43-1)*4+3))</f>
        <v/>
      </c>
      <c r="J1082" s="27">
        <f>IF(OR($A1082="",_Engine!$D$44=0),"",INDEX(_Engine!$E1140:$X1140,1,(_Engine!$J$44-1)*4+3))</f>
        <v/>
      </c>
      <c r="K1082" s="27">
        <f>IF(OR($A1082="",_Engine!$D$45=0),"",INDEX(_Engine!$E1140:$X1140,1,(_Engine!$J$45-1)*4+3))</f>
        <v/>
      </c>
    </row>
    <row r="1083">
      <c r="A1083" s="25">
        <f>IF(1080&lt;=_Engine!$B$36,1080,"")</f>
        <v/>
      </c>
      <c r="B1083" s="26">
        <f>IF($A1083="","",EDATE(_Engine!$B$5,$A1083-1))</f>
        <v/>
      </c>
      <c r="C1083" s="27">
        <f>IF($A1083="","",_Engine!$AJ1141)</f>
        <v/>
      </c>
      <c r="D1083" s="27">
        <f>IF($A1083="","",_Engine!$AK1141)</f>
        <v/>
      </c>
      <c r="E1083" s="27">
        <f>IF($A1083="","",_Engine!$AJ1141-_Engine!$AK1141)</f>
        <v/>
      </c>
      <c r="F1083" s="27">
        <f>IF($A1083="","",_Engine!$AI1141)</f>
        <v/>
      </c>
      <c r="G1083" s="27">
        <f>IF(OR($A1083="",_Engine!$D$41=0),"",INDEX(_Engine!$E1141:$X1141,1,(_Engine!$J$41-1)*4+3))</f>
        <v/>
      </c>
      <c r="H1083" s="27">
        <f>IF(OR($A1083="",_Engine!$D$42=0),"",INDEX(_Engine!$E1141:$X1141,1,(_Engine!$J$42-1)*4+3))</f>
        <v/>
      </c>
      <c r="I1083" s="27">
        <f>IF(OR($A1083="",_Engine!$D$43=0),"",INDEX(_Engine!$E1141:$X1141,1,(_Engine!$J$43-1)*4+3))</f>
        <v/>
      </c>
      <c r="J1083" s="27">
        <f>IF(OR($A1083="",_Engine!$D$44=0),"",INDEX(_Engine!$E1141:$X1141,1,(_Engine!$J$44-1)*4+3))</f>
        <v/>
      </c>
      <c r="K1083" s="27">
        <f>IF(OR($A1083="",_Engine!$D$45=0),"",INDEX(_Engine!$E1141:$X1141,1,(_Engine!$J$45-1)*4+3))</f>
        <v/>
      </c>
    </row>
    <row r="1084">
      <c r="A1084" s="25">
        <f>IF(1081&lt;=_Engine!$B$36,1081,"")</f>
        <v/>
      </c>
      <c r="B1084" s="26">
        <f>IF($A1084="","",EDATE(_Engine!$B$5,$A1084-1))</f>
        <v/>
      </c>
      <c r="C1084" s="27">
        <f>IF($A1084="","",_Engine!$AJ1142)</f>
        <v/>
      </c>
      <c r="D1084" s="27">
        <f>IF($A1084="","",_Engine!$AK1142)</f>
        <v/>
      </c>
      <c r="E1084" s="27">
        <f>IF($A1084="","",_Engine!$AJ1142-_Engine!$AK1142)</f>
        <v/>
      </c>
      <c r="F1084" s="27">
        <f>IF($A1084="","",_Engine!$AI1142)</f>
        <v/>
      </c>
      <c r="G1084" s="27">
        <f>IF(OR($A1084="",_Engine!$D$41=0),"",INDEX(_Engine!$E1142:$X1142,1,(_Engine!$J$41-1)*4+3))</f>
        <v/>
      </c>
      <c r="H1084" s="27">
        <f>IF(OR($A1084="",_Engine!$D$42=0),"",INDEX(_Engine!$E1142:$X1142,1,(_Engine!$J$42-1)*4+3))</f>
        <v/>
      </c>
      <c r="I1084" s="27">
        <f>IF(OR($A1084="",_Engine!$D$43=0),"",INDEX(_Engine!$E1142:$X1142,1,(_Engine!$J$43-1)*4+3))</f>
        <v/>
      </c>
      <c r="J1084" s="27">
        <f>IF(OR($A1084="",_Engine!$D$44=0),"",INDEX(_Engine!$E1142:$X1142,1,(_Engine!$J$44-1)*4+3))</f>
        <v/>
      </c>
      <c r="K1084" s="27">
        <f>IF(OR($A1084="",_Engine!$D$45=0),"",INDEX(_Engine!$E1142:$X1142,1,(_Engine!$J$45-1)*4+3))</f>
        <v/>
      </c>
    </row>
    <row r="1085">
      <c r="A1085" s="25">
        <f>IF(1082&lt;=_Engine!$B$36,1082,"")</f>
        <v/>
      </c>
      <c r="B1085" s="26">
        <f>IF($A1085="","",EDATE(_Engine!$B$5,$A1085-1))</f>
        <v/>
      </c>
      <c r="C1085" s="27">
        <f>IF($A1085="","",_Engine!$AJ1143)</f>
        <v/>
      </c>
      <c r="D1085" s="27">
        <f>IF($A1085="","",_Engine!$AK1143)</f>
        <v/>
      </c>
      <c r="E1085" s="27">
        <f>IF($A1085="","",_Engine!$AJ1143-_Engine!$AK1143)</f>
        <v/>
      </c>
      <c r="F1085" s="27">
        <f>IF($A1085="","",_Engine!$AI1143)</f>
        <v/>
      </c>
      <c r="G1085" s="27">
        <f>IF(OR($A1085="",_Engine!$D$41=0),"",INDEX(_Engine!$E1143:$X1143,1,(_Engine!$J$41-1)*4+3))</f>
        <v/>
      </c>
      <c r="H1085" s="27">
        <f>IF(OR($A1085="",_Engine!$D$42=0),"",INDEX(_Engine!$E1143:$X1143,1,(_Engine!$J$42-1)*4+3))</f>
        <v/>
      </c>
      <c r="I1085" s="27">
        <f>IF(OR($A1085="",_Engine!$D$43=0),"",INDEX(_Engine!$E1143:$X1143,1,(_Engine!$J$43-1)*4+3))</f>
        <v/>
      </c>
      <c r="J1085" s="27">
        <f>IF(OR($A1085="",_Engine!$D$44=0),"",INDEX(_Engine!$E1143:$X1143,1,(_Engine!$J$44-1)*4+3))</f>
        <v/>
      </c>
      <c r="K1085" s="27">
        <f>IF(OR($A1085="",_Engine!$D$45=0),"",INDEX(_Engine!$E1143:$X1143,1,(_Engine!$J$45-1)*4+3))</f>
        <v/>
      </c>
    </row>
    <row r="1086">
      <c r="A1086" s="25">
        <f>IF(1083&lt;=_Engine!$B$36,1083,"")</f>
        <v/>
      </c>
      <c r="B1086" s="26">
        <f>IF($A1086="","",EDATE(_Engine!$B$5,$A1086-1))</f>
        <v/>
      </c>
      <c r="C1086" s="27">
        <f>IF($A1086="","",_Engine!$AJ1144)</f>
        <v/>
      </c>
      <c r="D1086" s="27">
        <f>IF($A1086="","",_Engine!$AK1144)</f>
        <v/>
      </c>
      <c r="E1086" s="27">
        <f>IF($A1086="","",_Engine!$AJ1144-_Engine!$AK1144)</f>
        <v/>
      </c>
      <c r="F1086" s="27">
        <f>IF($A1086="","",_Engine!$AI1144)</f>
        <v/>
      </c>
      <c r="G1086" s="27">
        <f>IF(OR($A1086="",_Engine!$D$41=0),"",INDEX(_Engine!$E1144:$X1144,1,(_Engine!$J$41-1)*4+3))</f>
        <v/>
      </c>
      <c r="H1086" s="27">
        <f>IF(OR($A1086="",_Engine!$D$42=0),"",INDEX(_Engine!$E1144:$X1144,1,(_Engine!$J$42-1)*4+3))</f>
        <v/>
      </c>
      <c r="I1086" s="27">
        <f>IF(OR($A1086="",_Engine!$D$43=0),"",INDEX(_Engine!$E1144:$X1144,1,(_Engine!$J$43-1)*4+3))</f>
        <v/>
      </c>
      <c r="J1086" s="27">
        <f>IF(OR($A1086="",_Engine!$D$44=0),"",INDEX(_Engine!$E1144:$X1144,1,(_Engine!$J$44-1)*4+3))</f>
        <v/>
      </c>
      <c r="K1086" s="27">
        <f>IF(OR($A1086="",_Engine!$D$45=0),"",INDEX(_Engine!$E1144:$X1144,1,(_Engine!$J$45-1)*4+3))</f>
        <v/>
      </c>
    </row>
    <row r="1087">
      <c r="A1087" s="25">
        <f>IF(1084&lt;=_Engine!$B$36,1084,"")</f>
        <v/>
      </c>
      <c r="B1087" s="26">
        <f>IF($A1087="","",EDATE(_Engine!$B$5,$A1087-1))</f>
        <v/>
      </c>
      <c r="C1087" s="27">
        <f>IF($A1087="","",_Engine!$AJ1145)</f>
        <v/>
      </c>
      <c r="D1087" s="27">
        <f>IF($A1087="","",_Engine!$AK1145)</f>
        <v/>
      </c>
      <c r="E1087" s="27">
        <f>IF($A1087="","",_Engine!$AJ1145-_Engine!$AK1145)</f>
        <v/>
      </c>
      <c r="F1087" s="27">
        <f>IF($A1087="","",_Engine!$AI1145)</f>
        <v/>
      </c>
      <c r="G1087" s="27">
        <f>IF(OR($A1087="",_Engine!$D$41=0),"",INDEX(_Engine!$E1145:$X1145,1,(_Engine!$J$41-1)*4+3))</f>
        <v/>
      </c>
      <c r="H1087" s="27">
        <f>IF(OR($A1087="",_Engine!$D$42=0),"",INDEX(_Engine!$E1145:$X1145,1,(_Engine!$J$42-1)*4+3))</f>
        <v/>
      </c>
      <c r="I1087" s="27">
        <f>IF(OR($A1087="",_Engine!$D$43=0),"",INDEX(_Engine!$E1145:$X1145,1,(_Engine!$J$43-1)*4+3))</f>
        <v/>
      </c>
      <c r="J1087" s="27">
        <f>IF(OR($A1087="",_Engine!$D$44=0),"",INDEX(_Engine!$E1145:$X1145,1,(_Engine!$J$44-1)*4+3))</f>
        <v/>
      </c>
      <c r="K1087" s="27">
        <f>IF(OR($A1087="",_Engine!$D$45=0),"",INDEX(_Engine!$E1145:$X1145,1,(_Engine!$J$45-1)*4+3))</f>
        <v/>
      </c>
    </row>
    <row r="1088">
      <c r="A1088" s="25">
        <f>IF(1085&lt;=_Engine!$B$36,1085,"")</f>
        <v/>
      </c>
      <c r="B1088" s="26">
        <f>IF($A1088="","",EDATE(_Engine!$B$5,$A1088-1))</f>
        <v/>
      </c>
      <c r="C1088" s="27">
        <f>IF($A1088="","",_Engine!$AJ1146)</f>
        <v/>
      </c>
      <c r="D1088" s="27">
        <f>IF($A1088="","",_Engine!$AK1146)</f>
        <v/>
      </c>
      <c r="E1088" s="27">
        <f>IF($A1088="","",_Engine!$AJ1146-_Engine!$AK1146)</f>
        <v/>
      </c>
      <c r="F1088" s="27">
        <f>IF($A1088="","",_Engine!$AI1146)</f>
        <v/>
      </c>
      <c r="G1088" s="27">
        <f>IF(OR($A1088="",_Engine!$D$41=0),"",INDEX(_Engine!$E1146:$X1146,1,(_Engine!$J$41-1)*4+3))</f>
        <v/>
      </c>
      <c r="H1088" s="27">
        <f>IF(OR($A1088="",_Engine!$D$42=0),"",INDEX(_Engine!$E1146:$X1146,1,(_Engine!$J$42-1)*4+3))</f>
        <v/>
      </c>
      <c r="I1088" s="27">
        <f>IF(OR($A1088="",_Engine!$D$43=0),"",INDEX(_Engine!$E1146:$X1146,1,(_Engine!$J$43-1)*4+3))</f>
        <v/>
      </c>
      <c r="J1088" s="27">
        <f>IF(OR($A1088="",_Engine!$D$44=0),"",INDEX(_Engine!$E1146:$X1146,1,(_Engine!$J$44-1)*4+3))</f>
        <v/>
      </c>
      <c r="K1088" s="27">
        <f>IF(OR($A1088="",_Engine!$D$45=0),"",INDEX(_Engine!$E1146:$X1146,1,(_Engine!$J$45-1)*4+3))</f>
        <v/>
      </c>
    </row>
    <row r="1089">
      <c r="A1089" s="25">
        <f>IF(1086&lt;=_Engine!$B$36,1086,"")</f>
        <v/>
      </c>
      <c r="B1089" s="26">
        <f>IF($A1089="","",EDATE(_Engine!$B$5,$A1089-1))</f>
        <v/>
      </c>
      <c r="C1089" s="27">
        <f>IF($A1089="","",_Engine!$AJ1147)</f>
        <v/>
      </c>
      <c r="D1089" s="27">
        <f>IF($A1089="","",_Engine!$AK1147)</f>
        <v/>
      </c>
      <c r="E1089" s="27">
        <f>IF($A1089="","",_Engine!$AJ1147-_Engine!$AK1147)</f>
        <v/>
      </c>
      <c r="F1089" s="27">
        <f>IF($A1089="","",_Engine!$AI1147)</f>
        <v/>
      </c>
      <c r="G1089" s="27">
        <f>IF(OR($A1089="",_Engine!$D$41=0),"",INDEX(_Engine!$E1147:$X1147,1,(_Engine!$J$41-1)*4+3))</f>
        <v/>
      </c>
      <c r="H1089" s="27">
        <f>IF(OR($A1089="",_Engine!$D$42=0),"",INDEX(_Engine!$E1147:$X1147,1,(_Engine!$J$42-1)*4+3))</f>
        <v/>
      </c>
      <c r="I1089" s="27">
        <f>IF(OR($A1089="",_Engine!$D$43=0),"",INDEX(_Engine!$E1147:$X1147,1,(_Engine!$J$43-1)*4+3))</f>
        <v/>
      </c>
      <c r="J1089" s="27">
        <f>IF(OR($A1089="",_Engine!$D$44=0),"",INDEX(_Engine!$E1147:$X1147,1,(_Engine!$J$44-1)*4+3))</f>
        <v/>
      </c>
      <c r="K1089" s="27">
        <f>IF(OR($A1089="",_Engine!$D$45=0),"",INDEX(_Engine!$E1147:$X1147,1,(_Engine!$J$45-1)*4+3))</f>
        <v/>
      </c>
    </row>
    <row r="1090">
      <c r="A1090" s="25">
        <f>IF(1087&lt;=_Engine!$B$36,1087,"")</f>
        <v/>
      </c>
      <c r="B1090" s="26">
        <f>IF($A1090="","",EDATE(_Engine!$B$5,$A1090-1))</f>
        <v/>
      </c>
      <c r="C1090" s="27">
        <f>IF($A1090="","",_Engine!$AJ1148)</f>
        <v/>
      </c>
      <c r="D1090" s="27">
        <f>IF($A1090="","",_Engine!$AK1148)</f>
        <v/>
      </c>
      <c r="E1090" s="27">
        <f>IF($A1090="","",_Engine!$AJ1148-_Engine!$AK1148)</f>
        <v/>
      </c>
      <c r="F1090" s="27">
        <f>IF($A1090="","",_Engine!$AI1148)</f>
        <v/>
      </c>
      <c r="G1090" s="27">
        <f>IF(OR($A1090="",_Engine!$D$41=0),"",INDEX(_Engine!$E1148:$X1148,1,(_Engine!$J$41-1)*4+3))</f>
        <v/>
      </c>
      <c r="H1090" s="27">
        <f>IF(OR($A1090="",_Engine!$D$42=0),"",INDEX(_Engine!$E1148:$X1148,1,(_Engine!$J$42-1)*4+3))</f>
        <v/>
      </c>
      <c r="I1090" s="27">
        <f>IF(OR($A1090="",_Engine!$D$43=0),"",INDEX(_Engine!$E1148:$X1148,1,(_Engine!$J$43-1)*4+3))</f>
        <v/>
      </c>
      <c r="J1090" s="27">
        <f>IF(OR($A1090="",_Engine!$D$44=0),"",INDEX(_Engine!$E1148:$X1148,1,(_Engine!$J$44-1)*4+3))</f>
        <v/>
      </c>
      <c r="K1090" s="27">
        <f>IF(OR($A1090="",_Engine!$D$45=0),"",INDEX(_Engine!$E1148:$X1148,1,(_Engine!$J$45-1)*4+3))</f>
        <v/>
      </c>
    </row>
    <row r="1091">
      <c r="A1091" s="25">
        <f>IF(1088&lt;=_Engine!$B$36,1088,"")</f>
        <v/>
      </c>
      <c r="B1091" s="26">
        <f>IF($A1091="","",EDATE(_Engine!$B$5,$A1091-1))</f>
        <v/>
      </c>
      <c r="C1091" s="27">
        <f>IF($A1091="","",_Engine!$AJ1149)</f>
        <v/>
      </c>
      <c r="D1091" s="27">
        <f>IF($A1091="","",_Engine!$AK1149)</f>
        <v/>
      </c>
      <c r="E1091" s="27">
        <f>IF($A1091="","",_Engine!$AJ1149-_Engine!$AK1149)</f>
        <v/>
      </c>
      <c r="F1091" s="27">
        <f>IF($A1091="","",_Engine!$AI1149)</f>
        <v/>
      </c>
      <c r="G1091" s="27">
        <f>IF(OR($A1091="",_Engine!$D$41=0),"",INDEX(_Engine!$E1149:$X1149,1,(_Engine!$J$41-1)*4+3))</f>
        <v/>
      </c>
      <c r="H1091" s="27">
        <f>IF(OR($A1091="",_Engine!$D$42=0),"",INDEX(_Engine!$E1149:$X1149,1,(_Engine!$J$42-1)*4+3))</f>
        <v/>
      </c>
      <c r="I1091" s="27">
        <f>IF(OR($A1091="",_Engine!$D$43=0),"",INDEX(_Engine!$E1149:$X1149,1,(_Engine!$J$43-1)*4+3))</f>
        <v/>
      </c>
      <c r="J1091" s="27">
        <f>IF(OR($A1091="",_Engine!$D$44=0),"",INDEX(_Engine!$E1149:$X1149,1,(_Engine!$J$44-1)*4+3))</f>
        <v/>
      </c>
      <c r="K1091" s="27">
        <f>IF(OR($A1091="",_Engine!$D$45=0),"",INDEX(_Engine!$E1149:$X1149,1,(_Engine!$J$45-1)*4+3))</f>
        <v/>
      </c>
    </row>
    <row r="1092">
      <c r="A1092" s="25">
        <f>IF(1089&lt;=_Engine!$B$36,1089,"")</f>
        <v/>
      </c>
      <c r="B1092" s="26">
        <f>IF($A1092="","",EDATE(_Engine!$B$5,$A1092-1))</f>
        <v/>
      </c>
      <c r="C1092" s="27">
        <f>IF($A1092="","",_Engine!$AJ1150)</f>
        <v/>
      </c>
      <c r="D1092" s="27">
        <f>IF($A1092="","",_Engine!$AK1150)</f>
        <v/>
      </c>
      <c r="E1092" s="27">
        <f>IF($A1092="","",_Engine!$AJ1150-_Engine!$AK1150)</f>
        <v/>
      </c>
      <c r="F1092" s="27">
        <f>IF($A1092="","",_Engine!$AI1150)</f>
        <v/>
      </c>
      <c r="G1092" s="27">
        <f>IF(OR($A1092="",_Engine!$D$41=0),"",INDEX(_Engine!$E1150:$X1150,1,(_Engine!$J$41-1)*4+3))</f>
        <v/>
      </c>
      <c r="H1092" s="27">
        <f>IF(OR($A1092="",_Engine!$D$42=0),"",INDEX(_Engine!$E1150:$X1150,1,(_Engine!$J$42-1)*4+3))</f>
        <v/>
      </c>
      <c r="I1092" s="27">
        <f>IF(OR($A1092="",_Engine!$D$43=0),"",INDEX(_Engine!$E1150:$X1150,1,(_Engine!$J$43-1)*4+3))</f>
        <v/>
      </c>
      <c r="J1092" s="27">
        <f>IF(OR($A1092="",_Engine!$D$44=0),"",INDEX(_Engine!$E1150:$X1150,1,(_Engine!$J$44-1)*4+3))</f>
        <v/>
      </c>
      <c r="K1092" s="27">
        <f>IF(OR($A1092="",_Engine!$D$45=0),"",INDEX(_Engine!$E1150:$X1150,1,(_Engine!$J$45-1)*4+3))</f>
        <v/>
      </c>
    </row>
    <row r="1093">
      <c r="A1093" s="25">
        <f>IF(1090&lt;=_Engine!$B$36,1090,"")</f>
        <v/>
      </c>
      <c r="B1093" s="26">
        <f>IF($A1093="","",EDATE(_Engine!$B$5,$A1093-1))</f>
        <v/>
      </c>
      <c r="C1093" s="27">
        <f>IF($A1093="","",_Engine!$AJ1151)</f>
        <v/>
      </c>
      <c r="D1093" s="27">
        <f>IF($A1093="","",_Engine!$AK1151)</f>
        <v/>
      </c>
      <c r="E1093" s="27">
        <f>IF($A1093="","",_Engine!$AJ1151-_Engine!$AK1151)</f>
        <v/>
      </c>
      <c r="F1093" s="27">
        <f>IF($A1093="","",_Engine!$AI1151)</f>
        <v/>
      </c>
      <c r="G1093" s="27">
        <f>IF(OR($A1093="",_Engine!$D$41=0),"",INDEX(_Engine!$E1151:$X1151,1,(_Engine!$J$41-1)*4+3))</f>
        <v/>
      </c>
      <c r="H1093" s="27">
        <f>IF(OR($A1093="",_Engine!$D$42=0),"",INDEX(_Engine!$E1151:$X1151,1,(_Engine!$J$42-1)*4+3))</f>
        <v/>
      </c>
      <c r="I1093" s="27">
        <f>IF(OR($A1093="",_Engine!$D$43=0),"",INDEX(_Engine!$E1151:$X1151,1,(_Engine!$J$43-1)*4+3))</f>
        <v/>
      </c>
      <c r="J1093" s="27">
        <f>IF(OR($A1093="",_Engine!$D$44=0),"",INDEX(_Engine!$E1151:$X1151,1,(_Engine!$J$44-1)*4+3))</f>
        <v/>
      </c>
      <c r="K1093" s="27">
        <f>IF(OR($A1093="",_Engine!$D$45=0),"",INDEX(_Engine!$E1151:$X1151,1,(_Engine!$J$45-1)*4+3))</f>
        <v/>
      </c>
    </row>
    <row r="1094">
      <c r="A1094" s="25">
        <f>IF(1091&lt;=_Engine!$B$36,1091,"")</f>
        <v/>
      </c>
      <c r="B1094" s="26">
        <f>IF($A1094="","",EDATE(_Engine!$B$5,$A1094-1))</f>
        <v/>
      </c>
      <c r="C1094" s="27">
        <f>IF($A1094="","",_Engine!$AJ1152)</f>
        <v/>
      </c>
      <c r="D1094" s="27">
        <f>IF($A1094="","",_Engine!$AK1152)</f>
        <v/>
      </c>
      <c r="E1094" s="27">
        <f>IF($A1094="","",_Engine!$AJ1152-_Engine!$AK1152)</f>
        <v/>
      </c>
      <c r="F1094" s="27">
        <f>IF($A1094="","",_Engine!$AI1152)</f>
        <v/>
      </c>
      <c r="G1094" s="27">
        <f>IF(OR($A1094="",_Engine!$D$41=0),"",INDEX(_Engine!$E1152:$X1152,1,(_Engine!$J$41-1)*4+3))</f>
        <v/>
      </c>
      <c r="H1094" s="27">
        <f>IF(OR($A1094="",_Engine!$D$42=0),"",INDEX(_Engine!$E1152:$X1152,1,(_Engine!$J$42-1)*4+3))</f>
        <v/>
      </c>
      <c r="I1094" s="27">
        <f>IF(OR($A1094="",_Engine!$D$43=0),"",INDEX(_Engine!$E1152:$X1152,1,(_Engine!$J$43-1)*4+3))</f>
        <v/>
      </c>
      <c r="J1094" s="27">
        <f>IF(OR($A1094="",_Engine!$D$44=0),"",INDEX(_Engine!$E1152:$X1152,1,(_Engine!$J$44-1)*4+3))</f>
        <v/>
      </c>
      <c r="K1094" s="27">
        <f>IF(OR($A1094="",_Engine!$D$45=0),"",INDEX(_Engine!$E1152:$X1152,1,(_Engine!$J$45-1)*4+3))</f>
        <v/>
      </c>
    </row>
    <row r="1095">
      <c r="A1095" s="25">
        <f>IF(1092&lt;=_Engine!$B$36,1092,"")</f>
        <v/>
      </c>
      <c r="B1095" s="26">
        <f>IF($A1095="","",EDATE(_Engine!$B$5,$A1095-1))</f>
        <v/>
      </c>
      <c r="C1095" s="27">
        <f>IF($A1095="","",_Engine!$AJ1153)</f>
        <v/>
      </c>
      <c r="D1095" s="27">
        <f>IF($A1095="","",_Engine!$AK1153)</f>
        <v/>
      </c>
      <c r="E1095" s="27">
        <f>IF($A1095="","",_Engine!$AJ1153-_Engine!$AK1153)</f>
        <v/>
      </c>
      <c r="F1095" s="27">
        <f>IF($A1095="","",_Engine!$AI1153)</f>
        <v/>
      </c>
      <c r="G1095" s="27">
        <f>IF(OR($A1095="",_Engine!$D$41=0),"",INDEX(_Engine!$E1153:$X1153,1,(_Engine!$J$41-1)*4+3))</f>
        <v/>
      </c>
      <c r="H1095" s="27">
        <f>IF(OR($A1095="",_Engine!$D$42=0),"",INDEX(_Engine!$E1153:$X1153,1,(_Engine!$J$42-1)*4+3))</f>
        <v/>
      </c>
      <c r="I1095" s="27">
        <f>IF(OR($A1095="",_Engine!$D$43=0),"",INDEX(_Engine!$E1153:$X1153,1,(_Engine!$J$43-1)*4+3))</f>
        <v/>
      </c>
      <c r="J1095" s="27">
        <f>IF(OR($A1095="",_Engine!$D$44=0),"",INDEX(_Engine!$E1153:$X1153,1,(_Engine!$J$44-1)*4+3))</f>
        <v/>
      </c>
      <c r="K1095" s="27">
        <f>IF(OR($A1095="",_Engine!$D$45=0),"",INDEX(_Engine!$E1153:$X1153,1,(_Engine!$J$45-1)*4+3))</f>
        <v/>
      </c>
    </row>
    <row r="1096">
      <c r="A1096" s="25">
        <f>IF(1093&lt;=_Engine!$B$36,1093,"")</f>
        <v/>
      </c>
      <c r="B1096" s="26">
        <f>IF($A1096="","",EDATE(_Engine!$B$5,$A1096-1))</f>
        <v/>
      </c>
      <c r="C1096" s="27">
        <f>IF($A1096="","",_Engine!$AJ1154)</f>
        <v/>
      </c>
      <c r="D1096" s="27">
        <f>IF($A1096="","",_Engine!$AK1154)</f>
        <v/>
      </c>
      <c r="E1096" s="27">
        <f>IF($A1096="","",_Engine!$AJ1154-_Engine!$AK1154)</f>
        <v/>
      </c>
      <c r="F1096" s="27">
        <f>IF($A1096="","",_Engine!$AI1154)</f>
        <v/>
      </c>
      <c r="G1096" s="27">
        <f>IF(OR($A1096="",_Engine!$D$41=0),"",INDEX(_Engine!$E1154:$X1154,1,(_Engine!$J$41-1)*4+3))</f>
        <v/>
      </c>
      <c r="H1096" s="27">
        <f>IF(OR($A1096="",_Engine!$D$42=0),"",INDEX(_Engine!$E1154:$X1154,1,(_Engine!$J$42-1)*4+3))</f>
        <v/>
      </c>
      <c r="I1096" s="27">
        <f>IF(OR($A1096="",_Engine!$D$43=0),"",INDEX(_Engine!$E1154:$X1154,1,(_Engine!$J$43-1)*4+3))</f>
        <v/>
      </c>
      <c r="J1096" s="27">
        <f>IF(OR($A1096="",_Engine!$D$44=0),"",INDEX(_Engine!$E1154:$X1154,1,(_Engine!$J$44-1)*4+3))</f>
        <v/>
      </c>
      <c r="K1096" s="27">
        <f>IF(OR($A1096="",_Engine!$D$45=0),"",INDEX(_Engine!$E1154:$X1154,1,(_Engine!$J$45-1)*4+3))</f>
        <v/>
      </c>
    </row>
    <row r="1097">
      <c r="A1097" s="25">
        <f>IF(1094&lt;=_Engine!$B$36,1094,"")</f>
        <v/>
      </c>
      <c r="B1097" s="26">
        <f>IF($A1097="","",EDATE(_Engine!$B$5,$A1097-1))</f>
        <v/>
      </c>
      <c r="C1097" s="27">
        <f>IF($A1097="","",_Engine!$AJ1155)</f>
        <v/>
      </c>
      <c r="D1097" s="27">
        <f>IF($A1097="","",_Engine!$AK1155)</f>
        <v/>
      </c>
      <c r="E1097" s="27">
        <f>IF($A1097="","",_Engine!$AJ1155-_Engine!$AK1155)</f>
        <v/>
      </c>
      <c r="F1097" s="27">
        <f>IF($A1097="","",_Engine!$AI1155)</f>
        <v/>
      </c>
      <c r="G1097" s="27">
        <f>IF(OR($A1097="",_Engine!$D$41=0),"",INDEX(_Engine!$E1155:$X1155,1,(_Engine!$J$41-1)*4+3))</f>
        <v/>
      </c>
      <c r="H1097" s="27">
        <f>IF(OR($A1097="",_Engine!$D$42=0),"",INDEX(_Engine!$E1155:$X1155,1,(_Engine!$J$42-1)*4+3))</f>
        <v/>
      </c>
      <c r="I1097" s="27">
        <f>IF(OR($A1097="",_Engine!$D$43=0),"",INDEX(_Engine!$E1155:$X1155,1,(_Engine!$J$43-1)*4+3))</f>
        <v/>
      </c>
      <c r="J1097" s="27">
        <f>IF(OR($A1097="",_Engine!$D$44=0),"",INDEX(_Engine!$E1155:$X1155,1,(_Engine!$J$44-1)*4+3))</f>
        <v/>
      </c>
      <c r="K1097" s="27">
        <f>IF(OR($A1097="",_Engine!$D$45=0),"",INDEX(_Engine!$E1155:$X1155,1,(_Engine!$J$45-1)*4+3))</f>
        <v/>
      </c>
    </row>
    <row r="1098">
      <c r="A1098" s="25">
        <f>IF(1095&lt;=_Engine!$B$36,1095,"")</f>
        <v/>
      </c>
      <c r="B1098" s="26">
        <f>IF($A1098="","",EDATE(_Engine!$B$5,$A1098-1))</f>
        <v/>
      </c>
      <c r="C1098" s="27">
        <f>IF($A1098="","",_Engine!$AJ1156)</f>
        <v/>
      </c>
      <c r="D1098" s="27">
        <f>IF($A1098="","",_Engine!$AK1156)</f>
        <v/>
      </c>
      <c r="E1098" s="27">
        <f>IF($A1098="","",_Engine!$AJ1156-_Engine!$AK1156)</f>
        <v/>
      </c>
      <c r="F1098" s="27">
        <f>IF($A1098="","",_Engine!$AI1156)</f>
        <v/>
      </c>
      <c r="G1098" s="27">
        <f>IF(OR($A1098="",_Engine!$D$41=0),"",INDEX(_Engine!$E1156:$X1156,1,(_Engine!$J$41-1)*4+3))</f>
        <v/>
      </c>
      <c r="H1098" s="27">
        <f>IF(OR($A1098="",_Engine!$D$42=0),"",INDEX(_Engine!$E1156:$X1156,1,(_Engine!$J$42-1)*4+3))</f>
        <v/>
      </c>
      <c r="I1098" s="27">
        <f>IF(OR($A1098="",_Engine!$D$43=0),"",INDEX(_Engine!$E1156:$X1156,1,(_Engine!$J$43-1)*4+3))</f>
        <v/>
      </c>
      <c r="J1098" s="27">
        <f>IF(OR($A1098="",_Engine!$D$44=0),"",INDEX(_Engine!$E1156:$X1156,1,(_Engine!$J$44-1)*4+3))</f>
        <v/>
      </c>
      <c r="K1098" s="27">
        <f>IF(OR($A1098="",_Engine!$D$45=0),"",INDEX(_Engine!$E1156:$X1156,1,(_Engine!$J$45-1)*4+3))</f>
        <v/>
      </c>
    </row>
    <row r="1099">
      <c r="A1099" s="25">
        <f>IF(1096&lt;=_Engine!$B$36,1096,"")</f>
        <v/>
      </c>
      <c r="B1099" s="26">
        <f>IF($A1099="","",EDATE(_Engine!$B$5,$A1099-1))</f>
        <v/>
      </c>
      <c r="C1099" s="27">
        <f>IF($A1099="","",_Engine!$AJ1157)</f>
        <v/>
      </c>
      <c r="D1099" s="27">
        <f>IF($A1099="","",_Engine!$AK1157)</f>
        <v/>
      </c>
      <c r="E1099" s="27">
        <f>IF($A1099="","",_Engine!$AJ1157-_Engine!$AK1157)</f>
        <v/>
      </c>
      <c r="F1099" s="27">
        <f>IF($A1099="","",_Engine!$AI1157)</f>
        <v/>
      </c>
      <c r="G1099" s="27">
        <f>IF(OR($A1099="",_Engine!$D$41=0),"",INDEX(_Engine!$E1157:$X1157,1,(_Engine!$J$41-1)*4+3))</f>
        <v/>
      </c>
      <c r="H1099" s="27">
        <f>IF(OR($A1099="",_Engine!$D$42=0),"",INDEX(_Engine!$E1157:$X1157,1,(_Engine!$J$42-1)*4+3))</f>
        <v/>
      </c>
      <c r="I1099" s="27">
        <f>IF(OR($A1099="",_Engine!$D$43=0),"",INDEX(_Engine!$E1157:$X1157,1,(_Engine!$J$43-1)*4+3))</f>
        <v/>
      </c>
      <c r="J1099" s="27">
        <f>IF(OR($A1099="",_Engine!$D$44=0),"",INDEX(_Engine!$E1157:$X1157,1,(_Engine!$J$44-1)*4+3))</f>
        <v/>
      </c>
      <c r="K1099" s="27">
        <f>IF(OR($A1099="",_Engine!$D$45=0),"",INDEX(_Engine!$E1157:$X1157,1,(_Engine!$J$45-1)*4+3))</f>
        <v/>
      </c>
    </row>
    <row r="1100">
      <c r="A1100" s="25">
        <f>IF(1097&lt;=_Engine!$B$36,1097,"")</f>
        <v/>
      </c>
      <c r="B1100" s="26">
        <f>IF($A1100="","",EDATE(_Engine!$B$5,$A1100-1))</f>
        <v/>
      </c>
      <c r="C1100" s="27">
        <f>IF($A1100="","",_Engine!$AJ1158)</f>
        <v/>
      </c>
      <c r="D1100" s="27">
        <f>IF($A1100="","",_Engine!$AK1158)</f>
        <v/>
      </c>
      <c r="E1100" s="27">
        <f>IF($A1100="","",_Engine!$AJ1158-_Engine!$AK1158)</f>
        <v/>
      </c>
      <c r="F1100" s="27">
        <f>IF($A1100="","",_Engine!$AI1158)</f>
        <v/>
      </c>
      <c r="G1100" s="27">
        <f>IF(OR($A1100="",_Engine!$D$41=0),"",INDEX(_Engine!$E1158:$X1158,1,(_Engine!$J$41-1)*4+3))</f>
        <v/>
      </c>
      <c r="H1100" s="27">
        <f>IF(OR($A1100="",_Engine!$D$42=0),"",INDEX(_Engine!$E1158:$X1158,1,(_Engine!$J$42-1)*4+3))</f>
        <v/>
      </c>
      <c r="I1100" s="27">
        <f>IF(OR($A1100="",_Engine!$D$43=0),"",INDEX(_Engine!$E1158:$X1158,1,(_Engine!$J$43-1)*4+3))</f>
        <v/>
      </c>
      <c r="J1100" s="27">
        <f>IF(OR($A1100="",_Engine!$D$44=0),"",INDEX(_Engine!$E1158:$X1158,1,(_Engine!$J$44-1)*4+3))</f>
        <v/>
      </c>
      <c r="K1100" s="27">
        <f>IF(OR($A1100="",_Engine!$D$45=0),"",INDEX(_Engine!$E1158:$X1158,1,(_Engine!$J$45-1)*4+3))</f>
        <v/>
      </c>
    </row>
    <row r="1101">
      <c r="A1101" s="25">
        <f>IF(1098&lt;=_Engine!$B$36,1098,"")</f>
        <v/>
      </c>
      <c r="B1101" s="26">
        <f>IF($A1101="","",EDATE(_Engine!$B$5,$A1101-1))</f>
        <v/>
      </c>
      <c r="C1101" s="27">
        <f>IF($A1101="","",_Engine!$AJ1159)</f>
        <v/>
      </c>
      <c r="D1101" s="27">
        <f>IF($A1101="","",_Engine!$AK1159)</f>
        <v/>
      </c>
      <c r="E1101" s="27">
        <f>IF($A1101="","",_Engine!$AJ1159-_Engine!$AK1159)</f>
        <v/>
      </c>
      <c r="F1101" s="27">
        <f>IF($A1101="","",_Engine!$AI1159)</f>
        <v/>
      </c>
      <c r="G1101" s="27">
        <f>IF(OR($A1101="",_Engine!$D$41=0),"",INDEX(_Engine!$E1159:$X1159,1,(_Engine!$J$41-1)*4+3))</f>
        <v/>
      </c>
      <c r="H1101" s="27">
        <f>IF(OR($A1101="",_Engine!$D$42=0),"",INDEX(_Engine!$E1159:$X1159,1,(_Engine!$J$42-1)*4+3))</f>
        <v/>
      </c>
      <c r="I1101" s="27">
        <f>IF(OR($A1101="",_Engine!$D$43=0),"",INDEX(_Engine!$E1159:$X1159,1,(_Engine!$J$43-1)*4+3))</f>
        <v/>
      </c>
      <c r="J1101" s="27">
        <f>IF(OR($A1101="",_Engine!$D$44=0),"",INDEX(_Engine!$E1159:$X1159,1,(_Engine!$J$44-1)*4+3))</f>
        <v/>
      </c>
      <c r="K1101" s="27">
        <f>IF(OR($A1101="",_Engine!$D$45=0),"",INDEX(_Engine!$E1159:$X1159,1,(_Engine!$J$45-1)*4+3))</f>
        <v/>
      </c>
    </row>
    <row r="1102">
      <c r="A1102" s="25">
        <f>IF(1099&lt;=_Engine!$B$36,1099,"")</f>
        <v/>
      </c>
      <c r="B1102" s="26">
        <f>IF($A1102="","",EDATE(_Engine!$B$5,$A1102-1))</f>
        <v/>
      </c>
      <c r="C1102" s="27">
        <f>IF($A1102="","",_Engine!$AJ1160)</f>
        <v/>
      </c>
      <c r="D1102" s="27">
        <f>IF($A1102="","",_Engine!$AK1160)</f>
        <v/>
      </c>
      <c r="E1102" s="27">
        <f>IF($A1102="","",_Engine!$AJ1160-_Engine!$AK1160)</f>
        <v/>
      </c>
      <c r="F1102" s="27">
        <f>IF($A1102="","",_Engine!$AI1160)</f>
        <v/>
      </c>
      <c r="G1102" s="27">
        <f>IF(OR($A1102="",_Engine!$D$41=0),"",INDEX(_Engine!$E1160:$X1160,1,(_Engine!$J$41-1)*4+3))</f>
        <v/>
      </c>
      <c r="H1102" s="27">
        <f>IF(OR($A1102="",_Engine!$D$42=0),"",INDEX(_Engine!$E1160:$X1160,1,(_Engine!$J$42-1)*4+3))</f>
        <v/>
      </c>
      <c r="I1102" s="27">
        <f>IF(OR($A1102="",_Engine!$D$43=0),"",INDEX(_Engine!$E1160:$X1160,1,(_Engine!$J$43-1)*4+3))</f>
        <v/>
      </c>
      <c r="J1102" s="27">
        <f>IF(OR($A1102="",_Engine!$D$44=0),"",INDEX(_Engine!$E1160:$X1160,1,(_Engine!$J$44-1)*4+3))</f>
        <v/>
      </c>
      <c r="K1102" s="27">
        <f>IF(OR($A1102="",_Engine!$D$45=0),"",INDEX(_Engine!$E1160:$X1160,1,(_Engine!$J$45-1)*4+3))</f>
        <v/>
      </c>
    </row>
    <row r="1103">
      <c r="A1103" s="25">
        <f>IF(1100&lt;=_Engine!$B$36,1100,"")</f>
        <v/>
      </c>
      <c r="B1103" s="26">
        <f>IF($A1103="","",EDATE(_Engine!$B$5,$A1103-1))</f>
        <v/>
      </c>
      <c r="C1103" s="27">
        <f>IF($A1103="","",_Engine!$AJ1161)</f>
        <v/>
      </c>
      <c r="D1103" s="27">
        <f>IF($A1103="","",_Engine!$AK1161)</f>
        <v/>
      </c>
      <c r="E1103" s="27">
        <f>IF($A1103="","",_Engine!$AJ1161-_Engine!$AK1161)</f>
        <v/>
      </c>
      <c r="F1103" s="27">
        <f>IF($A1103="","",_Engine!$AI1161)</f>
        <v/>
      </c>
      <c r="G1103" s="27">
        <f>IF(OR($A1103="",_Engine!$D$41=0),"",INDEX(_Engine!$E1161:$X1161,1,(_Engine!$J$41-1)*4+3))</f>
        <v/>
      </c>
      <c r="H1103" s="27">
        <f>IF(OR($A1103="",_Engine!$D$42=0),"",INDEX(_Engine!$E1161:$X1161,1,(_Engine!$J$42-1)*4+3))</f>
        <v/>
      </c>
      <c r="I1103" s="27">
        <f>IF(OR($A1103="",_Engine!$D$43=0),"",INDEX(_Engine!$E1161:$X1161,1,(_Engine!$J$43-1)*4+3))</f>
        <v/>
      </c>
      <c r="J1103" s="27">
        <f>IF(OR($A1103="",_Engine!$D$44=0),"",INDEX(_Engine!$E1161:$X1161,1,(_Engine!$J$44-1)*4+3))</f>
        <v/>
      </c>
      <c r="K1103" s="27">
        <f>IF(OR($A1103="",_Engine!$D$45=0),"",INDEX(_Engine!$E1161:$X1161,1,(_Engine!$J$45-1)*4+3))</f>
        <v/>
      </c>
    </row>
    <row r="1104">
      <c r="A1104" s="25">
        <f>IF(1101&lt;=_Engine!$B$36,1101,"")</f>
        <v/>
      </c>
      <c r="B1104" s="26">
        <f>IF($A1104="","",EDATE(_Engine!$B$5,$A1104-1))</f>
        <v/>
      </c>
      <c r="C1104" s="27">
        <f>IF($A1104="","",_Engine!$AJ1162)</f>
        <v/>
      </c>
      <c r="D1104" s="27">
        <f>IF($A1104="","",_Engine!$AK1162)</f>
        <v/>
      </c>
      <c r="E1104" s="27">
        <f>IF($A1104="","",_Engine!$AJ1162-_Engine!$AK1162)</f>
        <v/>
      </c>
      <c r="F1104" s="27">
        <f>IF($A1104="","",_Engine!$AI1162)</f>
        <v/>
      </c>
      <c r="G1104" s="27">
        <f>IF(OR($A1104="",_Engine!$D$41=0),"",INDEX(_Engine!$E1162:$X1162,1,(_Engine!$J$41-1)*4+3))</f>
        <v/>
      </c>
      <c r="H1104" s="27">
        <f>IF(OR($A1104="",_Engine!$D$42=0),"",INDEX(_Engine!$E1162:$X1162,1,(_Engine!$J$42-1)*4+3))</f>
        <v/>
      </c>
      <c r="I1104" s="27">
        <f>IF(OR($A1104="",_Engine!$D$43=0),"",INDEX(_Engine!$E1162:$X1162,1,(_Engine!$J$43-1)*4+3))</f>
        <v/>
      </c>
      <c r="J1104" s="27">
        <f>IF(OR($A1104="",_Engine!$D$44=0),"",INDEX(_Engine!$E1162:$X1162,1,(_Engine!$J$44-1)*4+3))</f>
        <v/>
      </c>
      <c r="K1104" s="27">
        <f>IF(OR($A1104="",_Engine!$D$45=0),"",INDEX(_Engine!$E1162:$X1162,1,(_Engine!$J$45-1)*4+3))</f>
        <v/>
      </c>
    </row>
    <row r="1105">
      <c r="A1105" s="25">
        <f>IF(1102&lt;=_Engine!$B$36,1102,"")</f>
        <v/>
      </c>
      <c r="B1105" s="26">
        <f>IF($A1105="","",EDATE(_Engine!$B$5,$A1105-1))</f>
        <v/>
      </c>
      <c r="C1105" s="27">
        <f>IF($A1105="","",_Engine!$AJ1163)</f>
        <v/>
      </c>
      <c r="D1105" s="27">
        <f>IF($A1105="","",_Engine!$AK1163)</f>
        <v/>
      </c>
      <c r="E1105" s="27">
        <f>IF($A1105="","",_Engine!$AJ1163-_Engine!$AK1163)</f>
        <v/>
      </c>
      <c r="F1105" s="27">
        <f>IF($A1105="","",_Engine!$AI1163)</f>
        <v/>
      </c>
      <c r="G1105" s="27">
        <f>IF(OR($A1105="",_Engine!$D$41=0),"",INDEX(_Engine!$E1163:$X1163,1,(_Engine!$J$41-1)*4+3))</f>
        <v/>
      </c>
      <c r="H1105" s="27">
        <f>IF(OR($A1105="",_Engine!$D$42=0),"",INDEX(_Engine!$E1163:$X1163,1,(_Engine!$J$42-1)*4+3))</f>
        <v/>
      </c>
      <c r="I1105" s="27">
        <f>IF(OR($A1105="",_Engine!$D$43=0),"",INDEX(_Engine!$E1163:$X1163,1,(_Engine!$J$43-1)*4+3))</f>
        <v/>
      </c>
      <c r="J1105" s="27">
        <f>IF(OR($A1105="",_Engine!$D$44=0),"",INDEX(_Engine!$E1163:$X1163,1,(_Engine!$J$44-1)*4+3))</f>
        <v/>
      </c>
      <c r="K1105" s="27">
        <f>IF(OR($A1105="",_Engine!$D$45=0),"",INDEX(_Engine!$E1163:$X1163,1,(_Engine!$J$45-1)*4+3))</f>
        <v/>
      </c>
    </row>
    <row r="1106">
      <c r="A1106" s="25">
        <f>IF(1103&lt;=_Engine!$B$36,1103,"")</f>
        <v/>
      </c>
      <c r="B1106" s="26">
        <f>IF($A1106="","",EDATE(_Engine!$B$5,$A1106-1))</f>
        <v/>
      </c>
      <c r="C1106" s="27">
        <f>IF($A1106="","",_Engine!$AJ1164)</f>
        <v/>
      </c>
      <c r="D1106" s="27">
        <f>IF($A1106="","",_Engine!$AK1164)</f>
        <v/>
      </c>
      <c r="E1106" s="27">
        <f>IF($A1106="","",_Engine!$AJ1164-_Engine!$AK1164)</f>
        <v/>
      </c>
      <c r="F1106" s="27">
        <f>IF($A1106="","",_Engine!$AI1164)</f>
        <v/>
      </c>
      <c r="G1106" s="27">
        <f>IF(OR($A1106="",_Engine!$D$41=0),"",INDEX(_Engine!$E1164:$X1164,1,(_Engine!$J$41-1)*4+3))</f>
        <v/>
      </c>
      <c r="H1106" s="27">
        <f>IF(OR($A1106="",_Engine!$D$42=0),"",INDEX(_Engine!$E1164:$X1164,1,(_Engine!$J$42-1)*4+3))</f>
        <v/>
      </c>
      <c r="I1106" s="27">
        <f>IF(OR($A1106="",_Engine!$D$43=0),"",INDEX(_Engine!$E1164:$X1164,1,(_Engine!$J$43-1)*4+3))</f>
        <v/>
      </c>
      <c r="J1106" s="27">
        <f>IF(OR($A1106="",_Engine!$D$44=0),"",INDEX(_Engine!$E1164:$X1164,1,(_Engine!$J$44-1)*4+3))</f>
        <v/>
      </c>
      <c r="K1106" s="27">
        <f>IF(OR($A1106="",_Engine!$D$45=0),"",INDEX(_Engine!$E1164:$X1164,1,(_Engine!$J$45-1)*4+3))</f>
        <v/>
      </c>
    </row>
    <row r="1107">
      <c r="A1107" s="25">
        <f>IF(1104&lt;=_Engine!$B$36,1104,"")</f>
        <v/>
      </c>
      <c r="B1107" s="26">
        <f>IF($A1107="","",EDATE(_Engine!$B$5,$A1107-1))</f>
        <v/>
      </c>
      <c r="C1107" s="27">
        <f>IF($A1107="","",_Engine!$AJ1165)</f>
        <v/>
      </c>
      <c r="D1107" s="27">
        <f>IF($A1107="","",_Engine!$AK1165)</f>
        <v/>
      </c>
      <c r="E1107" s="27">
        <f>IF($A1107="","",_Engine!$AJ1165-_Engine!$AK1165)</f>
        <v/>
      </c>
      <c r="F1107" s="27">
        <f>IF($A1107="","",_Engine!$AI1165)</f>
        <v/>
      </c>
      <c r="G1107" s="27">
        <f>IF(OR($A1107="",_Engine!$D$41=0),"",INDEX(_Engine!$E1165:$X1165,1,(_Engine!$J$41-1)*4+3))</f>
        <v/>
      </c>
      <c r="H1107" s="27">
        <f>IF(OR($A1107="",_Engine!$D$42=0),"",INDEX(_Engine!$E1165:$X1165,1,(_Engine!$J$42-1)*4+3))</f>
        <v/>
      </c>
      <c r="I1107" s="27">
        <f>IF(OR($A1107="",_Engine!$D$43=0),"",INDEX(_Engine!$E1165:$X1165,1,(_Engine!$J$43-1)*4+3))</f>
        <v/>
      </c>
      <c r="J1107" s="27">
        <f>IF(OR($A1107="",_Engine!$D$44=0),"",INDEX(_Engine!$E1165:$X1165,1,(_Engine!$J$44-1)*4+3))</f>
        <v/>
      </c>
      <c r="K1107" s="27">
        <f>IF(OR($A1107="",_Engine!$D$45=0),"",INDEX(_Engine!$E1165:$X1165,1,(_Engine!$J$45-1)*4+3))</f>
        <v/>
      </c>
    </row>
    <row r="1108">
      <c r="A1108" s="25">
        <f>IF(1105&lt;=_Engine!$B$36,1105,"")</f>
        <v/>
      </c>
      <c r="B1108" s="26">
        <f>IF($A1108="","",EDATE(_Engine!$B$5,$A1108-1))</f>
        <v/>
      </c>
      <c r="C1108" s="27">
        <f>IF($A1108="","",_Engine!$AJ1166)</f>
        <v/>
      </c>
      <c r="D1108" s="27">
        <f>IF($A1108="","",_Engine!$AK1166)</f>
        <v/>
      </c>
      <c r="E1108" s="27">
        <f>IF($A1108="","",_Engine!$AJ1166-_Engine!$AK1166)</f>
        <v/>
      </c>
      <c r="F1108" s="27">
        <f>IF($A1108="","",_Engine!$AI1166)</f>
        <v/>
      </c>
      <c r="G1108" s="27">
        <f>IF(OR($A1108="",_Engine!$D$41=0),"",INDEX(_Engine!$E1166:$X1166,1,(_Engine!$J$41-1)*4+3))</f>
        <v/>
      </c>
      <c r="H1108" s="27">
        <f>IF(OR($A1108="",_Engine!$D$42=0),"",INDEX(_Engine!$E1166:$X1166,1,(_Engine!$J$42-1)*4+3))</f>
        <v/>
      </c>
      <c r="I1108" s="27">
        <f>IF(OR($A1108="",_Engine!$D$43=0),"",INDEX(_Engine!$E1166:$X1166,1,(_Engine!$J$43-1)*4+3))</f>
        <v/>
      </c>
      <c r="J1108" s="27">
        <f>IF(OR($A1108="",_Engine!$D$44=0),"",INDEX(_Engine!$E1166:$X1166,1,(_Engine!$J$44-1)*4+3))</f>
        <v/>
      </c>
      <c r="K1108" s="27">
        <f>IF(OR($A1108="",_Engine!$D$45=0),"",INDEX(_Engine!$E1166:$X1166,1,(_Engine!$J$45-1)*4+3))</f>
        <v/>
      </c>
    </row>
    <row r="1109">
      <c r="A1109" s="25">
        <f>IF(1106&lt;=_Engine!$B$36,1106,"")</f>
        <v/>
      </c>
      <c r="B1109" s="26">
        <f>IF($A1109="","",EDATE(_Engine!$B$5,$A1109-1))</f>
        <v/>
      </c>
      <c r="C1109" s="27">
        <f>IF($A1109="","",_Engine!$AJ1167)</f>
        <v/>
      </c>
      <c r="D1109" s="27">
        <f>IF($A1109="","",_Engine!$AK1167)</f>
        <v/>
      </c>
      <c r="E1109" s="27">
        <f>IF($A1109="","",_Engine!$AJ1167-_Engine!$AK1167)</f>
        <v/>
      </c>
      <c r="F1109" s="27">
        <f>IF($A1109="","",_Engine!$AI1167)</f>
        <v/>
      </c>
      <c r="G1109" s="27">
        <f>IF(OR($A1109="",_Engine!$D$41=0),"",INDEX(_Engine!$E1167:$X1167,1,(_Engine!$J$41-1)*4+3))</f>
        <v/>
      </c>
      <c r="H1109" s="27">
        <f>IF(OR($A1109="",_Engine!$D$42=0),"",INDEX(_Engine!$E1167:$X1167,1,(_Engine!$J$42-1)*4+3))</f>
        <v/>
      </c>
      <c r="I1109" s="27">
        <f>IF(OR($A1109="",_Engine!$D$43=0),"",INDEX(_Engine!$E1167:$X1167,1,(_Engine!$J$43-1)*4+3))</f>
        <v/>
      </c>
      <c r="J1109" s="27">
        <f>IF(OR($A1109="",_Engine!$D$44=0),"",INDEX(_Engine!$E1167:$X1167,1,(_Engine!$J$44-1)*4+3))</f>
        <v/>
      </c>
      <c r="K1109" s="27">
        <f>IF(OR($A1109="",_Engine!$D$45=0),"",INDEX(_Engine!$E1167:$X1167,1,(_Engine!$J$45-1)*4+3))</f>
        <v/>
      </c>
    </row>
    <row r="1110">
      <c r="A1110" s="25">
        <f>IF(1107&lt;=_Engine!$B$36,1107,"")</f>
        <v/>
      </c>
      <c r="B1110" s="26">
        <f>IF($A1110="","",EDATE(_Engine!$B$5,$A1110-1))</f>
        <v/>
      </c>
      <c r="C1110" s="27">
        <f>IF($A1110="","",_Engine!$AJ1168)</f>
        <v/>
      </c>
      <c r="D1110" s="27">
        <f>IF($A1110="","",_Engine!$AK1168)</f>
        <v/>
      </c>
      <c r="E1110" s="27">
        <f>IF($A1110="","",_Engine!$AJ1168-_Engine!$AK1168)</f>
        <v/>
      </c>
      <c r="F1110" s="27">
        <f>IF($A1110="","",_Engine!$AI1168)</f>
        <v/>
      </c>
      <c r="G1110" s="27">
        <f>IF(OR($A1110="",_Engine!$D$41=0),"",INDEX(_Engine!$E1168:$X1168,1,(_Engine!$J$41-1)*4+3))</f>
        <v/>
      </c>
      <c r="H1110" s="27">
        <f>IF(OR($A1110="",_Engine!$D$42=0),"",INDEX(_Engine!$E1168:$X1168,1,(_Engine!$J$42-1)*4+3))</f>
        <v/>
      </c>
      <c r="I1110" s="27">
        <f>IF(OR($A1110="",_Engine!$D$43=0),"",INDEX(_Engine!$E1168:$X1168,1,(_Engine!$J$43-1)*4+3))</f>
        <v/>
      </c>
      <c r="J1110" s="27">
        <f>IF(OR($A1110="",_Engine!$D$44=0),"",INDEX(_Engine!$E1168:$X1168,1,(_Engine!$J$44-1)*4+3))</f>
        <v/>
      </c>
      <c r="K1110" s="27">
        <f>IF(OR($A1110="",_Engine!$D$45=0),"",INDEX(_Engine!$E1168:$X1168,1,(_Engine!$J$45-1)*4+3))</f>
        <v/>
      </c>
    </row>
    <row r="1111">
      <c r="A1111" s="25">
        <f>IF(1108&lt;=_Engine!$B$36,1108,"")</f>
        <v/>
      </c>
      <c r="B1111" s="26">
        <f>IF($A1111="","",EDATE(_Engine!$B$5,$A1111-1))</f>
        <v/>
      </c>
      <c r="C1111" s="27">
        <f>IF($A1111="","",_Engine!$AJ1169)</f>
        <v/>
      </c>
      <c r="D1111" s="27">
        <f>IF($A1111="","",_Engine!$AK1169)</f>
        <v/>
      </c>
      <c r="E1111" s="27">
        <f>IF($A1111="","",_Engine!$AJ1169-_Engine!$AK1169)</f>
        <v/>
      </c>
      <c r="F1111" s="27">
        <f>IF($A1111="","",_Engine!$AI1169)</f>
        <v/>
      </c>
      <c r="G1111" s="27">
        <f>IF(OR($A1111="",_Engine!$D$41=0),"",INDEX(_Engine!$E1169:$X1169,1,(_Engine!$J$41-1)*4+3))</f>
        <v/>
      </c>
      <c r="H1111" s="27">
        <f>IF(OR($A1111="",_Engine!$D$42=0),"",INDEX(_Engine!$E1169:$X1169,1,(_Engine!$J$42-1)*4+3))</f>
        <v/>
      </c>
      <c r="I1111" s="27">
        <f>IF(OR($A1111="",_Engine!$D$43=0),"",INDEX(_Engine!$E1169:$X1169,1,(_Engine!$J$43-1)*4+3))</f>
        <v/>
      </c>
      <c r="J1111" s="27">
        <f>IF(OR($A1111="",_Engine!$D$44=0),"",INDEX(_Engine!$E1169:$X1169,1,(_Engine!$J$44-1)*4+3))</f>
        <v/>
      </c>
      <c r="K1111" s="27">
        <f>IF(OR($A1111="",_Engine!$D$45=0),"",INDEX(_Engine!$E1169:$X1169,1,(_Engine!$J$45-1)*4+3))</f>
        <v/>
      </c>
    </row>
    <row r="1112">
      <c r="A1112" s="25">
        <f>IF(1109&lt;=_Engine!$B$36,1109,"")</f>
        <v/>
      </c>
      <c r="B1112" s="26">
        <f>IF($A1112="","",EDATE(_Engine!$B$5,$A1112-1))</f>
        <v/>
      </c>
      <c r="C1112" s="27">
        <f>IF($A1112="","",_Engine!$AJ1170)</f>
        <v/>
      </c>
      <c r="D1112" s="27">
        <f>IF($A1112="","",_Engine!$AK1170)</f>
        <v/>
      </c>
      <c r="E1112" s="27">
        <f>IF($A1112="","",_Engine!$AJ1170-_Engine!$AK1170)</f>
        <v/>
      </c>
      <c r="F1112" s="27">
        <f>IF($A1112="","",_Engine!$AI1170)</f>
        <v/>
      </c>
      <c r="G1112" s="27">
        <f>IF(OR($A1112="",_Engine!$D$41=0),"",INDEX(_Engine!$E1170:$X1170,1,(_Engine!$J$41-1)*4+3))</f>
        <v/>
      </c>
      <c r="H1112" s="27">
        <f>IF(OR($A1112="",_Engine!$D$42=0),"",INDEX(_Engine!$E1170:$X1170,1,(_Engine!$J$42-1)*4+3))</f>
        <v/>
      </c>
      <c r="I1112" s="27">
        <f>IF(OR($A1112="",_Engine!$D$43=0),"",INDEX(_Engine!$E1170:$X1170,1,(_Engine!$J$43-1)*4+3))</f>
        <v/>
      </c>
      <c r="J1112" s="27">
        <f>IF(OR($A1112="",_Engine!$D$44=0),"",INDEX(_Engine!$E1170:$X1170,1,(_Engine!$J$44-1)*4+3))</f>
        <v/>
      </c>
      <c r="K1112" s="27">
        <f>IF(OR($A1112="",_Engine!$D$45=0),"",INDEX(_Engine!$E1170:$X1170,1,(_Engine!$J$45-1)*4+3))</f>
        <v/>
      </c>
    </row>
    <row r="1113">
      <c r="A1113" s="25">
        <f>IF(1110&lt;=_Engine!$B$36,1110,"")</f>
        <v/>
      </c>
      <c r="B1113" s="26">
        <f>IF($A1113="","",EDATE(_Engine!$B$5,$A1113-1))</f>
        <v/>
      </c>
      <c r="C1113" s="27">
        <f>IF($A1113="","",_Engine!$AJ1171)</f>
        <v/>
      </c>
      <c r="D1113" s="27">
        <f>IF($A1113="","",_Engine!$AK1171)</f>
        <v/>
      </c>
      <c r="E1113" s="27">
        <f>IF($A1113="","",_Engine!$AJ1171-_Engine!$AK1171)</f>
        <v/>
      </c>
      <c r="F1113" s="27">
        <f>IF($A1113="","",_Engine!$AI1171)</f>
        <v/>
      </c>
      <c r="G1113" s="27">
        <f>IF(OR($A1113="",_Engine!$D$41=0),"",INDEX(_Engine!$E1171:$X1171,1,(_Engine!$J$41-1)*4+3))</f>
        <v/>
      </c>
      <c r="H1113" s="27">
        <f>IF(OR($A1113="",_Engine!$D$42=0),"",INDEX(_Engine!$E1171:$X1171,1,(_Engine!$J$42-1)*4+3))</f>
        <v/>
      </c>
      <c r="I1113" s="27">
        <f>IF(OR($A1113="",_Engine!$D$43=0),"",INDEX(_Engine!$E1171:$X1171,1,(_Engine!$J$43-1)*4+3))</f>
        <v/>
      </c>
      <c r="J1113" s="27">
        <f>IF(OR($A1113="",_Engine!$D$44=0),"",INDEX(_Engine!$E1171:$X1171,1,(_Engine!$J$44-1)*4+3))</f>
        <v/>
      </c>
      <c r="K1113" s="27">
        <f>IF(OR($A1113="",_Engine!$D$45=0),"",INDEX(_Engine!$E1171:$X1171,1,(_Engine!$J$45-1)*4+3))</f>
        <v/>
      </c>
    </row>
    <row r="1114">
      <c r="A1114" s="25">
        <f>IF(1111&lt;=_Engine!$B$36,1111,"")</f>
        <v/>
      </c>
      <c r="B1114" s="26">
        <f>IF($A1114="","",EDATE(_Engine!$B$5,$A1114-1))</f>
        <v/>
      </c>
      <c r="C1114" s="27">
        <f>IF($A1114="","",_Engine!$AJ1172)</f>
        <v/>
      </c>
      <c r="D1114" s="27">
        <f>IF($A1114="","",_Engine!$AK1172)</f>
        <v/>
      </c>
      <c r="E1114" s="27">
        <f>IF($A1114="","",_Engine!$AJ1172-_Engine!$AK1172)</f>
        <v/>
      </c>
      <c r="F1114" s="27">
        <f>IF($A1114="","",_Engine!$AI1172)</f>
        <v/>
      </c>
      <c r="G1114" s="27">
        <f>IF(OR($A1114="",_Engine!$D$41=0),"",INDEX(_Engine!$E1172:$X1172,1,(_Engine!$J$41-1)*4+3))</f>
        <v/>
      </c>
      <c r="H1114" s="27">
        <f>IF(OR($A1114="",_Engine!$D$42=0),"",INDEX(_Engine!$E1172:$X1172,1,(_Engine!$J$42-1)*4+3))</f>
        <v/>
      </c>
      <c r="I1114" s="27">
        <f>IF(OR($A1114="",_Engine!$D$43=0),"",INDEX(_Engine!$E1172:$X1172,1,(_Engine!$J$43-1)*4+3))</f>
        <v/>
      </c>
      <c r="J1114" s="27">
        <f>IF(OR($A1114="",_Engine!$D$44=0),"",INDEX(_Engine!$E1172:$X1172,1,(_Engine!$J$44-1)*4+3))</f>
        <v/>
      </c>
      <c r="K1114" s="27">
        <f>IF(OR($A1114="",_Engine!$D$45=0),"",INDEX(_Engine!$E1172:$X1172,1,(_Engine!$J$45-1)*4+3))</f>
        <v/>
      </c>
    </row>
    <row r="1115">
      <c r="A1115" s="25">
        <f>IF(1112&lt;=_Engine!$B$36,1112,"")</f>
        <v/>
      </c>
      <c r="B1115" s="26">
        <f>IF($A1115="","",EDATE(_Engine!$B$5,$A1115-1))</f>
        <v/>
      </c>
      <c r="C1115" s="27">
        <f>IF($A1115="","",_Engine!$AJ1173)</f>
        <v/>
      </c>
      <c r="D1115" s="27">
        <f>IF($A1115="","",_Engine!$AK1173)</f>
        <v/>
      </c>
      <c r="E1115" s="27">
        <f>IF($A1115="","",_Engine!$AJ1173-_Engine!$AK1173)</f>
        <v/>
      </c>
      <c r="F1115" s="27">
        <f>IF($A1115="","",_Engine!$AI1173)</f>
        <v/>
      </c>
      <c r="G1115" s="27">
        <f>IF(OR($A1115="",_Engine!$D$41=0),"",INDEX(_Engine!$E1173:$X1173,1,(_Engine!$J$41-1)*4+3))</f>
        <v/>
      </c>
      <c r="H1115" s="27">
        <f>IF(OR($A1115="",_Engine!$D$42=0),"",INDEX(_Engine!$E1173:$X1173,1,(_Engine!$J$42-1)*4+3))</f>
        <v/>
      </c>
      <c r="I1115" s="27">
        <f>IF(OR($A1115="",_Engine!$D$43=0),"",INDEX(_Engine!$E1173:$X1173,1,(_Engine!$J$43-1)*4+3))</f>
        <v/>
      </c>
      <c r="J1115" s="27">
        <f>IF(OR($A1115="",_Engine!$D$44=0),"",INDEX(_Engine!$E1173:$X1173,1,(_Engine!$J$44-1)*4+3))</f>
        <v/>
      </c>
      <c r="K1115" s="27">
        <f>IF(OR($A1115="",_Engine!$D$45=0),"",INDEX(_Engine!$E1173:$X1173,1,(_Engine!$J$45-1)*4+3))</f>
        <v/>
      </c>
    </row>
    <row r="1116">
      <c r="A1116" s="25">
        <f>IF(1113&lt;=_Engine!$B$36,1113,"")</f>
        <v/>
      </c>
      <c r="B1116" s="26">
        <f>IF($A1116="","",EDATE(_Engine!$B$5,$A1116-1))</f>
        <v/>
      </c>
      <c r="C1116" s="27">
        <f>IF($A1116="","",_Engine!$AJ1174)</f>
        <v/>
      </c>
      <c r="D1116" s="27">
        <f>IF($A1116="","",_Engine!$AK1174)</f>
        <v/>
      </c>
      <c r="E1116" s="27">
        <f>IF($A1116="","",_Engine!$AJ1174-_Engine!$AK1174)</f>
        <v/>
      </c>
      <c r="F1116" s="27">
        <f>IF($A1116="","",_Engine!$AI1174)</f>
        <v/>
      </c>
      <c r="G1116" s="27">
        <f>IF(OR($A1116="",_Engine!$D$41=0),"",INDEX(_Engine!$E1174:$X1174,1,(_Engine!$J$41-1)*4+3))</f>
        <v/>
      </c>
      <c r="H1116" s="27">
        <f>IF(OR($A1116="",_Engine!$D$42=0),"",INDEX(_Engine!$E1174:$X1174,1,(_Engine!$J$42-1)*4+3))</f>
        <v/>
      </c>
      <c r="I1116" s="27">
        <f>IF(OR($A1116="",_Engine!$D$43=0),"",INDEX(_Engine!$E1174:$X1174,1,(_Engine!$J$43-1)*4+3))</f>
        <v/>
      </c>
      <c r="J1116" s="27">
        <f>IF(OR($A1116="",_Engine!$D$44=0),"",INDEX(_Engine!$E1174:$X1174,1,(_Engine!$J$44-1)*4+3))</f>
        <v/>
      </c>
      <c r="K1116" s="27">
        <f>IF(OR($A1116="",_Engine!$D$45=0),"",INDEX(_Engine!$E1174:$X1174,1,(_Engine!$J$45-1)*4+3))</f>
        <v/>
      </c>
    </row>
    <row r="1117">
      <c r="A1117" s="25">
        <f>IF(1114&lt;=_Engine!$B$36,1114,"")</f>
        <v/>
      </c>
      <c r="B1117" s="26">
        <f>IF($A1117="","",EDATE(_Engine!$B$5,$A1117-1))</f>
        <v/>
      </c>
      <c r="C1117" s="27">
        <f>IF($A1117="","",_Engine!$AJ1175)</f>
        <v/>
      </c>
      <c r="D1117" s="27">
        <f>IF($A1117="","",_Engine!$AK1175)</f>
        <v/>
      </c>
      <c r="E1117" s="27">
        <f>IF($A1117="","",_Engine!$AJ1175-_Engine!$AK1175)</f>
        <v/>
      </c>
      <c r="F1117" s="27">
        <f>IF($A1117="","",_Engine!$AI1175)</f>
        <v/>
      </c>
      <c r="G1117" s="27">
        <f>IF(OR($A1117="",_Engine!$D$41=0),"",INDEX(_Engine!$E1175:$X1175,1,(_Engine!$J$41-1)*4+3))</f>
        <v/>
      </c>
      <c r="H1117" s="27">
        <f>IF(OR($A1117="",_Engine!$D$42=0),"",INDEX(_Engine!$E1175:$X1175,1,(_Engine!$J$42-1)*4+3))</f>
        <v/>
      </c>
      <c r="I1117" s="27">
        <f>IF(OR($A1117="",_Engine!$D$43=0),"",INDEX(_Engine!$E1175:$X1175,1,(_Engine!$J$43-1)*4+3))</f>
        <v/>
      </c>
      <c r="J1117" s="27">
        <f>IF(OR($A1117="",_Engine!$D$44=0),"",INDEX(_Engine!$E1175:$X1175,1,(_Engine!$J$44-1)*4+3))</f>
        <v/>
      </c>
      <c r="K1117" s="27">
        <f>IF(OR($A1117="",_Engine!$D$45=0),"",INDEX(_Engine!$E1175:$X1175,1,(_Engine!$J$45-1)*4+3))</f>
        <v/>
      </c>
    </row>
    <row r="1118">
      <c r="A1118" s="25">
        <f>IF(1115&lt;=_Engine!$B$36,1115,"")</f>
        <v/>
      </c>
      <c r="B1118" s="26">
        <f>IF($A1118="","",EDATE(_Engine!$B$5,$A1118-1))</f>
        <v/>
      </c>
      <c r="C1118" s="27">
        <f>IF($A1118="","",_Engine!$AJ1176)</f>
        <v/>
      </c>
      <c r="D1118" s="27">
        <f>IF($A1118="","",_Engine!$AK1176)</f>
        <v/>
      </c>
      <c r="E1118" s="27">
        <f>IF($A1118="","",_Engine!$AJ1176-_Engine!$AK1176)</f>
        <v/>
      </c>
      <c r="F1118" s="27">
        <f>IF($A1118="","",_Engine!$AI1176)</f>
        <v/>
      </c>
      <c r="G1118" s="27">
        <f>IF(OR($A1118="",_Engine!$D$41=0),"",INDEX(_Engine!$E1176:$X1176,1,(_Engine!$J$41-1)*4+3))</f>
        <v/>
      </c>
      <c r="H1118" s="27">
        <f>IF(OR($A1118="",_Engine!$D$42=0),"",INDEX(_Engine!$E1176:$X1176,1,(_Engine!$J$42-1)*4+3))</f>
        <v/>
      </c>
      <c r="I1118" s="27">
        <f>IF(OR($A1118="",_Engine!$D$43=0),"",INDEX(_Engine!$E1176:$X1176,1,(_Engine!$J$43-1)*4+3))</f>
        <v/>
      </c>
      <c r="J1118" s="27">
        <f>IF(OR($A1118="",_Engine!$D$44=0),"",INDEX(_Engine!$E1176:$X1176,1,(_Engine!$J$44-1)*4+3))</f>
        <v/>
      </c>
      <c r="K1118" s="27">
        <f>IF(OR($A1118="",_Engine!$D$45=0),"",INDEX(_Engine!$E1176:$X1176,1,(_Engine!$J$45-1)*4+3))</f>
        <v/>
      </c>
    </row>
    <row r="1119">
      <c r="A1119" s="25">
        <f>IF(1116&lt;=_Engine!$B$36,1116,"")</f>
        <v/>
      </c>
      <c r="B1119" s="26">
        <f>IF($A1119="","",EDATE(_Engine!$B$5,$A1119-1))</f>
        <v/>
      </c>
      <c r="C1119" s="27">
        <f>IF($A1119="","",_Engine!$AJ1177)</f>
        <v/>
      </c>
      <c r="D1119" s="27">
        <f>IF($A1119="","",_Engine!$AK1177)</f>
        <v/>
      </c>
      <c r="E1119" s="27">
        <f>IF($A1119="","",_Engine!$AJ1177-_Engine!$AK1177)</f>
        <v/>
      </c>
      <c r="F1119" s="27">
        <f>IF($A1119="","",_Engine!$AI1177)</f>
        <v/>
      </c>
      <c r="G1119" s="27">
        <f>IF(OR($A1119="",_Engine!$D$41=0),"",INDEX(_Engine!$E1177:$X1177,1,(_Engine!$J$41-1)*4+3))</f>
        <v/>
      </c>
      <c r="H1119" s="27">
        <f>IF(OR($A1119="",_Engine!$D$42=0),"",INDEX(_Engine!$E1177:$X1177,1,(_Engine!$J$42-1)*4+3))</f>
        <v/>
      </c>
      <c r="I1119" s="27">
        <f>IF(OR($A1119="",_Engine!$D$43=0),"",INDEX(_Engine!$E1177:$X1177,1,(_Engine!$J$43-1)*4+3))</f>
        <v/>
      </c>
      <c r="J1119" s="27">
        <f>IF(OR($A1119="",_Engine!$D$44=0),"",INDEX(_Engine!$E1177:$X1177,1,(_Engine!$J$44-1)*4+3))</f>
        <v/>
      </c>
      <c r="K1119" s="27">
        <f>IF(OR($A1119="",_Engine!$D$45=0),"",INDEX(_Engine!$E1177:$X1177,1,(_Engine!$J$45-1)*4+3))</f>
        <v/>
      </c>
    </row>
    <row r="1120">
      <c r="A1120" s="25">
        <f>IF(1117&lt;=_Engine!$B$36,1117,"")</f>
        <v/>
      </c>
      <c r="B1120" s="26">
        <f>IF($A1120="","",EDATE(_Engine!$B$5,$A1120-1))</f>
        <v/>
      </c>
      <c r="C1120" s="27">
        <f>IF($A1120="","",_Engine!$AJ1178)</f>
        <v/>
      </c>
      <c r="D1120" s="27">
        <f>IF($A1120="","",_Engine!$AK1178)</f>
        <v/>
      </c>
      <c r="E1120" s="27">
        <f>IF($A1120="","",_Engine!$AJ1178-_Engine!$AK1178)</f>
        <v/>
      </c>
      <c r="F1120" s="27">
        <f>IF($A1120="","",_Engine!$AI1178)</f>
        <v/>
      </c>
      <c r="G1120" s="27">
        <f>IF(OR($A1120="",_Engine!$D$41=0),"",INDEX(_Engine!$E1178:$X1178,1,(_Engine!$J$41-1)*4+3))</f>
        <v/>
      </c>
      <c r="H1120" s="27">
        <f>IF(OR($A1120="",_Engine!$D$42=0),"",INDEX(_Engine!$E1178:$X1178,1,(_Engine!$J$42-1)*4+3))</f>
        <v/>
      </c>
      <c r="I1120" s="27">
        <f>IF(OR($A1120="",_Engine!$D$43=0),"",INDEX(_Engine!$E1178:$X1178,1,(_Engine!$J$43-1)*4+3))</f>
        <v/>
      </c>
      <c r="J1120" s="27">
        <f>IF(OR($A1120="",_Engine!$D$44=0),"",INDEX(_Engine!$E1178:$X1178,1,(_Engine!$J$44-1)*4+3))</f>
        <v/>
      </c>
      <c r="K1120" s="27">
        <f>IF(OR($A1120="",_Engine!$D$45=0),"",INDEX(_Engine!$E1178:$X1178,1,(_Engine!$J$45-1)*4+3))</f>
        <v/>
      </c>
    </row>
    <row r="1121">
      <c r="A1121" s="25">
        <f>IF(1118&lt;=_Engine!$B$36,1118,"")</f>
        <v/>
      </c>
      <c r="B1121" s="26">
        <f>IF($A1121="","",EDATE(_Engine!$B$5,$A1121-1))</f>
        <v/>
      </c>
      <c r="C1121" s="27">
        <f>IF($A1121="","",_Engine!$AJ1179)</f>
        <v/>
      </c>
      <c r="D1121" s="27">
        <f>IF($A1121="","",_Engine!$AK1179)</f>
        <v/>
      </c>
      <c r="E1121" s="27">
        <f>IF($A1121="","",_Engine!$AJ1179-_Engine!$AK1179)</f>
        <v/>
      </c>
      <c r="F1121" s="27">
        <f>IF($A1121="","",_Engine!$AI1179)</f>
        <v/>
      </c>
      <c r="G1121" s="27">
        <f>IF(OR($A1121="",_Engine!$D$41=0),"",INDEX(_Engine!$E1179:$X1179,1,(_Engine!$J$41-1)*4+3))</f>
        <v/>
      </c>
      <c r="H1121" s="27">
        <f>IF(OR($A1121="",_Engine!$D$42=0),"",INDEX(_Engine!$E1179:$X1179,1,(_Engine!$J$42-1)*4+3))</f>
        <v/>
      </c>
      <c r="I1121" s="27">
        <f>IF(OR($A1121="",_Engine!$D$43=0),"",INDEX(_Engine!$E1179:$X1179,1,(_Engine!$J$43-1)*4+3))</f>
        <v/>
      </c>
      <c r="J1121" s="27">
        <f>IF(OR($A1121="",_Engine!$D$44=0),"",INDEX(_Engine!$E1179:$X1179,1,(_Engine!$J$44-1)*4+3))</f>
        <v/>
      </c>
      <c r="K1121" s="27">
        <f>IF(OR($A1121="",_Engine!$D$45=0),"",INDEX(_Engine!$E1179:$X1179,1,(_Engine!$J$45-1)*4+3))</f>
        <v/>
      </c>
    </row>
    <row r="1122">
      <c r="A1122" s="25">
        <f>IF(1119&lt;=_Engine!$B$36,1119,"")</f>
        <v/>
      </c>
      <c r="B1122" s="26">
        <f>IF($A1122="","",EDATE(_Engine!$B$5,$A1122-1))</f>
        <v/>
      </c>
      <c r="C1122" s="27">
        <f>IF($A1122="","",_Engine!$AJ1180)</f>
        <v/>
      </c>
      <c r="D1122" s="27">
        <f>IF($A1122="","",_Engine!$AK1180)</f>
        <v/>
      </c>
      <c r="E1122" s="27">
        <f>IF($A1122="","",_Engine!$AJ1180-_Engine!$AK1180)</f>
        <v/>
      </c>
      <c r="F1122" s="27">
        <f>IF($A1122="","",_Engine!$AI1180)</f>
        <v/>
      </c>
      <c r="G1122" s="27">
        <f>IF(OR($A1122="",_Engine!$D$41=0),"",INDEX(_Engine!$E1180:$X1180,1,(_Engine!$J$41-1)*4+3))</f>
        <v/>
      </c>
      <c r="H1122" s="27">
        <f>IF(OR($A1122="",_Engine!$D$42=0),"",INDEX(_Engine!$E1180:$X1180,1,(_Engine!$J$42-1)*4+3))</f>
        <v/>
      </c>
      <c r="I1122" s="27">
        <f>IF(OR($A1122="",_Engine!$D$43=0),"",INDEX(_Engine!$E1180:$X1180,1,(_Engine!$J$43-1)*4+3))</f>
        <v/>
      </c>
      <c r="J1122" s="27">
        <f>IF(OR($A1122="",_Engine!$D$44=0),"",INDEX(_Engine!$E1180:$X1180,1,(_Engine!$J$44-1)*4+3))</f>
        <v/>
      </c>
      <c r="K1122" s="27">
        <f>IF(OR($A1122="",_Engine!$D$45=0),"",INDEX(_Engine!$E1180:$X1180,1,(_Engine!$J$45-1)*4+3))</f>
        <v/>
      </c>
    </row>
    <row r="1123">
      <c r="A1123" s="25">
        <f>IF(1120&lt;=_Engine!$B$36,1120,"")</f>
        <v/>
      </c>
      <c r="B1123" s="26">
        <f>IF($A1123="","",EDATE(_Engine!$B$5,$A1123-1))</f>
        <v/>
      </c>
      <c r="C1123" s="27">
        <f>IF($A1123="","",_Engine!$AJ1181)</f>
        <v/>
      </c>
      <c r="D1123" s="27">
        <f>IF($A1123="","",_Engine!$AK1181)</f>
        <v/>
      </c>
      <c r="E1123" s="27">
        <f>IF($A1123="","",_Engine!$AJ1181-_Engine!$AK1181)</f>
        <v/>
      </c>
      <c r="F1123" s="27">
        <f>IF($A1123="","",_Engine!$AI1181)</f>
        <v/>
      </c>
      <c r="G1123" s="27">
        <f>IF(OR($A1123="",_Engine!$D$41=0),"",INDEX(_Engine!$E1181:$X1181,1,(_Engine!$J$41-1)*4+3))</f>
        <v/>
      </c>
      <c r="H1123" s="27">
        <f>IF(OR($A1123="",_Engine!$D$42=0),"",INDEX(_Engine!$E1181:$X1181,1,(_Engine!$J$42-1)*4+3))</f>
        <v/>
      </c>
      <c r="I1123" s="27">
        <f>IF(OR($A1123="",_Engine!$D$43=0),"",INDEX(_Engine!$E1181:$X1181,1,(_Engine!$J$43-1)*4+3))</f>
        <v/>
      </c>
      <c r="J1123" s="27">
        <f>IF(OR($A1123="",_Engine!$D$44=0),"",INDEX(_Engine!$E1181:$X1181,1,(_Engine!$J$44-1)*4+3))</f>
        <v/>
      </c>
      <c r="K1123" s="27">
        <f>IF(OR($A1123="",_Engine!$D$45=0),"",INDEX(_Engine!$E1181:$X1181,1,(_Engine!$J$45-1)*4+3))</f>
        <v/>
      </c>
    </row>
    <row r="1124">
      <c r="A1124" s="25">
        <f>IF(1121&lt;=_Engine!$B$36,1121,"")</f>
        <v/>
      </c>
      <c r="B1124" s="26">
        <f>IF($A1124="","",EDATE(_Engine!$B$5,$A1124-1))</f>
        <v/>
      </c>
      <c r="C1124" s="27">
        <f>IF($A1124="","",_Engine!$AJ1182)</f>
        <v/>
      </c>
      <c r="D1124" s="27">
        <f>IF($A1124="","",_Engine!$AK1182)</f>
        <v/>
      </c>
      <c r="E1124" s="27">
        <f>IF($A1124="","",_Engine!$AJ1182-_Engine!$AK1182)</f>
        <v/>
      </c>
      <c r="F1124" s="27">
        <f>IF($A1124="","",_Engine!$AI1182)</f>
        <v/>
      </c>
      <c r="G1124" s="27">
        <f>IF(OR($A1124="",_Engine!$D$41=0),"",INDEX(_Engine!$E1182:$X1182,1,(_Engine!$J$41-1)*4+3))</f>
        <v/>
      </c>
      <c r="H1124" s="27">
        <f>IF(OR($A1124="",_Engine!$D$42=0),"",INDEX(_Engine!$E1182:$X1182,1,(_Engine!$J$42-1)*4+3))</f>
        <v/>
      </c>
      <c r="I1124" s="27">
        <f>IF(OR($A1124="",_Engine!$D$43=0),"",INDEX(_Engine!$E1182:$X1182,1,(_Engine!$J$43-1)*4+3))</f>
        <v/>
      </c>
      <c r="J1124" s="27">
        <f>IF(OR($A1124="",_Engine!$D$44=0),"",INDEX(_Engine!$E1182:$X1182,1,(_Engine!$J$44-1)*4+3))</f>
        <v/>
      </c>
      <c r="K1124" s="27">
        <f>IF(OR($A1124="",_Engine!$D$45=0),"",INDEX(_Engine!$E1182:$X1182,1,(_Engine!$J$45-1)*4+3))</f>
        <v/>
      </c>
    </row>
    <row r="1125">
      <c r="A1125" s="25">
        <f>IF(1122&lt;=_Engine!$B$36,1122,"")</f>
        <v/>
      </c>
      <c r="B1125" s="26">
        <f>IF($A1125="","",EDATE(_Engine!$B$5,$A1125-1))</f>
        <v/>
      </c>
      <c r="C1125" s="27">
        <f>IF($A1125="","",_Engine!$AJ1183)</f>
        <v/>
      </c>
      <c r="D1125" s="27">
        <f>IF($A1125="","",_Engine!$AK1183)</f>
        <v/>
      </c>
      <c r="E1125" s="27">
        <f>IF($A1125="","",_Engine!$AJ1183-_Engine!$AK1183)</f>
        <v/>
      </c>
      <c r="F1125" s="27">
        <f>IF($A1125="","",_Engine!$AI1183)</f>
        <v/>
      </c>
      <c r="G1125" s="27">
        <f>IF(OR($A1125="",_Engine!$D$41=0),"",INDEX(_Engine!$E1183:$X1183,1,(_Engine!$J$41-1)*4+3))</f>
        <v/>
      </c>
      <c r="H1125" s="27">
        <f>IF(OR($A1125="",_Engine!$D$42=0),"",INDEX(_Engine!$E1183:$X1183,1,(_Engine!$J$42-1)*4+3))</f>
        <v/>
      </c>
      <c r="I1125" s="27">
        <f>IF(OR($A1125="",_Engine!$D$43=0),"",INDEX(_Engine!$E1183:$X1183,1,(_Engine!$J$43-1)*4+3))</f>
        <v/>
      </c>
      <c r="J1125" s="27">
        <f>IF(OR($A1125="",_Engine!$D$44=0),"",INDEX(_Engine!$E1183:$X1183,1,(_Engine!$J$44-1)*4+3))</f>
        <v/>
      </c>
      <c r="K1125" s="27">
        <f>IF(OR($A1125="",_Engine!$D$45=0),"",INDEX(_Engine!$E1183:$X1183,1,(_Engine!$J$45-1)*4+3))</f>
        <v/>
      </c>
    </row>
    <row r="1126">
      <c r="A1126" s="25">
        <f>IF(1123&lt;=_Engine!$B$36,1123,"")</f>
        <v/>
      </c>
      <c r="B1126" s="26">
        <f>IF($A1126="","",EDATE(_Engine!$B$5,$A1126-1))</f>
        <v/>
      </c>
      <c r="C1126" s="27">
        <f>IF($A1126="","",_Engine!$AJ1184)</f>
        <v/>
      </c>
      <c r="D1126" s="27">
        <f>IF($A1126="","",_Engine!$AK1184)</f>
        <v/>
      </c>
      <c r="E1126" s="27">
        <f>IF($A1126="","",_Engine!$AJ1184-_Engine!$AK1184)</f>
        <v/>
      </c>
      <c r="F1126" s="27">
        <f>IF($A1126="","",_Engine!$AI1184)</f>
        <v/>
      </c>
      <c r="G1126" s="27">
        <f>IF(OR($A1126="",_Engine!$D$41=0),"",INDEX(_Engine!$E1184:$X1184,1,(_Engine!$J$41-1)*4+3))</f>
        <v/>
      </c>
      <c r="H1126" s="27">
        <f>IF(OR($A1126="",_Engine!$D$42=0),"",INDEX(_Engine!$E1184:$X1184,1,(_Engine!$J$42-1)*4+3))</f>
        <v/>
      </c>
      <c r="I1126" s="27">
        <f>IF(OR($A1126="",_Engine!$D$43=0),"",INDEX(_Engine!$E1184:$X1184,1,(_Engine!$J$43-1)*4+3))</f>
        <v/>
      </c>
      <c r="J1126" s="27">
        <f>IF(OR($A1126="",_Engine!$D$44=0),"",INDEX(_Engine!$E1184:$X1184,1,(_Engine!$J$44-1)*4+3))</f>
        <v/>
      </c>
      <c r="K1126" s="27">
        <f>IF(OR($A1126="",_Engine!$D$45=0),"",INDEX(_Engine!$E1184:$X1184,1,(_Engine!$J$45-1)*4+3))</f>
        <v/>
      </c>
    </row>
    <row r="1127">
      <c r="A1127" s="25">
        <f>IF(1124&lt;=_Engine!$B$36,1124,"")</f>
        <v/>
      </c>
      <c r="B1127" s="26">
        <f>IF($A1127="","",EDATE(_Engine!$B$5,$A1127-1))</f>
        <v/>
      </c>
      <c r="C1127" s="27">
        <f>IF($A1127="","",_Engine!$AJ1185)</f>
        <v/>
      </c>
      <c r="D1127" s="27">
        <f>IF($A1127="","",_Engine!$AK1185)</f>
        <v/>
      </c>
      <c r="E1127" s="27">
        <f>IF($A1127="","",_Engine!$AJ1185-_Engine!$AK1185)</f>
        <v/>
      </c>
      <c r="F1127" s="27">
        <f>IF($A1127="","",_Engine!$AI1185)</f>
        <v/>
      </c>
      <c r="G1127" s="27">
        <f>IF(OR($A1127="",_Engine!$D$41=0),"",INDEX(_Engine!$E1185:$X1185,1,(_Engine!$J$41-1)*4+3))</f>
        <v/>
      </c>
      <c r="H1127" s="27">
        <f>IF(OR($A1127="",_Engine!$D$42=0),"",INDEX(_Engine!$E1185:$X1185,1,(_Engine!$J$42-1)*4+3))</f>
        <v/>
      </c>
      <c r="I1127" s="27">
        <f>IF(OR($A1127="",_Engine!$D$43=0),"",INDEX(_Engine!$E1185:$X1185,1,(_Engine!$J$43-1)*4+3))</f>
        <v/>
      </c>
      <c r="J1127" s="27">
        <f>IF(OR($A1127="",_Engine!$D$44=0),"",INDEX(_Engine!$E1185:$X1185,1,(_Engine!$J$44-1)*4+3))</f>
        <v/>
      </c>
      <c r="K1127" s="27">
        <f>IF(OR($A1127="",_Engine!$D$45=0),"",INDEX(_Engine!$E1185:$X1185,1,(_Engine!$J$45-1)*4+3))</f>
        <v/>
      </c>
    </row>
    <row r="1128">
      <c r="A1128" s="25">
        <f>IF(1125&lt;=_Engine!$B$36,1125,"")</f>
        <v/>
      </c>
      <c r="B1128" s="26">
        <f>IF($A1128="","",EDATE(_Engine!$B$5,$A1128-1))</f>
        <v/>
      </c>
      <c r="C1128" s="27">
        <f>IF($A1128="","",_Engine!$AJ1186)</f>
        <v/>
      </c>
      <c r="D1128" s="27">
        <f>IF($A1128="","",_Engine!$AK1186)</f>
        <v/>
      </c>
      <c r="E1128" s="27">
        <f>IF($A1128="","",_Engine!$AJ1186-_Engine!$AK1186)</f>
        <v/>
      </c>
      <c r="F1128" s="27">
        <f>IF($A1128="","",_Engine!$AI1186)</f>
        <v/>
      </c>
      <c r="G1128" s="27">
        <f>IF(OR($A1128="",_Engine!$D$41=0),"",INDEX(_Engine!$E1186:$X1186,1,(_Engine!$J$41-1)*4+3))</f>
        <v/>
      </c>
      <c r="H1128" s="27">
        <f>IF(OR($A1128="",_Engine!$D$42=0),"",INDEX(_Engine!$E1186:$X1186,1,(_Engine!$J$42-1)*4+3))</f>
        <v/>
      </c>
      <c r="I1128" s="27">
        <f>IF(OR($A1128="",_Engine!$D$43=0),"",INDEX(_Engine!$E1186:$X1186,1,(_Engine!$J$43-1)*4+3))</f>
        <v/>
      </c>
      <c r="J1128" s="27">
        <f>IF(OR($A1128="",_Engine!$D$44=0),"",INDEX(_Engine!$E1186:$X1186,1,(_Engine!$J$44-1)*4+3))</f>
        <v/>
      </c>
      <c r="K1128" s="27">
        <f>IF(OR($A1128="",_Engine!$D$45=0),"",INDEX(_Engine!$E1186:$X1186,1,(_Engine!$J$45-1)*4+3))</f>
        <v/>
      </c>
    </row>
    <row r="1129">
      <c r="A1129" s="25">
        <f>IF(1126&lt;=_Engine!$B$36,1126,"")</f>
        <v/>
      </c>
      <c r="B1129" s="26">
        <f>IF($A1129="","",EDATE(_Engine!$B$5,$A1129-1))</f>
        <v/>
      </c>
      <c r="C1129" s="27">
        <f>IF($A1129="","",_Engine!$AJ1187)</f>
        <v/>
      </c>
      <c r="D1129" s="27">
        <f>IF($A1129="","",_Engine!$AK1187)</f>
        <v/>
      </c>
      <c r="E1129" s="27">
        <f>IF($A1129="","",_Engine!$AJ1187-_Engine!$AK1187)</f>
        <v/>
      </c>
      <c r="F1129" s="27">
        <f>IF($A1129="","",_Engine!$AI1187)</f>
        <v/>
      </c>
      <c r="G1129" s="27">
        <f>IF(OR($A1129="",_Engine!$D$41=0),"",INDEX(_Engine!$E1187:$X1187,1,(_Engine!$J$41-1)*4+3))</f>
        <v/>
      </c>
      <c r="H1129" s="27">
        <f>IF(OR($A1129="",_Engine!$D$42=0),"",INDEX(_Engine!$E1187:$X1187,1,(_Engine!$J$42-1)*4+3))</f>
        <v/>
      </c>
      <c r="I1129" s="27">
        <f>IF(OR($A1129="",_Engine!$D$43=0),"",INDEX(_Engine!$E1187:$X1187,1,(_Engine!$J$43-1)*4+3))</f>
        <v/>
      </c>
      <c r="J1129" s="27">
        <f>IF(OR($A1129="",_Engine!$D$44=0),"",INDEX(_Engine!$E1187:$X1187,1,(_Engine!$J$44-1)*4+3))</f>
        <v/>
      </c>
      <c r="K1129" s="27">
        <f>IF(OR($A1129="",_Engine!$D$45=0),"",INDEX(_Engine!$E1187:$X1187,1,(_Engine!$J$45-1)*4+3))</f>
        <v/>
      </c>
    </row>
    <row r="1130">
      <c r="A1130" s="25">
        <f>IF(1127&lt;=_Engine!$B$36,1127,"")</f>
        <v/>
      </c>
      <c r="B1130" s="26">
        <f>IF($A1130="","",EDATE(_Engine!$B$5,$A1130-1))</f>
        <v/>
      </c>
      <c r="C1130" s="27">
        <f>IF($A1130="","",_Engine!$AJ1188)</f>
        <v/>
      </c>
      <c r="D1130" s="27">
        <f>IF($A1130="","",_Engine!$AK1188)</f>
        <v/>
      </c>
      <c r="E1130" s="27">
        <f>IF($A1130="","",_Engine!$AJ1188-_Engine!$AK1188)</f>
        <v/>
      </c>
      <c r="F1130" s="27">
        <f>IF($A1130="","",_Engine!$AI1188)</f>
        <v/>
      </c>
      <c r="G1130" s="27">
        <f>IF(OR($A1130="",_Engine!$D$41=0),"",INDEX(_Engine!$E1188:$X1188,1,(_Engine!$J$41-1)*4+3))</f>
        <v/>
      </c>
      <c r="H1130" s="27">
        <f>IF(OR($A1130="",_Engine!$D$42=0),"",INDEX(_Engine!$E1188:$X1188,1,(_Engine!$J$42-1)*4+3))</f>
        <v/>
      </c>
      <c r="I1130" s="27">
        <f>IF(OR($A1130="",_Engine!$D$43=0),"",INDEX(_Engine!$E1188:$X1188,1,(_Engine!$J$43-1)*4+3))</f>
        <v/>
      </c>
      <c r="J1130" s="27">
        <f>IF(OR($A1130="",_Engine!$D$44=0),"",INDEX(_Engine!$E1188:$X1188,1,(_Engine!$J$44-1)*4+3))</f>
        <v/>
      </c>
      <c r="K1130" s="27">
        <f>IF(OR($A1130="",_Engine!$D$45=0),"",INDEX(_Engine!$E1188:$X1188,1,(_Engine!$J$45-1)*4+3))</f>
        <v/>
      </c>
    </row>
    <row r="1131">
      <c r="A1131" s="25">
        <f>IF(1128&lt;=_Engine!$B$36,1128,"")</f>
        <v/>
      </c>
      <c r="B1131" s="26">
        <f>IF($A1131="","",EDATE(_Engine!$B$5,$A1131-1))</f>
        <v/>
      </c>
      <c r="C1131" s="27">
        <f>IF($A1131="","",_Engine!$AJ1189)</f>
        <v/>
      </c>
      <c r="D1131" s="27">
        <f>IF($A1131="","",_Engine!$AK1189)</f>
        <v/>
      </c>
      <c r="E1131" s="27">
        <f>IF($A1131="","",_Engine!$AJ1189-_Engine!$AK1189)</f>
        <v/>
      </c>
      <c r="F1131" s="27">
        <f>IF($A1131="","",_Engine!$AI1189)</f>
        <v/>
      </c>
      <c r="G1131" s="27">
        <f>IF(OR($A1131="",_Engine!$D$41=0),"",INDEX(_Engine!$E1189:$X1189,1,(_Engine!$J$41-1)*4+3))</f>
        <v/>
      </c>
      <c r="H1131" s="27">
        <f>IF(OR($A1131="",_Engine!$D$42=0),"",INDEX(_Engine!$E1189:$X1189,1,(_Engine!$J$42-1)*4+3))</f>
        <v/>
      </c>
      <c r="I1131" s="27">
        <f>IF(OR($A1131="",_Engine!$D$43=0),"",INDEX(_Engine!$E1189:$X1189,1,(_Engine!$J$43-1)*4+3))</f>
        <v/>
      </c>
      <c r="J1131" s="27">
        <f>IF(OR($A1131="",_Engine!$D$44=0),"",INDEX(_Engine!$E1189:$X1189,1,(_Engine!$J$44-1)*4+3))</f>
        <v/>
      </c>
      <c r="K1131" s="27">
        <f>IF(OR($A1131="",_Engine!$D$45=0),"",INDEX(_Engine!$E1189:$X1189,1,(_Engine!$J$45-1)*4+3))</f>
        <v/>
      </c>
    </row>
    <row r="1132">
      <c r="A1132" s="25">
        <f>IF(1129&lt;=_Engine!$B$36,1129,"")</f>
        <v/>
      </c>
      <c r="B1132" s="26">
        <f>IF($A1132="","",EDATE(_Engine!$B$5,$A1132-1))</f>
        <v/>
      </c>
      <c r="C1132" s="27">
        <f>IF($A1132="","",_Engine!$AJ1190)</f>
        <v/>
      </c>
      <c r="D1132" s="27">
        <f>IF($A1132="","",_Engine!$AK1190)</f>
        <v/>
      </c>
      <c r="E1132" s="27">
        <f>IF($A1132="","",_Engine!$AJ1190-_Engine!$AK1190)</f>
        <v/>
      </c>
      <c r="F1132" s="27">
        <f>IF($A1132="","",_Engine!$AI1190)</f>
        <v/>
      </c>
      <c r="G1132" s="27">
        <f>IF(OR($A1132="",_Engine!$D$41=0),"",INDEX(_Engine!$E1190:$X1190,1,(_Engine!$J$41-1)*4+3))</f>
        <v/>
      </c>
      <c r="H1132" s="27">
        <f>IF(OR($A1132="",_Engine!$D$42=0),"",INDEX(_Engine!$E1190:$X1190,1,(_Engine!$J$42-1)*4+3))</f>
        <v/>
      </c>
      <c r="I1132" s="27">
        <f>IF(OR($A1132="",_Engine!$D$43=0),"",INDEX(_Engine!$E1190:$X1190,1,(_Engine!$J$43-1)*4+3))</f>
        <v/>
      </c>
      <c r="J1132" s="27">
        <f>IF(OR($A1132="",_Engine!$D$44=0),"",INDEX(_Engine!$E1190:$X1190,1,(_Engine!$J$44-1)*4+3))</f>
        <v/>
      </c>
      <c r="K1132" s="27">
        <f>IF(OR($A1132="",_Engine!$D$45=0),"",INDEX(_Engine!$E1190:$X1190,1,(_Engine!$J$45-1)*4+3))</f>
        <v/>
      </c>
    </row>
    <row r="1133">
      <c r="A1133" s="25">
        <f>IF(1130&lt;=_Engine!$B$36,1130,"")</f>
        <v/>
      </c>
      <c r="B1133" s="26">
        <f>IF($A1133="","",EDATE(_Engine!$B$5,$A1133-1))</f>
        <v/>
      </c>
      <c r="C1133" s="27">
        <f>IF($A1133="","",_Engine!$AJ1191)</f>
        <v/>
      </c>
      <c r="D1133" s="27">
        <f>IF($A1133="","",_Engine!$AK1191)</f>
        <v/>
      </c>
      <c r="E1133" s="27">
        <f>IF($A1133="","",_Engine!$AJ1191-_Engine!$AK1191)</f>
        <v/>
      </c>
      <c r="F1133" s="27">
        <f>IF($A1133="","",_Engine!$AI1191)</f>
        <v/>
      </c>
      <c r="G1133" s="27">
        <f>IF(OR($A1133="",_Engine!$D$41=0),"",INDEX(_Engine!$E1191:$X1191,1,(_Engine!$J$41-1)*4+3))</f>
        <v/>
      </c>
      <c r="H1133" s="27">
        <f>IF(OR($A1133="",_Engine!$D$42=0),"",INDEX(_Engine!$E1191:$X1191,1,(_Engine!$J$42-1)*4+3))</f>
        <v/>
      </c>
      <c r="I1133" s="27">
        <f>IF(OR($A1133="",_Engine!$D$43=0),"",INDEX(_Engine!$E1191:$X1191,1,(_Engine!$J$43-1)*4+3))</f>
        <v/>
      </c>
      <c r="J1133" s="27">
        <f>IF(OR($A1133="",_Engine!$D$44=0),"",INDEX(_Engine!$E1191:$X1191,1,(_Engine!$J$44-1)*4+3))</f>
        <v/>
      </c>
      <c r="K1133" s="27">
        <f>IF(OR($A1133="",_Engine!$D$45=0),"",INDEX(_Engine!$E1191:$X1191,1,(_Engine!$J$45-1)*4+3))</f>
        <v/>
      </c>
    </row>
    <row r="1134">
      <c r="A1134" s="25">
        <f>IF(1131&lt;=_Engine!$B$36,1131,"")</f>
        <v/>
      </c>
      <c r="B1134" s="26">
        <f>IF($A1134="","",EDATE(_Engine!$B$5,$A1134-1))</f>
        <v/>
      </c>
      <c r="C1134" s="27">
        <f>IF($A1134="","",_Engine!$AJ1192)</f>
        <v/>
      </c>
      <c r="D1134" s="27">
        <f>IF($A1134="","",_Engine!$AK1192)</f>
        <v/>
      </c>
      <c r="E1134" s="27">
        <f>IF($A1134="","",_Engine!$AJ1192-_Engine!$AK1192)</f>
        <v/>
      </c>
      <c r="F1134" s="27">
        <f>IF($A1134="","",_Engine!$AI1192)</f>
        <v/>
      </c>
      <c r="G1134" s="27">
        <f>IF(OR($A1134="",_Engine!$D$41=0),"",INDEX(_Engine!$E1192:$X1192,1,(_Engine!$J$41-1)*4+3))</f>
        <v/>
      </c>
      <c r="H1134" s="27">
        <f>IF(OR($A1134="",_Engine!$D$42=0),"",INDEX(_Engine!$E1192:$X1192,1,(_Engine!$J$42-1)*4+3))</f>
        <v/>
      </c>
      <c r="I1134" s="27">
        <f>IF(OR($A1134="",_Engine!$D$43=0),"",INDEX(_Engine!$E1192:$X1192,1,(_Engine!$J$43-1)*4+3))</f>
        <v/>
      </c>
      <c r="J1134" s="27">
        <f>IF(OR($A1134="",_Engine!$D$44=0),"",INDEX(_Engine!$E1192:$X1192,1,(_Engine!$J$44-1)*4+3))</f>
        <v/>
      </c>
      <c r="K1134" s="27">
        <f>IF(OR($A1134="",_Engine!$D$45=0),"",INDEX(_Engine!$E1192:$X1192,1,(_Engine!$J$45-1)*4+3))</f>
        <v/>
      </c>
    </row>
    <row r="1135">
      <c r="A1135" s="25">
        <f>IF(1132&lt;=_Engine!$B$36,1132,"")</f>
        <v/>
      </c>
      <c r="B1135" s="26">
        <f>IF($A1135="","",EDATE(_Engine!$B$5,$A1135-1))</f>
        <v/>
      </c>
      <c r="C1135" s="27">
        <f>IF($A1135="","",_Engine!$AJ1193)</f>
        <v/>
      </c>
      <c r="D1135" s="27">
        <f>IF($A1135="","",_Engine!$AK1193)</f>
        <v/>
      </c>
      <c r="E1135" s="27">
        <f>IF($A1135="","",_Engine!$AJ1193-_Engine!$AK1193)</f>
        <v/>
      </c>
      <c r="F1135" s="27">
        <f>IF($A1135="","",_Engine!$AI1193)</f>
        <v/>
      </c>
      <c r="G1135" s="27">
        <f>IF(OR($A1135="",_Engine!$D$41=0),"",INDEX(_Engine!$E1193:$X1193,1,(_Engine!$J$41-1)*4+3))</f>
        <v/>
      </c>
      <c r="H1135" s="27">
        <f>IF(OR($A1135="",_Engine!$D$42=0),"",INDEX(_Engine!$E1193:$X1193,1,(_Engine!$J$42-1)*4+3))</f>
        <v/>
      </c>
      <c r="I1135" s="27">
        <f>IF(OR($A1135="",_Engine!$D$43=0),"",INDEX(_Engine!$E1193:$X1193,1,(_Engine!$J$43-1)*4+3))</f>
        <v/>
      </c>
      <c r="J1135" s="27">
        <f>IF(OR($A1135="",_Engine!$D$44=0),"",INDEX(_Engine!$E1193:$X1193,1,(_Engine!$J$44-1)*4+3))</f>
        <v/>
      </c>
      <c r="K1135" s="27">
        <f>IF(OR($A1135="",_Engine!$D$45=0),"",INDEX(_Engine!$E1193:$X1193,1,(_Engine!$J$45-1)*4+3))</f>
        <v/>
      </c>
    </row>
    <row r="1136">
      <c r="A1136" s="25">
        <f>IF(1133&lt;=_Engine!$B$36,1133,"")</f>
        <v/>
      </c>
      <c r="B1136" s="26">
        <f>IF($A1136="","",EDATE(_Engine!$B$5,$A1136-1))</f>
        <v/>
      </c>
      <c r="C1136" s="27">
        <f>IF($A1136="","",_Engine!$AJ1194)</f>
        <v/>
      </c>
      <c r="D1136" s="27">
        <f>IF($A1136="","",_Engine!$AK1194)</f>
        <v/>
      </c>
      <c r="E1136" s="27">
        <f>IF($A1136="","",_Engine!$AJ1194-_Engine!$AK1194)</f>
        <v/>
      </c>
      <c r="F1136" s="27">
        <f>IF($A1136="","",_Engine!$AI1194)</f>
        <v/>
      </c>
      <c r="G1136" s="27">
        <f>IF(OR($A1136="",_Engine!$D$41=0),"",INDEX(_Engine!$E1194:$X1194,1,(_Engine!$J$41-1)*4+3))</f>
        <v/>
      </c>
      <c r="H1136" s="27">
        <f>IF(OR($A1136="",_Engine!$D$42=0),"",INDEX(_Engine!$E1194:$X1194,1,(_Engine!$J$42-1)*4+3))</f>
        <v/>
      </c>
      <c r="I1136" s="27">
        <f>IF(OR($A1136="",_Engine!$D$43=0),"",INDEX(_Engine!$E1194:$X1194,1,(_Engine!$J$43-1)*4+3))</f>
        <v/>
      </c>
      <c r="J1136" s="27">
        <f>IF(OR($A1136="",_Engine!$D$44=0),"",INDEX(_Engine!$E1194:$X1194,1,(_Engine!$J$44-1)*4+3))</f>
        <v/>
      </c>
      <c r="K1136" s="27">
        <f>IF(OR($A1136="",_Engine!$D$45=0),"",INDEX(_Engine!$E1194:$X1194,1,(_Engine!$J$45-1)*4+3))</f>
        <v/>
      </c>
    </row>
    <row r="1137">
      <c r="A1137" s="25">
        <f>IF(1134&lt;=_Engine!$B$36,1134,"")</f>
        <v/>
      </c>
      <c r="B1137" s="26">
        <f>IF($A1137="","",EDATE(_Engine!$B$5,$A1137-1))</f>
        <v/>
      </c>
      <c r="C1137" s="27">
        <f>IF($A1137="","",_Engine!$AJ1195)</f>
        <v/>
      </c>
      <c r="D1137" s="27">
        <f>IF($A1137="","",_Engine!$AK1195)</f>
        <v/>
      </c>
      <c r="E1137" s="27">
        <f>IF($A1137="","",_Engine!$AJ1195-_Engine!$AK1195)</f>
        <v/>
      </c>
      <c r="F1137" s="27">
        <f>IF($A1137="","",_Engine!$AI1195)</f>
        <v/>
      </c>
      <c r="G1137" s="27">
        <f>IF(OR($A1137="",_Engine!$D$41=0),"",INDEX(_Engine!$E1195:$X1195,1,(_Engine!$J$41-1)*4+3))</f>
        <v/>
      </c>
      <c r="H1137" s="27">
        <f>IF(OR($A1137="",_Engine!$D$42=0),"",INDEX(_Engine!$E1195:$X1195,1,(_Engine!$J$42-1)*4+3))</f>
        <v/>
      </c>
      <c r="I1137" s="27">
        <f>IF(OR($A1137="",_Engine!$D$43=0),"",INDEX(_Engine!$E1195:$X1195,1,(_Engine!$J$43-1)*4+3))</f>
        <v/>
      </c>
      <c r="J1137" s="27">
        <f>IF(OR($A1137="",_Engine!$D$44=0),"",INDEX(_Engine!$E1195:$X1195,1,(_Engine!$J$44-1)*4+3))</f>
        <v/>
      </c>
      <c r="K1137" s="27">
        <f>IF(OR($A1137="",_Engine!$D$45=0),"",INDEX(_Engine!$E1195:$X1195,1,(_Engine!$J$45-1)*4+3))</f>
        <v/>
      </c>
    </row>
    <row r="1138">
      <c r="A1138" s="25">
        <f>IF(1135&lt;=_Engine!$B$36,1135,"")</f>
        <v/>
      </c>
      <c r="B1138" s="26">
        <f>IF($A1138="","",EDATE(_Engine!$B$5,$A1138-1))</f>
        <v/>
      </c>
      <c r="C1138" s="27">
        <f>IF($A1138="","",_Engine!$AJ1196)</f>
        <v/>
      </c>
      <c r="D1138" s="27">
        <f>IF($A1138="","",_Engine!$AK1196)</f>
        <v/>
      </c>
      <c r="E1138" s="27">
        <f>IF($A1138="","",_Engine!$AJ1196-_Engine!$AK1196)</f>
        <v/>
      </c>
      <c r="F1138" s="27">
        <f>IF($A1138="","",_Engine!$AI1196)</f>
        <v/>
      </c>
      <c r="G1138" s="27">
        <f>IF(OR($A1138="",_Engine!$D$41=0),"",INDEX(_Engine!$E1196:$X1196,1,(_Engine!$J$41-1)*4+3))</f>
        <v/>
      </c>
      <c r="H1138" s="27">
        <f>IF(OR($A1138="",_Engine!$D$42=0),"",INDEX(_Engine!$E1196:$X1196,1,(_Engine!$J$42-1)*4+3))</f>
        <v/>
      </c>
      <c r="I1138" s="27">
        <f>IF(OR($A1138="",_Engine!$D$43=0),"",INDEX(_Engine!$E1196:$X1196,1,(_Engine!$J$43-1)*4+3))</f>
        <v/>
      </c>
      <c r="J1138" s="27">
        <f>IF(OR($A1138="",_Engine!$D$44=0),"",INDEX(_Engine!$E1196:$X1196,1,(_Engine!$J$44-1)*4+3))</f>
        <v/>
      </c>
      <c r="K1138" s="27">
        <f>IF(OR($A1138="",_Engine!$D$45=0),"",INDEX(_Engine!$E1196:$X1196,1,(_Engine!$J$45-1)*4+3))</f>
        <v/>
      </c>
    </row>
    <row r="1139">
      <c r="A1139" s="25">
        <f>IF(1136&lt;=_Engine!$B$36,1136,"")</f>
        <v/>
      </c>
      <c r="B1139" s="26">
        <f>IF($A1139="","",EDATE(_Engine!$B$5,$A1139-1))</f>
        <v/>
      </c>
      <c r="C1139" s="27">
        <f>IF($A1139="","",_Engine!$AJ1197)</f>
        <v/>
      </c>
      <c r="D1139" s="27">
        <f>IF($A1139="","",_Engine!$AK1197)</f>
        <v/>
      </c>
      <c r="E1139" s="27">
        <f>IF($A1139="","",_Engine!$AJ1197-_Engine!$AK1197)</f>
        <v/>
      </c>
      <c r="F1139" s="27">
        <f>IF($A1139="","",_Engine!$AI1197)</f>
        <v/>
      </c>
      <c r="G1139" s="27">
        <f>IF(OR($A1139="",_Engine!$D$41=0),"",INDEX(_Engine!$E1197:$X1197,1,(_Engine!$J$41-1)*4+3))</f>
        <v/>
      </c>
      <c r="H1139" s="27">
        <f>IF(OR($A1139="",_Engine!$D$42=0),"",INDEX(_Engine!$E1197:$X1197,1,(_Engine!$J$42-1)*4+3))</f>
        <v/>
      </c>
      <c r="I1139" s="27">
        <f>IF(OR($A1139="",_Engine!$D$43=0),"",INDEX(_Engine!$E1197:$X1197,1,(_Engine!$J$43-1)*4+3))</f>
        <v/>
      </c>
      <c r="J1139" s="27">
        <f>IF(OR($A1139="",_Engine!$D$44=0),"",INDEX(_Engine!$E1197:$X1197,1,(_Engine!$J$44-1)*4+3))</f>
        <v/>
      </c>
      <c r="K1139" s="27">
        <f>IF(OR($A1139="",_Engine!$D$45=0),"",INDEX(_Engine!$E1197:$X1197,1,(_Engine!$J$45-1)*4+3))</f>
        <v/>
      </c>
    </row>
    <row r="1140">
      <c r="A1140" s="25">
        <f>IF(1137&lt;=_Engine!$B$36,1137,"")</f>
        <v/>
      </c>
      <c r="B1140" s="26">
        <f>IF($A1140="","",EDATE(_Engine!$B$5,$A1140-1))</f>
        <v/>
      </c>
      <c r="C1140" s="27">
        <f>IF($A1140="","",_Engine!$AJ1198)</f>
        <v/>
      </c>
      <c r="D1140" s="27">
        <f>IF($A1140="","",_Engine!$AK1198)</f>
        <v/>
      </c>
      <c r="E1140" s="27">
        <f>IF($A1140="","",_Engine!$AJ1198-_Engine!$AK1198)</f>
        <v/>
      </c>
      <c r="F1140" s="27">
        <f>IF($A1140="","",_Engine!$AI1198)</f>
        <v/>
      </c>
      <c r="G1140" s="27">
        <f>IF(OR($A1140="",_Engine!$D$41=0),"",INDEX(_Engine!$E1198:$X1198,1,(_Engine!$J$41-1)*4+3))</f>
        <v/>
      </c>
      <c r="H1140" s="27">
        <f>IF(OR($A1140="",_Engine!$D$42=0),"",INDEX(_Engine!$E1198:$X1198,1,(_Engine!$J$42-1)*4+3))</f>
        <v/>
      </c>
      <c r="I1140" s="27">
        <f>IF(OR($A1140="",_Engine!$D$43=0),"",INDEX(_Engine!$E1198:$X1198,1,(_Engine!$J$43-1)*4+3))</f>
        <v/>
      </c>
      <c r="J1140" s="27">
        <f>IF(OR($A1140="",_Engine!$D$44=0),"",INDEX(_Engine!$E1198:$X1198,1,(_Engine!$J$44-1)*4+3))</f>
        <v/>
      </c>
      <c r="K1140" s="27">
        <f>IF(OR($A1140="",_Engine!$D$45=0),"",INDEX(_Engine!$E1198:$X1198,1,(_Engine!$J$45-1)*4+3))</f>
        <v/>
      </c>
    </row>
    <row r="1141">
      <c r="A1141" s="25">
        <f>IF(1138&lt;=_Engine!$B$36,1138,"")</f>
        <v/>
      </c>
      <c r="B1141" s="26">
        <f>IF($A1141="","",EDATE(_Engine!$B$5,$A1141-1))</f>
        <v/>
      </c>
      <c r="C1141" s="27">
        <f>IF($A1141="","",_Engine!$AJ1199)</f>
        <v/>
      </c>
      <c r="D1141" s="27">
        <f>IF($A1141="","",_Engine!$AK1199)</f>
        <v/>
      </c>
      <c r="E1141" s="27">
        <f>IF($A1141="","",_Engine!$AJ1199-_Engine!$AK1199)</f>
        <v/>
      </c>
      <c r="F1141" s="27">
        <f>IF($A1141="","",_Engine!$AI1199)</f>
        <v/>
      </c>
      <c r="G1141" s="27">
        <f>IF(OR($A1141="",_Engine!$D$41=0),"",INDEX(_Engine!$E1199:$X1199,1,(_Engine!$J$41-1)*4+3))</f>
        <v/>
      </c>
      <c r="H1141" s="27">
        <f>IF(OR($A1141="",_Engine!$D$42=0),"",INDEX(_Engine!$E1199:$X1199,1,(_Engine!$J$42-1)*4+3))</f>
        <v/>
      </c>
      <c r="I1141" s="27">
        <f>IF(OR($A1141="",_Engine!$D$43=0),"",INDEX(_Engine!$E1199:$X1199,1,(_Engine!$J$43-1)*4+3))</f>
        <v/>
      </c>
      <c r="J1141" s="27">
        <f>IF(OR($A1141="",_Engine!$D$44=0),"",INDEX(_Engine!$E1199:$X1199,1,(_Engine!$J$44-1)*4+3))</f>
        <v/>
      </c>
      <c r="K1141" s="27">
        <f>IF(OR($A1141="",_Engine!$D$45=0),"",INDEX(_Engine!$E1199:$X1199,1,(_Engine!$J$45-1)*4+3))</f>
        <v/>
      </c>
    </row>
    <row r="1142">
      <c r="A1142" s="25">
        <f>IF(1139&lt;=_Engine!$B$36,1139,"")</f>
        <v/>
      </c>
      <c r="B1142" s="26">
        <f>IF($A1142="","",EDATE(_Engine!$B$5,$A1142-1))</f>
        <v/>
      </c>
      <c r="C1142" s="27">
        <f>IF($A1142="","",_Engine!$AJ1200)</f>
        <v/>
      </c>
      <c r="D1142" s="27">
        <f>IF($A1142="","",_Engine!$AK1200)</f>
        <v/>
      </c>
      <c r="E1142" s="27">
        <f>IF($A1142="","",_Engine!$AJ1200-_Engine!$AK1200)</f>
        <v/>
      </c>
      <c r="F1142" s="27">
        <f>IF($A1142="","",_Engine!$AI1200)</f>
        <v/>
      </c>
      <c r="G1142" s="27">
        <f>IF(OR($A1142="",_Engine!$D$41=0),"",INDEX(_Engine!$E1200:$X1200,1,(_Engine!$J$41-1)*4+3))</f>
        <v/>
      </c>
      <c r="H1142" s="27">
        <f>IF(OR($A1142="",_Engine!$D$42=0),"",INDEX(_Engine!$E1200:$X1200,1,(_Engine!$J$42-1)*4+3))</f>
        <v/>
      </c>
      <c r="I1142" s="27">
        <f>IF(OR($A1142="",_Engine!$D$43=0),"",INDEX(_Engine!$E1200:$X1200,1,(_Engine!$J$43-1)*4+3))</f>
        <v/>
      </c>
      <c r="J1142" s="27">
        <f>IF(OR($A1142="",_Engine!$D$44=0),"",INDEX(_Engine!$E1200:$X1200,1,(_Engine!$J$44-1)*4+3))</f>
        <v/>
      </c>
      <c r="K1142" s="27">
        <f>IF(OR($A1142="",_Engine!$D$45=0),"",INDEX(_Engine!$E1200:$X1200,1,(_Engine!$J$45-1)*4+3))</f>
        <v/>
      </c>
    </row>
    <row r="1143">
      <c r="A1143" s="25">
        <f>IF(1140&lt;=_Engine!$B$36,1140,"")</f>
        <v/>
      </c>
      <c r="B1143" s="26">
        <f>IF($A1143="","",EDATE(_Engine!$B$5,$A1143-1))</f>
        <v/>
      </c>
      <c r="C1143" s="27">
        <f>IF($A1143="","",_Engine!$AJ1201)</f>
        <v/>
      </c>
      <c r="D1143" s="27">
        <f>IF($A1143="","",_Engine!$AK1201)</f>
        <v/>
      </c>
      <c r="E1143" s="27">
        <f>IF($A1143="","",_Engine!$AJ1201-_Engine!$AK1201)</f>
        <v/>
      </c>
      <c r="F1143" s="27">
        <f>IF($A1143="","",_Engine!$AI1201)</f>
        <v/>
      </c>
      <c r="G1143" s="27">
        <f>IF(OR($A1143="",_Engine!$D$41=0),"",INDEX(_Engine!$E1201:$X1201,1,(_Engine!$J$41-1)*4+3))</f>
        <v/>
      </c>
      <c r="H1143" s="27">
        <f>IF(OR($A1143="",_Engine!$D$42=0),"",INDEX(_Engine!$E1201:$X1201,1,(_Engine!$J$42-1)*4+3))</f>
        <v/>
      </c>
      <c r="I1143" s="27">
        <f>IF(OR($A1143="",_Engine!$D$43=0),"",INDEX(_Engine!$E1201:$X1201,1,(_Engine!$J$43-1)*4+3))</f>
        <v/>
      </c>
      <c r="J1143" s="27">
        <f>IF(OR($A1143="",_Engine!$D$44=0),"",INDEX(_Engine!$E1201:$X1201,1,(_Engine!$J$44-1)*4+3))</f>
        <v/>
      </c>
      <c r="K1143" s="27">
        <f>IF(OR($A1143="",_Engine!$D$45=0),"",INDEX(_Engine!$E1201:$X1201,1,(_Engine!$J$45-1)*4+3))</f>
        <v/>
      </c>
    </row>
    <row r="1144">
      <c r="A1144" s="25">
        <f>IF(1141&lt;=_Engine!$B$36,1141,"")</f>
        <v/>
      </c>
      <c r="B1144" s="26">
        <f>IF($A1144="","",EDATE(_Engine!$B$5,$A1144-1))</f>
        <v/>
      </c>
      <c r="C1144" s="27">
        <f>IF($A1144="","",_Engine!$AJ1202)</f>
        <v/>
      </c>
      <c r="D1144" s="27">
        <f>IF($A1144="","",_Engine!$AK1202)</f>
        <v/>
      </c>
      <c r="E1144" s="27">
        <f>IF($A1144="","",_Engine!$AJ1202-_Engine!$AK1202)</f>
        <v/>
      </c>
      <c r="F1144" s="27">
        <f>IF($A1144="","",_Engine!$AI1202)</f>
        <v/>
      </c>
      <c r="G1144" s="27">
        <f>IF(OR($A1144="",_Engine!$D$41=0),"",INDEX(_Engine!$E1202:$X1202,1,(_Engine!$J$41-1)*4+3))</f>
        <v/>
      </c>
      <c r="H1144" s="27">
        <f>IF(OR($A1144="",_Engine!$D$42=0),"",INDEX(_Engine!$E1202:$X1202,1,(_Engine!$J$42-1)*4+3))</f>
        <v/>
      </c>
      <c r="I1144" s="27">
        <f>IF(OR($A1144="",_Engine!$D$43=0),"",INDEX(_Engine!$E1202:$X1202,1,(_Engine!$J$43-1)*4+3))</f>
        <v/>
      </c>
      <c r="J1144" s="27">
        <f>IF(OR($A1144="",_Engine!$D$44=0),"",INDEX(_Engine!$E1202:$X1202,1,(_Engine!$J$44-1)*4+3))</f>
        <v/>
      </c>
      <c r="K1144" s="27">
        <f>IF(OR($A1144="",_Engine!$D$45=0),"",INDEX(_Engine!$E1202:$X1202,1,(_Engine!$J$45-1)*4+3))</f>
        <v/>
      </c>
    </row>
    <row r="1145">
      <c r="A1145" s="25">
        <f>IF(1142&lt;=_Engine!$B$36,1142,"")</f>
        <v/>
      </c>
      <c r="B1145" s="26">
        <f>IF($A1145="","",EDATE(_Engine!$B$5,$A1145-1))</f>
        <v/>
      </c>
      <c r="C1145" s="27">
        <f>IF($A1145="","",_Engine!$AJ1203)</f>
        <v/>
      </c>
      <c r="D1145" s="27">
        <f>IF($A1145="","",_Engine!$AK1203)</f>
        <v/>
      </c>
      <c r="E1145" s="27">
        <f>IF($A1145="","",_Engine!$AJ1203-_Engine!$AK1203)</f>
        <v/>
      </c>
      <c r="F1145" s="27">
        <f>IF($A1145="","",_Engine!$AI1203)</f>
        <v/>
      </c>
      <c r="G1145" s="27">
        <f>IF(OR($A1145="",_Engine!$D$41=0),"",INDEX(_Engine!$E1203:$X1203,1,(_Engine!$J$41-1)*4+3))</f>
        <v/>
      </c>
      <c r="H1145" s="27">
        <f>IF(OR($A1145="",_Engine!$D$42=0),"",INDEX(_Engine!$E1203:$X1203,1,(_Engine!$J$42-1)*4+3))</f>
        <v/>
      </c>
      <c r="I1145" s="27">
        <f>IF(OR($A1145="",_Engine!$D$43=0),"",INDEX(_Engine!$E1203:$X1203,1,(_Engine!$J$43-1)*4+3))</f>
        <v/>
      </c>
      <c r="J1145" s="27">
        <f>IF(OR($A1145="",_Engine!$D$44=0),"",INDEX(_Engine!$E1203:$X1203,1,(_Engine!$J$44-1)*4+3))</f>
        <v/>
      </c>
      <c r="K1145" s="27">
        <f>IF(OR($A1145="",_Engine!$D$45=0),"",INDEX(_Engine!$E1203:$X1203,1,(_Engine!$J$45-1)*4+3))</f>
        <v/>
      </c>
    </row>
    <row r="1146">
      <c r="A1146" s="25">
        <f>IF(1143&lt;=_Engine!$B$36,1143,"")</f>
        <v/>
      </c>
      <c r="B1146" s="26">
        <f>IF($A1146="","",EDATE(_Engine!$B$5,$A1146-1))</f>
        <v/>
      </c>
      <c r="C1146" s="27">
        <f>IF($A1146="","",_Engine!$AJ1204)</f>
        <v/>
      </c>
      <c r="D1146" s="27">
        <f>IF($A1146="","",_Engine!$AK1204)</f>
        <v/>
      </c>
      <c r="E1146" s="27">
        <f>IF($A1146="","",_Engine!$AJ1204-_Engine!$AK1204)</f>
        <v/>
      </c>
      <c r="F1146" s="27">
        <f>IF($A1146="","",_Engine!$AI1204)</f>
        <v/>
      </c>
      <c r="G1146" s="27">
        <f>IF(OR($A1146="",_Engine!$D$41=0),"",INDEX(_Engine!$E1204:$X1204,1,(_Engine!$J$41-1)*4+3))</f>
        <v/>
      </c>
      <c r="H1146" s="27">
        <f>IF(OR($A1146="",_Engine!$D$42=0),"",INDEX(_Engine!$E1204:$X1204,1,(_Engine!$J$42-1)*4+3))</f>
        <v/>
      </c>
      <c r="I1146" s="27">
        <f>IF(OR($A1146="",_Engine!$D$43=0),"",INDEX(_Engine!$E1204:$X1204,1,(_Engine!$J$43-1)*4+3))</f>
        <v/>
      </c>
      <c r="J1146" s="27">
        <f>IF(OR($A1146="",_Engine!$D$44=0),"",INDEX(_Engine!$E1204:$X1204,1,(_Engine!$J$44-1)*4+3))</f>
        <v/>
      </c>
      <c r="K1146" s="27">
        <f>IF(OR($A1146="",_Engine!$D$45=0),"",INDEX(_Engine!$E1204:$X1204,1,(_Engine!$J$45-1)*4+3))</f>
        <v/>
      </c>
    </row>
    <row r="1147">
      <c r="A1147" s="25">
        <f>IF(1144&lt;=_Engine!$B$36,1144,"")</f>
        <v/>
      </c>
      <c r="B1147" s="26">
        <f>IF($A1147="","",EDATE(_Engine!$B$5,$A1147-1))</f>
        <v/>
      </c>
      <c r="C1147" s="27">
        <f>IF($A1147="","",_Engine!$AJ1205)</f>
        <v/>
      </c>
      <c r="D1147" s="27">
        <f>IF($A1147="","",_Engine!$AK1205)</f>
        <v/>
      </c>
      <c r="E1147" s="27">
        <f>IF($A1147="","",_Engine!$AJ1205-_Engine!$AK1205)</f>
        <v/>
      </c>
      <c r="F1147" s="27">
        <f>IF($A1147="","",_Engine!$AI1205)</f>
        <v/>
      </c>
      <c r="G1147" s="27">
        <f>IF(OR($A1147="",_Engine!$D$41=0),"",INDEX(_Engine!$E1205:$X1205,1,(_Engine!$J$41-1)*4+3))</f>
        <v/>
      </c>
      <c r="H1147" s="27">
        <f>IF(OR($A1147="",_Engine!$D$42=0),"",INDEX(_Engine!$E1205:$X1205,1,(_Engine!$J$42-1)*4+3))</f>
        <v/>
      </c>
      <c r="I1147" s="27">
        <f>IF(OR($A1147="",_Engine!$D$43=0),"",INDEX(_Engine!$E1205:$X1205,1,(_Engine!$J$43-1)*4+3))</f>
        <v/>
      </c>
      <c r="J1147" s="27">
        <f>IF(OR($A1147="",_Engine!$D$44=0),"",INDEX(_Engine!$E1205:$X1205,1,(_Engine!$J$44-1)*4+3))</f>
        <v/>
      </c>
      <c r="K1147" s="27">
        <f>IF(OR($A1147="",_Engine!$D$45=0),"",INDEX(_Engine!$E1205:$X1205,1,(_Engine!$J$45-1)*4+3))</f>
        <v/>
      </c>
    </row>
    <row r="1148">
      <c r="A1148" s="25">
        <f>IF(1145&lt;=_Engine!$B$36,1145,"")</f>
        <v/>
      </c>
      <c r="B1148" s="26">
        <f>IF($A1148="","",EDATE(_Engine!$B$5,$A1148-1))</f>
        <v/>
      </c>
      <c r="C1148" s="27">
        <f>IF($A1148="","",_Engine!$AJ1206)</f>
        <v/>
      </c>
      <c r="D1148" s="27">
        <f>IF($A1148="","",_Engine!$AK1206)</f>
        <v/>
      </c>
      <c r="E1148" s="27">
        <f>IF($A1148="","",_Engine!$AJ1206-_Engine!$AK1206)</f>
        <v/>
      </c>
      <c r="F1148" s="27">
        <f>IF($A1148="","",_Engine!$AI1206)</f>
        <v/>
      </c>
      <c r="G1148" s="27">
        <f>IF(OR($A1148="",_Engine!$D$41=0),"",INDEX(_Engine!$E1206:$X1206,1,(_Engine!$J$41-1)*4+3))</f>
        <v/>
      </c>
      <c r="H1148" s="27">
        <f>IF(OR($A1148="",_Engine!$D$42=0),"",INDEX(_Engine!$E1206:$X1206,1,(_Engine!$J$42-1)*4+3))</f>
        <v/>
      </c>
      <c r="I1148" s="27">
        <f>IF(OR($A1148="",_Engine!$D$43=0),"",INDEX(_Engine!$E1206:$X1206,1,(_Engine!$J$43-1)*4+3))</f>
        <v/>
      </c>
      <c r="J1148" s="27">
        <f>IF(OR($A1148="",_Engine!$D$44=0),"",INDEX(_Engine!$E1206:$X1206,1,(_Engine!$J$44-1)*4+3))</f>
        <v/>
      </c>
      <c r="K1148" s="27">
        <f>IF(OR($A1148="",_Engine!$D$45=0),"",INDEX(_Engine!$E1206:$X1206,1,(_Engine!$J$45-1)*4+3))</f>
        <v/>
      </c>
    </row>
    <row r="1149">
      <c r="A1149" s="25">
        <f>IF(1146&lt;=_Engine!$B$36,1146,"")</f>
        <v/>
      </c>
      <c r="B1149" s="26">
        <f>IF($A1149="","",EDATE(_Engine!$B$5,$A1149-1))</f>
        <v/>
      </c>
      <c r="C1149" s="27">
        <f>IF($A1149="","",_Engine!$AJ1207)</f>
        <v/>
      </c>
      <c r="D1149" s="27">
        <f>IF($A1149="","",_Engine!$AK1207)</f>
        <v/>
      </c>
      <c r="E1149" s="27">
        <f>IF($A1149="","",_Engine!$AJ1207-_Engine!$AK1207)</f>
        <v/>
      </c>
      <c r="F1149" s="27">
        <f>IF($A1149="","",_Engine!$AI1207)</f>
        <v/>
      </c>
      <c r="G1149" s="27">
        <f>IF(OR($A1149="",_Engine!$D$41=0),"",INDEX(_Engine!$E1207:$X1207,1,(_Engine!$J$41-1)*4+3))</f>
        <v/>
      </c>
      <c r="H1149" s="27">
        <f>IF(OR($A1149="",_Engine!$D$42=0),"",INDEX(_Engine!$E1207:$X1207,1,(_Engine!$J$42-1)*4+3))</f>
        <v/>
      </c>
      <c r="I1149" s="27">
        <f>IF(OR($A1149="",_Engine!$D$43=0),"",INDEX(_Engine!$E1207:$X1207,1,(_Engine!$J$43-1)*4+3))</f>
        <v/>
      </c>
      <c r="J1149" s="27">
        <f>IF(OR($A1149="",_Engine!$D$44=0),"",INDEX(_Engine!$E1207:$X1207,1,(_Engine!$J$44-1)*4+3))</f>
        <v/>
      </c>
      <c r="K1149" s="27">
        <f>IF(OR($A1149="",_Engine!$D$45=0),"",INDEX(_Engine!$E1207:$X1207,1,(_Engine!$J$45-1)*4+3))</f>
        <v/>
      </c>
    </row>
    <row r="1150">
      <c r="A1150" s="25">
        <f>IF(1147&lt;=_Engine!$B$36,1147,"")</f>
        <v/>
      </c>
      <c r="B1150" s="26">
        <f>IF($A1150="","",EDATE(_Engine!$B$5,$A1150-1))</f>
        <v/>
      </c>
      <c r="C1150" s="27">
        <f>IF($A1150="","",_Engine!$AJ1208)</f>
        <v/>
      </c>
      <c r="D1150" s="27">
        <f>IF($A1150="","",_Engine!$AK1208)</f>
        <v/>
      </c>
      <c r="E1150" s="27">
        <f>IF($A1150="","",_Engine!$AJ1208-_Engine!$AK1208)</f>
        <v/>
      </c>
      <c r="F1150" s="27">
        <f>IF($A1150="","",_Engine!$AI1208)</f>
        <v/>
      </c>
      <c r="G1150" s="27">
        <f>IF(OR($A1150="",_Engine!$D$41=0),"",INDEX(_Engine!$E1208:$X1208,1,(_Engine!$J$41-1)*4+3))</f>
        <v/>
      </c>
      <c r="H1150" s="27">
        <f>IF(OR($A1150="",_Engine!$D$42=0),"",INDEX(_Engine!$E1208:$X1208,1,(_Engine!$J$42-1)*4+3))</f>
        <v/>
      </c>
      <c r="I1150" s="27">
        <f>IF(OR($A1150="",_Engine!$D$43=0),"",INDEX(_Engine!$E1208:$X1208,1,(_Engine!$J$43-1)*4+3))</f>
        <v/>
      </c>
      <c r="J1150" s="27">
        <f>IF(OR($A1150="",_Engine!$D$44=0),"",INDEX(_Engine!$E1208:$X1208,1,(_Engine!$J$44-1)*4+3))</f>
        <v/>
      </c>
      <c r="K1150" s="27">
        <f>IF(OR($A1150="",_Engine!$D$45=0),"",INDEX(_Engine!$E1208:$X1208,1,(_Engine!$J$45-1)*4+3))</f>
        <v/>
      </c>
    </row>
    <row r="1151">
      <c r="A1151" s="25">
        <f>IF(1148&lt;=_Engine!$B$36,1148,"")</f>
        <v/>
      </c>
      <c r="B1151" s="26">
        <f>IF($A1151="","",EDATE(_Engine!$B$5,$A1151-1))</f>
        <v/>
      </c>
      <c r="C1151" s="27">
        <f>IF($A1151="","",_Engine!$AJ1209)</f>
        <v/>
      </c>
      <c r="D1151" s="27">
        <f>IF($A1151="","",_Engine!$AK1209)</f>
        <v/>
      </c>
      <c r="E1151" s="27">
        <f>IF($A1151="","",_Engine!$AJ1209-_Engine!$AK1209)</f>
        <v/>
      </c>
      <c r="F1151" s="27">
        <f>IF($A1151="","",_Engine!$AI1209)</f>
        <v/>
      </c>
      <c r="G1151" s="27">
        <f>IF(OR($A1151="",_Engine!$D$41=0),"",INDEX(_Engine!$E1209:$X1209,1,(_Engine!$J$41-1)*4+3))</f>
        <v/>
      </c>
      <c r="H1151" s="27">
        <f>IF(OR($A1151="",_Engine!$D$42=0),"",INDEX(_Engine!$E1209:$X1209,1,(_Engine!$J$42-1)*4+3))</f>
        <v/>
      </c>
      <c r="I1151" s="27">
        <f>IF(OR($A1151="",_Engine!$D$43=0),"",INDEX(_Engine!$E1209:$X1209,1,(_Engine!$J$43-1)*4+3))</f>
        <v/>
      </c>
      <c r="J1151" s="27">
        <f>IF(OR($A1151="",_Engine!$D$44=0),"",INDEX(_Engine!$E1209:$X1209,1,(_Engine!$J$44-1)*4+3))</f>
        <v/>
      </c>
      <c r="K1151" s="27">
        <f>IF(OR($A1151="",_Engine!$D$45=0),"",INDEX(_Engine!$E1209:$X1209,1,(_Engine!$J$45-1)*4+3))</f>
        <v/>
      </c>
    </row>
    <row r="1152">
      <c r="A1152" s="25">
        <f>IF(1149&lt;=_Engine!$B$36,1149,"")</f>
        <v/>
      </c>
      <c r="B1152" s="26">
        <f>IF($A1152="","",EDATE(_Engine!$B$5,$A1152-1))</f>
        <v/>
      </c>
      <c r="C1152" s="27">
        <f>IF($A1152="","",_Engine!$AJ1210)</f>
        <v/>
      </c>
      <c r="D1152" s="27">
        <f>IF($A1152="","",_Engine!$AK1210)</f>
        <v/>
      </c>
      <c r="E1152" s="27">
        <f>IF($A1152="","",_Engine!$AJ1210-_Engine!$AK1210)</f>
        <v/>
      </c>
      <c r="F1152" s="27">
        <f>IF($A1152="","",_Engine!$AI1210)</f>
        <v/>
      </c>
      <c r="G1152" s="27">
        <f>IF(OR($A1152="",_Engine!$D$41=0),"",INDEX(_Engine!$E1210:$X1210,1,(_Engine!$J$41-1)*4+3))</f>
        <v/>
      </c>
      <c r="H1152" s="27">
        <f>IF(OR($A1152="",_Engine!$D$42=0),"",INDEX(_Engine!$E1210:$X1210,1,(_Engine!$J$42-1)*4+3))</f>
        <v/>
      </c>
      <c r="I1152" s="27">
        <f>IF(OR($A1152="",_Engine!$D$43=0),"",INDEX(_Engine!$E1210:$X1210,1,(_Engine!$J$43-1)*4+3))</f>
        <v/>
      </c>
      <c r="J1152" s="27">
        <f>IF(OR($A1152="",_Engine!$D$44=0),"",INDEX(_Engine!$E1210:$X1210,1,(_Engine!$J$44-1)*4+3))</f>
        <v/>
      </c>
      <c r="K1152" s="27">
        <f>IF(OR($A1152="",_Engine!$D$45=0),"",INDEX(_Engine!$E1210:$X1210,1,(_Engine!$J$45-1)*4+3))</f>
        <v/>
      </c>
    </row>
    <row r="1153">
      <c r="A1153" s="25">
        <f>IF(1150&lt;=_Engine!$B$36,1150,"")</f>
        <v/>
      </c>
      <c r="B1153" s="26">
        <f>IF($A1153="","",EDATE(_Engine!$B$5,$A1153-1))</f>
        <v/>
      </c>
      <c r="C1153" s="27">
        <f>IF($A1153="","",_Engine!$AJ1211)</f>
        <v/>
      </c>
      <c r="D1153" s="27">
        <f>IF($A1153="","",_Engine!$AK1211)</f>
        <v/>
      </c>
      <c r="E1153" s="27">
        <f>IF($A1153="","",_Engine!$AJ1211-_Engine!$AK1211)</f>
        <v/>
      </c>
      <c r="F1153" s="27">
        <f>IF($A1153="","",_Engine!$AI1211)</f>
        <v/>
      </c>
      <c r="G1153" s="27">
        <f>IF(OR($A1153="",_Engine!$D$41=0),"",INDEX(_Engine!$E1211:$X1211,1,(_Engine!$J$41-1)*4+3))</f>
        <v/>
      </c>
      <c r="H1153" s="27">
        <f>IF(OR($A1153="",_Engine!$D$42=0),"",INDEX(_Engine!$E1211:$X1211,1,(_Engine!$J$42-1)*4+3))</f>
        <v/>
      </c>
      <c r="I1153" s="27">
        <f>IF(OR($A1153="",_Engine!$D$43=0),"",INDEX(_Engine!$E1211:$X1211,1,(_Engine!$J$43-1)*4+3))</f>
        <v/>
      </c>
      <c r="J1153" s="27">
        <f>IF(OR($A1153="",_Engine!$D$44=0),"",INDEX(_Engine!$E1211:$X1211,1,(_Engine!$J$44-1)*4+3))</f>
        <v/>
      </c>
      <c r="K1153" s="27">
        <f>IF(OR($A1153="",_Engine!$D$45=0),"",INDEX(_Engine!$E1211:$X1211,1,(_Engine!$J$45-1)*4+3))</f>
        <v/>
      </c>
    </row>
    <row r="1154">
      <c r="A1154" s="25">
        <f>IF(1151&lt;=_Engine!$B$36,1151,"")</f>
        <v/>
      </c>
      <c r="B1154" s="26">
        <f>IF($A1154="","",EDATE(_Engine!$B$5,$A1154-1))</f>
        <v/>
      </c>
      <c r="C1154" s="27">
        <f>IF($A1154="","",_Engine!$AJ1212)</f>
        <v/>
      </c>
      <c r="D1154" s="27">
        <f>IF($A1154="","",_Engine!$AK1212)</f>
        <v/>
      </c>
      <c r="E1154" s="27">
        <f>IF($A1154="","",_Engine!$AJ1212-_Engine!$AK1212)</f>
        <v/>
      </c>
      <c r="F1154" s="27">
        <f>IF($A1154="","",_Engine!$AI1212)</f>
        <v/>
      </c>
      <c r="G1154" s="27">
        <f>IF(OR($A1154="",_Engine!$D$41=0),"",INDEX(_Engine!$E1212:$X1212,1,(_Engine!$J$41-1)*4+3))</f>
        <v/>
      </c>
      <c r="H1154" s="27">
        <f>IF(OR($A1154="",_Engine!$D$42=0),"",INDEX(_Engine!$E1212:$X1212,1,(_Engine!$J$42-1)*4+3))</f>
        <v/>
      </c>
      <c r="I1154" s="27">
        <f>IF(OR($A1154="",_Engine!$D$43=0),"",INDEX(_Engine!$E1212:$X1212,1,(_Engine!$J$43-1)*4+3))</f>
        <v/>
      </c>
      <c r="J1154" s="27">
        <f>IF(OR($A1154="",_Engine!$D$44=0),"",INDEX(_Engine!$E1212:$X1212,1,(_Engine!$J$44-1)*4+3))</f>
        <v/>
      </c>
      <c r="K1154" s="27">
        <f>IF(OR($A1154="",_Engine!$D$45=0),"",INDEX(_Engine!$E1212:$X1212,1,(_Engine!$J$45-1)*4+3))</f>
        <v/>
      </c>
    </row>
    <row r="1155">
      <c r="A1155" s="25">
        <f>IF(1152&lt;=_Engine!$B$36,1152,"")</f>
        <v/>
      </c>
      <c r="B1155" s="26">
        <f>IF($A1155="","",EDATE(_Engine!$B$5,$A1155-1))</f>
        <v/>
      </c>
      <c r="C1155" s="27">
        <f>IF($A1155="","",_Engine!$AJ1213)</f>
        <v/>
      </c>
      <c r="D1155" s="27">
        <f>IF($A1155="","",_Engine!$AK1213)</f>
        <v/>
      </c>
      <c r="E1155" s="27">
        <f>IF($A1155="","",_Engine!$AJ1213-_Engine!$AK1213)</f>
        <v/>
      </c>
      <c r="F1155" s="27">
        <f>IF($A1155="","",_Engine!$AI1213)</f>
        <v/>
      </c>
      <c r="G1155" s="27">
        <f>IF(OR($A1155="",_Engine!$D$41=0),"",INDEX(_Engine!$E1213:$X1213,1,(_Engine!$J$41-1)*4+3))</f>
        <v/>
      </c>
      <c r="H1155" s="27">
        <f>IF(OR($A1155="",_Engine!$D$42=0),"",INDEX(_Engine!$E1213:$X1213,1,(_Engine!$J$42-1)*4+3))</f>
        <v/>
      </c>
      <c r="I1155" s="27">
        <f>IF(OR($A1155="",_Engine!$D$43=0),"",INDEX(_Engine!$E1213:$X1213,1,(_Engine!$J$43-1)*4+3))</f>
        <v/>
      </c>
      <c r="J1155" s="27">
        <f>IF(OR($A1155="",_Engine!$D$44=0),"",INDEX(_Engine!$E1213:$X1213,1,(_Engine!$J$44-1)*4+3))</f>
        <v/>
      </c>
      <c r="K1155" s="27">
        <f>IF(OR($A1155="",_Engine!$D$45=0),"",INDEX(_Engine!$E1213:$X1213,1,(_Engine!$J$45-1)*4+3))</f>
        <v/>
      </c>
    </row>
    <row r="1156">
      <c r="A1156" s="25">
        <f>IF(1153&lt;=_Engine!$B$36,1153,"")</f>
        <v/>
      </c>
      <c r="B1156" s="26">
        <f>IF($A1156="","",EDATE(_Engine!$B$5,$A1156-1))</f>
        <v/>
      </c>
      <c r="C1156" s="27">
        <f>IF($A1156="","",_Engine!$AJ1214)</f>
        <v/>
      </c>
      <c r="D1156" s="27">
        <f>IF($A1156="","",_Engine!$AK1214)</f>
        <v/>
      </c>
      <c r="E1156" s="27">
        <f>IF($A1156="","",_Engine!$AJ1214-_Engine!$AK1214)</f>
        <v/>
      </c>
      <c r="F1156" s="27">
        <f>IF($A1156="","",_Engine!$AI1214)</f>
        <v/>
      </c>
      <c r="G1156" s="27">
        <f>IF(OR($A1156="",_Engine!$D$41=0),"",INDEX(_Engine!$E1214:$X1214,1,(_Engine!$J$41-1)*4+3))</f>
        <v/>
      </c>
      <c r="H1156" s="27">
        <f>IF(OR($A1156="",_Engine!$D$42=0),"",INDEX(_Engine!$E1214:$X1214,1,(_Engine!$J$42-1)*4+3))</f>
        <v/>
      </c>
      <c r="I1156" s="27">
        <f>IF(OR($A1156="",_Engine!$D$43=0),"",INDEX(_Engine!$E1214:$X1214,1,(_Engine!$J$43-1)*4+3))</f>
        <v/>
      </c>
      <c r="J1156" s="27">
        <f>IF(OR($A1156="",_Engine!$D$44=0),"",INDEX(_Engine!$E1214:$X1214,1,(_Engine!$J$44-1)*4+3))</f>
        <v/>
      </c>
      <c r="K1156" s="27">
        <f>IF(OR($A1156="",_Engine!$D$45=0),"",INDEX(_Engine!$E1214:$X1214,1,(_Engine!$J$45-1)*4+3))</f>
        <v/>
      </c>
    </row>
    <row r="1157">
      <c r="A1157" s="25">
        <f>IF(1154&lt;=_Engine!$B$36,1154,"")</f>
        <v/>
      </c>
      <c r="B1157" s="26">
        <f>IF($A1157="","",EDATE(_Engine!$B$5,$A1157-1))</f>
        <v/>
      </c>
      <c r="C1157" s="27">
        <f>IF($A1157="","",_Engine!$AJ1215)</f>
        <v/>
      </c>
      <c r="D1157" s="27">
        <f>IF($A1157="","",_Engine!$AK1215)</f>
        <v/>
      </c>
      <c r="E1157" s="27">
        <f>IF($A1157="","",_Engine!$AJ1215-_Engine!$AK1215)</f>
        <v/>
      </c>
      <c r="F1157" s="27">
        <f>IF($A1157="","",_Engine!$AI1215)</f>
        <v/>
      </c>
      <c r="G1157" s="27">
        <f>IF(OR($A1157="",_Engine!$D$41=0),"",INDEX(_Engine!$E1215:$X1215,1,(_Engine!$J$41-1)*4+3))</f>
        <v/>
      </c>
      <c r="H1157" s="27">
        <f>IF(OR($A1157="",_Engine!$D$42=0),"",INDEX(_Engine!$E1215:$X1215,1,(_Engine!$J$42-1)*4+3))</f>
        <v/>
      </c>
      <c r="I1157" s="27">
        <f>IF(OR($A1157="",_Engine!$D$43=0),"",INDEX(_Engine!$E1215:$X1215,1,(_Engine!$J$43-1)*4+3))</f>
        <v/>
      </c>
      <c r="J1157" s="27">
        <f>IF(OR($A1157="",_Engine!$D$44=0),"",INDEX(_Engine!$E1215:$X1215,1,(_Engine!$J$44-1)*4+3))</f>
        <v/>
      </c>
      <c r="K1157" s="27">
        <f>IF(OR($A1157="",_Engine!$D$45=0),"",INDEX(_Engine!$E1215:$X1215,1,(_Engine!$J$45-1)*4+3))</f>
        <v/>
      </c>
    </row>
    <row r="1158">
      <c r="A1158" s="25">
        <f>IF(1155&lt;=_Engine!$B$36,1155,"")</f>
        <v/>
      </c>
      <c r="B1158" s="26">
        <f>IF($A1158="","",EDATE(_Engine!$B$5,$A1158-1))</f>
        <v/>
      </c>
      <c r="C1158" s="27">
        <f>IF($A1158="","",_Engine!$AJ1216)</f>
        <v/>
      </c>
      <c r="D1158" s="27">
        <f>IF($A1158="","",_Engine!$AK1216)</f>
        <v/>
      </c>
      <c r="E1158" s="27">
        <f>IF($A1158="","",_Engine!$AJ1216-_Engine!$AK1216)</f>
        <v/>
      </c>
      <c r="F1158" s="27">
        <f>IF($A1158="","",_Engine!$AI1216)</f>
        <v/>
      </c>
      <c r="G1158" s="27">
        <f>IF(OR($A1158="",_Engine!$D$41=0),"",INDEX(_Engine!$E1216:$X1216,1,(_Engine!$J$41-1)*4+3))</f>
        <v/>
      </c>
      <c r="H1158" s="27">
        <f>IF(OR($A1158="",_Engine!$D$42=0),"",INDEX(_Engine!$E1216:$X1216,1,(_Engine!$J$42-1)*4+3))</f>
        <v/>
      </c>
      <c r="I1158" s="27">
        <f>IF(OR($A1158="",_Engine!$D$43=0),"",INDEX(_Engine!$E1216:$X1216,1,(_Engine!$J$43-1)*4+3))</f>
        <v/>
      </c>
      <c r="J1158" s="27">
        <f>IF(OR($A1158="",_Engine!$D$44=0),"",INDEX(_Engine!$E1216:$X1216,1,(_Engine!$J$44-1)*4+3))</f>
        <v/>
      </c>
      <c r="K1158" s="27">
        <f>IF(OR($A1158="",_Engine!$D$45=0),"",INDEX(_Engine!$E1216:$X1216,1,(_Engine!$J$45-1)*4+3))</f>
        <v/>
      </c>
    </row>
    <row r="1159">
      <c r="A1159" s="25">
        <f>IF(1156&lt;=_Engine!$B$36,1156,"")</f>
        <v/>
      </c>
      <c r="B1159" s="26">
        <f>IF($A1159="","",EDATE(_Engine!$B$5,$A1159-1))</f>
        <v/>
      </c>
      <c r="C1159" s="27">
        <f>IF($A1159="","",_Engine!$AJ1217)</f>
        <v/>
      </c>
      <c r="D1159" s="27">
        <f>IF($A1159="","",_Engine!$AK1217)</f>
        <v/>
      </c>
      <c r="E1159" s="27">
        <f>IF($A1159="","",_Engine!$AJ1217-_Engine!$AK1217)</f>
        <v/>
      </c>
      <c r="F1159" s="27">
        <f>IF($A1159="","",_Engine!$AI1217)</f>
        <v/>
      </c>
      <c r="G1159" s="27">
        <f>IF(OR($A1159="",_Engine!$D$41=0),"",INDEX(_Engine!$E1217:$X1217,1,(_Engine!$J$41-1)*4+3))</f>
        <v/>
      </c>
      <c r="H1159" s="27">
        <f>IF(OR($A1159="",_Engine!$D$42=0),"",INDEX(_Engine!$E1217:$X1217,1,(_Engine!$J$42-1)*4+3))</f>
        <v/>
      </c>
      <c r="I1159" s="27">
        <f>IF(OR($A1159="",_Engine!$D$43=0),"",INDEX(_Engine!$E1217:$X1217,1,(_Engine!$J$43-1)*4+3))</f>
        <v/>
      </c>
      <c r="J1159" s="27">
        <f>IF(OR($A1159="",_Engine!$D$44=0),"",INDEX(_Engine!$E1217:$X1217,1,(_Engine!$J$44-1)*4+3))</f>
        <v/>
      </c>
      <c r="K1159" s="27">
        <f>IF(OR($A1159="",_Engine!$D$45=0),"",INDEX(_Engine!$E1217:$X1217,1,(_Engine!$J$45-1)*4+3))</f>
        <v/>
      </c>
    </row>
    <row r="1160">
      <c r="A1160" s="25">
        <f>IF(1157&lt;=_Engine!$B$36,1157,"")</f>
        <v/>
      </c>
      <c r="B1160" s="26">
        <f>IF($A1160="","",EDATE(_Engine!$B$5,$A1160-1))</f>
        <v/>
      </c>
      <c r="C1160" s="27">
        <f>IF($A1160="","",_Engine!$AJ1218)</f>
        <v/>
      </c>
      <c r="D1160" s="27">
        <f>IF($A1160="","",_Engine!$AK1218)</f>
        <v/>
      </c>
      <c r="E1160" s="27">
        <f>IF($A1160="","",_Engine!$AJ1218-_Engine!$AK1218)</f>
        <v/>
      </c>
      <c r="F1160" s="27">
        <f>IF($A1160="","",_Engine!$AI1218)</f>
        <v/>
      </c>
      <c r="G1160" s="27">
        <f>IF(OR($A1160="",_Engine!$D$41=0),"",INDEX(_Engine!$E1218:$X1218,1,(_Engine!$J$41-1)*4+3))</f>
        <v/>
      </c>
      <c r="H1160" s="27">
        <f>IF(OR($A1160="",_Engine!$D$42=0),"",INDEX(_Engine!$E1218:$X1218,1,(_Engine!$J$42-1)*4+3))</f>
        <v/>
      </c>
      <c r="I1160" s="27">
        <f>IF(OR($A1160="",_Engine!$D$43=0),"",INDEX(_Engine!$E1218:$X1218,1,(_Engine!$J$43-1)*4+3))</f>
        <v/>
      </c>
      <c r="J1160" s="27">
        <f>IF(OR($A1160="",_Engine!$D$44=0),"",INDEX(_Engine!$E1218:$X1218,1,(_Engine!$J$44-1)*4+3))</f>
        <v/>
      </c>
      <c r="K1160" s="27">
        <f>IF(OR($A1160="",_Engine!$D$45=0),"",INDEX(_Engine!$E1218:$X1218,1,(_Engine!$J$45-1)*4+3))</f>
        <v/>
      </c>
    </row>
    <row r="1161">
      <c r="A1161" s="25">
        <f>IF(1158&lt;=_Engine!$B$36,1158,"")</f>
        <v/>
      </c>
      <c r="B1161" s="26">
        <f>IF($A1161="","",EDATE(_Engine!$B$5,$A1161-1))</f>
        <v/>
      </c>
      <c r="C1161" s="27">
        <f>IF($A1161="","",_Engine!$AJ1219)</f>
        <v/>
      </c>
      <c r="D1161" s="27">
        <f>IF($A1161="","",_Engine!$AK1219)</f>
        <v/>
      </c>
      <c r="E1161" s="27">
        <f>IF($A1161="","",_Engine!$AJ1219-_Engine!$AK1219)</f>
        <v/>
      </c>
      <c r="F1161" s="27">
        <f>IF($A1161="","",_Engine!$AI1219)</f>
        <v/>
      </c>
      <c r="G1161" s="27">
        <f>IF(OR($A1161="",_Engine!$D$41=0),"",INDEX(_Engine!$E1219:$X1219,1,(_Engine!$J$41-1)*4+3))</f>
        <v/>
      </c>
      <c r="H1161" s="27">
        <f>IF(OR($A1161="",_Engine!$D$42=0),"",INDEX(_Engine!$E1219:$X1219,1,(_Engine!$J$42-1)*4+3))</f>
        <v/>
      </c>
      <c r="I1161" s="27">
        <f>IF(OR($A1161="",_Engine!$D$43=0),"",INDEX(_Engine!$E1219:$X1219,1,(_Engine!$J$43-1)*4+3))</f>
        <v/>
      </c>
      <c r="J1161" s="27">
        <f>IF(OR($A1161="",_Engine!$D$44=0),"",INDEX(_Engine!$E1219:$X1219,1,(_Engine!$J$44-1)*4+3))</f>
        <v/>
      </c>
      <c r="K1161" s="27">
        <f>IF(OR($A1161="",_Engine!$D$45=0),"",INDEX(_Engine!$E1219:$X1219,1,(_Engine!$J$45-1)*4+3))</f>
        <v/>
      </c>
    </row>
    <row r="1162">
      <c r="A1162" s="25">
        <f>IF(1159&lt;=_Engine!$B$36,1159,"")</f>
        <v/>
      </c>
      <c r="B1162" s="26">
        <f>IF($A1162="","",EDATE(_Engine!$B$5,$A1162-1))</f>
        <v/>
      </c>
      <c r="C1162" s="27">
        <f>IF($A1162="","",_Engine!$AJ1220)</f>
        <v/>
      </c>
      <c r="D1162" s="27">
        <f>IF($A1162="","",_Engine!$AK1220)</f>
        <v/>
      </c>
      <c r="E1162" s="27">
        <f>IF($A1162="","",_Engine!$AJ1220-_Engine!$AK1220)</f>
        <v/>
      </c>
      <c r="F1162" s="27">
        <f>IF($A1162="","",_Engine!$AI1220)</f>
        <v/>
      </c>
      <c r="G1162" s="27">
        <f>IF(OR($A1162="",_Engine!$D$41=0),"",INDEX(_Engine!$E1220:$X1220,1,(_Engine!$J$41-1)*4+3))</f>
        <v/>
      </c>
      <c r="H1162" s="27">
        <f>IF(OR($A1162="",_Engine!$D$42=0),"",INDEX(_Engine!$E1220:$X1220,1,(_Engine!$J$42-1)*4+3))</f>
        <v/>
      </c>
      <c r="I1162" s="27">
        <f>IF(OR($A1162="",_Engine!$D$43=0),"",INDEX(_Engine!$E1220:$X1220,1,(_Engine!$J$43-1)*4+3))</f>
        <v/>
      </c>
      <c r="J1162" s="27">
        <f>IF(OR($A1162="",_Engine!$D$44=0),"",INDEX(_Engine!$E1220:$X1220,1,(_Engine!$J$44-1)*4+3))</f>
        <v/>
      </c>
      <c r="K1162" s="27">
        <f>IF(OR($A1162="",_Engine!$D$45=0),"",INDEX(_Engine!$E1220:$X1220,1,(_Engine!$J$45-1)*4+3))</f>
        <v/>
      </c>
    </row>
    <row r="1163">
      <c r="A1163" s="25">
        <f>IF(1160&lt;=_Engine!$B$36,1160,"")</f>
        <v/>
      </c>
      <c r="B1163" s="26">
        <f>IF($A1163="","",EDATE(_Engine!$B$5,$A1163-1))</f>
        <v/>
      </c>
      <c r="C1163" s="27">
        <f>IF($A1163="","",_Engine!$AJ1221)</f>
        <v/>
      </c>
      <c r="D1163" s="27">
        <f>IF($A1163="","",_Engine!$AK1221)</f>
        <v/>
      </c>
      <c r="E1163" s="27">
        <f>IF($A1163="","",_Engine!$AJ1221-_Engine!$AK1221)</f>
        <v/>
      </c>
      <c r="F1163" s="27">
        <f>IF($A1163="","",_Engine!$AI1221)</f>
        <v/>
      </c>
      <c r="G1163" s="27">
        <f>IF(OR($A1163="",_Engine!$D$41=0),"",INDEX(_Engine!$E1221:$X1221,1,(_Engine!$J$41-1)*4+3))</f>
        <v/>
      </c>
      <c r="H1163" s="27">
        <f>IF(OR($A1163="",_Engine!$D$42=0),"",INDEX(_Engine!$E1221:$X1221,1,(_Engine!$J$42-1)*4+3))</f>
        <v/>
      </c>
      <c r="I1163" s="27">
        <f>IF(OR($A1163="",_Engine!$D$43=0),"",INDEX(_Engine!$E1221:$X1221,1,(_Engine!$J$43-1)*4+3))</f>
        <v/>
      </c>
      <c r="J1163" s="27">
        <f>IF(OR($A1163="",_Engine!$D$44=0),"",INDEX(_Engine!$E1221:$X1221,1,(_Engine!$J$44-1)*4+3))</f>
        <v/>
      </c>
      <c r="K1163" s="27">
        <f>IF(OR($A1163="",_Engine!$D$45=0),"",INDEX(_Engine!$E1221:$X1221,1,(_Engine!$J$45-1)*4+3))</f>
        <v/>
      </c>
    </row>
    <row r="1164">
      <c r="A1164" s="25">
        <f>IF(1161&lt;=_Engine!$B$36,1161,"")</f>
        <v/>
      </c>
      <c r="B1164" s="26">
        <f>IF($A1164="","",EDATE(_Engine!$B$5,$A1164-1))</f>
        <v/>
      </c>
      <c r="C1164" s="27">
        <f>IF($A1164="","",_Engine!$AJ1222)</f>
        <v/>
      </c>
      <c r="D1164" s="27">
        <f>IF($A1164="","",_Engine!$AK1222)</f>
        <v/>
      </c>
      <c r="E1164" s="27">
        <f>IF($A1164="","",_Engine!$AJ1222-_Engine!$AK1222)</f>
        <v/>
      </c>
      <c r="F1164" s="27">
        <f>IF($A1164="","",_Engine!$AI1222)</f>
        <v/>
      </c>
      <c r="G1164" s="27">
        <f>IF(OR($A1164="",_Engine!$D$41=0),"",INDEX(_Engine!$E1222:$X1222,1,(_Engine!$J$41-1)*4+3))</f>
        <v/>
      </c>
      <c r="H1164" s="27">
        <f>IF(OR($A1164="",_Engine!$D$42=0),"",INDEX(_Engine!$E1222:$X1222,1,(_Engine!$J$42-1)*4+3))</f>
        <v/>
      </c>
      <c r="I1164" s="27">
        <f>IF(OR($A1164="",_Engine!$D$43=0),"",INDEX(_Engine!$E1222:$X1222,1,(_Engine!$J$43-1)*4+3))</f>
        <v/>
      </c>
      <c r="J1164" s="27">
        <f>IF(OR($A1164="",_Engine!$D$44=0),"",INDEX(_Engine!$E1222:$X1222,1,(_Engine!$J$44-1)*4+3))</f>
        <v/>
      </c>
      <c r="K1164" s="27">
        <f>IF(OR($A1164="",_Engine!$D$45=0),"",INDEX(_Engine!$E1222:$X1222,1,(_Engine!$J$45-1)*4+3))</f>
        <v/>
      </c>
    </row>
    <row r="1165">
      <c r="A1165" s="25">
        <f>IF(1162&lt;=_Engine!$B$36,1162,"")</f>
        <v/>
      </c>
      <c r="B1165" s="26">
        <f>IF($A1165="","",EDATE(_Engine!$B$5,$A1165-1))</f>
        <v/>
      </c>
      <c r="C1165" s="27">
        <f>IF($A1165="","",_Engine!$AJ1223)</f>
        <v/>
      </c>
      <c r="D1165" s="27">
        <f>IF($A1165="","",_Engine!$AK1223)</f>
        <v/>
      </c>
      <c r="E1165" s="27">
        <f>IF($A1165="","",_Engine!$AJ1223-_Engine!$AK1223)</f>
        <v/>
      </c>
      <c r="F1165" s="27">
        <f>IF($A1165="","",_Engine!$AI1223)</f>
        <v/>
      </c>
      <c r="G1165" s="27">
        <f>IF(OR($A1165="",_Engine!$D$41=0),"",INDEX(_Engine!$E1223:$X1223,1,(_Engine!$J$41-1)*4+3))</f>
        <v/>
      </c>
      <c r="H1165" s="27">
        <f>IF(OR($A1165="",_Engine!$D$42=0),"",INDEX(_Engine!$E1223:$X1223,1,(_Engine!$J$42-1)*4+3))</f>
        <v/>
      </c>
      <c r="I1165" s="27">
        <f>IF(OR($A1165="",_Engine!$D$43=0),"",INDEX(_Engine!$E1223:$X1223,1,(_Engine!$J$43-1)*4+3))</f>
        <v/>
      </c>
      <c r="J1165" s="27">
        <f>IF(OR($A1165="",_Engine!$D$44=0),"",INDEX(_Engine!$E1223:$X1223,1,(_Engine!$J$44-1)*4+3))</f>
        <v/>
      </c>
      <c r="K1165" s="27">
        <f>IF(OR($A1165="",_Engine!$D$45=0),"",INDEX(_Engine!$E1223:$X1223,1,(_Engine!$J$45-1)*4+3))</f>
        <v/>
      </c>
    </row>
    <row r="1166">
      <c r="A1166" s="25">
        <f>IF(1163&lt;=_Engine!$B$36,1163,"")</f>
        <v/>
      </c>
      <c r="B1166" s="26">
        <f>IF($A1166="","",EDATE(_Engine!$B$5,$A1166-1))</f>
        <v/>
      </c>
      <c r="C1166" s="27">
        <f>IF($A1166="","",_Engine!$AJ1224)</f>
        <v/>
      </c>
      <c r="D1166" s="27">
        <f>IF($A1166="","",_Engine!$AK1224)</f>
        <v/>
      </c>
      <c r="E1166" s="27">
        <f>IF($A1166="","",_Engine!$AJ1224-_Engine!$AK1224)</f>
        <v/>
      </c>
      <c r="F1166" s="27">
        <f>IF($A1166="","",_Engine!$AI1224)</f>
        <v/>
      </c>
      <c r="G1166" s="27">
        <f>IF(OR($A1166="",_Engine!$D$41=0),"",INDEX(_Engine!$E1224:$X1224,1,(_Engine!$J$41-1)*4+3))</f>
        <v/>
      </c>
      <c r="H1166" s="27">
        <f>IF(OR($A1166="",_Engine!$D$42=0),"",INDEX(_Engine!$E1224:$X1224,1,(_Engine!$J$42-1)*4+3))</f>
        <v/>
      </c>
      <c r="I1166" s="27">
        <f>IF(OR($A1166="",_Engine!$D$43=0),"",INDEX(_Engine!$E1224:$X1224,1,(_Engine!$J$43-1)*4+3))</f>
        <v/>
      </c>
      <c r="J1166" s="27">
        <f>IF(OR($A1166="",_Engine!$D$44=0),"",INDEX(_Engine!$E1224:$X1224,1,(_Engine!$J$44-1)*4+3))</f>
        <v/>
      </c>
      <c r="K1166" s="27">
        <f>IF(OR($A1166="",_Engine!$D$45=0),"",INDEX(_Engine!$E1224:$X1224,1,(_Engine!$J$45-1)*4+3))</f>
        <v/>
      </c>
    </row>
    <row r="1167">
      <c r="A1167" s="25">
        <f>IF(1164&lt;=_Engine!$B$36,1164,"")</f>
        <v/>
      </c>
      <c r="B1167" s="26">
        <f>IF($A1167="","",EDATE(_Engine!$B$5,$A1167-1))</f>
        <v/>
      </c>
      <c r="C1167" s="27">
        <f>IF($A1167="","",_Engine!$AJ1225)</f>
        <v/>
      </c>
      <c r="D1167" s="27">
        <f>IF($A1167="","",_Engine!$AK1225)</f>
        <v/>
      </c>
      <c r="E1167" s="27">
        <f>IF($A1167="","",_Engine!$AJ1225-_Engine!$AK1225)</f>
        <v/>
      </c>
      <c r="F1167" s="27">
        <f>IF($A1167="","",_Engine!$AI1225)</f>
        <v/>
      </c>
      <c r="G1167" s="27">
        <f>IF(OR($A1167="",_Engine!$D$41=0),"",INDEX(_Engine!$E1225:$X1225,1,(_Engine!$J$41-1)*4+3))</f>
        <v/>
      </c>
      <c r="H1167" s="27">
        <f>IF(OR($A1167="",_Engine!$D$42=0),"",INDEX(_Engine!$E1225:$X1225,1,(_Engine!$J$42-1)*4+3))</f>
        <v/>
      </c>
      <c r="I1167" s="27">
        <f>IF(OR($A1167="",_Engine!$D$43=0),"",INDEX(_Engine!$E1225:$X1225,1,(_Engine!$J$43-1)*4+3))</f>
        <v/>
      </c>
      <c r="J1167" s="27">
        <f>IF(OR($A1167="",_Engine!$D$44=0),"",INDEX(_Engine!$E1225:$X1225,1,(_Engine!$J$44-1)*4+3))</f>
        <v/>
      </c>
      <c r="K1167" s="27">
        <f>IF(OR($A1167="",_Engine!$D$45=0),"",INDEX(_Engine!$E1225:$X1225,1,(_Engine!$J$45-1)*4+3))</f>
        <v/>
      </c>
    </row>
    <row r="1168">
      <c r="A1168" s="25">
        <f>IF(1165&lt;=_Engine!$B$36,1165,"")</f>
        <v/>
      </c>
      <c r="B1168" s="26">
        <f>IF($A1168="","",EDATE(_Engine!$B$5,$A1168-1))</f>
        <v/>
      </c>
      <c r="C1168" s="27">
        <f>IF($A1168="","",_Engine!$AJ1226)</f>
        <v/>
      </c>
      <c r="D1168" s="27">
        <f>IF($A1168="","",_Engine!$AK1226)</f>
        <v/>
      </c>
      <c r="E1168" s="27">
        <f>IF($A1168="","",_Engine!$AJ1226-_Engine!$AK1226)</f>
        <v/>
      </c>
      <c r="F1168" s="27">
        <f>IF($A1168="","",_Engine!$AI1226)</f>
        <v/>
      </c>
      <c r="G1168" s="27">
        <f>IF(OR($A1168="",_Engine!$D$41=0),"",INDEX(_Engine!$E1226:$X1226,1,(_Engine!$J$41-1)*4+3))</f>
        <v/>
      </c>
      <c r="H1168" s="27">
        <f>IF(OR($A1168="",_Engine!$D$42=0),"",INDEX(_Engine!$E1226:$X1226,1,(_Engine!$J$42-1)*4+3))</f>
        <v/>
      </c>
      <c r="I1168" s="27">
        <f>IF(OR($A1168="",_Engine!$D$43=0),"",INDEX(_Engine!$E1226:$X1226,1,(_Engine!$J$43-1)*4+3))</f>
        <v/>
      </c>
      <c r="J1168" s="27">
        <f>IF(OR($A1168="",_Engine!$D$44=0),"",INDEX(_Engine!$E1226:$X1226,1,(_Engine!$J$44-1)*4+3))</f>
        <v/>
      </c>
      <c r="K1168" s="27">
        <f>IF(OR($A1168="",_Engine!$D$45=0),"",INDEX(_Engine!$E1226:$X1226,1,(_Engine!$J$45-1)*4+3))</f>
        <v/>
      </c>
    </row>
    <row r="1169">
      <c r="A1169" s="25">
        <f>IF(1166&lt;=_Engine!$B$36,1166,"")</f>
        <v/>
      </c>
      <c r="B1169" s="26">
        <f>IF($A1169="","",EDATE(_Engine!$B$5,$A1169-1))</f>
        <v/>
      </c>
      <c r="C1169" s="27">
        <f>IF($A1169="","",_Engine!$AJ1227)</f>
        <v/>
      </c>
      <c r="D1169" s="27">
        <f>IF($A1169="","",_Engine!$AK1227)</f>
        <v/>
      </c>
      <c r="E1169" s="27">
        <f>IF($A1169="","",_Engine!$AJ1227-_Engine!$AK1227)</f>
        <v/>
      </c>
      <c r="F1169" s="27">
        <f>IF($A1169="","",_Engine!$AI1227)</f>
        <v/>
      </c>
      <c r="G1169" s="27">
        <f>IF(OR($A1169="",_Engine!$D$41=0),"",INDEX(_Engine!$E1227:$X1227,1,(_Engine!$J$41-1)*4+3))</f>
        <v/>
      </c>
      <c r="H1169" s="27">
        <f>IF(OR($A1169="",_Engine!$D$42=0),"",INDEX(_Engine!$E1227:$X1227,1,(_Engine!$J$42-1)*4+3))</f>
        <v/>
      </c>
      <c r="I1169" s="27">
        <f>IF(OR($A1169="",_Engine!$D$43=0),"",INDEX(_Engine!$E1227:$X1227,1,(_Engine!$J$43-1)*4+3))</f>
        <v/>
      </c>
      <c r="J1169" s="27">
        <f>IF(OR($A1169="",_Engine!$D$44=0),"",INDEX(_Engine!$E1227:$X1227,1,(_Engine!$J$44-1)*4+3))</f>
        <v/>
      </c>
      <c r="K1169" s="27">
        <f>IF(OR($A1169="",_Engine!$D$45=0),"",INDEX(_Engine!$E1227:$X1227,1,(_Engine!$J$45-1)*4+3))</f>
        <v/>
      </c>
    </row>
    <row r="1170">
      <c r="A1170" s="25">
        <f>IF(1167&lt;=_Engine!$B$36,1167,"")</f>
        <v/>
      </c>
      <c r="B1170" s="26">
        <f>IF($A1170="","",EDATE(_Engine!$B$5,$A1170-1))</f>
        <v/>
      </c>
      <c r="C1170" s="27">
        <f>IF($A1170="","",_Engine!$AJ1228)</f>
        <v/>
      </c>
      <c r="D1170" s="27">
        <f>IF($A1170="","",_Engine!$AK1228)</f>
        <v/>
      </c>
      <c r="E1170" s="27">
        <f>IF($A1170="","",_Engine!$AJ1228-_Engine!$AK1228)</f>
        <v/>
      </c>
      <c r="F1170" s="27">
        <f>IF($A1170="","",_Engine!$AI1228)</f>
        <v/>
      </c>
      <c r="G1170" s="27">
        <f>IF(OR($A1170="",_Engine!$D$41=0),"",INDEX(_Engine!$E1228:$X1228,1,(_Engine!$J$41-1)*4+3))</f>
        <v/>
      </c>
      <c r="H1170" s="27">
        <f>IF(OR($A1170="",_Engine!$D$42=0),"",INDEX(_Engine!$E1228:$X1228,1,(_Engine!$J$42-1)*4+3))</f>
        <v/>
      </c>
      <c r="I1170" s="27">
        <f>IF(OR($A1170="",_Engine!$D$43=0),"",INDEX(_Engine!$E1228:$X1228,1,(_Engine!$J$43-1)*4+3))</f>
        <v/>
      </c>
      <c r="J1170" s="27">
        <f>IF(OR($A1170="",_Engine!$D$44=0),"",INDEX(_Engine!$E1228:$X1228,1,(_Engine!$J$44-1)*4+3))</f>
        <v/>
      </c>
      <c r="K1170" s="27">
        <f>IF(OR($A1170="",_Engine!$D$45=0),"",INDEX(_Engine!$E1228:$X1228,1,(_Engine!$J$45-1)*4+3))</f>
        <v/>
      </c>
    </row>
    <row r="1171">
      <c r="A1171" s="25">
        <f>IF(1168&lt;=_Engine!$B$36,1168,"")</f>
        <v/>
      </c>
      <c r="B1171" s="26">
        <f>IF($A1171="","",EDATE(_Engine!$B$5,$A1171-1))</f>
        <v/>
      </c>
      <c r="C1171" s="27">
        <f>IF($A1171="","",_Engine!$AJ1229)</f>
        <v/>
      </c>
      <c r="D1171" s="27">
        <f>IF($A1171="","",_Engine!$AK1229)</f>
        <v/>
      </c>
      <c r="E1171" s="27">
        <f>IF($A1171="","",_Engine!$AJ1229-_Engine!$AK1229)</f>
        <v/>
      </c>
      <c r="F1171" s="27">
        <f>IF($A1171="","",_Engine!$AI1229)</f>
        <v/>
      </c>
      <c r="G1171" s="27">
        <f>IF(OR($A1171="",_Engine!$D$41=0),"",INDEX(_Engine!$E1229:$X1229,1,(_Engine!$J$41-1)*4+3))</f>
        <v/>
      </c>
      <c r="H1171" s="27">
        <f>IF(OR($A1171="",_Engine!$D$42=0),"",INDEX(_Engine!$E1229:$X1229,1,(_Engine!$J$42-1)*4+3))</f>
        <v/>
      </c>
      <c r="I1171" s="27">
        <f>IF(OR($A1171="",_Engine!$D$43=0),"",INDEX(_Engine!$E1229:$X1229,1,(_Engine!$J$43-1)*4+3))</f>
        <v/>
      </c>
      <c r="J1171" s="27">
        <f>IF(OR($A1171="",_Engine!$D$44=0),"",INDEX(_Engine!$E1229:$X1229,1,(_Engine!$J$44-1)*4+3))</f>
        <v/>
      </c>
      <c r="K1171" s="27">
        <f>IF(OR($A1171="",_Engine!$D$45=0),"",INDEX(_Engine!$E1229:$X1229,1,(_Engine!$J$45-1)*4+3))</f>
        <v/>
      </c>
    </row>
    <row r="1172">
      <c r="A1172" s="25">
        <f>IF(1169&lt;=_Engine!$B$36,1169,"")</f>
        <v/>
      </c>
      <c r="B1172" s="26">
        <f>IF($A1172="","",EDATE(_Engine!$B$5,$A1172-1))</f>
        <v/>
      </c>
      <c r="C1172" s="27">
        <f>IF($A1172="","",_Engine!$AJ1230)</f>
        <v/>
      </c>
      <c r="D1172" s="27">
        <f>IF($A1172="","",_Engine!$AK1230)</f>
        <v/>
      </c>
      <c r="E1172" s="27">
        <f>IF($A1172="","",_Engine!$AJ1230-_Engine!$AK1230)</f>
        <v/>
      </c>
      <c r="F1172" s="27">
        <f>IF($A1172="","",_Engine!$AI1230)</f>
        <v/>
      </c>
      <c r="G1172" s="27">
        <f>IF(OR($A1172="",_Engine!$D$41=0),"",INDEX(_Engine!$E1230:$X1230,1,(_Engine!$J$41-1)*4+3))</f>
        <v/>
      </c>
      <c r="H1172" s="27">
        <f>IF(OR($A1172="",_Engine!$D$42=0),"",INDEX(_Engine!$E1230:$X1230,1,(_Engine!$J$42-1)*4+3))</f>
        <v/>
      </c>
      <c r="I1172" s="27">
        <f>IF(OR($A1172="",_Engine!$D$43=0),"",INDEX(_Engine!$E1230:$X1230,1,(_Engine!$J$43-1)*4+3))</f>
        <v/>
      </c>
      <c r="J1172" s="27">
        <f>IF(OR($A1172="",_Engine!$D$44=0),"",INDEX(_Engine!$E1230:$X1230,1,(_Engine!$J$44-1)*4+3))</f>
        <v/>
      </c>
      <c r="K1172" s="27">
        <f>IF(OR($A1172="",_Engine!$D$45=0),"",INDEX(_Engine!$E1230:$X1230,1,(_Engine!$J$45-1)*4+3))</f>
        <v/>
      </c>
    </row>
    <row r="1173">
      <c r="A1173" s="25">
        <f>IF(1170&lt;=_Engine!$B$36,1170,"")</f>
        <v/>
      </c>
      <c r="B1173" s="26">
        <f>IF($A1173="","",EDATE(_Engine!$B$5,$A1173-1))</f>
        <v/>
      </c>
      <c r="C1173" s="27">
        <f>IF($A1173="","",_Engine!$AJ1231)</f>
        <v/>
      </c>
      <c r="D1173" s="27">
        <f>IF($A1173="","",_Engine!$AK1231)</f>
        <v/>
      </c>
      <c r="E1173" s="27">
        <f>IF($A1173="","",_Engine!$AJ1231-_Engine!$AK1231)</f>
        <v/>
      </c>
      <c r="F1173" s="27">
        <f>IF($A1173="","",_Engine!$AI1231)</f>
        <v/>
      </c>
      <c r="G1173" s="27">
        <f>IF(OR($A1173="",_Engine!$D$41=0),"",INDEX(_Engine!$E1231:$X1231,1,(_Engine!$J$41-1)*4+3))</f>
        <v/>
      </c>
      <c r="H1173" s="27">
        <f>IF(OR($A1173="",_Engine!$D$42=0),"",INDEX(_Engine!$E1231:$X1231,1,(_Engine!$J$42-1)*4+3))</f>
        <v/>
      </c>
      <c r="I1173" s="27">
        <f>IF(OR($A1173="",_Engine!$D$43=0),"",INDEX(_Engine!$E1231:$X1231,1,(_Engine!$J$43-1)*4+3))</f>
        <v/>
      </c>
      <c r="J1173" s="27">
        <f>IF(OR($A1173="",_Engine!$D$44=0),"",INDEX(_Engine!$E1231:$X1231,1,(_Engine!$J$44-1)*4+3))</f>
        <v/>
      </c>
      <c r="K1173" s="27">
        <f>IF(OR($A1173="",_Engine!$D$45=0),"",INDEX(_Engine!$E1231:$X1231,1,(_Engine!$J$45-1)*4+3))</f>
        <v/>
      </c>
    </row>
    <row r="1174">
      <c r="A1174" s="25">
        <f>IF(1171&lt;=_Engine!$B$36,1171,"")</f>
        <v/>
      </c>
      <c r="B1174" s="26">
        <f>IF($A1174="","",EDATE(_Engine!$B$5,$A1174-1))</f>
        <v/>
      </c>
      <c r="C1174" s="27">
        <f>IF($A1174="","",_Engine!$AJ1232)</f>
        <v/>
      </c>
      <c r="D1174" s="27">
        <f>IF($A1174="","",_Engine!$AK1232)</f>
        <v/>
      </c>
      <c r="E1174" s="27">
        <f>IF($A1174="","",_Engine!$AJ1232-_Engine!$AK1232)</f>
        <v/>
      </c>
      <c r="F1174" s="27">
        <f>IF($A1174="","",_Engine!$AI1232)</f>
        <v/>
      </c>
      <c r="G1174" s="27">
        <f>IF(OR($A1174="",_Engine!$D$41=0),"",INDEX(_Engine!$E1232:$X1232,1,(_Engine!$J$41-1)*4+3))</f>
        <v/>
      </c>
      <c r="H1174" s="27">
        <f>IF(OR($A1174="",_Engine!$D$42=0),"",INDEX(_Engine!$E1232:$X1232,1,(_Engine!$J$42-1)*4+3))</f>
        <v/>
      </c>
      <c r="I1174" s="27">
        <f>IF(OR($A1174="",_Engine!$D$43=0),"",INDEX(_Engine!$E1232:$X1232,1,(_Engine!$J$43-1)*4+3))</f>
        <v/>
      </c>
      <c r="J1174" s="27">
        <f>IF(OR($A1174="",_Engine!$D$44=0),"",INDEX(_Engine!$E1232:$X1232,1,(_Engine!$J$44-1)*4+3))</f>
        <v/>
      </c>
      <c r="K1174" s="27">
        <f>IF(OR($A1174="",_Engine!$D$45=0),"",INDEX(_Engine!$E1232:$X1232,1,(_Engine!$J$45-1)*4+3))</f>
        <v/>
      </c>
    </row>
    <row r="1175">
      <c r="A1175" s="25">
        <f>IF(1172&lt;=_Engine!$B$36,1172,"")</f>
        <v/>
      </c>
      <c r="B1175" s="26">
        <f>IF($A1175="","",EDATE(_Engine!$B$5,$A1175-1))</f>
        <v/>
      </c>
      <c r="C1175" s="27">
        <f>IF($A1175="","",_Engine!$AJ1233)</f>
        <v/>
      </c>
      <c r="D1175" s="27">
        <f>IF($A1175="","",_Engine!$AK1233)</f>
        <v/>
      </c>
      <c r="E1175" s="27">
        <f>IF($A1175="","",_Engine!$AJ1233-_Engine!$AK1233)</f>
        <v/>
      </c>
      <c r="F1175" s="27">
        <f>IF($A1175="","",_Engine!$AI1233)</f>
        <v/>
      </c>
      <c r="G1175" s="27">
        <f>IF(OR($A1175="",_Engine!$D$41=0),"",INDEX(_Engine!$E1233:$X1233,1,(_Engine!$J$41-1)*4+3))</f>
        <v/>
      </c>
      <c r="H1175" s="27">
        <f>IF(OR($A1175="",_Engine!$D$42=0),"",INDEX(_Engine!$E1233:$X1233,1,(_Engine!$J$42-1)*4+3))</f>
        <v/>
      </c>
      <c r="I1175" s="27">
        <f>IF(OR($A1175="",_Engine!$D$43=0),"",INDEX(_Engine!$E1233:$X1233,1,(_Engine!$J$43-1)*4+3))</f>
        <v/>
      </c>
      <c r="J1175" s="27">
        <f>IF(OR($A1175="",_Engine!$D$44=0),"",INDEX(_Engine!$E1233:$X1233,1,(_Engine!$J$44-1)*4+3))</f>
        <v/>
      </c>
      <c r="K1175" s="27">
        <f>IF(OR($A1175="",_Engine!$D$45=0),"",INDEX(_Engine!$E1233:$X1233,1,(_Engine!$J$45-1)*4+3))</f>
        <v/>
      </c>
    </row>
    <row r="1176">
      <c r="A1176" s="25">
        <f>IF(1173&lt;=_Engine!$B$36,1173,"")</f>
        <v/>
      </c>
      <c r="B1176" s="26">
        <f>IF($A1176="","",EDATE(_Engine!$B$5,$A1176-1))</f>
        <v/>
      </c>
      <c r="C1176" s="27">
        <f>IF($A1176="","",_Engine!$AJ1234)</f>
        <v/>
      </c>
      <c r="D1176" s="27">
        <f>IF($A1176="","",_Engine!$AK1234)</f>
        <v/>
      </c>
      <c r="E1176" s="27">
        <f>IF($A1176="","",_Engine!$AJ1234-_Engine!$AK1234)</f>
        <v/>
      </c>
      <c r="F1176" s="27">
        <f>IF($A1176="","",_Engine!$AI1234)</f>
        <v/>
      </c>
      <c r="G1176" s="27">
        <f>IF(OR($A1176="",_Engine!$D$41=0),"",INDEX(_Engine!$E1234:$X1234,1,(_Engine!$J$41-1)*4+3))</f>
        <v/>
      </c>
      <c r="H1176" s="27">
        <f>IF(OR($A1176="",_Engine!$D$42=0),"",INDEX(_Engine!$E1234:$X1234,1,(_Engine!$J$42-1)*4+3))</f>
        <v/>
      </c>
      <c r="I1176" s="27">
        <f>IF(OR($A1176="",_Engine!$D$43=0),"",INDEX(_Engine!$E1234:$X1234,1,(_Engine!$J$43-1)*4+3))</f>
        <v/>
      </c>
      <c r="J1176" s="27">
        <f>IF(OR($A1176="",_Engine!$D$44=0),"",INDEX(_Engine!$E1234:$X1234,1,(_Engine!$J$44-1)*4+3))</f>
        <v/>
      </c>
      <c r="K1176" s="27">
        <f>IF(OR($A1176="",_Engine!$D$45=0),"",INDEX(_Engine!$E1234:$X1234,1,(_Engine!$J$45-1)*4+3))</f>
        <v/>
      </c>
    </row>
    <row r="1177">
      <c r="A1177" s="25">
        <f>IF(1174&lt;=_Engine!$B$36,1174,"")</f>
        <v/>
      </c>
      <c r="B1177" s="26">
        <f>IF($A1177="","",EDATE(_Engine!$B$5,$A1177-1))</f>
        <v/>
      </c>
      <c r="C1177" s="27">
        <f>IF($A1177="","",_Engine!$AJ1235)</f>
        <v/>
      </c>
      <c r="D1177" s="27">
        <f>IF($A1177="","",_Engine!$AK1235)</f>
        <v/>
      </c>
      <c r="E1177" s="27">
        <f>IF($A1177="","",_Engine!$AJ1235-_Engine!$AK1235)</f>
        <v/>
      </c>
      <c r="F1177" s="27">
        <f>IF($A1177="","",_Engine!$AI1235)</f>
        <v/>
      </c>
      <c r="G1177" s="27">
        <f>IF(OR($A1177="",_Engine!$D$41=0),"",INDEX(_Engine!$E1235:$X1235,1,(_Engine!$J$41-1)*4+3))</f>
        <v/>
      </c>
      <c r="H1177" s="27">
        <f>IF(OR($A1177="",_Engine!$D$42=0),"",INDEX(_Engine!$E1235:$X1235,1,(_Engine!$J$42-1)*4+3))</f>
        <v/>
      </c>
      <c r="I1177" s="27">
        <f>IF(OR($A1177="",_Engine!$D$43=0),"",INDEX(_Engine!$E1235:$X1235,1,(_Engine!$J$43-1)*4+3))</f>
        <v/>
      </c>
      <c r="J1177" s="27">
        <f>IF(OR($A1177="",_Engine!$D$44=0),"",INDEX(_Engine!$E1235:$X1235,1,(_Engine!$J$44-1)*4+3))</f>
        <v/>
      </c>
      <c r="K1177" s="27">
        <f>IF(OR($A1177="",_Engine!$D$45=0),"",INDEX(_Engine!$E1235:$X1235,1,(_Engine!$J$45-1)*4+3))</f>
        <v/>
      </c>
    </row>
    <row r="1178">
      <c r="A1178" s="25">
        <f>IF(1175&lt;=_Engine!$B$36,1175,"")</f>
        <v/>
      </c>
      <c r="B1178" s="26">
        <f>IF($A1178="","",EDATE(_Engine!$B$5,$A1178-1))</f>
        <v/>
      </c>
      <c r="C1178" s="27">
        <f>IF($A1178="","",_Engine!$AJ1236)</f>
        <v/>
      </c>
      <c r="D1178" s="27">
        <f>IF($A1178="","",_Engine!$AK1236)</f>
        <v/>
      </c>
      <c r="E1178" s="27">
        <f>IF($A1178="","",_Engine!$AJ1236-_Engine!$AK1236)</f>
        <v/>
      </c>
      <c r="F1178" s="27">
        <f>IF($A1178="","",_Engine!$AI1236)</f>
        <v/>
      </c>
      <c r="G1178" s="27">
        <f>IF(OR($A1178="",_Engine!$D$41=0),"",INDEX(_Engine!$E1236:$X1236,1,(_Engine!$J$41-1)*4+3))</f>
        <v/>
      </c>
      <c r="H1178" s="27">
        <f>IF(OR($A1178="",_Engine!$D$42=0),"",INDEX(_Engine!$E1236:$X1236,1,(_Engine!$J$42-1)*4+3))</f>
        <v/>
      </c>
      <c r="I1178" s="27">
        <f>IF(OR($A1178="",_Engine!$D$43=0),"",INDEX(_Engine!$E1236:$X1236,1,(_Engine!$J$43-1)*4+3))</f>
        <v/>
      </c>
      <c r="J1178" s="27">
        <f>IF(OR($A1178="",_Engine!$D$44=0),"",INDEX(_Engine!$E1236:$X1236,1,(_Engine!$J$44-1)*4+3))</f>
        <v/>
      </c>
      <c r="K1178" s="27">
        <f>IF(OR($A1178="",_Engine!$D$45=0),"",INDEX(_Engine!$E1236:$X1236,1,(_Engine!$J$45-1)*4+3))</f>
        <v/>
      </c>
    </row>
    <row r="1179">
      <c r="A1179" s="25">
        <f>IF(1176&lt;=_Engine!$B$36,1176,"")</f>
        <v/>
      </c>
      <c r="B1179" s="26">
        <f>IF($A1179="","",EDATE(_Engine!$B$5,$A1179-1))</f>
        <v/>
      </c>
      <c r="C1179" s="27">
        <f>IF($A1179="","",_Engine!$AJ1237)</f>
        <v/>
      </c>
      <c r="D1179" s="27">
        <f>IF($A1179="","",_Engine!$AK1237)</f>
        <v/>
      </c>
      <c r="E1179" s="27">
        <f>IF($A1179="","",_Engine!$AJ1237-_Engine!$AK1237)</f>
        <v/>
      </c>
      <c r="F1179" s="27">
        <f>IF($A1179="","",_Engine!$AI1237)</f>
        <v/>
      </c>
      <c r="G1179" s="27">
        <f>IF(OR($A1179="",_Engine!$D$41=0),"",INDEX(_Engine!$E1237:$X1237,1,(_Engine!$J$41-1)*4+3))</f>
        <v/>
      </c>
      <c r="H1179" s="27">
        <f>IF(OR($A1179="",_Engine!$D$42=0),"",INDEX(_Engine!$E1237:$X1237,1,(_Engine!$J$42-1)*4+3))</f>
        <v/>
      </c>
      <c r="I1179" s="27">
        <f>IF(OR($A1179="",_Engine!$D$43=0),"",INDEX(_Engine!$E1237:$X1237,1,(_Engine!$J$43-1)*4+3))</f>
        <v/>
      </c>
      <c r="J1179" s="27">
        <f>IF(OR($A1179="",_Engine!$D$44=0),"",INDEX(_Engine!$E1237:$X1237,1,(_Engine!$J$44-1)*4+3))</f>
        <v/>
      </c>
      <c r="K1179" s="27">
        <f>IF(OR($A1179="",_Engine!$D$45=0),"",INDEX(_Engine!$E1237:$X1237,1,(_Engine!$J$45-1)*4+3))</f>
        <v/>
      </c>
    </row>
    <row r="1180">
      <c r="A1180" s="25">
        <f>IF(1177&lt;=_Engine!$B$36,1177,"")</f>
        <v/>
      </c>
      <c r="B1180" s="26">
        <f>IF($A1180="","",EDATE(_Engine!$B$5,$A1180-1))</f>
        <v/>
      </c>
      <c r="C1180" s="27">
        <f>IF($A1180="","",_Engine!$AJ1238)</f>
        <v/>
      </c>
      <c r="D1180" s="27">
        <f>IF($A1180="","",_Engine!$AK1238)</f>
        <v/>
      </c>
      <c r="E1180" s="27">
        <f>IF($A1180="","",_Engine!$AJ1238-_Engine!$AK1238)</f>
        <v/>
      </c>
      <c r="F1180" s="27">
        <f>IF($A1180="","",_Engine!$AI1238)</f>
        <v/>
      </c>
      <c r="G1180" s="27">
        <f>IF(OR($A1180="",_Engine!$D$41=0),"",INDEX(_Engine!$E1238:$X1238,1,(_Engine!$J$41-1)*4+3))</f>
        <v/>
      </c>
      <c r="H1180" s="27">
        <f>IF(OR($A1180="",_Engine!$D$42=0),"",INDEX(_Engine!$E1238:$X1238,1,(_Engine!$J$42-1)*4+3))</f>
        <v/>
      </c>
      <c r="I1180" s="27">
        <f>IF(OR($A1180="",_Engine!$D$43=0),"",INDEX(_Engine!$E1238:$X1238,1,(_Engine!$J$43-1)*4+3))</f>
        <v/>
      </c>
      <c r="J1180" s="27">
        <f>IF(OR($A1180="",_Engine!$D$44=0),"",INDEX(_Engine!$E1238:$X1238,1,(_Engine!$J$44-1)*4+3))</f>
        <v/>
      </c>
      <c r="K1180" s="27">
        <f>IF(OR($A1180="",_Engine!$D$45=0),"",INDEX(_Engine!$E1238:$X1238,1,(_Engine!$J$45-1)*4+3))</f>
        <v/>
      </c>
    </row>
    <row r="1181">
      <c r="A1181" s="25">
        <f>IF(1178&lt;=_Engine!$B$36,1178,"")</f>
        <v/>
      </c>
      <c r="B1181" s="26">
        <f>IF($A1181="","",EDATE(_Engine!$B$5,$A1181-1))</f>
        <v/>
      </c>
      <c r="C1181" s="27">
        <f>IF($A1181="","",_Engine!$AJ1239)</f>
        <v/>
      </c>
      <c r="D1181" s="27">
        <f>IF($A1181="","",_Engine!$AK1239)</f>
        <v/>
      </c>
      <c r="E1181" s="27">
        <f>IF($A1181="","",_Engine!$AJ1239-_Engine!$AK1239)</f>
        <v/>
      </c>
      <c r="F1181" s="27">
        <f>IF($A1181="","",_Engine!$AI1239)</f>
        <v/>
      </c>
      <c r="G1181" s="27">
        <f>IF(OR($A1181="",_Engine!$D$41=0),"",INDEX(_Engine!$E1239:$X1239,1,(_Engine!$J$41-1)*4+3))</f>
        <v/>
      </c>
      <c r="H1181" s="27">
        <f>IF(OR($A1181="",_Engine!$D$42=0),"",INDEX(_Engine!$E1239:$X1239,1,(_Engine!$J$42-1)*4+3))</f>
        <v/>
      </c>
      <c r="I1181" s="27">
        <f>IF(OR($A1181="",_Engine!$D$43=0),"",INDEX(_Engine!$E1239:$X1239,1,(_Engine!$J$43-1)*4+3))</f>
        <v/>
      </c>
      <c r="J1181" s="27">
        <f>IF(OR($A1181="",_Engine!$D$44=0),"",INDEX(_Engine!$E1239:$X1239,1,(_Engine!$J$44-1)*4+3))</f>
        <v/>
      </c>
      <c r="K1181" s="27">
        <f>IF(OR($A1181="",_Engine!$D$45=0),"",INDEX(_Engine!$E1239:$X1239,1,(_Engine!$J$45-1)*4+3))</f>
        <v/>
      </c>
    </row>
    <row r="1182">
      <c r="A1182" s="25">
        <f>IF(1179&lt;=_Engine!$B$36,1179,"")</f>
        <v/>
      </c>
      <c r="B1182" s="26">
        <f>IF($A1182="","",EDATE(_Engine!$B$5,$A1182-1))</f>
        <v/>
      </c>
      <c r="C1182" s="27">
        <f>IF($A1182="","",_Engine!$AJ1240)</f>
        <v/>
      </c>
      <c r="D1182" s="27">
        <f>IF($A1182="","",_Engine!$AK1240)</f>
        <v/>
      </c>
      <c r="E1182" s="27">
        <f>IF($A1182="","",_Engine!$AJ1240-_Engine!$AK1240)</f>
        <v/>
      </c>
      <c r="F1182" s="27">
        <f>IF($A1182="","",_Engine!$AI1240)</f>
        <v/>
      </c>
      <c r="G1182" s="27">
        <f>IF(OR($A1182="",_Engine!$D$41=0),"",INDEX(_Engine!$E1240:$X1240,1,(_Engine!$J$41-1)*4+3))</f>
        <v/>
      </c>
      <c r="H1182" s="27">
        <f>IF(OR($A1182="",_Engine!$D$42=0),"",INDEX(_Engine!$E1240:$X1240,1,(_Engine!$J$42-1)*4+3))</f>
        <v/>
      </c>
      <c r="I1182" s="27">
        <f>IF(OR($A1182="",_Engine!$D$43=0),"",INDEX(_Engine!$E1240:$X1240,1,(_Engine!$J$43-1)*4+3))</f>
        <v/>
      </c>
      <c r="J1182" s="27">
        <f>IF(OR($A1182="",_Engine!$D$44=0),"",INDEX(_Engine!$E1240:$X1240,1,(_Engine!$J$44-1)*4+3))</f>
        <v/>
      </c>
      <c r="K1182" s="27">
        <f>IF(OR($A1182="",_Engine!$D$45=0),"",INDEX(_Engine!$E1240:$X1240,1,(_Engine!$J$45-1)*4+3))</f>
        <v/>
      </c>
    </row>
    <row r="1183">
      <c r="A1183" s="25">
        <f>IF(1180&lt;=_Engine!$B$36,1180,"")</f>
        <v/>
      </c>
      <c r="B1183" s="26">
        <f>IF($A1183="","",EDATE(_Engine!$B$5,$A1183-1))</f>
        <v/>
      </c>
      <c r="C1183" s="27">
        <f>IF($A1183="","",_Engine!$AJ1241)</f>
        <v/>
      </c>
      <c r="D1183" s="27">
        <f>IF($A1183="","",_Engine!$AK1241)</f>
        <v/>
      </c>
      <c r="E1183" s="27">
        <f>IF($A1183="","",_Engine!$AJ1241-_Engine!$AK1241)</f>
        <v/>
      </c>
      <c r="F1183" s="27">
        <f>IF($A1183="","",_Engine!$AI1241)</f>
        <v/>
      </c>
      <c r="G1183" s="27">
        <f>IF(OR($A1183="",_Engine!$D$41=0),"",INDEX(_Engine!$E1241:$X1241,1,(_Engine!$J$41-1)*4+3))</f>
        <v/>
      </c>
      <c r="H1183" s="27">
        <f>IF(OR($A1183="",_Engine!$D$42=0),"",INDEX(_Engine!$E1241:$X1241,1,(_Engine!$J$42-1)*4+3))</f>
        <v/>
      </c>
      <c r="I1183" s="27">
        <f>IF(OR($A1183="",_Engine!$D$43=0),"",INDEX(_Engine!$E1241:$X1241,1,(_Engine!$J$43-1)*4+3))</f>
        <v/>
      </c>
      <c r="J1183" s="27">
        <f>IF(OR($A1183="",_Engine!$D$44=0),"",INDEX(_Engine!$E1241:$X1241,1,(_Engine!$J$44-1)*4+3))</f>
        <v/>
      </c>
      <c r="K1183" s="27">
        <f>IF(OR($A1183="",_Engine!$D$45=0),"",INDEX(_Engine!$E1241:$X1241,1,(_Engine!$J$45-1)*4+3))</f>
        <v/>
      </c>
    </row>
    <row r="1184">
      <c r="A1184" s="25">
        <f>IF(1181&lt;=_Engine!$B$36,1181,"")</f>
        <v/>
      </c>
      <c r="B1184" s="26">
        <f>IF($A1184="","",EDATE(_Engine!$B$5,$A1184-1))</f>
        <v/>
      </c>
      <c r="C1184" s="27">
        <f>IF($A1184="","",_Engine!$AJ1242)</f>
        <v/>
      </c>
      <c r="D1184" s="27">
        <f>IF($A1184="","",_Engine!$AK1242)</f>
        <v/>
      </c>
      <c r="E1184" s="27">
        <f>IF($A1184="","",_Engine!$AJ1242-_Engine!$AK1242)</f>
        <v/>
      </c>
      <c r="F1184" s="27">
        <f>IF($A1184="","",_Engine!$AI1242)</f>
        <v/>
      </c>
      <c r="G1184" s="27">
        <f>IF(OR($A1184="",_Engine!$D$41=0),"",INDEX(_Engine!$E1242:$X1242,1,(_Engine!$J$41-1)*4+3))</f>
        <v/>
      </c>
      <c r="H1184" s="27">
        <f>IF(OR($A1184="",_Engine!$D$42=0),"",INDEX(_Engine!$E1242:$X1242,1,(_Engine!$J$42-1)*4+3))</f>
        <v/>
      </c>
      <c r="I1184" s="27">
        <f>IF(OR($A1184="",_Engine!$D$43=0),"",INDEX(_Engine!$E1242:$X1242,1,(_Engine!$J$43-1)*4+3))</f>
        <v/>
      </c>
      <c r="J1184" s="27">
        <f>IF(OR($A1184="",_Engine!$D$44=0),"",INDEX(_Engine!$E1242:$X1242,1,(_Engine!$J$44-1)*4+3))</f>
        <v/>
      </c>
      <c r="K1184" s="27">
        <f>IF(OR($A1184="",_Engine!$D$45=0),"",INDEX(_Engine!$E1242:$X1242,1,(_Engine!$J$45-1)*4+3))</f>
        <v/>
      </c>
    </row>
    <row r="1185">
      <c r="A1185" s="25">
        <f>IF(1182&lt;=_Engine!$B$36,1182,"")</f>
        <v/>
      </c>
      <c r="B1185" s="26">
        <f>IF($A1185="","",EDATE(_Engine!$B$5,$A1185-1))</f>
        <v/>
      </c>
      <c r="C1185" s="27">
        <f>IF($A1185="","",_Engine!$AJ1243)</f>
        <v/>
      </c>
      <c r="D1185" s="27">
        <f>IF($A1185="","",_Engine!$AK1243)</f>
        <v/>
      </c>
      <c r="E1185" s="27">
        <f>IF($A1185="","",_Engine!$AJ1243-_Engine!$AK1243)</f>
        <v/>
      </c>
      <c r="F1185" s="27">
        <f>IF($A1185="","",_Engine!$AI1243)</f>
        <v/>
      </c>
      <c r="G1185" s="27">
        <f>IF(OR($A1185="",_Engine!$D$41=0),"",INDEX(_Engine!$E1243:$X1243,1,(_Engine!$J$41-1)*4+3))</f>
        <v/>
      </c>
      <c r="H1185" s="27">
        <f>IF(OR($A1185="",_Engine!$D$42=0),"",INDEX(_Engine!$E1243:$X1243,1,(_Engine!$J$42-1)*4+3))</f>
        <v/>
      </c>
      <c r="I1185" s="27">
        <f>IF(OR($A1185="",_Engine!$D$43=0),"",INDEX(_Engine!$E1243:$X1243,1,(_Engine!$J$43-1)*4+3))</f>
        <v/>
      </c>
      <c r="J1185" s="27">
        <f>IF(OR($A1185="",_Engine!$D$44=0),"",INDEX(_Engine!$E1243:$X1243,1,(_Engine!$J$44-1)*4+3))</f>
        <v/>
      </c>
      <c r="K1185" s="27">
        <f>IF(OR($A1185="",_Engine!$D$45=0),"",INDEX(_Engine!$E1243:$X1243,1,(_Engine!$J$45-1)*4+3))</f>
        <v/>
      </c>
    </row>
    <row r="1186">
      <c r="A1186" s="25">
        <f>IF(1183&lt;=_Engine!$B$36,1183,"")</f>
        <v/>
      </c>
      <c r="B1186" s="26">
        <f>IF($A1186="","",EDATE(_Engine!$B$5,$A1186-1))</f>
        <v/>
      </c>
      <c r="C1186" s="27">
        <f>IF($A1186="","",_Engine!$AJ1244)</f>
        <v/>
      </c>
      <c r="D1186" s="27">
        <f>IF($A1186="","",_Engine!$AK1244)</f>
        <v/>
      </c>
      <c r="E1186" s="27">
        <f>IF($A1186="","",_Engine!$AJ1244-_Engine!$AK1244)</f>
        <v/>
      </c>
      <c r="F1186" s="27">
        <f>IF($A1186="","",_Engine!$AI1244)</f>
        <v/>
      </c>
      <c r="G1186" s="27">
        <f>IF(OR($A1186="",_Engine!$D$41=0),"",INDEX(_Engine!$E1244:$X1244,1,(_Engine!$J$41-1)*4+3))</f>
        <v/>
      </c>
      <c r="H1186" s="27">
        <f>IF(OR($A1186="",_Engine!$D$42=0),"",INDEX(_Engine!$E1244:$X1244,1,(_Engine!$J$42-1)*4+3))</f>
        <v/>
      </c>
      <c r="I1186" s="27">
        <f>IF(OR($A1186="",_Engine!$D$43=0),"",INDEX(_Engine!$E1244:$X1244,1,(_Engine!$J$43-1)*4+3))</f>
        <v/>
      </c>
      <c r="J1186" s="27">
        <f>IF(OR($A1186="",_Engine!$D$44=0),"",INDEX(_Engine!$E1244:$X1244,1,(_Engine!$J$44-1)*4+3))</f>
        <v/>
      </c>
      <c r="K1186" s="27">
        <f>IF(OR($A1186="",_Engine!$D$45=0),"",INDEX(_Engine!$E1244:$X1244,1,(_Engine!$J$45-1)*4+3))</f>
        <v/>
      </c>
    </row>
    <row r="1187">
      <c r="A1187" s="25">
        <f>IF(1184&lt;=_Engine!$B$36,1184,"")</f>
        <v/>
      </c>
      <c r="B1187" s="26">
        <f>IF($A1187="","",EDATE(_Engine!$B$5,$A1187-1))</f>
        <v/>
      </c>
      <c r="C1187" s="27">
        <f>IF($A1187="","",_Engine!$AJ1245)</f>
        <v/>
      </c>
      <c r="D1187" s="27">
        <f>IF($A1187="","",_Engine!$AK1245)</f>
        <v/>
      </c>
      <c r="E1187" s="27">
        <f>IF($A1187="","",_Engine!$AJ1245-_Engine!$AK1245)</f>
        <v/>
      </c>
      <c r="F1187" s="27">
        <f>IF($A1187="","",_Engine!$AI1245)</f>
        <v/>
      </c>
      <c r="G1187" s="27">
        <f>IF(OR($A1187="",_Engine!$D$41=0),"",INDEX(_Engine!$E1245:$X1245,1,(_Engine!$J$41-1)*4+3))</f>
        <v/>
      </c>
      <c r="H1187" s="27">
        <f>IF(OR($A1187="",_Engine!$D$42=0),"",INDEX(_Engine!$E1245:$X1245,1,(_Engine!$J$42-1)*4+3))</f>
        <v/>
      </c>
      <c r="I1187" s="27">
        <f>IF(OR($A1187="",_Engine!$D$43=0),"",INDEX(_Engine!$E1245:$X1245,1,(_Engine!$J$43-1)*4+3))</f>
        <v/>
      </c>
      <c r="J1187" s="27">
        <f>IF(OR($A1187="",_Engine!$D$44=0),"",INDEX(_Engine!$E1245:$X1245,1,(_Engine!$J$44-1)*4+3))</f>
        <v/>
      </c>
      <c r="K1187" s="27">
        <f>IF(OR($A1187="",_Engine!$D$45=0),"",INDEX(_Engine!$E1245:$X1245,1,(_Engine!$J$45-1)*4+3))</f>
        <v/>
      </c>
    </row>
    <row r="1188">
      <c r="A1188" s="25">
        <f>IF(1185&lt;=_Engine!$B$36,1185,"")</f>
        <v/>
      </c>
      <c r="B1188" s="26">
        <f>IF($A1188="","",EDATE(_Engine!$B$5,$A1188-1))</f>
        <v/>
      </c>
      <c r="C1188" s="27">
        <f>IF($A1188="","",_Engine!$AJ1246)</f>
        <v/>
      </c>
      <c r="D1188" s="27">
        <f>IF($A1188="","",_Engine!$AK1246)</f>
        <v/>
      </c>
      <c r="E1188" s="27">
        <f>IF($A1188="","",_Engine!$AJ1246-_Engine!$AK1246)</f>
        <v/>
      </c>
      <c r="F1188" s="27">
        <f>IF($A1188="","",_Engine!$AI1246)</f>
        <v/>
      </c>
      <c r="G1188" s="27">
        <f>IF(OR($A1188="",_Engine!$D$41=0),"",INDEX(_Engine!$E1246:$X1246,1,(_Engine!$J$41-1)*4+3))</f>
        <v/>
      </c>
      <c r="H1188" s="27">
        <f>IF(OR($A1188="",_Engine!$D$42=0),"",INDEX(_Engine!$E1246:$X1246,1,(_Engine!$J$42-1)*4+3))</f>
        <v/>
      </c>
      <c r="I1188" s="27">
        <f>IF(OR($A1188="",_Engine!$D$43=0),"",INDEX(_Engine!$E1246:$X1246,1,(_Engine!$J$43-1)*4+3))</f>
        <v/>
      </c>
      <c r="J1188" s="27">
        <f>IF(OR($A1188="",_Engine!$D$44=0),"",INDEX(_Engine!$E1246:$X1246,1,(_Engine!$J$44-1)*4+3))</f>
        <v/>
      </c>
      <c r="K1188" s="27">
        <f>IF(OR($A1188="",_Engine!$D$45=0),"",INDEX(_Engine!$E1246:$X1246,1,(_Engine!$J$45-1)*4+3))</f>
        <v/>
      </c>
    </row>
    <row r="1189">
      <c r="A1189" s="25">
        <f>IF(1186&lt;=_Engine!$B$36,1186,"")</f>
        <v/>
      </c>
      <c r="B1189" s="26">
        <f>IF($A1189="","",EDATE(_Engine!$B$5,$A1189-1))</f>
        <v/>
      </c>
      <c r="C1189" s="27">
        <f>IF($A1189="","",_Engine!$AJ1247)</f>
        <v/>
      </c>
      <c r="D1189" s="27">
        <f>IF($A1189="","",_Engine!$AK1247)</f>
        <v/>
      </c>
      <c r="E1189" s="27">
        <f>IF($A1189="","",_Engine!$AJ1247-_Engine!$AK1247)</f>
        <v/>
      </c>
      <c r="F1189" s="27">
        <f>IF($A1189="","",_Engine!$AI1247)</f>
        <v/>
      </c>
      <c r="G1189" s="27">
        <f>IF(OR($A1189="",_Engine!$D$41=0),"",INDEX(_Engine!$E1247:$X1247,1,(_Engine!$J$41-1)*4+3))</f>
        <v/>
      </c>
      <c r="H1189" s="27">
        <f>IF(OR($A1189="",_Engine!$D$42=0),"",INDEX(_Engine!$E1247:$X1247,1,(_Engine!$J$42-1)*4+3))</f>
        <v/>
      </c>
      <c r="I1189" s="27">
        <f>IF(OR($A1189="",_Engine!$D$43=0),"",INDEX(_Engine!$E1247:$X1247,1,(_Engine!$J$43-1)*4+3))</f>
        <v/>
      </c>
      <c r="J1189" s="27">
        <f>IF(OR($A1189="",_Engine!$D$44=0),"",INDEX(_Engine!$E1247:$X1247,1,(_Engine!$J$44-1)*4+3))</f>
        <v/>
      </c>
      <c r="K1189" s="27">
        <f>IF(OR($A1189="",_Engine!$D$45=0),"",INDEX(_Engine!$E1247:$X1247,1,(_Engine!$J$45-1)*4+3))</f>
        <v/>
      </c>
    </row>
    <row r="1190">
      <c r="A1190" s="25">
        <f>IF(1187&lt;=_Engine!$B$36,1187,"")</f>
        <v/>
      </c>
      <c r="B1190" s="26">
        <f>IF($A1190="","",EDATE(_Engine!$B$5,$A1190-1))</f>
        <v/>
      </c>
      <c r="C1190" s="27">
        <f>IF($A1190="","",_Engine!$AJ1248)</f>
        <v/>
      </c>
      <c r="D1190" s="27">
        <f>IF($A1190="","",_Engine!$AK1248)</f>
        <v/>
      </c>
      <c r="E1190" s="27">
        <f>IF($A1190="","",_Engine!$AJ1248-_Engine!$AK1248)</f>
        <v/>
      </c>
      <c r="F1190" s="27">
        <f>IF($A1190="","",_Engine!$AI1248)</f>
        <v/>
      </c>
      <c r="G1190" s="27">
        <f>IF(OR($A1190="",_Engine!$D$41=0),"",INDEX(_Engine!$E1248:$X1248,1,(_Engine!$J$41-1)*4+3))</f>
        <v/>
      </c>
      <c r="H1190" s="27">
        <f>IF(OR($A1190="",_Engine!$D$42=0),"",INDEX(_Engine!$E1248:$X1248,1,(_Engine!$J$42-1)*4+3))</f>
        <v/>
      </c>
      <c r="I1190" s="27">
        <f>IF(OR($A1190="",_Engine!$D$43=0),"",INDEX(_Engine!$E1248:$X1248,1,(_Engine!$J$43-1)*4+3))</f>
        <v/>
      </c>
      <c r="J1190" s="27">
        <f>IF(OR($A1190="",_Engine!$D$44=0),"",INDEX(_Engine!$E1248:$X1248,1,(_Engine!$J$44-1)*4+3))</f>
        <v/>
      </c>
      <c r="K1190" s="27">
        <f>IF(OR($A1190="",_Engine!$D$45=0),"",INDEX(_Engine!$E1248:$X1248,1,(_Engine!$J$45-1)*4+3))</f>
        <v/>
      </c>
    </row>
    <row r="1191">
      <c r="A1191" s="25">
        <f>IF(1188&lt;=_Engine!$B$36,1188,"")</f>
        <v/>
      </c>
      <c r="B1191" s="26">
        <f>IF($A1191="","",EDATE(_Engine!$B$5,$A1191-1))</f>
        <v/>
      </c>
      <c r="C1191" s="27">
        <f>IF($A1191="","",_Engine!$AJ1249)</f>
        <v/>
      </c>
      <c r="D1191" s="27">
        <f>IF($A1191="","",_Engine!$AK1249)</f>
        <v/>
      </c>
      <c r="E1191" s="27">
        <f>IF($A1191="","",_Engine!$AJ1249-_Engine!$AK1249)</f>
        <v/>
      </c>
      <c r="F1191" s="27">
        <f>IF($A1191="","",_Engine!$AI1249)</f>
        <v/>
      </c>
      <c r="G1191" s="27">
        <f>IF(OR($A1191="",_Engine!$D$41=0),"",INDEX(_Engine!$E1249:$X1249,1,(_Engine!$J$41-1)*4+3))</f>
        <v/>
      </c>
      <c r="H1191" s="27">
        <f>IF(OR($A1191="",_Engine!$D$42=0),"",INDEX(_Engine!$E1249:$X1249,1,(_Engine!$J$42-1)*4+3))</f>
        <v/>
      </c>
      <c r="I1191" s="27">
        <f>IF(OR($A1191="",_Engine!$D$43=0),"",INDEX(_Engine!$E1249:$X1249,1,(_Engine!$J$43-1)*4+3))</f>
        <v/>
      </c>
      <c r="J1191" s="27">
        <f>IF(OR($A1191="",_Engine!$D$44=0),"",INDEX(_Engine!$E1249:$X1249,1,(_Engine!$J$44-1)*4+3))</f>
        <v/>
      </c>
      <c r="K1191" s="27">
        <f>IF(OR($A1191="",_Engine!$D$45=0),"",INDEX(_Engine!$E1249:$X1249,1,(_Engine!$J$45-1)*4+3))</f>
        <v/>
      </c>
    </row>
    <row r="1192">
      <c r="A1192" s="25">
        <f>IF(1189&lt;=_Engine!$B$36,1189,"")</f>
        <v/>
      </c>
      <c r="B1192" s="26">
        <f>IF($A1192="","",EDATE(_Engine!$B$5,$A1192-1))</f>
        <v/>
      </c>
      <c r="C1192" s="27">
        <f>IF($A1192="","",_Engine!$AJ1250)</f>
        <v/>
      </c>
      <c r="D1192" s="27">
        <f>IF($A1192="","",_Engine!$AK1250)</f>
        <v/>
      </c>
      <c r="E1192" s="27">
        <f>IF($A1192="","",_Engine!$AJ1250-_Engine!$AK1250)</f>
        <v/>
      </c>
      <c r="F1192" s="27">
        <f>IF($A1192="","",_Engine!$AI1250)</f>
        <v/>
      </c>
      <c r="G1192" s="27">
        <f>IF(OR($A1192="",_Engine!$D$41=0),"",INDEX(_Engine!$E1250:$X1250,1,(_Engine!$J$41-1)*4+3))</f>
        <v/>
      </c>
      <c r="H1192" s="27">
        <f>IF(OR($A1192="",_Engine!$D$42=0),"",INDEX(_Engine!$E1250:$X1250,1,(_Engine!$J$42-1)*4+3))</f>
        <v/>
      </c>
      <c r="I1192" s="27">
        <f>IF(OR($A1192="",_Engine!$D$43=0),"",INDEX(_Engine!$E1250:$X1250,1,(_Engine!$J$43-1)*4+3))</f>
        <v/>
      </c>
      <c r="J1192" s="27">
        <f>IF(OR($A1192="",_Engine!$D$44=0),"",INDEX(_Engine!$E1250:$X1250,1,(_Engine!$J$44-1)*4+3))</f>
        <v/>
      </c>
      <c r="K1192" s="27">
        <f>IF(OR($A1192="",_Engine!$D$45=0),"",INDEX(_Engine!$E1250:$X1250,1,(_Engine!$J$45-1)*4+3))</f>
        <v/>
      </c>
    </row>
    <row r="1193">
      <c r="A1193" s="25">
        <f>IF(1190&lt;=_Engine!$B$36,1190,"")</f>
        <v/>
      </c>
      <c r="B1193" s="26">
        <f>IF($A1193="","",EDATE(_Engine!$B$5,$A1193-1))</f>
        <v/>
      </c>
      <c r="C1193" s="27">
        <f>IF($A1193="","",_Engine!$AJ1251)</f>
        <v/>
      </c>
      <c r="D1193" s="27">
        <f>IF($A1193="","",_Engine!$AK1251)</f>
        <v/>
      </c>
      <c r="E1193" s="27">
        <f>IF($A1193="","",_Engine!$AJ1251-_Engine!$AK1251)</f>
        <v/>
      </c>
      <c r="F1193" s="27">
        <f>IF($A1193="","",_Engine!$AI1251)</f>
        <v/>
      </c>
      <c r="G1193" s="27">
        <f>IF(OR($A1193="",_Engine!$D$41=0),"",INDEX(_Engine!$E1251:$X1251,1,(_Engine!$J$41-1)*4+3))</f>
        <v/>
      </c>
      <c r="H1193" s="27">
        <f>IF(OR($A1193="",_Engine!$D$42=0),"",INDEX(_Engine!$E1251:$X1251,1,(_Engine!$J$42-1)*4+3))</f>
        <v/>
      </c>
      <c r="I1193" s="27">
        <f>IF(OR($A1193="",_Engine!$D$43=0),"",INDEX(_Engine!$E1251:$X1251,1,(_Engine!$J$43-1)*4+3))</f>
        <v/>
      </c>
      <c r="J1193" s="27">
        <f>IF(OR($A1193="",_Engine!$D$44=0),"",INDEX(_Engine!$E1251:$X1251,1,(_Engine!$J$44-1)*4+3))</f>
        <v/>
      </c>
      <c r="K1193" s="27">
        <f>IF(OR($A1193="",_Engine!$D$45=0),"",INDEX(_Engine!$E1251:$X1251,1,(_Engine!$J$45-1)*4+3))</f>
        <v/>
      </c>
    </row>
    <row r="1194">
      <c r="A1194" s="25">
        <f>IF(1191&lt;=_Engine!$B$36,1191,"")</f>
        <v/>
      </c>
      <c r="B1194" s="26">
        <f>IF($A1194="","",EDATE(_Engine!$B$5,$A1194-1))</f>
        <v/>
      </c>
      <c r="C1194" s="27">
        <f>IF($A1194="","",_Engine!$AJ1252)</f>
        <v/>
      </c>
      <c r="D1194" s="27">
        <f>IF($A1194="","",_Engine!$AK1252)</f>
        <v/>
      </c>
      <c r="E1194" s="27">
        <f>IF($A1194="","",_Engine!$AJ1252-_Engine!$AK1252)</f>
        <v/>
      </c>
      <c r="F1194" s="27">
        <f>IF($A1194="","",_Engine!$AI1252)</f>
        <v/>
      </c>
      <c r="G1194" s="27">
        <f>IF(OR($A1194="",_Engine!$D$41=0),"",INDEX(_Engine!$E1252:$X1252,1,(_Engine!$J$41-1)*4+3))</f>
        <v/>
      </c>
      <c r="H1194" s="27">
        <f>IF(OR($A1194="",_Engine!$D$42=0),"",INDEX(_Engine!$E1252:$X1252,1,(_Engine!$J$42-1)*4+3))</f>
        <v/>
      </c>
      <c r="I1194" s="27">
        <f>IF(OR($A1194="",_Engine!$D$43=0),"",INDEX(_Engine!$E1252:$X1252,1,(_Engine!$J$43-1)*4+3))</f>
        <v/>
      </c>
      <c r="J1194" s="27">
        <f>IF(OR($A1194="",_Engine!$D$44=0),"",INDEX(_Engine!$E1252:$X1252,1,(_Engine!$J$44-1)*4+3))</f>
        <v/>
      </c>
      <c r="K1194" s="27">
        <f>IF(OR($A1194="",_Engine!$D$45=0),"",INDEX(_Engine!$E1252:$X1252,1,(_Engine!$J$45-1)*4+3))</f>
        <v/>
      </c>
    </row>
    <row r="1195">
      <c r="A1195" s="25">
        <f>IF(1192&lt;=_Engine!$B$36,1192,"")</f>
        <v/>
      </c>
      <c r="B1195" s="26">
        <f>IF($A1195="","",EDATE(_Engine!$B$5,$A1195-1))</f>
        <v/>
      </c>
      <c r="C1195" s="27">
        <f>IF($A1195="","",_Engine!$AJ1253)</f>
        <v/>
      </c>
      <c r="D1195" s="27">
        <f>IF($A1195="","",_Engine!$AK1253)</f>
        <v/>
      </c>
      <c r="E1195" s="27">
        <f>IF($A1195="","",_Engine!$AJ1253-_Engine!$AK1253)</f>
        <v/>
      </c>
      <c r="F1195" s="27">
        <f>IF($A1195="","",_Engine!$AI1253)</f>
        <v/>
      </c>
      <c r="G1195" s="27">
        <f>IF(OR($A1195="",_Engine!$D$41=0),"",INDEX(_Engine!$E1253:$X1253,1,(_Engine!$J$41-1)*4+3))</f>
        <v/>
      </c>
      <c r="H1195" s="27">
        <f>IF(OR($A1195="",_Engine!$D$42=0),"",INDEX(_Engine!$E1253:$X1253,1,(_Engine!$J$42-1)*4+3))</f>
        <v/>
      </c>
      <c r="I1195" s="27">
        <f>IF(OR($A1195="",_Engine!$D$43=0),"",INDEX(_Engine!$E1253:$X1253,1,(_Engine!$J$43-1)*4+3))</f>
        <v/>
      </c>
      <c r="J1195" s="27">
        <f>IF(OR($A1195="",_Engine!$D$44=0),"",INDEX(_Engine!$E1253:$X1253,1,(_Engine!$J$44-1)*4+3))</f>
        <v/>
      </c>
      <c r="K1195" s="27">
        <f>IF(OR($A1195="",_Engine!$D$45=0),"",INDEX(_Engine!$E1253:$X1253,1,(_Engine!$J$45-1)*4+3))</f>
        <v/>
      </c>
    </row>
    <row r="1196">
      <c r="A1196" s="25">
        <f>IF(1193&lt;=_Engine!$B$36,1193,"")</f>
        <v/>
      </c>
      <c r="B1196" s="26">
        <f>IF($A1196="","",EDATE(_Engine!$B$5,$A1196-1))</f>
        <v/>
      </c>
      <c r="C1196" s="27">
        <f>IF($A1196="","",_Engine!$AJ1254)</f>
        <v/>
      </c>
      <c r="D1196" s="27">
        <f>IF($A1196="","",_Engine!$AK1254)</f>
        <v/>
      </c>
      <c r="E1196" s="27">
        <f>IF($A1196="","",_Engine!$AJ1254-_Engine!$AK1254)</f>
        <v/>
      </c>
      <c r="F1196" s="27">
        <f>IF($A1196="","",_Engine!$AI1254)</f>
        <v/>
      </c>
      <c r="G1196" s="27">
        <f>IF(OR($A1196="",_Engine!$D$41=0),"",INDEX(_Engine!$E1254:$X1254,1,(_Engine!$J$41-1)*4+3))</f>
        <v/>
      </c>
      <c r="H1196" s="27">
        <f>IF(OR($A1196="",_Engine!$D$42=0),"",INDEX(_Engine!$E1254:$X1254,1,(_Engine!$J$42-1)*4+3))</f>
        <v/>
      </c>
      <c r="I1196" s="27">
        <f>IF(OR($A1196="",_Engine!$D$43=0),"",INDEX(_Engine!$E1254:$X1254,1,(_Engine!$J$43-1)*4+3))</f>
        <v/>
      </c>
      <c r="J1196" s="27">
        <f>IF(OR($A1196="",_Engine!$D$44=0),"",INDEX(_Engine!$E1254:$X1254,1,(_Engine!$J$44-1)*4+3))</f>
        <v/>
      </c>
      <c r="K1196" s="27">
        <f>IF(OR($A1196="",_Engine!$D$45=0),"",INDEX(_Engine!$E1254:$X1254,1,(_Engine!$J$45-1)*4+3))</f>
        <v/>
      </c>
    </row>
    <row r="1197">
      <c r="A1197" s="25">
        <f>IF(1194&lt;=_Engine!$B$36,1194,"")</f>
        <v/>
      </c>
      <c r="B1197" s="26">
        <f>IF($A1197="","",EDATE(_Engine!$B$5,$A1197-1))</f>
        <v/>
      </c>
      <c r="C1197" s="27">
        <f>IF($A1197="","",_Engine!$AJ1255)</f>
        <v/>
      </c>
      <c r="D1197" s="27">
        <f>IF($A1197="","",_Engine!$AK1255)</f>
        <v/>
      </c>
      <c r="E1197" s="27">
        <f>IF($A1197="","",_Engine!$AJ1255-_Engine!$AK1255)</f>
        <v/>
      </c>
      <c r="F1197" s="27">
        <f>IF($A1197="","",_Engine!$AI1255)</f>
        <v/>
      </c>
      <c r="G1197" s="27">
        <f>IF(OR($A1197="",_Engine!$D$41=0),"",INDEX(_Engine!$E1255:$X1255,1,(_Engine!$J$41-1)*4+3))</f>
        <v/>
      </c>
      <c r="H1197" s="27">
        <f>IF(OR($A1197="",_Engine!$D$42=0),"",INDEX(_Engine!$E1255:$X1255,1,(_Engine!$J$42-1)*4+3))</f>
        <v/>
      </c>
      <c r="I1197" s="27">
        <f>IF(OR($A1197="",_Engine!$D$43=0),"",INDEX(_Engine!$E1255:$X1255,1,(_Engine!$J$43-1)*4+3))</f>
        <v/>
      </c>
      <c r="J1197" s="27">
        <f>IF(OR($A1197="",_Engine!$D$44=0),"",INDEX(_Engine!$E1255:$X1255,1,(_Engine!$J$44-1)*4+3))</f>
        <v/>
      </c>
      <c r="K1197" s="27">
        <f>IF(OR($A1197="",_Engine!$D$45=0),"",INDEX(_Engine!$E1255:$X1255,1,(_Engine!$J$45-1)*4+3))</f>
        <v/>
      </c>
    </row>
    <row r="1198">
      <c r="A1198" s="25">
        <f>IF(1195&lt;=_Engine!$B$36,1195,"")</f>
        <v/>
      </c>
      <c r="B1198" s="26">
        <f>IF($A1198="","",EDATE(_Engine!$B$5,$A1198-1))</f>
        <v/>
      </c>
      <c r="C1198" s="27">
        <f>IF($A1198="","",_Engine!$AJ1256)</f>
        <v/>
      </c>
      <c r="D1198" s="27">
        <f>IF($A1198="","",_Engine!$AK1256)</f>
        <v/>
      </c>
      <c r="E1198" s="27">
        <f>IF($A1198="","",_Engine!$AJ1256-_Engine!$AK1256)</f>
        <v/>
      </c>
      <c r="F1198" s="27">
        <f>IF($A1198="","",_Engine!$AI1256)</f>
        <v/>
      </c>
      <c r="G1198" s="27">
        <f>IF(OR($A1198="",_Engine!$D$41=0),"",INDEX(_Engine!$E1256:$X1256,1,(_Engine!$J$41-1)*4+3))</f>
        <v/>
      </c>
      <c r="H1198" s="27">
        <f>IF(OR($A1198="",_Engine!$D$42=0),"",INDEX(_Engine!$E1256:$X1256,1,(_Engine!$J$42-1)*4+3))</f>
        <v/>
      </c>
      <c r="I1198" s="27">
        <f>IF(OR($A1198="",_Engine!$D$43=0),"",INDEX(_Engine!$E1256:$X1256,1,(_Engine!$J$43-1)*4+3))</f>
        <v/>
      </c>
      <c r="J1198" s="27">
        <f>IF(OR($A1198="",_Engine!$D$44=0),"",INDEX(_Engine!$E1256:$X1256,1,(_Engine!$J$44-1)*4+3))</f>
        <v/>
      </c>
      <c r="K1198" s="27">
        <f>IF(OR($A1198="",_Engine!$D$45=0),"",INDEX(_Engine!$E1256:$X1256,1,(_Engine!$J$45-1)*4+3))</f>
        <v/>
      </c>
    </row>
    <row r="1199">
      <c r="A1199" s="25">
        <f>IF(1196&lt;=_Engine!$B$36,1196,"")</f>
        <v/>
      </c>
      <c r="B1199" s="26">
        <f>IF($A1199="","",EDATE(_Engine!$B$5,$A1199-1))</f>
        <v/>
      </c>
      <c r="C1199" s="27">
        <f>IF($A1199="","",_Engine!$AJ1257)</f>
        <v/>
      </c>
      <c r="D1199" s="27">
        <f>IF($A1199="","",_Engine!$AK1257)</f>
        <v/>
      </c>
      <c r="E1199" s="27">
        <f>IF($A1199="","",_Engine!$AJ1257-_Engine!$AK1257)</f>
        <v/>
      </c>
      <c r="F1199" s="27">
        <f>IF($A1199="","",_Engine!$AI1257)</f>
        <v/>
      </c>
      <c r="G1199" s="27">
        <f>IF(OR($A1199="",_Engine!$D$41=0),"",INDEX(_Engine!$E1257:$X1257,1,(_Engine!$J$41-1)*4+3))</f>
        <v/>
      </c>
      <c r="H1199" s="27">
        <f>IF(OR($A1199="",_Engine!$D$42=0),"",INDEX(_Engine!$E1257:$X1257,1,(_Engine!$J$42-1)*4+3))</f>
        <v/>
      </c>
      <c r="I1199" s="27">
        <f>IF(OR($A1199="",_Engine!$D$43=0),"",INDEX(_Engine!$E1257:$X1257,1,(_Engine!$J$43-1)*4+3))</f>
        <v/>
      </c>
      <c r="J1199" s="27">
        <f>IF(OR($A1199="",_Engine!$D$44=0),"",INDEX(_Engine!$E1257:$X1257,1,(_Engine!$J$44-1)*4+3))</f>
        <v/>
      </c>
      <c r="K1199" s="27">
        <f>IF(OR($A1199="",_Engine!$D$45=0),"",INDEX(_Engine!$E1257:$X1257,1,(_Engine!$J$45-1)*4+3))</f>
        <v/>
      </c>
    </row>
    <row r="1200">
      <c r="A1200" s="25">
        <f>IF(1197&lt;=_Engine!$B$36,1197,"")</f>
        <v/>
      </c>
      <c r="B1200" s="26">
        <f>IF($A1200="","",EDATE(_Engine!$B$5,$A1200-1))</f>
        <v/>
      </c>
      <c r="C1200" s="27">
        <f>IF($A1200="","",_Engine!$AJ1258)</f>
        <v/>
      </c>
      <c r="D1200" s="27">
        <f>IF($A1200="","",_Engine!$AK1258)</f>
        <v/>
      </c>
      <c r="E1200" s="27">
        <f>IF($A1200="","",_Engine!$AJ1258-_Engine!$AK1258)</f>
        <v/>
      </c>
      <c r="F1200" s="27">
        <f>IF($A1200="","",_Engine!$AI1258)</f>
        <v/>
      </c>
      <c r="G1200" s="27">
        <f>IF(OR($A1200="",_Engine!$D$41=0),"",INDEX(_Engine!$E1258:$X1258,1,(_Engine!$J$41-1)*4+3))</f>
        <v/>
      </c>
      <c r="H1200" s="27">
        <f>IF(OR($A1200="",_Engine!$D$42=0),"",INDEX(_Engine!$E1258:$X1258,1,(_Engine!$J$42-1)*4+3))</f>
        <v/>
      </c>
      <c r="I1200" s="27">
        <f>IF(OR($A1200="",_Engine!$D$43=0),"",INDEX(_Engine!$E1258:$X1258,1,(_Engine!$J$43-1)*4+3))</f>
        <v/>
      </c>
      <c r="J1200" s="27">
        <f>IF(OR($A1200="",_Engine!$D$44=0),"",INDEX(_Engine!$E1258:$X1258,1,(_Engine!$J$44-1)*4+3))</f>
        <v/>
      </c>
      <c r="K1200" s="27">
        <f>IF(OR($A1200="",_Engine!$D$45=0),"",INDEX(_Engine!$E1258:$X1258,1,(_Engine!$J$45-1)*4+3))</f>
        <v/>
      </c>
    </row>
    <row r="1201">
      <c r="A1201" s="25">
        <f>IF(1198&lt;=_Engine!$B$36,1198,"")</f>
        <v/>
      </c>
      <c r="B1201" s="26">
        <f>IF($A1201="","",EDATE(_Engine!$B$5,$A1201-1))</f>
        <v/>
      </c>
      <c r="C1201" s="27">
        <f>IF($A1201="","",_Engine!$AJ1259)</f>
        <v/>
      </c>
      <c r="D1201" s="27">
        <f>IF($A1201="","",_Engine!$AK1259)</f>
        <v/>
      </c>
      <c r="E1201" s="27">
        <f>IF($A1201="","",_Engine!$AJ1259-_Engine!$AK1259)</f>
        <v/>
      </c>
      <c r="F1201" s="27">
        <f>IF($A1201="","",_Engine!$AI1259)</f>
        <v/>
      </c>
      <c r="G1201" s="27">
        <f>IF(OR($A1201="",_Engine!$D$41=0),"",INDEX(_Engine!$E1259:$X1259,1,(_Engine!$J$41-1)*4+3))</f>
        <v/>
      </c>
      <c r="H1201" s="27">
        <f>IF(OR($A1201="",_Engine!$D$42=0),"",INDEX(_Engine!$E1259:$X1259,1,(_Engine!$J$42-1)*4+3))</f>
        <v/>
      </c>
      <c r="I1201" s="27">
        <f>IF(OR($A1201="",_Engine!$D$43=0),"",INDEX(_Engine!$E1259:$X1259,1,(_Engine!$J$43-1)*4+3))</f>
        <v/>
      </c>
      <c r="J1201" s="27">
        <f>IF(OR($A1201="",_Engine!$D$44=0),"",INDEX(_Engine!$E1259:$X1259,1,(_Engine!$J$44-1)*4+3))</f>
        <v/>
      </c>
      <c r="K1201" s="27">
        <f>IF(OR($A1201="",_Engine!$D$45=0),"",INDEX(_Engine!$E1259:$X1259,1,(_Engine!$J$45-1)*4+3))</f>
        <v/>
      </c>
    </row>
    <row r="1202">
      <c r="A1202" s="25">
        <f>IF(1199&lt;=_Engine!$B$36,1199,"")</f>
        <v/>
      </c>
      <c r="B1202" s="26">
        <f>IF($A1202="","",EDATE(_Engine!$B$5,$A1202-1))</f>
        <v/>
      </c>
      <c r="C1202" s="27">
        <f>IF($A1202="","",_Engine!$AJ1260)</f>
        <v/>
      </c>
      <c r="D1202" s="27">
        <f>IF($A1202="","",_Engine!$AK1260)</f>
        <v/>
      </c>
      <c r="E1202" s="27">
        <f>IF($A1202="","",_Engine!$AJ1260-_Engine!$AK1260)</f>
        <v/>
      </c>
      <c r="F1202" s="27">
        <f>IF($A1202="","",_Engine!$AI1260)</f>
        <v/>
      </c>
      <c r="G1202" s="27">
        <f>IF(OR($A1202="",_Engine!$D$41=0),"",INDEX(_Engine!$E1260:$X1260,1,(_Engine!$J$41-1)*4+3))</f>
        <v/>
      </c>
      <c r="H1202" s="27">
        <f>IF(OR($A1202="",_Engine!$D$42=0),"",INDEX(_Engine!$E1260:$X1260,1,(_Engine!$J$42-1)*4+3))</f>
        <v/>
      </c>
      <c r="I1202" s="27">
        <f>IF(OR($A1202="",_Engine!$D$43=0),"",INDEX(_Engine!$E1260:$X1260,1,(_Engine!$J$43-1)*4+3))</f>
        <v/>
      </c>
      <c r="J1202" s="27">
        <f>IF(OR($A1202="",_Engine!$D$44=0),"",INDEX(_Engine!$E1260:$X1260,1,(_Engine!$J$44-1)*4+3))</f>
        <v/>
      </c>
      <c r="K1202" s="27">
        <f>IF(OR($A1202="",_Engine!$D$45=0),"",INDEX(_Engine!$E1260:$X1260,1,(_Engine!$J$45-1)*4+3))</f>
        <v/>
      </c>
    </row>
    <row r="1203">
      <c r="A1203" s="25">
        <f>IF(1200&lt;=_Engine!$B$36,1200,"")</f>
        <v/>
      </c>
      <c r="B1203" s="26">
        <f>IF($A1203="","",EDATE(_Engine!$B$5,$A1203-1))</f>
        <v/>
      </c>
      <c r="C1203" s="27">
        <f>IF($A1203="","",_Engine!$AJ1261)</f>
        <v/>
      </c>
      <c r="D1203" s="27">
        <f>IF($A1203="","",_Engine!$AK1261)</f>
        <v/>
      </c>
      <c r="E1203" s="27">
        <f>IF($A1203="","",_Engine!$AJ1261-_Engine!$AK1261)</f>
        <v/>
      </c>
      <c r="F1203" s="27">
        <f>IF($A1203="","",_Engine!$AI1261)</f>
        <v/>
      </c>
      <c r="G1203" s="27">
        <f>IF(OR($A1203="",_Engine!$D$41=0),"",INDEX(_Engine!$E1261:$X1261,1,(_Engine!$J$41-1)*4+3))</f>
        <v/>
      </c>
      <c r="H1203" s="27">
        <f>IF(OR($A1203="",_Engine!$D$42=0),"",INDEX(_Engine!$E1261:$X1261,1,(_Engine!$J$42-1)*4+3))</f>
        <v/>
      </c>
      <c r="I1203" s="27">
        <f>IF(OR($A1203="",_Engine!$D$43=0),"",INDEX(_Engine!$E1261:$X1261,1,(_Engine!$J$43-1)*4+3))</f>
        <v/>
      </c>
      <c r="J1203" s="27">
        <f>IF(OR($A1203="",_Engine!$D$44=0),"",INDEX(_Engine!$E1261:$X1261,1,(_Engine!$J$44-1)*4+3))</f>
        <v/>
      </c>
      <c r="K1203" s="27">
        <f>IF(OR($A1203="",_Engine!$D$45=0),"",INDEX(_Engine!$E1261:$X1261,1,(_Engine!$J$45-1)*4+3))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2">
    <mergeCell ref="A2:K2"/>
    <mergeCell ref="A1:K1"/>
  </mergeCells>
  <pageMargins left="0.75" right="0.75" top="1" bottom="1" header="0.5" footer="0.5"/>
  <pageSetup orientation="portrait" fitToHeight="0" fitToWidth="1"/>
  <headerFooter>
    <oddHeader/>
    <oddFooter>&amp;Lneedtheseapps.com&amp;CDebt Payoff Calculator&amp;RPage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selection activeCell="A1" sqref="A1"/>
    </sheetView>
  </sheetViews>
  <sheetFormatPr baseColWidth="8" defaultRowHeight="15"/>
  <cols>
    <col width="2.1" customWidth="1" min="1" max="1"/>
    <col width="42" customWidth="1" min="2" max="2"/>
    <col width="62" customWidth="1" min="3" max="3"/>
    <col width="2.1" customWidth="1" min="4" max="4"/>
  </cols>
  <sheetData>
    <row r="1">
      <c r="A1" s="28" t="n"/>
      <c r="B1" s="28" t="n"/>
      <c r="C1" s="28" t="n"/>
      <c r="D1" s="28" t="n"/>
    </row>
    <row r="2" ht="32.1" customHeight="1">
      <c r="A2" s="28" t="n"/>
      <c r="B2" s="29" t="inlineStr">
        <is>
          <t>About this workbook</t>
        </is>
      </c>
      <c r="C2" s="3" t="n"/>
      <c r="D2" s="28" t="n"/>
    </row>
    <row r="3">
      <c r="A3" s="28" t="n"/>
      <c r="B3" s="28" t="n"/>
      <c r="C3" s="28" t="n"/>
      <c r="D3" s="28" t="n"/>
    </row>
    <row r="4" ht="26.1" customHeight="1">
      <c r="A4" s="28" t="n"/>
      <c r="B4" s="6" t="inlineStr">
        <is>
          <t>WHAT THIS WORKBOOK DOES</t>
        </is>
      </c>
      <c r="C4" s="7" t="n"/>
      <c r="D4" s="28" t="n"/>
    </row>
    <row r="5" ht="39.95" customHeight="1">
      <c r="A5" s="28" t="n"/>
      <c r="B5" s="30" t="inlineStr">
        <is>
          <t>It answers both questions of the Debt Payoff Calculator offline, for up to five debts you already have: when will you be debt-free and what will it cost you, and how much do you need to pay each month to be debt-free in a set number of years. It shows the date, interest and total for each debt, what paying only the minimum would cost, a month-by-month table and a chart.</t>
        </is>
      </c>
      <c r="C5" s="31" t="n"/>
      <c r="D5" s="28" t="n"/>
    </row>
    <row r="6" ht="39.95" customHeight="1">
      <c r="A6" s="28" t="n"/>
      <c r="B6" s="31" t="n"/>
      <c r="C6" s="31" t="n"/>
      <c r="D6" s="28" t="n"/>
    </row>
    <row r="7">
      <c r="A7" s="28" t="n"/>
      <c r="B7" s="28" t="n"/>
      <c r="C7" s="28" t="n"/>
      <c r="D7" s="28" t="n"/>
    </row>
    <row r="8" ht="26.1" customHeight="1">
      <c r="A8" s="28" t="n"/>
      <c r="B8" s="6" t="inlineStr">
        <is>
          <t>WHAT IT DOES NOT DO</t>
        </is>
      </c>
      <c r="C8" s="7" t="n"/>
      <c r="D8" s="28" t="n"/>
    </row>
    <row r="9" ht="32.1" customHeight="1">
      <c r="A9" s="28" t="n"/>
      <c r="B9" s="19" t="inlineStr">
        <is>
          <t>Ways to get there sooner</t>
        </is>
      </c>
      <c r="C9" s="32" t="inlineStr">
        <is>
          <t>Side-by-side ideas, such as a little more each month or a one-time amount: on the site.</t>
        </is>
      </c>
      <c r="D9" s="28" t="n"/>
    </row>
    <row r="10" ht="32.1" customHeight="1">
      <c r="A10" s="28" t="n"/>
      <c r="B10" s="19" t="inlineStr">
        <is>
          <t>Moving a finished debt's payment</t>
        </is>
      </c>
      <c r="C10" s="32" t="inlineStr">
        <is>
          <t>What happens if a finished debt's payment moves on to the next one, in both orders: on the site.</t>
        </is>
      </c>
      <c r="D10" s="28" t="n"/>
    </row>
    <row r="11" ht="21" customHeight="1">
      <c r="A11" s="28" t="n"/>
      <c r="B11" s="19" t="inlineStr">
        <is>
          <t>Country detection</t>
        </is>
      </c>
      <c r="C11" s="32" t="inlineStr">
        <is>
          <t>The site suggests your currency: here you type it.</t>
        </is>
      </c>
      <c r="D11" s="28" t="n"/>
    </row>
    <row r="12" ht="21" customHeight="1">
      <c r="A12" s="28" t="n"/>
      <c r="B12" s="19" t="inlineStr">
        <is>
          <t>The deeper insights</t>
        </is>
      </c>
      <c r="C12" s="32" t="inlineStr">
        <is>
          <t>"Show me what else my numbers reveal": on the site.</t>
        </is>
      </c>
      <c r="D12" s="28" t="n"/>
    </row>
    <row r="13" ht="21" customHeight="1">
      <c r="A13" s="28" t="n"/>
      <c r="B13" s="19" t="inlineStr">
        <is>
          <t>The Bigger Picture and the FAQ</t>
        </is>
      </c>
      <c r="C13" s="32" t="inlineStr">
        <is>
          <t>The guide to what the numbers mean: on the site.</t>
        </is>
      </c>
      <c r="D13" s="28" t="n"/>
    </row>
    <row r="14" ht="32.1" customHeight="1">
      <c r="A14" s="28" t="n"/>
      <c r="B14" s="19" t="inlineStr">
        <is>
          <t>Fees</t>
        </is>
      </c>
      <c r="C14" s="32" t="inlineStr">
        <is>
          <t>Annual, late or balance transfer fees are not included unless you add them to what you owe, as on the site.</t>
        </is>
      </c>
      <c r="D14" s="28" t="n"/>
    </row>
    <row r="15" ht="21" customHeight="1">
      <c r="A15" s="28" t="n"/>
      <c r="B15" s="19" t="inlineStr">
        <is>
          <t>It is not financial advice</t>
        </is>
      </c>
      <c r="C15" s="32" t="inlineStr">
        <is>
          <t>It does not name or recommend a lender, a card or a plan.</t>
        </is>
      </c>
      <c r="D15" s="28" t="n"/>
    </row>
    <row r="16">
      <c r="A16" s="28" t="n"/>
      <c r="B16" s="28" t="n"/>
      <c r="C16" s="28" t="n"/>
      <c r="D16" s="28" t="n"/>
    </row>
    <row r="17" ht="24" customHeight="1">
      <c r="A17" s="28" t="n"/>
      <c r="B17" s="33" t="inlineStr">
        <is>
          <t>Open the full calculator online  ↗</t>
        </is>
      </c>
      <c r="C17" s="34" t="n"/>
      <c r="D17" s="28" t="n"/>
    </row>
    <row r="18">
      <c r="A18" s="28" t="n"/>
      <c r="B18" s="28" t="n"/>
      <c r="C18" s="28" t="n"/>
      <c r="D18" s="28" t="n"/>
    </row>
    <row r="19" ht="26.1" customHeight="1">
      <c r="A19" s="28" t="n"/>
      <c r="B19" s="6" t="inlineStr">
        <is>
          <t>ASSUMPTIONS USED</t>
        </is>
      </c>
      <c r="C19" s="7" t="n"/>
      <c r="D19" s="28" t="n"/>
    </row>
    <row r="20" ht="32.1" customHeight="1">
      <c r="A20" s="28" t="n"/>
      <c r="B20" s="19" t="inlineStr">
        <is>
          <t>Interest</t>
        </is>
      </c>
      <c r="C20" s="32" t="inlineStr">
        <is>
          <t>The yearly rate ÷ 12, charged each month on what you still owe. Rates stay the same the whole time.</t>
        </is>
      </c>
      <c r="D20" s="28" t="n"/>
    </row>
    <row r="21" ht="32.1" customHeight="1">
      <c r="A21" s="28" t="n"/>
      <c r="B21" s="19" t="inlineStr">
        <is>
          <t>Payments</t>
        </is>
      </c>
      <c r="C21" s="32" t="inlineStr">
        <is>
          <t>One payment at the end of every month, from the first payment month you type. Nothing new goes on these debts.</t>
        </is>
      </c>
      <c r="D21" s="28" t="n"/>
    </row>
    <row r="22" ht="44.1" customHeight="1">
      <c r="A22" s="28" t="n"/>
      <c r="B22" s="19" t="inlineStr">
        <is>
          <t>Several debts</t>
        </is>
      </c>
      <c r="C22" s="32" t="inlineStr">
        <is>
          <t>Each debt is paid with its own monthly payment. When a debt is gone, its payment does not move to another debt.</t>
        </is>
      </c>
      <c r="D22" s="28" t="n"/>
    </row>
    <row r="23" ht="44.1" customHeight="1">
      <c r="A23" s="28" t="n"/>
      <c r="B23" s="19" t="inlineStr">
        <is>
          <t>Extra money</t>
        </is>
      </c>
      <c r="C23" s="32" t="inlineStr">
        <is>
          <t>The extra each month, and the one-time amount, go to the debt with the highest rate first, then to the next one. With equal rates, the smaller debt comes first.</t>
        </is>
      </c>
      <c r="D23" s="28" t="n"/>
    </row>
    <row r="24" ht="44.1" customHeight="1">
      <c r="A24" s="28" t="n"/>
      <c r="B24" s="19" t="inlineStr">
        <is>
          <t>Question 2</t>
        </is>
      </c>
      <c r="C24" s="32" t="inlineStr">
        <is>
          <t>Each debt gets the monthly payment that clears it in the years you choose: the standard loan formula, rounded up to a whole amount.</t>
        </is>
      </c>
      <c r="D24" s="28" t="n"/>
    </row>
    <row r="25" ht="44.1" customHeight="1">
      <c r="A25" s="28" t="n"/>
      <c r="B25" s="19" t="inlineStr">
        <is>
          <t>Minimum only</t>
        </is>
      </c>
      <c r="C25" s="32" t="inlineStr">
        <is>
          <t>Each month 1% of the balance plus that month's interest, at least the smallest minimum you type, or the full balance if smaller. No extra.</t>
        </is>
      </c>
      <c r="D25" s="28" t="n"/>
    </row>
    <row r="26" ht="32.1" customHeight="1">
      <c r="A26" s="28" t="n"/>
      <c r="B26" s="19" t="inlineStr">
        <is>
          <t>Not yet</t>
        </is>
      </c>
      <c r="C26" s="32" t="inlineStr">
        <is>
          <t>If a debt's payment is not more than its interest, the debt never goes down, and the answer says so.</t>
        </is>
      </c>
      <c r="D26" s="28" t="n"/>
    </row>
    <row r="27" ht="32.1" customHeight="1">
      <c r="A27" s="28" t="n"/>
      <c r="B27" s="19" t="inlineStr">
        <is>
          <t>Longest look-ahead</t>
        </is>
      </c>
      <c r="C27" s="32" t="inlineStr">
        <is>
          <t>1,200 months (100 years). After that the answer is 'Not yet'.</t>
        </is>
      </c>
      <c r="D27" s="28" t="n"/>
    </row>
    <row r="28" ht="32.1" customHeight="1">
      <c r="A28" s="28" t="n"/>
      <c r="B28" s="19" t="inlineStr">
        <is>
          <t>The first payment month</t>
        </is>
      </c>
      <c r="C28" s="32" t="inlineStr">
        <is>
          <t>An example you can change. The file never reads today's date.</t>
        </is>
      </c>
      <c r="D28" s="28" t="n"/>
    </row>
    <row r="29">
      <c r="A29" s="28" t="n"/>
      <c r="B29" s="28" t="n"/>
      <c r="C29" s="28" t="n"/>
      <c r="D29" s="28" t="n"/>
    </row>
    <row r="30" ht="26.1" customHeight="1">
      <c r="A30" s="28" t="n"/>
      <c r="B30" s="6" t="inlineStr">
        <is>
          <t>THE WORKBOOK</t>
        </is>
      </c>
      <c r="C30" s="7" t="n"/>
      <c r="D30" s="28" t="n"/>
    </row>
    <row r="31" ht="21" customHeight="1">
      <c r="A31" s="28" t="n"/>
      <c r="B31" s="19" t="inlineStr">
        <is>
          <t>Site</t>
        </is>
      </c>
      <c r="C31" s="32" t="inlineStr">
        <is>
          <t>needtheseapps.com</t>
        </is>
      </c>
      <c r="D31" s="28" t="n"/>
    </row>
    <row r="32" ht="21" customHeight="1">
      <c r="A32" s="28" t="n"/>
      <c r="B32" s="19" t="inlineStr">
        <is>
          <t>Sheets</t>
        </is>
      </c>
      <c r="C32" s="32" t="inlineStr">
        <is>
          <t>Calculator · Breakdown · About &amp; Assumptions</t>
        </is>
      </c>
      <c r="D32" s="28" t="n"/>
    </row>
    <row r="33" ht="21" customHeight="1">
      <c r="A33" s="28" t="n"/>
      <c r="B33" s="19" t="inlineStr">
        <is>
          <t>Version</t>
        </is>
      </c>
      <c r="C33" s="32" t="inlineStr">
        <is>
          <t>1.0</t>
        </is>
      </c>
      <c r="D33" s="28" t="n"/>
    </row>
    <row r="34" ht="21" customHeight="1">
      <c r="A34" s="28" t="n"/>
      <c r="B34" s="19" t="inlineStr">
        <is>
          <t>Generated</t>
        </is>
      </c>
      <c r="C34" s="32" t="inlineStr">
        <is>
          <t>Oct 13, 2026</t>
        </is>
      </c>
      <c r="D34" s="28" t="n"/>
    </row>
    <row r="35" ht="21" customHeight="1">
      <c r="A35" s="28" t="n"/>
      <c r="B35" s="19" t="inlineStr">
        <is>
          <t>Currency</t>
        </is>
      </c>
      <c r="C35" s="32">
        <f>"Shown in "&amp;Calculator!$C$8&amp;", which you set on the Calculator sheet."</f>
        <v/>
      </c>
      <c r="D35" s="28" t="n"/>
    </row>
    <row r="36">
      <c r="A36" s="28" t="n"/>
      <c r="B36" s="28" t="n"/>
      <c r="C36" s="28" t="n"/>
      <c r="D36" s="28" t="n"/>
    </row>
    <row r="37" ht="24" customHeight="1">
      <c r="A37" s="28" t="n"/>
      <c r="B37" s="35" t="inlineStr">
        <is>
          <t>This file is a snapshot. It does not update itself when the online calculator changes.</t>
        </is>
      </c>
      <c r="C37" s="31" t="n"/>
      <c r="D37" s="28" t="n"/>
    </row>
    <row r="38">
      <c r="A38" s="28" t="n"/>
      <c r="B38" s="28" t="n"/>
      <c r="C38" s="28" t="n"/>
      <c r="D38" s="28" t="n"/>
    </row>
    <row r="39">
      <c r="A39" s="28" t="n"/>
      <c r="B39" s="28" t="n"/>
      <c r="C39" s="28" t="n"/>
      <c r="D39" s="28" t="n"/>
    </row>
    <row r="40">
      <c r="A40" s="28" t="n"/>
      <c r="B40" s="28" t="n"/>
      <c r="C40" s="28" t="n"/>
      <c r="D40" s="2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8">
    <mergeCell ref="B30:C30"/>
    <mergeCell ref="B2:C2"/>
    <mergeCell ref="B19:C19"/>
    <mergeCell ref="B37:C37"/>
    <mergeCell ref="B5:C6"/>
    <mergeCell ref="B17:C17"/>
    <mergeCell ref="B8:C8"/>
    <mergeCell ref="B4:C4"/>
  </mergeCells>
  <hyperlinks>
    <hyperlink xmlns:r="http://schemas.openxmlformats.org/officeDocument/2006/relationships" ref="B17" r:id="rId1"/>
  </hyperlinks>
  <pageMargins left="0.75" right="0.75" top="1" bottom="1" header="0.5" footer="0.5"/>
  <pageSetup orientation="portrait" fitToHeight="0" fitToWidth="1"/>
  <headerFooter>
    <oddHeader/>
    <oddFooter>&amp;Lneedtheseapps.com&amp;CDebt Payoff Calculator&amp;RPage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M1261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36" t="inlineStr">
        <is>
          <t>Helper calculations. Do not edit.</t>
        </is>
      </c>
    </row>
    <row r="2">
      <c r="A2" t="inlineStr">
        <is>
          <t>Debts entered</t>
        </is>
      </c>
      <c r="B2">
        <f>SUM(D41:D45)</f>
        <v/>
      </c>
    </row>
    <row r="3">
      <c r="A3" t="inlineStr">
        <is>
          <t>Debts missing a rate or a payment</t>
        </is>
      </c>
      <c r="B3">
        <f>SUM(K41:K45)</f>
        <v/>
      </c>
    </row>
    <row r="4">
      <c r="A4" t="inlineStr">
        <is>
          <t>(spare)</t>
        </is>
      </c>
      <c r="B4">
        <f>0</f>
        <v/>
      </c>
    </row>
    <row r="5">
      <c r="A5" t="inlineStr">
        <is>
          <t>First payment month (first day)</t>
        </is>
      </c>
      <c r="B5" s="37">
        <f>DATE(YEAR(Calculator!$C$15),MONTH(Calculator!$C$15),1)</f>
        <v/>
      </c>
    </row>
    <row r="6">
      <c r="A6" t="inlineStr">
        <is>
          <t>Extra each month</t>
        </is>
      </c>
      <c r="B6">
        <f>N(Calculator!$C$19)</f>
        <v/>
      </c>
    </row>
    <row r="7">
      <c r="A7" t="inlineStr">
        <is>
          <t>One-time extra payment</t>
        </is>
      </c>
      <c r="B7">
        <f>N(Calculator!$C$20)</f>
        <v/>
      </c>
    </row>
    <row r="8">
      <c r="A8" t="inlineStr">
        <is>
          <t>One-time: payment number</t>
        </is>
      </c>
      <c r="B8">
        <f>N(Calculator!$C$21)</f>
        <v/>
      </c>
    </row>
    <row r="9">
      <c r="A9" t="inlineStr">
        <is>
          <t>Smallest minimum payment</t>
        </is>
      </c>
      <c r="B9">
        <f>N(Calculator!$C$22)</f>
        <v/>
      </c>
    </row>
    <row r="10">
      <c r="A10" t="inlineStr">
        <is>
          <t>Q2: years</t>
        </is>
      </c>
      <c r="B10">
        <f>N(Calculator!$C$36)</f>
        <v/>
      </c>
    </row>
    <row r="11">
      <c r="A11" t="inlineStr">
        <is>
          <t>Q2: months</t>
        </is>
      </c>
      <c r="B11">
        <f>MAX(1,B10)*12</f>
        <v/>
      </c>
    </row>
    <row r="12">
      <c r="A12" t="inlineStr">
        <is>
          <t>Total owed</t>
        </is>
      </c>
      <c r="B12">
        <f>SUM(F41:F45)</f>
        <v/>
      </c>
    </row>
    <row r="13">
      <c r="A13" t="inlineStr">
        <is>
          <t>Total you pay now each month</t>
        </is>
      </c>
      <c r="B13">
        <f>SUM(H41:H45)</f>
        <v/>
      </c>
    </row>
    <row r="14">
      <c r="A14" t="inlineStr">
        <is>
          <t>Q1: some debt never ends (1/0)</t>
        </is>
      </c>
      <c r="B14">
        <f>IF(COUNTIF(I51:I55,-1)&gt;0,1,0)</f>
        <v/>
      </c>
    </row>
    <row r="15">
      <c r="A15" t="inlineStr">
        <is>
          <t>Q1: payments until debt-free</t>
        </is>
      </c>
      <c r="B15">
        <f>MAX(I51:I55)</f>
        <v/>
      </c>
    </row>
    <row r="16">
      <c r="A16" t="inlineStr">
        <is>
          <t>Q1: interest</t>
        </is>
      </c>
      <c r="B16">
        <f>SUM(J51:J55)</f>
        <v/>
      </c>
    </row>
    <row r="17">
      <c r="A17" t="inlineStr">
        <is>
          <t>Q1: total you pay</t>
        </is>
      </c>
      <c r="B17">
        <f>B12+B16</f>
        <v/>
      </c>
    </row>
    <row r="18">
      <c r="A18" t="inlineStr">
        <is>
          <t>Q1: debt-free month</t>
        </is>
      </c>
      <c r="B18" s="37">
        <f>EDATE(B5,MAX(B15,1)-1)</f>
        <v/>
      </c>
    </row>
    <row r="19">
      <c r="A19" t="inlineStr">
        <is>
          <t>Q1: duration in words</t>
        </is>
      </c>
      <c r="B19">
        <f>IF(INT(B15/12)&gt;0,INT(B15/12)&amp;IF(INT(B15/12)=1," year"," years"),"")&amp;IF(AND(INT(B15/12)&gt;0,MOD(B15,12)&gt;0)," and ","")&amp;IF(MOD(B15,12)&gt;0,MOD(B15,12)&amp;IF(MOD(B15,12)=1," month"," months"),"")</f>
        <v/>
      </c>
    </row>
    <row r="20">
      <c r="A20" t="inlineStr">
        <is>
          <t>State: 0 nothing, 1 missing, 2 answer, 3 not yet</t>
        </is>
      </c>
      <c r="B20">
        <f>IF(B2=0,0,IF(B3&gt;0,1,IF(B14=1,3,2)))</f>
        <v/>
      </c>
    </row>
    <row r="21">
      <c r="A21" t="inlineStr">
        <is>
          <t>Not yet: which debt</t>
        </is>
      </c>
      <c r="B21">
        <f>IFERROR(INDEX(E51:E55,MATCH(-1,I51:I55,0)),1)</f>
        <v/>
      </c>
    </row>
    <row r="22">
      <c r="A22" t="inlineStr">
        <is>
          <t>Not yet: its name</t>
        </is>
      </c>
      <c r="B22">
        <f>INDEX(E41:E45,B21)</f>
        <v/>
      </c>
    </row>
    <row r="23">
      <c r="A23" t="inlineStr">
        <is>
          <t>Not yet: its payment</t>
        </is>
      </c>
      <c r="B23">
        <f>INDEX(H41:H45,B21)</f>
        <v/>
      </c>
    </row>
    <row r="24">
      <c r="A24" t="inlineStr">
        <is>
          <t>Not yet: its first interest</t>
        </is>
      </c>
      <c r="B24">
        <f>INDEX(S41:S45,B21)</f>
        <v/>
      </c>
    </row>
    <row r="25">
      <c r="A25" t="inlineStr">
        <is>
          <t>Minimums: some debt over 100 years (1/0)</t>
        </is>
      </c>
      <c r="B25">
        <f>IF(COUNTIF(L51:L55,-1)&gt;0,1,0)</f>
        <v/>
      </c>
    </row>
    <row r="26">
      <c r="A26" t="inlineStr">
        <is>
          <t>Minimums: months</t>
        </is>
      </c>
      <c r="B26">
        <f>MAX(L51:L55)</f>
        <v/>
      </c>
    </row>
    <row r="27">
      <c r="A27" t="inlineStr">
        <is>
          <t>Minimums: interest</t>
        </is>
      </c>
      <c r="B27">
        <f>SUM(M51:M55)</f>
        <v/>
      </c>
    </row>
    <row r="28">
      <c r="A28" t="inlineStr">
        <is>
          <t>Minimums: duration in words</t>
        </is>
      </c>
      <c r="B28">
        <f>IF(INT(B26/12)&gt;0,INT(B26/12)&amp;IF(INT(B26/12)=1," year"," years"),"")&amp;IF(AND(INT(B26/12)&gt;0,MOD(B26,12)&gt;0)," and ","")&amp;IF(MOD(B26,12)&gt;0,MOD(B26,12)&amp;IF(MOD(B26,12)=1," month"," months"),"")</f>
        <v/>
      </c>
    </row>
    <row r="29">
      <c r="A29" t="inlineStr">
        <is>
          <t>Q2: monthly total</t>
        </is>
      </c>
      <c r="B29">
        <f>SUM(O41:O45)</f>
        <v/>
      </c>
    </row>
    <row r="30">
      <c r="A30" t="inlineStr">
        <is>
          <t>Q2: interest</t>
        </is>
      </c>
      <c r="B30">
        <f>SUM(R41:R45)</f>
        <v/>
      </c>
    </row>
    <row r="31">
      <c r="A31" t="inlineStr">
        <is>
          <t>Q2: total you pay</t>
        </is>
      </c>
      <c r="B31">
        <f>SUM(Q41:Q45)</f>
        <v/>
      </c>
    </row>
    <row r="32">
      <c r="A32" t="inlineStr">
        <is>
          <t>Q2: last payment number</t>
        </is>
      </c>
      <c r="B32">
        <f>MAX(P41:P45)</f>
        <v/>
      </c>
    </row>
    <row r="33">
      <c r="A33" t="inlineStr">
        <is>
          <t>Q2: debt-free month</t>
        </is>
      </c>
      <c r="B33" s="37">
        <f>EDATE(B5,MAX(B32,1)-1)</f>
        <v/>
      </c>
    </row>
    <row r="34">
      <c r="A34" t="inlineStr">
        <is>
          <t>Q2: more (+) or less (-) than now</t>
        </is>
      </c>
      <c r="B34">
        <f>B29-B13</f>
        <v/>
      </c>
    </row>
    <row r="35">
      <c r="A35" t="inlineStr">
        <is>
          <t>Chart: number of points</t>
        </is>
      </c>
      <c r="B35">
        <f>IF(B20&lt;2,1,IF(B14=1,121,B15+1))</f>
        <v/>
      </c>
    </row>
    <row r="36">
      <c r="A36" t="inlineStr">
        <is>
          <t>Breakdown: rows shown</t>
        </is>
      </c>
      <c r="B36">
        <f>IF(B20&lt;2,0,IF(B14=1,1200,B15))</f>
        <v/>
      </c>
    </row>
    <row r="40">
      <c r="C40" s="38" t="inlineStr">
        <is>
          <t>i</t>
        </is>
      </c>
      <c r="D40" s="38" t="inlineStr">
        <is>
          <t>Used</t>
        </is>
      </c>
      <c r="E40" s="38" t="inlineStr">
        <is>
          <t>Name</t>
        </is>
      </c>
      <c r="F40" s="38" t="inlineStr">
        <is>
          <t>Owed</t>
        </is>
      </c>
      <c r="G40" s="38" t="inlineStr">
        <is>
          <t>Rate %</t>
        </is>
      </c>
      <c r="H40" s="38" t="inlineStr">
        <is>
          <t>Pay</t>
        </is>
      </c>
      <c r="I40" s="38" t="inlineStr">
        <is>
          <t>Monthly rate</t>
        </is>
      </c>
      <c r="J40" s="38" t="inlineStr">
        <is>
          <t>Order (rank)</t>
        </is>
      </c>
      <c r="K40" s="38" t="inlineStr">
        <is>
          <t>Missing</t>
        </is>
      </c>
      <c r="L40" s="38" t="inlineStr">
        <is>
          <t>Q1 done</t>
        </is>
      </c>
      <c r="M40" s="38" t="inlineStr">
        <is>
          <t>Q1 interest</t>
        </is>
      </c>
      <c r="N40" s="38" t="inlineStr">
        <is>
          <t>Q1 total</t>
        </is>
      </c>
      <c r="O40" s="38" t="inlineStr">
        <is>
          <t>Q2 pay</t>
        </is>
      </c>
      <c r="P40" s="38" t="inlineStr">
        <is>
          <t>Q2 months</t>
        </is>
      </c>
      <c r="Q40" s="38" t="inlineStr">
        <is>
          <t>Q2 total</t>
        </is>
      </c>
      <c r="R40" s="38" t="inlineStr">
        <is>
          <t>Q2 interest</t>
        </is>
      </c>
      <c r="S40" s="38" t="inlineStr">
        <is>
          <t>First interest</t>
        </is>
      </c>
      <c r="T40" s="38" t="inlineStr">
        <is>
          <t>Min months</t>
        </is>
      </c>
      <c r="U40" s="38" t="inlineStr">
        <is>
          <t>Min interest</t>
        </is>
      </c>
    </row>
    <row r="41">
      <c r="C41" t="n">
        <v>1</v>
      </c>
      <c r="D41">
        <f>IF(AND(ISNUMBER(Calculator!$C$10),N(Calculator!$C$10)&gt;0),1,0)</f>
        <v/>
      </c>
      <c r="E41">
        <f>IF(TRIM(Calculator!$B$10&amp;"")="","Debt 1",Calculator!$B$10&amp;"")</f>
        <v/>
      </c>
      <c r="F41">
        <f>IF(D41=1,Calculator!$C$10,0)</f>
        <v/>
      </c>
      <c r="G41">
        <f>IF(D41=1,N(Calculator!$D$10),0)</f>
        <v/>
      </c>
      <c r="H41">
        <f>IF(D41=1,N(Calculator!$E$10),0)</f>
        <v/>
      </c>
      <c r="I41">
        <f>G41/1200</f>
        <v/>
      </c>
      <c r="J41">
        <f>IF(D41=1,1+SUMPRODUCT($D$41:$D$45*(($G$41:$G$45&gt;G41)+($G$41:$G$45=G41)*($F$41:$F$45&lt;F41)+($G$41:$G$45=G41)*($F$41:$F$45=F41)*($C$41:$C$45&lt;C41))),$B$2+SUMPRODUCT(($D$41:$D$45=0)*($C$41:$C$45&lt;=C41)))</f>
        <v/>
      </c>
      <c r="K41">
        <f>IF(AND(D41=1,OR(NOT(ISNUMBER(Calculator!$D$10)),NOT(ISNUMBER(Calculator!$E$10)))),1,0)</f>
        <v/>
      </c>
      <c r="L41">
        <f>IF(D41=1,INDEX($I$51:$I$55,J41),"")</f>
        <v/>
      </c>
      <c r="M41">
        <f>IF(D41=1,INDEX($J$51:$J$55,J41),"")</f>
        <v/>
      </c>
      <c r="N41">
        <f>IF(D41=1,F41+M41,"")</f>
        <v/>
      </c>
      <c r="O41">
        <f>IF(D41=1,IF(I41=0,ROUNDUP(F41/$B$11-1E-9,0),ROUNDUP(PMT(I41,$B$11,-F41)-1E-9,0)),"")</f>
        <v/>
      </c>
      <c r="P41">
        <f>IF(D41=1,IF(I41=0,ROUNDUP(F41/O41-1E-9,0),ROUNDUP(NPER(I41,-O41,F41)-1E-9,0)),"")</f>
        <v/>
      </c>
      <c r="Q41">
        <f>IF(D41=1,IF(I41=0,F41,O41*(P41-1)+FV(I41,P41-1,O41,-F41)*(1+I41)),"")</f>
        <v/>
      </c>
      <c r="R41">
        <f>IF(D41=1,Q41-F41,"")</f>
        <v/>
      </c>
      <c r="S41">
        <f>F41*I41</f>
        <v/>
      </c>
      <c r="T41">
        <f>IF(D41=1,INDEX($L$51:$L$55,J41),"")</f>
        <v/>
      </c>
      <c r="U41">
        <f>IF(D41=1,INDEX($M$51:$M$55,J41),"")</f>
        <v/>
      </c>
    </row>
    <row r="42">
      <c r="C42" t="n">
        <v>2</v>
      </c>
      <c r="D42">
        <f>IF(AND(ISNUMBER(Calculator!$C$11),N(Calculator!$C$11)&gt;0),1,0)</f>
        <v/>
      </c>
      <c r="E42">
        <f>IF(TRIM(Calculator!$B$11&amp;"")="","Debt 2",Calculator!$B$11&amp;"")</f>
        <v/>
      </c>
      <c r="F42">
        <f>IF(D42=1,Calculator!$C$11,0)</f>
        <v/>
      </c>
      <c r="G42">
        <f>IF(D42=1,N(Calculator!$D$11),0)</f>
        <v/>
      </c>
      <c r="H42">
        <f>IF(D42=1,N(Calculator!$E$11),0)</f>
        <v/>
      </c>
      <c r="I42">
        <f>G42/1200</f>
        <v/>
      </c>
      <c r="J42">
        <f>IF(D42=1,1+SUMPRODUCT($D$41:$D$45*(($G$41:$G$45&gt;G42)+($G$41:$G$45=G42)*($F$41:$F$45&lt;F42)+($G$41:$G$45=G42)*($F$41:$F$45=F42)*($C$41:$C$45&lt;C42))),$B$2+SUMPRODUCT(($D$41:$D$45=0)*($C$41:$C$45&lt;=C42)))</f>
        <v/>
      </c>
      <c r="K42">
        <f>IF(AND(D42=1,OR(NOT(ISNUMBER(Calculator!$D$11)),NOT(ISNUMBER(Calculator!$E$11)))),1,0)</f>
        <v/>
      </c>
      <c r="L42">
        <f>IF(D42=1,INDEX($I$51:$I$55,J42),"")</f>
        <v/>
      </c>
      <c r="M42">
        <f>IF(D42=1,INDEX($J$51:$J$55,J42),"")</f>
        <v/>
      </c>
      <c r="N42">
        <f>IF(D42=1,F42+M42,"")</f>
        <v/>
      </c>
      <c r="O42">
        <f>IF(D42=1,IF(I42=0,ROUNDUP(F42/$B$11-1E-9,0),ROUNDUP(PMT(I42,$B$11,-F42)-1E-9,0)),"")</f>
        <v/>
      </c>
      <c r="P42">
        <f>IF(D42=1,IF(I42=0,ROUNDUP(F42/O42-1E-9,0),ROUNDUP(NPER(I42,-O42,F42)-1E-9,0)),"")</f>
        <v/>
      </c>
      <c r="Q42">
        <f>IF(D42=1,IF(I42=0,F42,O42*(P42-1)+FV(I42,P42-1,O42,-F42)*(1+I42)),"")</f>
        <v/>
      </c>
      <c r="R42">
        <f>IF(D42=1,Q42-F42,"")</f>
        <v/>
      </c>
      <c r="S42">
        <f>F42*I42</f>
        <v/>
      </c>
      <c r="T42">
        <f>IF(D42=1,INDEX($L$51:$L$55,J42),"")</f>
        <v/>
      </c>
      <c r="U42">
        <f>IF(D42=1,INDEX($M$51:$M$55,J42),"")</f>
        <v/>
      </c>
    </row>
    <row r="43">
      <c r="C43" t="n">
        <v>3</v>
      </c>
      <c r="D43">
        <f>IF(AND(ISNUMBER(Calculator!$C$12),N(Calculator!$C$12)&gt;0),1,0)</f>
        <v/>
      </c>
      <c r="E43">
        <f>IF(TRIM(Calculator!$B$12&amp;"")="","Debt 3",Calculator!$B$12&amp;"")</f>
        <v/>
      </c>
      <c r="F43">
        <f>IF(D43=1,Calculator!$C$12,0)</f>
        <v/>
      </c>
      <c r="G43">
        <f>IF(D43=1,N(Calculator!$D$12),0)</f>
        <v/>
      </c>
      <c r="H43">
        <f>IF(D43=1,N(Calculator!$E$12),0)</f>
        <v/>
      </c>
      <c r="I43">
        <f>G43/1200</f>
        <v/>
      </c>
      <c r="J43">
        <f>IF(D43=1,1+SUMPRODUCT($D$41:$D$45*(($G$41:$G$45&gt;G43)+($G$41:$G$45=G43)*($F$41:$F$45&lt;F43)+($G$41:$G$45=G43)*($F$41:$F$45=F43)*($C$41:$C$45&lt;C43))),$B$2+SUMPRODUCT(($D$41:$D$45=0)*($C$41:$C$45&lt;=C43)))</f>
        <v/>
      </c>
      <c r="K43">
        <f>IF(AND(D43=1,OR(NOT(ISNUMBER(Calculator!$D$12)),NOT(ISNUMBER(Calculator!$E$12)))),1,0)</f>
        <v/>
      </c>
      <c r="L43">
        <f>IF(D43=1,INDEX($I$51:$I$55,J43),"")</f>
        <v/>
      </c>
      <c r="M43">
        <f>IF(D43=1,INDEX($J$51:$J$55,J43),"")</f>
        <v/>
      </c>
      <c r="N43">
        <f>IF(D43=1,F43+M43,"")</f>
        <v/>
      </c>
      <c r="O43">
        <f>IF(D43=1,IF(I43=0,ROUNDUP(F43/$B$11-1E-9,0),ROUNDUP(PMT(I43,$B$11,-F43)-1E-9,0)),"")</f>
        <v/>
      </c>
      <c r="P43">
        <f>IF(D43=1,IF(I43=0,ROUNDUP(F43/O43-1E-9,0),ROUNDUP(NPER(I43,-O43,F43)-1E-9,0)),"")</f>
        <v/>
      </c>
      <c r="Q43">
        <f>IF(D43=1,IF(I43=0,F43,O43*(P43-1)+FV(I43,P43-1,O43,-F43)*(1+I43)),"")</f>
        <v/>
      </c>
      <c r="R43">
        <f>IF(D43=1,Q43-F43,"")</f>
        <v/>
      </c>
      <c r="S43">
        <f>F43*I43</f>
        <v/>
      </c>
      <c r="T43">
        <f>IF(D43=1,INDEX($L$51:$L$55,J43),"")</f>
        <v/>
      </c>
      <c r="U43">
        <f>IF(D43=1,INDEX($M$51:$M$55,J43),"")</f>
        <v/>
      </c>
    </row>
    <row r="44">
      <c r="C44" t="n">
        <v>4</v>
      </c>
      <c r="D44">
        <f>IF(AND(ISNUMBER(Calculator!$C$13),N(Calculator!$C$13)&gt;0),1,0)</f>
        <v/>
      </c>
      <c r="E44">
        <f>IF(TRIM(Calculator!$B$13&amp;"")="","Debt 4",Calculator!$B$13&amp;"")</f>
        <v/>
      </c>
      <c r="F44">
        <f>IF(D44=1,Calculator!$C$13,0)</f>
        <v/>
      </c>
      <c r="G44">
        <f>IF(D44=1,N(Calculator!$D$13),0)</f>
        <v/>
      </c>
      <c r="H44">
        <f>IF(D44=1,N(Calculator!$E$13),0)</f>
        <v/>
      </c>
      <c r="I44">
        <f>G44/1200</f>
        <v/>
      </c>
      <c r="J44">
        <f>IF(D44=1,1+SUMPRODUCT($D$41:$D$45*(($G$41:$G$45&gt;G44)+($G$41:$G$45=G44)*($F$41:$F$45&lt;F44)+($G$41:$G$45=G44)*($F$41:$F$45=F44)*($C$41:$C$45&lt;C44))),$B$2+SUMPRODUCT(($D$41:$D$45=0)*($C$41:$C$45&lt;=C44)))</f>
        <v/>
      </c>
      <c r="K44">
        <f>IF(AND(D44=1,OR(NOT(ISNUMBER(Calculator!$D$13)),NOT(ISNUMBER(Calculator!$E$13)))),1,0)</f>
        <v/>
      </c>
      <c r="L44">
        <f>IF(D44=1,INDEX($I$51:$I$55,J44),"")</f>
        <v/>
      </c>
      <c r="M44">
        <f>IF(D44=1,INDEX($J$51:$J$55,J44),"")</f>
        <v/>
      </c>
      <c r="N44">
        <f>IF(D44=1,F44+M44,"")</f>
        <v/>
      </c>
      <c r="O44">
        <f>IF(D44=1,IF(I44=0,ROUNDUP(F44/$B$11-1E-9,0),ROUNDUP(PMT(I44,$B$11,-F44)-1E-9,0)),"")</f>
        <v/>
      </c>
      <c r="P44">
        <f>IF(D44=1,IF(I44=0,ROUNDUP(F44/O44-1E-9,0),ROUNDUP(NPER(I44,-O44,F44)-1E-9,0)),"")</f>
        <v/>
      </c>
      <c r="Q44">
        <f>IF(D44=1,IF(I44=0,F44,O44*(P44-1)+FV(I44,P44-1,O44,-F44)*(1+I44)),"")</f>
        <v/>
      </c>
      <c r="R44">
        <f>IF(D44=1,Q44-F44,"")</f>
        <v/>
      </c>
      <c r="S44">
        <f>F44*I44</f>
        <v/>
      </c>
      <c r="T44">
        <f>IF(D44=1,INDEX($L$51:$L$55,J44),"")</f>
        <v/>
      </c>
      <c r="U44">
        <f>IF(D44=1,INDEX($M$51:$M$55,J44),"")</f>
        <v/>
      </c>
    </row>
    <row r="45">
      <c r="C45" t="n">
        <v>5</v>
      </c>
      <c r="D45">
        <f>IF(AND(ISNUMBER(Calculator!$C$14),N(Calculator!$C$14)&gt;0),1,0)</f>
        <v/>
      </c>
      <c r="E45">
        <f>IF(TRIM(Calculator!$B$14&amp;"")="","Debt 5",Calculator!$B$14&amp;"")</f>
        <v/>
      </c>
      <c r="F45">
        <f>IF(D45=1,Calculator!$C$14,0)</f>
        <v/>
      </c>
      <c r="G45">
        <f>IF(D45=1,N(Calculator!$D$14),0)</f>
        <v/>
      </c>
      <c r="H45">
        <f>IF(D45=1,N(Calculator!$E$14),0)</f>
        <v/>
      </c>
      <c r="I45">
        <f>G45/1200</f>
        <v/>
      </c>
      <c r="J45">
        <f>IF(D45=1,1+SUMPRODUCT($D$41:$D$45*(($G$41:$G$45&gt;G45)+($G$41:$G$45=G45)*($F$41:$F$45&lt;F45)+($G$41:$G$45=G45)*($F$41:$F$45=F45)*($C$41:$C$45&lt;C45))),$B$2+SUMPRODUCT(($D$41:$D$45=0)*($C$41:$C$45&lt;=C45)))</f>
        <v/>
      </c>
      <c r="K45">
        <f>IF(AND(D45=1,OR(NOT(ISNUMBER(Calculator!$D$14)),NOT(ISNUMBER(Calculator!$E$14)))),1,0)</f>
        <v/>
      </c>
      <c r="L45">
        <f>IF(D45=1,INDEX($I$51:$I$55,J45),"")</f>
        <v/>
      </c>
      <c r="M45">
        <f>IF(D45=1,INDEX($J$51:$J$55,J45),"")</f>
        <v/>
      </c>
      <c r="N45">
        <f>IF(D45=1,F45+M45,"")</f>
        <v/>
      </c>
      <c r="O45">
        <f>IF(D45=1,IF(I45=0,ROUNDUP(F45/$B$11-1E-9,0),ROUNDUP(PMT(I45,$B$11,-F45)-1E-9,0)),"")</f>
        <v/>
      </c>
      <c r="P45">
        <f>IF(D45=1,IF(I45=0,ROUNDUP(F45/O45-1E-9,0),ROUNDUP(NPER(I45,-O45,F45)-1E-9,0)),"")</f>
        <v/>
      </c>
      <c r="Q45">
        <f>IF(D45=1,IF(I45=0,F45,O45*(P45-1)+FV(I45,P45-1,O45,-F45)*(1+I45)),"")</f>
        <v/>
      </c>
      <c r="R45">
        <f>IF(D45=1,Q45-F45,"")</f>
        <v/>
      </c>
      <c r="S45">
        <f>F45*I45</f>
        <v/>
      </c>
      <c r="T45">
        <f>IF(D45=1,INDEX($L$51:$L$55,J45),"")</f>
        <v/>
      </c>
      <c r="U45">
        <f>IF(D45=1,INDEX($M$51:$M$55,J45),"")</f>
        <v/>
      </c>
    </row>
    <row r="50">
      <c r="D50" s="38" t="inlineStr">
        <is>
          <t>Slot</t>
        </is>
      </c>
      <c r="E50" s="38" t="inlineStr">
        <is>
          <t>Debt no.</t>
        </is>
      </c>
      <c r="F50" s="38" t="inlineStr">
        <is>
          <t>Owed</t>
        </is>
      </c>
      <c r="G50" s="38" t="inlineStr">
        <is>
          <t>Monthly rate</t>
        </is>
      </c>
      <c r="H50" s="38" t="inlineStr">
        <is>
          <t>Pay</t>
        </is>
      </c>
      <c r="I50" s="38" t="inlineStr">
        <is>
          <t>Done (-1 never)</t>
        </is>
      </c>
      <c r="J50" s="38" t="inlineStr">
        <is>
          <t>Interest</t>
        </is>
      </c>
      <c r="K50" s="38" t="inlineStr"/>
      <c r="L50" s="38" t="inlineStr">
        <is>
          <t>Min done</t>
        </is>
      </c>
      <c r="M50" s="38" t="inlineStr">
        <is>
          <t>Min interest</t>
        </is>
      </c>
    </row>
    <row r="51">
      <c r="D51" t="n">
        <v>1</v>
      </c>
      <c r="E51">
        <f>MATCH(D51,$J$41:$J$45,0)</f>
        <v/>
      </c>
      <c r="F51">
        <f>INDEX($F$41:$F$45,E51)</f>
        <v/>
      </c>
      <c r="G51">
        <f>INDEX($I$41:$I$45,E51)</f>
        <v/>
      </c>
      <c r="H51">
        <f>INDEX($H$41:$H$45,E51)</f>
        <v/>
      </c>
      <c r="I51">
        <f>IF(F51=0,0,IF(COUNTIF(G$62:G$1261,"&gt;0")&gt;=1200,-1,COUNTIF(G$62:G$1261,"&gt;0")+1))</f>
        <v/>
      </c>
      <c r="J51">
        <f>SUM(H62:H1261)</f>
        <v/>
      </c>
      <c r="L51">
        <f>IF(F51=0,0,IF(COUNTIF(Y$62:Y$1261,"&gt;0")&gt;=1200,-1,COUNTIF(Y$62:Y$1261,"&gt;0")+1))</f>
        <v/>
      </c>
      <c r="M51">
        <f>SUM(Z62:Z1261)</f>
        <v/>
      </c>
    </row>
    <row r="52">
      <c r="D52" t="n">
        <v>2</v>
      </c>
      <c r="E52">
        <f>MATCH(D52,$J$41:$J$45,0)</f>
        <v/>
      </c>
      <c r="F52">
        <f>INDEX($F$41:$F$45,E52)</f>
        <v/>
      </c>
      <c r="G52">
        <f>INDEX($I$41:$I$45,E52)</f>
        <v/>
      </c>
      <c r="H52">
        <f>INDEX($H$41:$H$45,E52)</f>
        <v/>
      </c>
      <c r="I52">
        <f>IF(F52=0,0,IF(COUNTIF(K$62:K$1261,"&gt;0")&gt;=1200,-1,COUNTIF(K$62:K$1261,"&gt;0")+1))</f>
        <v/>
      </c>
      <c r="J52">
        <f>SUM(L62:L1261)</f>
        <v/>
      </c>
      <c r="L52">
        <f>IF(F52=0,0,IF(COUNTIF(AA$62:AA$1261,"&gt;0")&gt;=1200,-1,COUNTIF(AA$62:AA$1261,"&gt;0")+1))</f>
        <v/>
      </c>
      <c r="M52">
        <f>SUM(AB62:AB1261)</f>
        <v/>
      </c>
    </row>
    <row r="53">
      <c r="D53" t="n">
        <v>3</v>
      </c>
      <c r="E53">
        <f>MATCH(D53,$J$41:$J$45,0)</f>
        <v/>
      </c>
      <c r="F53">
        <f>INDEX($F$41:$F$45,E53)</f>
        <v/>
      </c>
      <c r="G53">
        <f>INDEX($I$41:$I$45,E53)</f>
        <v/>
      </c>
      <c r="H53">
        <f>INDEX($H$41:$H$45,E53)</f>
        <v/>
      </c>
      <c r="I53">
        <f>IF(F53=0,0,IF(COUNTIF(O$62:O$1261,"&gt;0")&gt;=1200,-1,COUNTIF(O$62:O$1261,"&gt;0")+1))</f>
        <v/>
      </c>
      <c r="J53">
        <f>SUM(P62:P1261)</f>
        <v/>
      </c>
      <c r="L53">
        <f>IF(F53=0,0,IF(COUNTIF(AC$62:AC$1261,"&gt;0")&gt;=1200,-1,COUNTIF(AC$62:AC$1261,"&gt;0")+1))</f>
        <v/>
      </c>
      <c r="M53">
        <f>SUM(AD62:AD1261)</f>
        <v/>
      </c>
    </row>
    <row r="54">
      <c r="D54" t="n">
        <v>4</v>
      </c>
      <c r="E54">
        <f>MATCH(D54,$J$41:$J$45,0)</f>
        <v/>
      </c>
      <c r="F54">
        <f>INDEX($F$41:$F$45,E54)</f>
        <v/>
      </c>
      <c r="G54">
        <f>INDEX($I$41:$I$45,E54)</f>
        <v/>
      </c>
      <c r="H54">
        <f>INDEX($H$41:$H$45,E54)</f>
        <v/>
      </c>
      <c r="I54">
        <f>IF(F54=0,0,IF(COUNTIF(S$62:S$1261,"&gt;0")&gt;=1200,-1,COUNTIF(S$62:S$1261,"&gt;0")+1))</f>
        <v/>
      </c>
      <c r="J54">
        <f>SUM(T62:T1261)</f>
        <v/>
      </c>
      <c r="L54">
        <f>IF(F54=0,0,IF(COUNTIF(AE$62:AE$1261,"&gt;0")&gt;=1200,-1,COUNTIF(AE$62:AE$1261,"&gt;0")+1))</f>
        <v/>
      </c>
      <c r="M54">
        <f>SUM(AF62:AF1261)</f>
        <v/>
      </c>
    </row>
    <row r="55">
      <c r="D55" t="n">
        <v>5</v>
      </c>
      <c r="E55">
        <f>MATCH(D55,$J$41:$J$45,0)</f>
        <v/>
      </c>
      <c r="F55">
        <f>INDEX($F$41:$F$45,E55)</f>
        <v/>
      </c>
      <c r="G55">
        <f>INDEX($I$41:$I$45,E55)</f>
        <v/>
      </c>
      <c r="H55">
        <f>INDEX($H$41:$H$45,E55)</f>
        <v/>
      </c>
      <c r="I55">
        <f>IF(F55=0,0,IF(COUNTIF(W$62:W$1261,"&gt;0")&gt;=1200,-1,COUNTIF(W$62:W$1261,"&gt;0")+1))</f>
        <v/>
      </c>
      <c r="J55">
        <f>SUM(X62:X1261)</f>
        <v/>
      </c>
      <c r="L55">
        <f>IF(F55=0,0,IF(COUNTIF(AG$62:AG$1261,"&gt;0")&gt;=1200,-1,COUNTIF(AG$62:AG$1261,"&gt;0")+1))</f>
        <v/>
      </c>
      <c r="M55">
        <f>SUM(AH62:AH1261)</f>
        <v/>
      </c>
    </row>
    <row r="60">
      <c r="D60" t="inlineStr">
        <is>
          <t>Month</t>
        </is>
      </c>
      <c r="E60" t="inlineStr">
        <is>
          <t>Slot 1: after its payment</t>
        </is>
      </c>
      <c r="F60" t="inlineStr">
        <is>
          <t>Slot 1: extra left</t>
        </is>
      </c>
      <c r="G60" t="inlineStr">
        <is>
          <t>Slot 1: balance</t>
        </is>
      </c>
      <c r="H60" t="inlineStr">
        <is>
          <t>Slot 1: interest</t>
        </is>
      </c>
      <c r="I60" t="inlineStr">
        <is>
          <t>Slot 2: after its payment</t>
        </is>
      </c>
      <c r="J60" t="inlineStr">
        <is>
          <t>Slot 2: extra left</t>
        </is>
      </c>
      <c r="K60" t="inlineStr">
        <is>
          <t>Slot 2: balance</t>
        </is>
      </c>
      <c r="L60" t="inlineStr">
        <is>
          <t>Slot 2: interest</t>
        </is>
      </c>
      <c r="M60" t="inlineStr">
        <is>
          <t>Slot 3: after its payment</t>
        </is>
      </c>
      <c r="N60" t="inlineStr">
        <is>
          <t>Slot 3: extra left</t>
        </is>
      </c>
      <c r="O60" t="inlineStr">
        <is>
          <t>Slot 3: balance</t>
        </is>
      </c>
      <c r="P60" t="inlineStr">
        <is>
          <t>Slot 3: interest</t>
        </is>
      </c>
      <c r="Q60" t="inlineStr">
        <is>
          <t>Slot 4: after its payment</t>
        </is>
      </c>
      <c r="R60" t="inlineStr">
        <is>
          <t>Slot 4: extra left</t>
        </is>
      </c>
      <c r="S60" t="inlineStr">
        <is>
          <t>Slot 4: balance</t>
        </is>
      </c>
      <c r="T60" t="inlineStr">
        <is>
          <t>Slot 4: interest</t>
        </is>
      </c>
      <c r="U60" t="inlineStr">
        <is>
          <t>Slot 5: after its payment</t>
        </is>
      </c>
      <c r="V60" t="inlineStr">
        <is>
          <t>Slot 5: extra left</t>
        </is>
      </c>
      <c r="W60" t="inlineStr">
        <is>
          <t>Slot 5: balance</t>
        </is>
      </c>
      <c r="X60" t="inlineStr">
        <is>
          <t>Slot 5: interest</t>
        </is>
      </c>
      <c r="Y60" t="inlineStr">
        <is>
          <t>Slot 1: minimums balance</t>
        </is>
      </c>
      <c r="Z60" t="inlineStr">
        <is>
          <t>Slot 1: minimums interest</t>
        </is>
      </c>
      <c r="AA60" t="inlineStr">
        <is>
          <t>Slot 2: minimums balance</t>
        </is>
      </c>
      <c r="AB60" t="inlineStr">
        <is>
          <t>Slot 2: minimums interest</t>
        </is>
      </c>
      <c r="AC60" t="inlineStr">
        <is>
          <t>Slot 3: minimums balance</t>
        </is>
      </c>
      <c r="AD60" t="inlineStr">
        <is>
          <t>Slot 3: minimums interest</t>
        </is>
      </c>
      <c r="AE60" t="inlineStr">
        <is>
          <t>Slot 4: minimums balance</t>
        </is>
      </c>
      <c r="AF60" t="inlineStr">
        <is>
          <t>Slot 4: minimums interest</t>
        </is>
      </c>
      <c r="AG60" t="inlineStr">
        <is>
          <t>Slot 5: minimums balance</t>
        </is>
      </c>
      <c r="AH60" t="inlineStr">
        <is>
          <t>Slot 5: minimums interest</t>
        </is>
      </c>
      <c r="AI60" t="inlineStr">
        <is>
          <t>All balances</t>
        </is>
      </c>
      <c r="AJ60" t="inlineStr">
        <is>
          <t>Paid this month</t>
        </is>
      </c>
      <c r="AK60" t="inlineStr">
        <is>
          <t>Interest this month</t>
        </is>
      </c>
      <c r="AL60" t="inlineStr">
        <is>
          <t>Chart label</t>
        </is>
      </c>
      <c r="AM60" t="inlineStr">
        <is>
          <t>Chart balance</t>
        </is>
      </c>
    </row>
    <row r="61">
      <c r="D61" t="n">
        <v>0</v>
      </c>
      <c r="G61">
        <f>$F$51</f>
        <v/>
      </c>
      <c r="K61">
        <f>$F$52</f>
        <v/>
      </c>
      <c r="O61">
        <f>$F$53</f>
        <v/>
      </c>
      <c r="S61">
        <f>$F$54</f>
        <v/>
      </c>
      <c r="W61">
        <f>$F$55</f>
        <v/>
      </c>
      <c r="Y61">
        <f>$F$51</f>
        <v/>
      </c>
      <c r="AA61">
        <f>$F$52</f>
        <v/>
      </c>
      <c r="AC61">
        <f>$F$53</f>
        <v/>
      </c>
      <c r="AE61">
        <f>$F$54</f>
        <v/>
      </c>
      <c r="AG61">
        <f>$F$55</f>
        <v/>
      </c>
      <c r="AI61">
        <f>G61+K61+O61+S61+W61</f>
        <v/>
      </c>
      <c r="AL61" t="inlineStr">
        <is>
          <t>Start</t>
        </is>
      </c>
      <c r="AM61">
        <f>AI61</f>
        <v/>
      </c>
    </row>
    <row r="62">
      <c r="D62" t="n">
        <v>1</v>
      </c>
      <c r="E62">
        <f>IF(G61&gt;0,MAX(0,G61*(1+$G$51)-$H$51),0)</f>
        <v/>
      </c>
      <c r="F62">
        <f>$B$6+IF($D62=$B$8,$B$7,0)</f>
        <v/>
      </c>
      <c r="G62">
        <f>IF(E62-F62&gt;1E-9,E62-F62,0)</f>
        <v/>
      </c>
      <c r="H62">
        <f>G61*$G$51</f>
        <v/>
      </c>
      <c r="I62">
        <f>IF(K61&gt;0,MAX(0,K61*(1+$G$52)-$H$52),0)</f>
        <v/>
      </c>
      <c r="J62">
        <f>MAX(0,F62-E62)</f>
        <v/>
      </c>
      <c r="K62">
        <f>IF(I62-J62&gt;1E-9,I62-J62,0)</f>
        <v/>
      </c>
      <c r="L62">
        <f>K61*$G$52</f>
        <v/>
      </c>
      <c r="M62">
        <f>IF(O61&gt;0,MAX(0,O61*(1+$G$53)-$H$53),0)</f>
        <v/>
      </c>
      <c r="N62">
        <f>MAX(0,J62-I62)</f>
        <v/>
      </c>
      <c r="O62">
        <f>IF(M62-N62&gt;1E-9,M62-N62,0)</f>
        <v/>
      </c>
      <c r="P62">
        <f>O61*$G$53</f>
        <v/>
      </c>
      <c r="Q62">
        <f>IF(S61&gt;0,MAX(0,S61*(1+$G$54)-$H$54),0)</f>
        <v/>
      </c>
      <c r="R62">
        <f>MAX(0,N62-M62)</f>
        <v/>
      </c>
      <c r="S62">
        <f>IF(Q62-R62&gt;1E-9,Q62-R62,0)</f>
        <v/>
      </c>
      <c r="T62">
        <f>S61*$G$54</f>
        <v/>
      </c>
      <c r="U62">
        <f>IF(W61&gt;0,MAX(0,W61*(1+$G$55)-$H$55),0)</f>
        <v/>
      </c>
      <c r="V62">
        <f>MAX(0,R62-Q62)</f>
        <v/>
      </c>
      <c r="W62">
        <f>IF(U62-V62&gt;1E-9,U62-V62,0)</f>
        <v/>
      </c>
      <c r="X62">
        <f>W61*$G$55</f>
        <v/>
      </c>
      <c r="Y62">
        <f>IF(Y61&gt;1E-9,IF(Y61*(1+$G$51)-MAX($B$9,0.01*Y61+Y61*$G$51)&gt;1E-9,Y61*(1+$G$51)-MAX($B$9,0.01*Y61+Y61*$G$51),0),0)</f>
        <v/>
      </c>
      <c r="Z62">
        <f>Y61*$G$51</f>
        <v/>
      </c>
      <c r="AA62">
        <f>IF(AA61&gt;1E-9,IF(AA61*(1+$G$52)-MAX($B$9,0.01*AA61+AA61*$G$52)&gt;1E-9,AA61*(1+$G$52)-MAX($B$9,0.01*AA61+AA61*$G$52),0),0)</f>
        <v/>
      </c>
      <c r="AB62">
        <f>AA61*$G$52</f>
        <v/>
      </c>
      <c r="AC62">
        <f>IF(AC61&gt;1E-9,IF(AC61*(1+$G$53)-MAX($B$9,0.01*AC61+AC61*$G$53)&gt;1E-9,AC61*(1+$G$53)-MAX($B$9,0.01*AC61+AC61*$G$53),0),0)</f>
        <v/>
      </c>
      <c r="AD62">
        <f>AC61*$G$53</f>
        <v/>
      </c>
      <c r="AE62">
        <f>IF(AE61&gt;1E-9,IF(AE61*(1+$G$54)-MAX($B$9,0.01*AE61+AE61*$G$54)&gt;1E-9,AE61*(1+$G$54)-MAX($B$9,0.01*AE61+AE61*$G$54),0),0)</f>
        <v/>
      </c>
      <c r="AF62">
        <f>AE61*$G$54</f>
        <v/>
      </c>
      <c r="AG62">
        <f>IF(AG61&gt;1E-9,IF(AG61*(1+$G$55)-MAX($B$9,0.01*AG61+AG61*$G$55)&gt;1E-9,AG61*(1+$G$55)-MAX($B$9,0.01*AG61+AG61*$G$55),0),0)</f>
        <v/>
      </c>
      <c r="AH62">
        <f>AG61*$G$55</f>
        <v/>
      </c>
      <c r="AI62">
        <f>G62+K62+O62+S62+W62</f>
        <v/>
      </c>
      <c r="AJ62">
        <f>AI61+AK62-AI62</f>
        <v/>
      </c>
      <c r="AK62">
        <f>H62+L62+P62+T62+X62</f>
        <v/>
      </c>
      <c r="AL62">
        <f>TEXT(EDATE($B$5,D62-1),"mmm yyyy")</f>
        <v/>
      </c>
      <c r="AM62">
        <f>AI62</f>
        <v/>
      </c>
    </row>
    <row r="63">
      <c r="D63" t="n">
        <v>2</v>
      </c>
      <c r="E63">
        <f>IF(G62&gt;0,MAX(0,G62*(1+$G$51)-$H$51),0)</f>
        <v/>
      </c>
      <c r="F63">
        <f>$B$6+IF($D63=$B$8,$B$7,0)</f>
        <v/>
      </c>
      <c r="G63">
        <f>IF(E63-F63&gt;1E-9,E63-F63,0)</f>
        <v/>
      </c>
      <c r="H63">
        <f>G62*$G$51</f>
        <v/>
      </c>
      <c r="I63">
        <f>IF(K62&gt;0,MAX(0,K62*(1+$G$52)-$H$52),0)</f>
        <v/>
      </c>
      <c r="J63">
        <f>MAX(0,F63-E63)</f>
        <v/>
      </c>
      <c r="K63">
        <f>IF(I63-J63&gt;1E-9,I63-J63,0)</f>
        <v/>
      </c>
      <c r="L63">
        <f>K62*$G$52</f>
        <v/>
      </c>
      <c r="M63">
        <f>IF(O62&gt;0,MAX(0,O62*(1+$G$53)-$H$53),0)</f>
        <v/>
      </c>
      <c r="N63">
        <f>MAX(0,J63-I63)</f>
        <v/>
      </c>
      <c r="O63">
        <f>IF(M63-N63&gt;1E-9,M63-N63,0)</f>
        <v/>
      </c>
      <c r="P63">
        <f>O62*$G$53</f>
        <v/>
      </c>
      <c r="Q63">
        <f>IF(S62&gt;0,MAX(0,S62*(1+$G$54)-$H$54),0)</f>
        <v/>
      </c>
      <c r="R63">
        <f>MAX(0,N63-M63)</f>
        <v/>
      </c>
      <c r="S63">
        <f>IF(Q63-R63&gt;1E-9,Q63-R63,0)</f>
        <v/>
      </c>
      <c r="T63">
        <f>S62*$G$54</f>
        <v/>
      </c>
      <c r="U63">
        <f>IF(W62&gt;0,MAX(0,W62*(1+$G$55)-$H$55),0)</f>
        <v/>
      </c>
      <c r="V63">
        <f>MAX(0,R63-Q63)</f>
        <v/>
      </c>
      <c r="W63">
        <f>IF(U63-V63&gt;1E-9,U63-V63,0)</f>
        <v/>
      </c>
      <c r="X63">
        <f>W62*$G$55</f>
        <v/>
      </c>
      <c r="Y63">
        <f>IF(Y62&gt;1E-9,IF(Y62*(1+$G$51)-MAX($B$9,0.01*Y62+Y62*$G$51)&gt;1E-9,Y62*(1+$G$51)-MAX($B$9,0.01*Y62+Y62*$G$51),0),0)</f>
        <v/>
      </c>
      <c r="Z63">
        <f>Y62*$G$51</f>
        <v/>
      </c>
      <c r="AA63">
        <f>IF(AA62&gt;1E-9,IF(AA62*(1+$G$52)-MAX($B$9,0.01*AA62+AA62*$G$52)&gt;1E-9,AA62*(1+$G$52)-MAX($B$9,0.01*AA62+AA62*$G$52),0),0)</f>
        <v/>
      </c>
      <c r="AB63">
        <f>AA62*$G$52</f>
        <v/>
      </c>
      <c r="AC63">
        <f>IF(AC62&gt;1E-9,IF(AC62*(1+$G$53)-MAX($B$9,0.01*AC62+AC62*$G$53)&gt;1E-9,AC62*(1+$G$53)-MAX($B$9,0.01*AC62+AC62*$G$53),0),0)</f>
        <v/>
      </c>
      <c r="AD63">
        <f>AC62*$G$53</f>
        <v/>
      </c>
      <c r="AE63">
        <f>IF(AE62&gt;1E-9,IF(AE62*(1+$G$54)-MAX($B$9,0.01*AE62+AE62*$G$54)&gt;1E-9,AE62*(1+$G$54)-MAX($B$9,0.01*AE62+AE62*$G$54),0),0)</f>
        <v/>
      </c>
      <c r="AF63">
        <f>AE62*$G$54</f>
        <v/>
      </c>
      <c r="AG63">
        <f>IF(AG62&gt;1E-9,IF(AG62*(1+$G$55)-MAX($B$9,0.01*AG62+AG62*$G$55)&gt;1E-9,AG62*(1+$G$55)-MAX($B$9,0.01*AG62+AG62*$G$55),0),0)</f>
        <v/>
      </c>
      <c r="AH63">
        <f>AG62*$G$55</f>
        <v/>
      </c>
      <c r="AI63">
        <f>G63+K63+O63+S63+W63</f>
        <v/>
      </c>
      <c r="AJ63">
        <f>AI62+AK63-AI63</f>
        <v/>
      </c>
      <c r="AK63">
        <f>H63+L63+P63+T63+X63</f>
        <v/>
      </c>
      <c r="AL63">
        <f>TEXT(EDATE($B$5,D63-1),"mmm yyyy")</f>
        <v/>
      </c>
      <c r="AM63">
        <f>AI63</f>
        <v/>
      </c>
    </row>
    <row r="64">
      <c r="D64" t="n">
        <v>3</v>
      </c>
      <c r="E64">
        <f>IF(G63&gt;0,MAX(0,G63*(1+$G$51)-$H$51),0)</f>
        <v/>
      </c>
      <c r="F64">
        <f>$B$6+IF($D64=$B$8,$B$7,0)</f>
        <v/>
      </c>
      <c r="G64">
        <f>IF(E64-F64&gt;1E-9,E64-F64,0)</f>
        <v/>
      </c>
      <c r="H64">
        <f>G63*$G$51</f>
        <v/>
      </c>
      <c r="I64">
        <f>IF(K63&gt;0,MAX(0,K63*(1+$G$52)-$H$52),0)</f>
        <v/>
      </c>
      <c r="J64">
        <f>MAX(0,F64-E64)</f>
        <v/>
      </c>
      <c r="K64">
        <f>IF(I64-J64&gt;1E-9,I64-J64,0)</f>
        <v/>
      </c>
      <c r="L64">
        <f>K63*$G$52</f>
        <v/>
      </c>
      <c r="M64">
        <f>IF(O63&gt;0,MAX(0,O63*(1+$G$53)-$H$53),0)</f>
        <v/>
      </c>
      <c r="N64">
        <f>MAX(0,J64-I64)</f>
        <v/>
      </c>
      <c r="O64">
        <f>IF(M64-N64&gt;1E-9,M64-N64,0)</f>
        <v/>
      </c>
      <c r="P64">
        <f>O63*$G$53</f>
        <v/>
      </c>
      <c r="Q64">
        <f>IF(S63&gt;0,MAX(0,S63*(1+$G$54)-$H$54),0)</f>
        <v/>
      </c>
      <c r="R64">
        <f>MAX(0,N64-M64)</f>
        <v/>
      </c>
      <c r="S64">
        <f>IF(Q64-R64&gt;1E-9,Q64-R64,0)</f>
        <v/>
      </c>
      <c r="T64">
        <f>S63*$G$54</f>
        <v/>
      </c>
      <c r="U64">
        <f>IF(W63&gt;0,MAX(0,W63*(1+$G$55)-$H$55),0)</f>
        <v/>
      </c>
      <c r="V64">
        <f>MAX(0,R64-Q64)</f>
        <v/>
      </c>
      <c r="W64">
        <f>IF(U64-V64&gt;1E-9,U64-V64,0)</f>
        <v/>
      </c>
      <c r="X64">
        <f>W63*$G$55</f>
        <v/>
      </c>
      <c r="Y64">
        <f>IF(Y63&gt;1E-9,IF(Y63*(1+$G$51)-MAX($B$9,0.01*Y63+Y63*$G$51)&gt;1E-9,Y63*(1+$G$51)-MAX($B$9,0.01*Y63+Y63*$G$51),0),0)</f>
        <v/>
      </c>
      <c r="Z64">
        <f>Y63*$G$51</f>
        <v/>
      </c>
      <c r="AA64">
        <f>IF(AA63&gt;1E-9,IF(AA63*(1+$G$52)-MAX($B$9,0.01*AA63+AA63*$G$52)&gt;1E-9,AA63*(1+$G$52)-MAX($B$9,0.01*AA63+AA63*$G$52),0),0)</f>
        <v/>
      </c>
      <c r="AB64">
        <f>AA63*$G$52</f>
        <v/>
      </c>
      <c r="AC64">
        <f>IF(AC63&gt;1E-9,IF(AC63*(1+$G$53)-MAX($B$9,0.01*AC63+AC63*$G$53)&gt;1E-9,AC63*(1+$G$53)-MAX($B$9,0.01*AC63+AC63*$G$53),0),0)</f>
        <v/>
      </c>
      <c r="AD64">
        <f>AC63*$G$53</f>
        <v/>
      </c>
      <c r="AE64">
        <f>IF(AE63&gt;1E-9,IF(AE63*(1+$G$54)-MAX($B$9,0.01*AE63+AE63*$G$54)&gt;1E-9,AE63*(1+$G$54)-MAX($B$9,0.01*AE63+AE63*$G$54),0),0)</f>
        <v/>
      </c>
      <c r="AF64">
        <f>AE63*$G$54</f>
        <v/>
      </c>
      <c r="AG64">
        <f>IF(AG63&gt;1E-9,IF(AG63*(1+$G$55)-MAX($B$9,0.01*AG63+AG63*$G$55)&gt;1E-9,AG63*(1+$G$55)-MAX($B$9,0.01*AG63+AG63*$G$55),0),0)</f>
        <v/>
      </c>
      <c r="AH64">
        <f>AG63*$G$55</f>
        <v/>
      </c>
      <c r="AI64">
        <f>G64+K64+O64+S64+W64</f>
        <v/>
      </c>
      <c r="AJ64">
        <f>AI63+AK64-AI64</f>
        <v/>
      </c>
      <c r="AK64">
        <f>H64+L64+P64+T64+X64</f>
        <v/>
      </c>
      <c r="AL64">
        <f>TEXT(EDATE($B$5,D64-1),"mmm yyyy")</f>
        <v/>
      </c>
      <c r="AM64">
        <f>AI64</f>
        <v/>
      </c>
    </row>
    <row r="65">
      <c r="D65" t="n">
        <v>4</v>
      </c>
      <c r="E65">
        <f>IF(G64&gt;0,MAX(0,G64*(1+$G$51)-$H$51),0)</f>
        <v/>
      </c>
      <c r="F65">
        <f>$B$6+IF($D65=$B$8,$B$7,0)</f>
        <v/>
      </c>
      <c r="G65">
        <f>IF(E65-F65&gt;1E-9,E65-F65,0)</f>
        <v/>
      </c>
      <c r="H65">
        <f>G64*$G$51</f>
        <v/>
      </c>
      <c r="I65">
        <f>IF(K64&gt;0,MAX(0,K64*(1+$G$52)-$H$52),0)</f>
        <v/>
      </c>
      <c r="J65">
        <f>MAX(0,F65-E65)</f>
        <v/>
      </c>
      <c r="K65">
        <f>IF(I65-J65&gt;1E-9,I65-J65,0)</f>
        <v/>
      </c>
      <c r="L65">
        <f>K64*$G$52</f>
        <v/>
      </c>
      <c r="M65">
        <f>IF(O64&gt;0,MAX(0,O64*(1+$G$53)-$H$53),0)</f>
        <v/>
      </c>
      <c r="N65">
        <f>MAX(0,J65-I65)</f>
        <v/>
      </c>
      <c r="O65">
        <f>IF(M65-N65&gt;1E-9,M65-N65,0)</f>
        <v/>
      </c>
      <c r="P65">
        <f>O64*$G$53</f>
        <v/>
      </c>
      <c r="Q65">
        <f>IF(S64&gt;0,MAX(0,S64*(1+$G$54)-$H$54),0)</f>
        <v/>
      </c>
      <c r="R65">
        <f>MAX(0,N65-M65)</f>
        <v/>
      </c>
      <c r="S65">
        <f>IF(Q65-R65&gt;1E-9,Q65-R65,0)</f>
        <v/>
      </c>
      <c r="T65">
        <f>S64*$G$54</f>
        <v/>
      </c>
      <c r="U65">
        <f>IF(W64&gt;0,MAX(0,W64*(1+$G$55)-$H$55),0)</f>
        <v/>
      </c>
      <c r="V65">
        <f>MAX(0,R65-Q65)</f>
        <v/>
      </c>
      <c r="W65">
        <f>IF(U65-V65&gt;1E-9,U65-V65,0)</f>
        <v/>
      </c>
      <c r="X65">
        <f>W64*$G$55</f>
        <v/>
      </c>
      <c r="Y65">
        <f>IF(Y64&gt;1E-9,IF(Y64*(1+$G$51)-MAX($B$9,0.01*Y64+Y64*$G$51)&gt;1E-9,Y64*(1+$G$51)-MAX($B$9,0.01*Y64+Y64*$G$51),0),0)</f>
        <v/>
      </c>
      <c r="Z65">
        <f>Y64*$G$51</f>
        <v/>
      </c>
      <c r="AA65">
        <f>IF(AA64&gt;1E-9,IF(AA64*(1+$G$52)-MAX($B$9,0.01*AA64+AA64*$G$52)&gt;1E-9,AA64*(1+$G$52)-MAX($B$9,0.01*AA64+AA64*$G$52),0),0)</f>
        <v/>
      </c>
      <c r="AB65">
        <f>AA64*$G$52</f>
        <v/>
      </c>
      <c r="AC65">
        <f>IF(AC64&gt;1E-9,IF(AC64*(1+$G$53)-MAX($B$9,0.01*AC64+AC64*$G$53)&gt;1E-9,AC64*(1+$G$53)-MAX($B$9,0.01*AC64+AC64*$G$53),0),0)</f>
        <v/>
      </c>
      <c r="AD65">
        <f>AC64*$G$53</f>
        <v/>
      </c>
      <c r="AE65">
        <f>IF(AE64&gt;1E-9,IF(AE64*(1+$G$54)-MAX($B$9,0.01*AE64+AE64*$G$54)&gt;1E-9,AE64*(1+$G$54)-MAX($B$9,0.01*AE64+AE64*$G$54),0),0)</f>
        <v/>
      </c>
      <c r="AF65">
        <f>AE64*$G$54</f>
        <v/>
      </c>
      <c r="AG65">
        <f>IF(AG64&gt;1E-9,IF(AG64*(1+$G$55)-MAX($B$9,0.01*AG64+AG64*$G$55)&gt;1E-9,AG64*(1+$G$55)-MAX($B$9,0.01*AG64+AG64*$G$55),0),0)</f>
        <v/>
      </c>
      <c r="AH65">
        <f>AG64*$G$55</f>
        <v/>
      </c>
      <c r="AI65">
        <f>G65+K65+O65+S65+W65</f>
        <v/>
      </c>
      <c r="AJ65">
        <f>AI64+AK65-AI65</f>
        <v/>
      </c>
      <c r="AK65">
        <f>H65+L65+P65+T65+X65</f>
        <v/>
      </c>
      <c r="AL65">
        <f>TEXT(EDATE($B$5,D65-1),"mmm yyyy")</f>
        <v/>
      </c>
      <c r="AM65">
        <f>AI65</f>
        <v/>
      </c>
    </row>
    <row r="66">
      <c r="D66" t="n">
        <v>5</v>
      </c>
      <c r="E66">
        <f>IF(G65&gt;0,MAX(0,G65*(1+$G$51)-$H$51),0)</f>
        <v/>
      </c>
      <c r="F66">
        <f>$B$6+IF($D66=$B$8,$B$7,0)</f>
        <v/>
      </c>
      <c r="G66">
        <f>IF(E66-F66&gt;1E-9,E66-F66,0)</f>
        <v/>
      </c>
      <c r="H66">
        <f>G65*$G$51</f>
        <v/>
      </c>
      <c r="I66">
        <f>IF(K65&gt;0,MAX(0,K65*(1+$G$52)-$H$52),0)</f>
        <v/>
      </c>
      <c r="J66">
        <f>MAX(0,F66-E66)</f>
        <v/>
      </c>
      <c r="K66">
        <f>IF(I66-J66&gt;1E-9,I66-J66,0)</f>
        <v/>
      </c>
      <c r="L66">
        <f>K65*$G$52</f>
        <v/>
      </c>
      <c r="M66">
        <f>IF(O65&gt;0,MAX(0,O65*(1+$G$53)-$H$53),0)</f>
        <v/>
      </c>
      <c r="N66">
        <f>MAX(0,J66-I66)</f>
        <v/>
      </c>
      <c r="O66">
        <f>IF(M66-N66&gt;1E-9,M66-N66,0)</f>
        <v/>
      </c>
      <c r="P66">
        <f>O65*$G$53</f>
        <v/>
      </c>
      <c r="Q66">
        <f>IF(S65&gt;0,MAX(0,S65*(1+$G$54)-$H$54),0)</f>
        <v/>
      </c>
      <c r="R66">
        <f>MAX(0,N66-M66)</f>
        <v/>
      </c>
      <c r="S66">
        <f>IF(Q66-R66&gt;1E-9,Q66-R66,0)</f>
        <v/>
      </c>
      <c r="T66">
        <f>S65*$G$54</f>
        <v/>
      </c>
      <c r="U66">
        <f>IF(W65&gt;0,MAX(0,W65*(1+$G$55)-$H$55),0)</f>
        <v/>
      </c>
      <c r="V66">
        <f>MAX(0,R66-Q66)</f>
        <v/>
      </c>
      <c r="W66">
        <f>IF(U66-V66&gt;1E-9,U66-V66,0)</f>
        <v/>
      </c>
      <c r="X66">
        <f>W65*$G$55</f>
        <v/>
      </c>
      <c r="Y66">
        <f>IF(Y65&gt;1E-9,IF(Y65*(1+$G$51)-MAX($B$9,0.01*Y65+Y65*$G$51)&gt;1E-9,Y65*(1+$G$51)-MAX($B$9,0.01*Y65+Y65*$G$51),0),0)</f>
        <v/>
      </c>
      <c r="Z66">
        <f>Y65*$G$51</f>
        <v/>
      </c>
      <c r="AA66">
        <f>IF(AA65&gt;1E-9,IF(AA65*(1+$G$52)-MAX($B$9,0.01*AA65+AA65*$G$52)&gt;1E-9,AA65*(1+$G$52)-MAX($B$9,0.01*AA65+AA65*$G$52),0),0)</f>
        <v/>
      </c>
      <c r="AB66">
        <f>AA65*$G$52</f>
        <v/>
      </c>
      <c r="AC66">
        <f>IF(AC65&gt;1E-9,IF(AC65*(1+$G$53)-MAX($B$9,0.01*AC65+AC65*$G$53)&gt;1E-9,AC65*(1+$G$53)-MAX($B$9,0.01*AC65+AC65*$G$53),0),0)</f>
        <v/>
      </c>
      <c r="AD66">
        <f>AC65*$G$53</f>
        <v/>
      </c>
      <c r="AE66">
        <f>IF(AE65&gt;1E-9,IF(AE65*(1+$G$54)-MAX($B$9,0.01*AE65+AE65*$G$54)&gt;1E-9,AE65*(1+$G$54)-MAX($B$9,0.01*AE65+AE65*$G$54),0),0)</f>
        <v/>
      </c>
      <c r="AF66">
        <f>AE65*$G$54</f>
        <v/>
      </c>
      <c r="AG66">
        <f>IF(AG65&gt;1E-9,IF(AG65*(1+$G$55)-MAX($B$9,0.01*AG65+AG65*$G$55)&gt;1E-9,AG65*(1+$G$55)-MAX($B$9,0.01*AG65+AG65*$G$55),0),0)</f>
        <v/>
      </c>
      <c r="AH66">
        <f>AG65*$G$55</f>
        <v/>
      </c>
      <c r="AI66">
        <f>G66+K66+O66+S66+W66</f>
        <v/>
      </c>
      <c r="AJ66">
        <f>AI65+AK66-AI66</f>
        <v/>
      </c>
      <c r="AK66">
        <f>H66+L66+P66+T66+X66</f>
        <v/>
      </c>
      <c r="AL66">
        <f>TEXT(EDATE($B$5,D66-1),"mmm yyyy")</f>
        <v/>
      </c>
      <c r="AM66">
        <f>AI66</f>
        <v/>
      </c>
    </row>
    <row r="67">
      <c r="D67" t="n">
        <v>6</v>
      </c>
      <c r="E67">
        <f>IF(G66&gt;0,MAX(0,G66*(1+$G$51)-$H$51),0)</f>
        <v/>
      </c>
      <c r="F67">
        <f>$B$6+IF($D67=$B$8,$B$7,0)</f>
        <v/>
      </c>
      <c r="G67">
        <f>IF(E67-F67&gt;1E-9,E67-F67,0)</f>
        <v/>
      </c>
      <c r="H67">
        <f>G66*$G$51</f>
        <v/>
      </c>
      <c r="I67">
        <f>IF(K66&gt;0,MAX(0,K66*(1+$G$52)-$H$52),0)</f>
        <v/>
      </c>
      <c r="J67">
        <f>MAX(0,F67-E67)</f>
        <v/>
      </c>
      <c r="K67">
        <f>IF(I67-J67&gt;1E-9,I67-J67,0)</f>
        <v/>
      </c>
      <c r="L67">
        <f>K66*$G$52</f>
        <v/>
      </c>
      <c r="M67">
        <f>IF(O66&gt;0,MAX(0,O66*(1+$G$53)-$H$53),0)</f>
        <v/>
      </c>
      <c r="N67">
        <f>MAX(0,J67-I67)</f>
        <v/>
      </c>
      <c r="O67">
        <f>IF(M67-N67&gt;1E-9,M67-N67,0)</f>
        <v/>
      </c>
      <c r="P67">
        <f>O66*$G$53</f>
        <v/>
      </c>
      <c r="Q67">
        <f>IF(S66&gt;0,MAX(0,S66*(1+$G$54)-$H$54),0)</f>
        <v/>
      </c>
      <c r="R67">
        <f>MAX(0,N67-M67)</f>
        <v/>
      </c>
      <c r="S67">
        <f>IF(Q67-R67&gt;1E-9,Q67-R67,0)</f>
        <v/>
      </c>
      <c r="T67">
        <f>S66*$G$54</f>
        <v/>
      </c>
      <c r="U67">
        <f>IF(W66&gt;0,MAX(0,W66*(1+$G$55)-$H$55),0)</f>
        <v/>
      </c>
      <c r="V67">
        <f>MAX(0,R67-Q67)</f>
        <v/>
      </c>
      <c r="W67">
        <f>IF(U67-V67&gt;1E-9,U67-V67,0)</f>
        <v/>
      </c>
      <c r="X67">
        <f>W66*$G$55</f>
        <v/>
      </c>
      <c r="Y67">
        <f>IF(Y66&gt;1E-9,IF(Y66*(1+$G$51)-MAX($B$9,0.01*Y66+Y66*$G$51)&gt;1E-9,Y66*(1+$G$51)-MAX($B$9,0.01*Y66+Y66*$G$51),0),0)</f>
        <v/>
      </c>
      <c r="Z67">
        <f>Y66*$G$51</f>
        <v/>
      </c>
      <c r="AA67">
        <f>IF(AA66&gt;1E-9,IF(AA66*(1+$G$52)-MAX($B$9,0.01*AA66+AA66*$G$52)&gt;1E-9,AA66*(1+$G$52)-MAX($B$9,0.01*AA66+AA66*$G$52),0),0)</f>
        <v/>
      </c>
      <c r="AB67">
        <f>AA66*$G$52</f>
        <v/>
      </c>
      <c r="AC67">
        <f>IF(AC66&gt;1E-9,IF(AC66*(1+$G$53)-MAX($B$9,0.01*AC66+AC66*$G$53)&gt;1E-9,AC66*(1+$G$53)-MAX($B$9,0.01*AC66+AC66*$G$53),0),0)</f>
        <v/>
      </c>
      <c r="AD67">
        <f>AC66*$G$53</f>
        <v/>
      </c>
      <c r="AE67">
        <f>IF(AE66&gt;1E-9,IF(AE66*(1+$G$54)-MAX($B$9,0.01*AE66+AE66*$G$54)&gt;1E-9,AE66*(1+$G$54)-MAX($B$9,0.01*AE66+AE66*$G$54),0),0)</f>
        <v/>
      </c>
      <c r="AF67">
        <f>AE66*$G$54</f>
        <v/>
      </c>
      <c r="AG67">
        <f>IF(AG66&gt;1E-9,IF(AG66*(1+$G$55)-MAX($B$9,0.01*AG66+AG66*$G$55)&gt;1E-9,AG66*(1+$G$55)-MAX($B$9,0.01*AG66+AG66*$G$55),0),0)</f>
        <v/>
      </c>
      <c r="AH67">
        <f>AG66*$G$55</f>
        <v/>
      </c>
      <c r="AI67">
        <f>G67+K67+O67+S67+W67</f>
        <v/>
      </c>
      <c r="AJ67">
        <f>AI66+AK67-AI67</f>
        <v/>
      </c>
      <c r="AK67">
        <f>H67+L67+P67+T67+X67</f>
        <v/>
      </c>
      <c r="AL67">
        <f>TEXT(EDATE($B$5,D67-1),"mmm yyyy")</f>
        <v/>
      </c>
      <c r="AM67">
        <f>AI67</f>
        <v/>
      </c>
    </row>
    <row r="68">
      <c r="D68" t="n">
        <v>7</v>
      </c>
      <c r="E68">
        <f>IF(G67&gt;0,MAX(0,G67*(1+$G$51)-$H$51),0)</f>
        <v/>
      </c>
      <c r="F68">
        <f>$B$6+IF($D68=$B$8,$B$7,0)</f>
        <v/>
      </c>
      <c r="G68">
        <f>IF(E68-F68&gt;1E-9,E68-F68,0)</f>
        <v/>
      </c>
      <c r="H68">
        <f>G67*$G$51</f>
        <v/>
      </c>
      <c r="I68">
        <f>IF(K67&gt;0,MAX(0,K67*(1+$G$52)-$H$52),0)</f>
        <v/>
      </c>
      <c r="J68">
        <f>MAX(0,F68-E68)</f>
        <v/>
      </c>
      <c r="K68">
        <f>IF(I68-J68&gt;1E-9,I68-J68,0)</f>
        <v/>
      </c>
      <c r="L68">
        <f>K67*$G$52</f>
        <v/>
      </c>
      <c r="M68">
        <f>IF(O67&gt;0,MAX(0,O67*(1+$G$53)-$H$53),0)</f>
        <v/>
      </c>
      <c r="N68">
        <f>MAX(0,J68-I68)</f>
        <v/>
      </c>
      <c r="O68">
        <f>IF(M68-N68&gt;1E-9,M68-N68,0)</f>
        <v/>
      </c>
      <c r="P68">
        <f>O67*$G$53</f>
        <v/>
      </c>
      <c r="Q68">
        <f>IF(S67&gt;0,MAX(0,S67*(1+$G$54)-$H$54),0)</f>
        <v/>
      </c>
      <c r="R68">
        <f>MAX(0,N68-M68)</f>
        <v/>
      </c>
      <c r="S68">
        <f>IF(Q68-R68&gt;1E-9,Q68-R68,0)</f>
        <v/>
      </c>
      <c r="T68">
        <f>S67*$G$54</f>
        <v/>
      </c>
      <c r="U68">
        <f>IF(W67&gt;0,MAX(0,W67*(1+$G$55)-$H$55),0)</f>
        <v/>
      </c>
      <c r="V68">
        <f>MAX(0,R68-Q68)</f>
        <v/>
      </c>
      <c r="W68">
        <f>IF(U68-V68&gt;1E-9,U68-V68,0)</f>
        <v/>
      </c>
      <c r="X68">
        <f>W67*$G$55</f>
        <v/>
      </c>
      <c r="Y68">
        <f>IF(Y67&gt;1E-9,IF(Y67*(1+$G$51)-MAX($B$9,0.01*Y67+Y67*$G$51)&gt;1E-9,Y67*(1+$G$51)-MAX($B$9,0.01*Y67+Y67*$G$51),0),0)</f>
        <v/>
      </c>
      <c r="Z68">
        <f>Y67*$G$51</f>
        <v/>
      </c>
      <c r="AA68">
        <f>IF(AA67&gt;1E-9,IF(AA67*(1+$G$52)-MAX($B$9,0.01*AA67+AA67*$G$52)&gt;1E-9,AA67*(1+$G$52)-MAX($B$9,0.01*AA67+AA67*$G$52),0),0)</f>
        <v/>
      </c>
      <c r="AB68">
        <f>AA67*$G$52</f>
        <v/>
      </c>
      <c r="AC68">
        <f>IF(AC67&gt;1E-9,IF(AC67*(1+$G$53)-MAX($B$9,0.01*AC67+AC67*$G$53)&gt;1E-9,AC67*(1+$G$53)-MAX($B$9,0.01*AC67+AC67*$G$53),0),0)</f>
        <v/>
      </c>
      <c r="AD68">
        <f>AC67*$G$53</f>
        <v/>
      </c>
      <c r="AE68">
        <f>IF(AE67&gt;1E-9,IF(AE67*(1+$G$54)-MAX($B$9,0.01*AE67+AE67*$G$54)&gt;1E-9,AE67*(1+$G$54)-MAX($B$9,0.01*AE67+AE67*$G$54),0),0)</f>
        <v/>
      </c>
      <c r="AF68">
        <f>AE67*$G$54</f>
        <v/>
      </c>
      <c r="AG68">
        <f>IF(AG67&gt;1E-9,IF(AG67*(1+$G$55)-MAX($B$9,0.01*AG67+AG67*$G$55)&gt;1E-9,AG67*(1+$G$55)-MAX($B$9,0.01*AG67+AG67*$G$55),0),0)</f>
        <v/>
      </c>
      <c r="AH68">
        <f>AG67*$G$55</f>
        <v/>
      </c>
      <c r="AI68">
        <f>G68+K68+O68+S68+W68</f>
        <v/>
      </c>
      <c r="AJ68">
        <f>AI67+AK68-AI68</f>
        <v/>
      </c>
      <c r="AK68">
        <f>H68+L68+P68+T68+X68</f>
        <v/>
      </c>
      <c r="AL68">
        <f>TEXT(EDATE($B$5,D68-1),"mmm yyyy")</f>
        <v/>
      </c>
      <c r="AM68">
        <f>AI68</f>
        <v/>
      </c>
    </row>
    <row r="69">
      <c r="D69" t="n">
        <v>8</v>
      </c>
      <c r="E69">
        <f>IF(G68&gt;0,MAX(0,G68*(1+$G$51)-$H$51),0)</f>
        <v/>
      </c>
      <c r="F69">
        <f>$B$6+IF($D69=$B$8,$B$7,0)</f>
        <v/>
      </c>
      <c r="G69">
        <f>IF(E69-F69&gt;1E-9,E69-F69,0)</f>
        <v/>
      </c>
      <c r="H69">
        <f>G68*$G$51</f>
        <v/>
      </c>
      <c r="I69">
        <f>IF(K68&gt;0,MAX(0,K68*(1+$G$52)-$H$52),0)</f>
        <v/>
      </c>
      <c r="J69">
        <f>MAX(0,F69-E69)</f>
        <v/>
      </c>
      <c r="K69">
        <f>IF(I69-J69&gt;1E-9,I69-J69,0)</f>
        <v/>
      </c>
      <c r="L69">
        <f>K68*$G$52</f>
        <v/>
      </c>
      <c r="M69">
        <f>IF(O68&gt;0,MAX(0,O68*(1+$G$53)-$H$53),0)</f>
        <v/>
      </c>
      <c r="N69">
        <f>MAX(0,J69-I69)</f>
        <v/>
      </c>
      <c r="O69">
        <f>IF(M69-N69&gt;1E-9,M69-N69,0)</f>
        <v/>
      </c>
      <c r="P69">
        <f>O68*$G$53</f>
        <v/>
      </c>
      <c r="Q69">
        <f>IF(S68&gt;0,MAX(0,S68*(1+$G$54)-$H$54),0)</f>
        <v/>
      </c>
      <c r="R69">
        <f>MAX(0,N69-M69)</f>
        <v/>
      </c>
      <c r="S69">
        <f>IF(Q69-R69&gt;1E-9,Q69-R69,0)</f>
        <v/>
      </c>
      <c r="T69">
        <f>S68*$G$54</f>
        <v/>
      </c>
      <c r="U69">
        <f>IF(W68&gt;0,MAX(0,W68*(1+$G$55)-$H$55),0)</f>
        <v/>
      </c>
      <c r="V69">
        <f>MAX(0,R69-Q69)</f>
        <v/>
      </c>
      <c r="W69">
        <f>IF(U69-V69&gt;1E-9,U69-V69,0)</f>
        <v/>
      </c>
      <c r="X69">
        <f>W68*$G$55</f>
        <v/>
      </c>
      <c r="Y69">
        <f>IF(Y68&gt;1E-9,IF(Y68*(1+$G$51)-MAX($B$9,0.01*Y68+Y68*$G$51)&gt;1E-9,Y68*(1+$G$51)-MAX($B$9,0.01*Y68+Y68*$G$51),0),0)</f>
        <v/>
      </c>
      <c r="Z69">
        <f>Y68*$G$51</f>
        <v/>
      </c>
      <c r="AA69">
        <f>IF(AA68&gt;1E-9,IF(AA68*(1+$G$52)-MAX($B$9,0.01*AA68+AA68*$G$52)&gt;1E-9,AA68*(1+$G$52)-MAX($B$9,0.01*AA68+AA68*$G$52),0),0)</f>
        <v/>
      </c>
      <c r="AB69">
        <f>AA68*$G$52</f>
        <v/>
      </c>
      <c r="AC69">
        <f>IF(AC68&gt;1E-9,IF(AC68*(1+$G$53)-MAX($B$9,0.01*AC68+AC68*$G$53)&gt;1E-9,AC68*(1+$G$53)-MAX($B$9,0.01*AC68+AC68*$G$53),0),0)</f>
        <v/>
      </c>
      <c r="AD69">
        <f>AC68*$G$53</f>
        <v/>
      </c>
      <c r="AE69">
        <f>IF(AE68&gt;1E-9,IF(AE68*(1+$G$54)-MAX($B$9,0.01*AE68+AE68*$G$54)&gt;1E-9,AE68*(1+$G$54)-MAX($B$9,0.01*AE68+AE68*$G$54),0),0)</f>
        <v/>
      </c>
      <c r="AF69">
        <f>AE68*$G$54</f>
        <v/>
      </c>
      <c r="AG69">
        <f>IF(AG68&gt;1E-9,IF(AG68*(1+$G$55)-MAX($B$9,0.01*AG68+AG68*$G$55)&gt;1E-9,AG68*(1+$G$55)-MAX($B$9,0.01*AG68+AG68*$G$55),0),0)</f>
        <v/>
      </c>
      <c r="AH69">
        <f>AG68*$G$55</f>
        <v/>
      </c>
      <c r="AI69">
        <f>G69+K69+O69+S69+W69</f>
        <v/>
      </c>
      <c r="AJ69">
        <f>AI68+AK69-AI69</f>
        <v/>
      </c>
      <c r="AK69">
        <f>H69+L69+P69+T69+X69</f>
        <v/>
      </c>
      <c r="AL69">
        <f>TEXT(EDATE($B$5,D69-1),"mmm yyyy")</f>
        <v/>
      </c>
      <c r="AM69">
        <f>AI69</f>
        <v/>
      </c>
    </row>
    <row r="70">
      <c r="D70" t="n">
        <v>9</v>
      </c>
      <c r="E70">
        <f>IF(G69&gt;0,MAX(0,G69*(1+$G$51)-$H$51),0)</f>
        <v/>
      </c>
      <c r="F70">
        <f>$B$6+IF($D70=$B$8,$B$7,0)</f>
        <v/>
      </c>
      <c r="G70">
        <f>IF(E70-F70&gt;1E-9,E70-F70,0)</f>
        <v/>
      </c>
      <c r="H70">
        <f>G69*$G$51</f>
        <v/>
      </c>
      <c r="I70">
        <f>IF(K69&gt;0,MAX(0,K69*(1+$G$52)-$H$52),0)</f>
        <v/>
      </c>
      <c r="J70">
        <f>MAX(0,F70-E70)</f>
        <v/>
      </c>
      <c r="K70">
        <f>IF(I70-J70&gt;1E-9,I70-J70,0)</f>
        <v/>
      </c>
      <c r="L70">
        <f>K69*$G$52</f>
        <v/>
      </c>
      <c r="M70">
        <f>IF(O69&gt;0,MAX(0,O69*(1+$G$53)-$H$53),0)</f>
        <v/>
      </c>
      <c r="N70">
        <f>MAX(0,J70-I70)</f>
        <v/>
      </c>
      <c r="O70">
        <f>IF(M70-N70&gt;1E-9,M70-N70,0)</f>
        <v/>
      </c>
      <c r="P70">
        <f>O69*$G$53</f>
        <v/>
      </c>
      <c r="Q70">
        <f>IF(S69&gt;0,MAX(0,S69*(1+$G$54)-$H$54),0)</f>
        <v/>
      </c>
      <c r="R70">
        <f>MAX(0,N70-M70)</f>
        <v/>
      </c>
      <c r="S70">
        <f>IF(Q70-R70&gt;1E-9,Q70-R70,0)</f>
        <v/>
      </c>
      <c r="T70">
        <f>S69*$G$54</f>
        <v/>
      </c>
      <c r="U70">
        <f>IF(W69&gt;0,MAX(0,W69*(1+$G$55)-$H$55),0)</f>
        <v/>
      </c>
      <c r="V70">
        <f>MAX(0,R70-Q70)</f>
        <v/>
      </c>
      <c r="W70">
        <f>IF(U70-V70&gt;1E-9,U70-V70,0)</f>
        <v/>
      </c>
      <c r="X70">
        <f>W69*$G$55</f>
        <v/>
      </c>
      <c r="Y70">
        <f>IF(Y69&gt;1E-9,IF(Y69*(1+$G$51)-MAX($B$9,0.01*Y69+Y69*$G$51)&gt;1E-9,Y69*(1+$G$51)-MAX($B$9,0.01*Y69+Y69*$G$51),0),0)</f>
        <v/>
      </c>
      <c r="Z70">
        <f>Y69*$G$51</f>
        <v/>
      </c>
      <c r="AA70">
        <f>IF(AA69&gt;1E-9,IF(AA69*(1+$G$52)-MAX($B$9,0.01*AA69+AA69*$G$52)&gt;1E-9,AA69*(1+$G$52)-MAX($B$9,0.01*AA69+AA69*$G$52),0),0)</f>
        <v/>
      </c>
      <c r="AB70">
        <f>AA69*$G$52</f>
        <v/>
      </c>
      <c r="AC70">
        <f>IF(AC69&gt;1E-9,IF(AC69*(1+$G$53)-MAX($B$9,0.01*AC69+AC69*$G$53)&gt;1E-9,AC69*(1+$G$53)-MAX($B$9,0.01*AC69+AC69*$G$53),0),0)</f>
        <v/>
      </c>
      <c r="AD70">
        <f>AC69*$G$53</f>
        <v/>
      </c>
      <c r="AE70">
        <f>IF(AE69&gt;1E-9,IF(AE69*(1+$G$54)-MAX($B$9,0.01*AE69+AE69*$G$54)&gt;1E-9,AE69*(1+$G$54)-MAX($B$9,0.01*AE69+AE69*$G$54),0),0)</f>
        <v/>
      </c>
      <c r="AF70">
        <f>AE69*$G$54</f>
        <v/>
      </c>
      <c r="AG70">
        <f>IF(AG69&gt;1E-9,IF(AG69*(1+$G$55)-MAX($B$9,0.01*AG69+AG69*$G$55)&gt;1E-9,AG69*(1+$G$55)-MAX($B$9,0.01*AG69+AG69*$G$55),0),0)</f>
        <v/>
      </c>
      <c r="AH70">
        <f>AG69*$G$55</f>
        <v/>
      </c>
      <c r="AI70">
        <f>G70+K70+O70+S70+W70</f>
        <v/>
      </c>
      <c r="AJ70">
        <f>AI69+AK70-AI70</f>
        <v/>
      </c>
      <c r="AK70">
        <f>H70+L70+P70+T70+X70</f>
        <v/>
      </c>
      <c r="AL70">
        <f>TEXT(EDATE($B$5,D70-1),"mmm yyyy")</f>
        <v/>
      </c>
      <c r="AM70">
        <f>AI70</f>
        <v/>
      </c>
    </row>
    <row r="71">
      <c r="D71" t="n">
        <v>10</v>
      </c>
      <c r="E71">
        <f>IF(G70&gt;0,MAX(0,G70*(1+$G$51)-$H$51),0)</f>
        <v/>
      </c>
      <c r="F71">
        <f>$B$6+IF($D71=$B$8,$B$7,0)</f>
        <v/>
      </c>
      <c r="G71">
        <f>IF(E71-F71&gt;1E-9,E71-F71,0)</f>
        <v/>
      </c>
      <c r="H71">
        <f>G70*$G$51</f>
        <v/>
      </c>
      <c r="I71">
        <f>IF(K70&gt;0,MAX(0,K70*(1+$G$52)-$H$52),0)</f>
        <v/>
      </c>
      <c r="J71">
        <f>MAX(0,F71-E71)</f>
        <v/>
      </c>
      <c r="K71">
        <f>IF(I71-J71&gt;1E-9,I71-J71,0)</f>
        <v/>
      </c>
      <c r="L71">
        <f>K70*$G$52</f>
        <v/>
      </c>
      <c r="M71">
        <f>IF(O70&gt;0,MAX(0,O70*(1+$G$53)-$H$53),0)</f>
        <v/>
      </c>
      <c r="N71">
        <f>MAX(0,J71-I71)</f>
        <v/>
      </c>
      <c r="O71">
        <f>IF(M71-N71&gt;1E-9,M71-N71,0)</f>
        <v/>
      </c>
      <c r="P71">
        <f>O70*$G$53</f>
        <v/>
      </c>
      <c r="Q71">
        <f>IF(S70&gt;0,MAX(0,S70*(1+$G$54)-$H$54),0)</f>
        <v/>
      </c>
      <c r="R71">
        <f>MAX(0,N71-M71)</f>
        <v/>
      </c>
      <c r="S71">
        <f>IF(Q71-R71&gt;1E-9,Q71-R71,0)</f>
        <v/>
      </c>
      <c r="T71">
        <f>S70*$G$54</f>
        <v/>
      </c>
      <c r="U71">
        <f>IF(W70&gt;0,MAX(0,W70*(1+$G$55)-$H$55),0)</f>
        <v/>
      </c>
      <c r="V71">
        <f>MAX(0,R71-Q71)</f>
        <v/>
      </c>
      <c r="W71">
        <f>IF(U71-V71&gt;1E-9,U71-V71,0)</f>
        <v/>
      </c>
      <c r="X71">
        <f>W70*$G$55</f>
        <v/>
      </c>
      <c r="Y71">
        <f>IF(Y70&gt;1E-9,IF(Y70*(1+$G$51)-MAX($B$9,0.01*Y70+Y70*$G$51)&gt;1E-9,Y70*(1+$G$51)-MAX($B$9,0.01*Y70+Y70*$G$51),0),0)</f>
        <v/>
      </c>
      <c r="Z71">
        <f>Y70*$G$51</f>
        <v/>
      </c>
      <c r="AA71">
        <f>IF(AA70&gt;1E-9,IF(AA70*(1+$G$52)-MAX($B$9,0.01*AA70+AA70*$G$52)&gt;1E-9,AA70*(1+$G$52)-MAX($B$9,0.01*AA70+AA70*$G$52),0),0)</f>
        <v/>
      </c>
      <c r="AB71">
        <f>AA70*$G$52</f>
        <v/>
      </c>
      <c r="AC71">
        <f>IF(AC70&gt;1E-9,IF(AC70*(1+$G$53)-MAX($B$9,0.01*AC70+AC70*$G$53)&gt;1E-9,AC70*(1+$G$53)-MAX($B$9,0.01*AC70+AC70*$G$53),0),0)</f>
        <v/>
      </c>
      <c r="AD71">
        <f>AC70*$G$53</f>
        <v/>
      </c>
      <c r="AE71">
        <f>IF(AE70&gt;1E-9,IF(AE70*(1+$G$54)-MAX($B$9,0.01*AE70+AE70*$G$54)&gt;1E-9,AE70*(1+$G$54)-MAX($B$9,0.01*AE70+AE70*$G$54),0),0)</f>
        <v/>
      </c>
      <c r="AF71">
        <f>AE70*$G$54</f>
        <v/>
      </c>
      <c r="AG71">
        <f>IF(AG70&gt;1E-9,IF(AG70*(1+$G$55)-MAX($B$9,0.01*AG70+AG70*$G$55)&gt;1E-9,AG70*(1+$G$55)-MAX($B$9,0.01*AG70+AG70*$G$55),0),0)</f>
        <v/>
      </c>
      <c r="AH71">
        <f>AG70*$G$55</f>
        <v/>
      </c>
      <c r="AI71">
        <f>G71+K71+O71+S71+W71</f>
        <v/>
      </c>
      <c r="AJ71">
        <f>AI70+AK71-AI71</f>
        <v/>
      </c>
      <c r="AK71">
        <f>H71+L71+P71+T71+X71</f>
        <v/>
      </c>
      <c r="AL71">
        <f>TEXT(EDATE($B$5,D71-1),"mmm yyyy")</f>
        <v/>
      </c>
      <c r="AM71">
        <f>AI71</f>
        <v/>
      </c>
    </row>
    <row r="72">
      <c r="D72" t="n">
        <v>11</v>
      </c>
      <c r="E72">
        <f>IF(G71&gt;0,MAX(0,G71*(1+$G$51)-$H$51),0)</f>
        <v/>
      </c>
      <c r="F72">
        <f>$B$6+IF($D72=$B$8,$B$7,0)</f>
        <v/>
      </c>
      <c r="G72">
        <f>IF(E72-F72&gt;1E-9,E72-F72,0)</f>
        <v/>
      </c>
      <c r="H72">
        <f>G71*$G$51</f>
        <v/>
      </c>
      <c r="I72">
        <f>IF(K71&gt;0,MAX(0,K71*(1+$G$52)-$H$52),0)</f>
        <v/>
      </c>
      <c r="J72">
        <f>MAX(0,F72-E72)</f>
        <v/>
      </c>
      <c r="K72">
        <f>IF(I72-J72&gt;1E-9,I72-J72,0)</f>
        <v/>
      </c>
      <c r="L72">
        <f>K71*$G$52</f>
        <v/>
      </c>
      <c r="M72">
        <f>IF(O71&gt;0,MAX(0,O71*(1+$G$53)-$H$53),0)</f>
        <v/>
      </c>
      <c r="N72">
        <f>MAX(0,J72-I72)</f>
        <v/>
      </c>
      <c r="O72">
        <f>IF(M72-N72&gt;1E-9,M72-N72,0)</f>
        <v/>
      </c>
      <c r="P72">
        <f>O71*$G$53</f>
        <v/>
      </c>
      <c r="Q72">
        <f>IF(S71&gt;0,MAX(0,S71*(1+$G$54)-$H$54),0)</f>
        <v/>
      </c>
      <c r="R72">
        <f>MAX(0,N72-M72)</f>
        <v/>
      </c>
      <c r="S72">
        <f>IF(Q72-R72&gt;1E-9,Q72-R72,0)</f>
        <v/>
      </c>
      <c r="T72">
        <f>S71*$G$54</f>
        <v/>
      </c>
      <c r="U72">
        <f>IF(W71&gt;0,MAX(0,W71*(1+$G$55)-$H$55),0)</f>
        <v/>
      </c>
      <c r="V72">
        <f>MAX(0,R72-Q72)</f>
        <v/>
      </c>
      <c r="W72">
        <f>IF(U72-V72&gt;1E-9,U72-V72,0)</f>
        <v/>
      </c>
      <c r="X72">
        <f>W71*$G$55</f>
        <v/>
      </c>
      <c r="Y72">
        <f>IF(Y71&gt;1E-9,IF(Y71*(1+$G$51)-MAX($B$9,0.01*Y71+Y71*$G$51)&gt;1E-9,Y71*(1+$G$51)-MAX($B$9,0.01*Y71+Y71*$G$51),0),0)</f>
        <v/>
      </c>
      <c r="Z72">
        <f>Y71*$G$51</f>
        <v/>
      </c>
      <c r="AA72">
        <f>IF(AA71&gt;1E-9,IF(AA71*(1+$G$52)-MAX($B$9,0.01*AA71+AA71*$G$52)&gt;1E-9,AA71*(1+$G$52)-MAX($B$9,0.01*AA71+AA71*$G$52),0),0)</f>
        <v/>
      </c>
      <c r="AB72">
        <f>AA71*$G$52</f>
        <v/>
      </c>
      <c r="AC72">
        <f>IF(AC71&gt;1E-9,IF(AC71*(1+$G$53)-MAX($B$9,0.01*AC71+AC71*$G$53)&gt;1E-9,AC71*(1+$G$53)-MAX($B$9,0.01*AC71+AC71*$G$53),0),0)</f>
        <v/>
      </c>
      <c r="AD72">
        <f>AC71*$G$53</f>
        <v/>
      </c>
      <c r="AE72">
        <f>IF(AE71&gt;1E-9,IF(AE71*(1+$G$54)-MAX($B$9,0.01*AE71+AE71*$G$54)&gt;1E-9,AE71*(1+$G$54)-MAX($B$9,0.01*AE71+AE71*$G$54),0),0)</f>
        <v/>
      </c>
      <c r="AF72">
        <f>AE71*$G$54</f>
        <v/>
      </c>
      <c r="AG72">
        <f>IF(AG71&gt;1E-9,IF(AG71*(1+$G$55)-MAX($B$9,0.01*AG71+AG71*$G$55)&gt;1E-9,AG71*(1+$G$55)-MAX($B$9,0.01*AG71+AG71*$G$55),0),0)</f>
        <v/>
      </c>
      <c r="AH72">
        <f>AG71*$G$55</f>
        <v/>
      </c>
      <c r="AI72">
        <f>G72+K72+O72+S72+W72</f>
        <v/>
      </c>
      <c r="AJ72">
        <f>AI71+AK72-AI72</f>
        <v/>
      </c>
      <c r="AK72">
        <f>H72+L72+P72+T72+X72</f>
        <v/>
      </c>
      <c r="AL72">
        <f>TEXT(EDATE($B$5,D72-1),"mmm yyyy")</f>
        <v/>
      </c>
      <c r="AM72">
        <f>AI72</f>
        <v/>
      </c>
    </row>
    <row r="73">
      <c r="D73" t="n">
        <v>12</v>
      </c>
      <c r="E73">
        <f>IF(G72&gt;0,MAX(0,G72*(1+$G$51)-$H$51),0)</f>
        <v/>
      </c>
      <c r="F73">
        <f>$B$6+IF($D73=$B$8,$B$7,0)</f>
        <v/>
      </c>
      <c r="G73">
        <f>IF(E73-F73&gt;1E-9,E73-F73,0)</f>
        <v/>
      </c>
      <c r="H73">
        <f>G72*$G$51</f>
        <v/>
      </c>
      <c r="I73">
        <f>IF(K72&gt;0,MAX(0,K72*(1+$G$52)-$H$52),0)</f>
        <v/>
      </c>
      <c r="J73">
        <f>MAX(0,F73-E73)</f>
        <v/>
      </c>
      <c r="K73">
        <f>IF(I73-J73&gt;1E-9,I73-J73,0)</f>
        <v/>
      </c>
      <c r="L73">
        <f>K72*$G$52</f>
        <v/>
      </c>
      <c r="M73">
        <f>IF(O72&gt;0,MAX(0,O72*(1+$G$53)-$H$53),0)</f>
        <v/>
      </c>
      <c r="N73">
        <f>MAX(0,J73-I73)</f>
        <v/>
      </c>
      <c r="O73">
        <f>IF(M73-N73&gt;1E-9,M73-N73,0)</f>
        <v/>
      </c>
      <c r="P73">
        <f>O72*$G$53</f>
        <v/>
      </c>
      <c r="Q73">
        <f>IF(S72&gt;0,MAX(0,S72*(1+$G$54)-$H$54),0)</f>
        <v/>
      </c>
      <c r="R73">
        <f>MAX(0,N73-M73)</f>
        <v/>
      </c>
      <c r="S73">
        <f>IF(Q73-R73&gt;1E-9,Q73-R73,0)</f>
        <v/>
      </c>
      <c r="T73">
        <f>S72*$G$54</f>
        <v/>
      </c>
      <c r="U73">
        <f>IF(W72&gt;0,MAX(0,W72*(1+$G$55)-$H$55),0)</f>
        <v/>
      </c>
      <c r="V73">
        <f>MAX(0,R73-Q73)</f>
        <v/>
      </c>
      <c r="W73">
        <f>IF(U73-V73&gt;1E-9,U73-V73,0)</f>
        <v/>
      </c>
      <c r="X73">
        <f>W72*$G$55</f>
        <v/>
      </c>
      <c r="Y73">
        <f>IF(Y72&gt;1E-9,IF(Y72*(1+$G$51)-MAX($B$9,0.01*Y72+Y72*$G$51)&gt;1E-9,Y72*(1+$G$51)-MAX($B$9,0.01*Y72+Y72*$G$51),0),0)</f>
        <v/>
      </c>
      <c r="Z73">
        <f>Y72*$G$51</f>
        <v/>
      </c>
      <c r="AA73">
        <f>IF(AA72&gt;1E-9,IF(AA72*(1+$G$52)-MAX($B$9,0.01*AA72+AA72*$G$52)&gt;1E-9,AA72*(1+$G$52)-MAX($B$9,0.01*AA72+AA72*$G$52),0),0)</f>
        <v/>
      </c>
      <c r="AB73">
        <f>AA72*$G$52</f>
        <v/>
      </c>
      <c r="AC73">
        <f>IF(AC72&gt;1E-9,IF(AC72*(1+$G$53)-MAX($B$9,0.01*AC72+AC72*$G$53)&gt;1E-9,AC72*(1+$G$53)-MAX($B$9,0.01*AC72+AC72*$G$53),0),0)</f>
        <v/>
      </c>
      <c r="AD73">
        <f>AC72*$G$53</f>
        <v/>
      </c>
      <c r="AE73">
        <f>IF(AE72&gt;1E-9,IF(AE72*(1+$G$54)-MAX($B$9,0.01*AE72+AE72*$G$54)&gt;1E-9,AE72*(1+$G$54)-MAX($B$9,0.01*AE72+AE72*$G$54),0),0)</f>
        <v/>
      </c>
      <c r="AF73">
        <f>AE72*$G$54</f>
        <v/>
      </c>
      <c r="AG73">
        <f>IF(AG72&gt;1E-9,IF(AG72*(1+$G$55)-MAX($B$9,0.01*AG72+AG72*$G$55)&gt;1E-9,AG72*(1+$G$55)-MAX($B$9,0.01*AG72+AG72*$G$55),0),0)</f>
        <v/>
      </c>
      <c r="AH73">
        <f>AG72*$G$55</f>
        <v/>
      </c>
      <c r="AI73">
        <f>G73+K73+O73+S73+W73</f>
        <v/>
      </c>
      <c r="AJ73">
        <f>AI72+AK73-AI73</f>
        <v/>
      </c>
      <c r="AK73">
        <f>H73+L73+P73+T73+X73</f>
        <v/>
      </c>
      <c r="AL73">
        <f>TEXT(EDATE($B$5,D73-1),"mmm yyyy")</f>
        <v/>
      </c>
      <c r="AM73">
        <f>AI73</f>
        <v/>
      </c>
    </row>
    <row r="74">
      <c r="D74" t="n">
        <v>13</v>
      </c>
      <c r="E74">
        <f>IF(G73&gt;0,MAX(0,G73*(1+$G$51)-$H$51),0)</f>
        <v/>
      </c>
      <c r="F74">
        <f>$B$6+IF($D74=$B$8,$B$7,0)</f>
        <v/>
      </c>
      <c r="G74">
        <f>IF(E74-F74&gt;1E-9,E74-F74,0)</f>
        <v/>
      </c>
      <c r="H74">
        <f>G73*$G$51</f>
        <v/>
      </c>
      <c r="I74">
        <f>IF(K73&gt;0,MAX(0,K73*(1+$G$52)-$H$52),0)</f>
        <v/>
      </c>
      <c r="J74">
        <f>MAX(0,F74-E74)</f>
        <v/>
      </c>
      <c r="K74">
        <f>IF(I74-J74&gt;1E-9,I74-J74,0)</f>
        <v/>
      </c>
      <c r="L74">
        <f>K73*$G$52</f>
        <v/>
      </c>
      <c r="M74">
        <f>IF(O73&gt;0,MAX(0,O73*(1+$G$53)-$H$53),0)</f>
        <v/>
      </c>
      <c r="N74">
        <f>MAX(0,J74-I74)</f>
        <v/>
      </c>
      <c r="O74">
        <f>IF(M74-N74&gt;1E-9,M74-N74,0)</f>
        <v/>
      </c>
      <c r="P74">
        <f>O73*$G$53</f>
        <v/>
      </c>
      <c r="Q74">
        <f>IF(S73&gt;0,MAX(0,S73*(1+$G$54)-$H$54),0)</f>
        <v/>
      </c>
      <c r="R74">
        <f>MAX(0,N74-M74)</f>
        <v/>
      </c>
      <c r="S74">
        <f>IF(Q74-R74&gt;1E-9,Q74-R74,0)</f>
        <v/>
      </c>
      <c r="T74">
        <f>S73*$G$54</f>
        <v/>
      </c>
      <c r="U74">
        <f>IF(W73&gt;0,MAX(0,W73*(1+$G$55)-$H$55),0)</f>
        <v/>
      </c>
      <c r="V74">
        <f>MAX(0,R74-Q74)</f>
        <v/>
      </c>
      <c r="W74">
        <f>IF(U74-V74&gt;1E-9,U74-V74,0)</f>
        <v/>
      </c>
      <c r="X74">
        <f>W73*$G$55</f>
        <v/>
      </c>
      <c r="Y74">
        <f>IF(Y73&gt;1E-9,IF(Y73*(1+$G$51)-MAX($B$9,0.01*Y73+Y73*$G$51)&gt;1E-9,Y73*(1+$G$51)-MAX($B$9,0.01*Y73+Y73*$G$51),0),0)</f>
        <v/>
      </c>
      <c r="Z74">
        <f>Y73*$G$51</f>
        <v/>
      </c>
      <c r="AA74">
        <f>IF(AA73&gt;1E-9,IF(AA73*(1+$G$52)-MAX($B$9,0.01*AA73+AA73*$G$52)&gt;1E-9,AA73*(1+$G$52)-MAX($B$9,0.01*AA73+AA73*$G$52),0),0)</f>
        <v/>
      </c>
      <c r="AB74">
        <f>AA73*$G$52</f>
        <v/>
      </c>
      <c r="AC74">
        <f>IF(AC73&gt;1E-9,IF(AC73*(1+$G$53)-MAX($B$9,0.01*AC73+AC73*$G$53)&gt;1E-9,AC73*(1+$G$53)-MAX($B$9,0.01*AC73+AC73*$G$53),0),0)</f>
        <v/>
      </c>
      <c r="AD74">
        <f>AC73*$G$53</f>
        <v/>
      </c>
      <c r="AE74">
        <f>IF(AE73&gt;1E-9,IF(AE73*(1+$G$54)-MAX($B$9,0.01*AE73+AE73*$G$54)&gt;1E-9,AE73*(1+$G$54)-MAX($B$9,0.01*AE73+AE73*$G$54),0),0)</f>
        <v/>
      </c>
      <c r="AF74">
        <f>AE73*$G$54</f>
        <v/>
      </c>
      <c r="AG74">
        <f>IF(AG73&gt;1E-9,IF(AG73*(1+$G$55)-MAX($B$9,0.01*AG73+AG73*$G$55)&gt;1E-9,AG73*(1+$G$55)-MAX($B$9,0.01*AG73+AG73*$G$55),0),0)</f>
        <v/>
      </c>
      <c r="AH74">
        <f>AG73*$G$55</f>
        <v/>
      </c>
      <c r="AI74">
        <f>G74+K74+O74+S74+W74</f>
        <v/>
      </c>
      <c r="AJ74">
        <f>AI73+AK74-AI74</f>
        <v/>
      </c>
      <c r="AK74">
        <f>H74+L74+P74+T74+X74</f>
        <v/>
      </c>
      <c r="AL74">
        <f>TEXT(EDATE($B$5,D74-1),"mmm yyyy")</f>
        <v/>
      </c>
      <c r="AM74">
        <f>AI74</f>
        <v/>
      </c>
    </row>
    <row r="75">
      <c r="D75" t="n">
        <v>14</v>
      </c>
      <c r="E75">
        <f>IF(G74&gt;0,MAX(0,G74*(1+$G$51)-$H$51),0)</f>
        <v/>
      </c>
      <c r="F75">
        <f>$B$6+IF($D75=$B$8,$B$7,0)</f>
        <v/>
      </c>
      <c r="G75">
        <f>IF(E75-F75&gt;1E-9,E75-F75,0)</f>
        <v/>
      </c>
      <c r="H75">
        <f>G74*$G$51</f>
        <v/>
      </c>
      <c r="I75">
        <f>IF(K74&gt;0,MAX(0,K74*(1+$G$52)-$H$52),0)</f>
        <v/>
      </c>
      <c r="J75">
        <f>MAX(0,F75-E75)</f>
        <v/>
      </c>
      <c r="K75">
        <f>IF(I75-J75&gt;1E-9,I75-J75,0)</f>
        <v/>
      </c>
      <c r="L75">
        <f>K74*$G$52</f>
        <v/>
      </c>
      <c r="M75">
        <f>IF(O74&gt;0,MAX(0,O74*(1+$G$53)-$H$53),0)</f>
        <v/>
      </c>
      <c r="N75">
        <f>MAX(0,J75-I75)</f>
        <v/>
      </c>
      <c r="O75">
        <f>IF(M75-N75&gt;1E-9,M75-N75,0)</f>
        <v/>
      </c>
      <c r="P75">
        <f>O74*$G$53</f>
        <v/>
      </c>
      <c r="Q75">
        <f>IF(S74&gt;0,MAX(0,S74*(1+$G$54)-$H$54),0)</f>
        <v/>
      </c>
      <c r="R75">
        <f>MAX(0,N75-M75)</f>
        <v/>
      </c>
      <c r="S75">
        <f>IF(Q75-R75&gt;1E-9,Q75-R75,0)</f>
        <v/>
      </c>
      <c r="T75">
        <f>S74*$G$54</f>
        <v/>
      </c>
      <c r="U75">
        <f>IF(W74&gt;0,MAX(0,W74*(1+$G$55)-$H$55),0)</f>
        <v/>
      </c>
      <c r="V75">
        <f>MAX(0,R75-Q75)</f>
        <v/>
      </c>
      <c r="W75">
        <f>IF(U75-V75&gt;1E-9,U75-V75,0)</f>
        <v/>
      </c>
      <c r="X75">
        <f>W74*$G$55</f>
        <v/>
      </c>
      <c r="Y75">
        <f>IF(Y74&gt;1E-9,IF(Y74*(1+$G$51)-MAX($B$9,0.01*Y74+Y74*$G$51)&gt;1E-9,Y74*(1+$G$51)-MAX($B$9,0.01*Y74+Y74*$G$51),0),0)</f>
        <v/>
      </c>
      <c r="Z75">
        <f>Y74*$G$51</f>
        <v/>
      </c>
      <c r="AA75">
        <f>IF(AA74&gt;1E-9,IF(AA74*(1+$G$52)-MAX($B$9,0.01*AA74+AA74*$G$52)&gt;1E-9,AA74*(1+$G$52)-MAX($B$9,0.01*AA74+AA74*$G$52),0),0)</f>
        <v/>
      </c>
      <c r="AB75">
        <f>AA74*$G$52</f>
        <v/>
      </c>
      <c r="AC75">
        <f>IF(AC74&gt;1E-9,IF(AC74*(1+$G$53)-MAX($B$9,0.01*AC74+AC74*$G$53)&gt;1E-9,AC74*(1+$G$53)-MAX($B$9,0.01*AC74+AC74*$G$53),0),0)</f>
        <v/>
      </c>
      <c r="AD75">
        <f>AC74*$G$53</f>
        <v/>
      </c>
      <c r="AE75">
        <f>IF(AE74&gt;1E-9,IF(AE74*(1+$G$54)-MAX($B$9,0.01*AE74+AE74*$G$54)&gt;1E-9,AE74*(1+$G$54)-MAX($B$9,0.01*AE74+AE74*$G$54),0),0)</f>
        <v/>
      </c>
      <c r="AF75">
        <f>AE74*$G$54</f>
        <v/>
      </c>
      <c r="AG75">
        <f>IF(AG74&gt;1E-9,IF(AG74*(1+$G$55)-MAX($B$9,0.01*AG74+AG74*$G$55)&gt;1E-9,AG74*(1+$G$55)-MAX($B$9,0.01*AG74+AG74*$G$55),0),0)</f>
        <v/>
      </c>
      <c r="AH75">
        <f>AG74*$G$55</f>
        <v/>
      </c>
      <c r="AI75">
        <f>G75+K75+O75+S75+W75</f>
        <v/>
      </c>
      <c r="AJ75">
        <f>AI74+AK75-AI75</f>
        <v/>
      </c>
      <c r="AK75">
        <f>H75+L75+P75+T75+X75</f>
        <v/>
      </c>
      <c r="AL75">
        <f>TEXT(EDATE($B$5,D75-1),"mmm yyyy")</f>
        <v/>
      </c>
      <c r="AM75">
        <f>AI75</f>
        <v/>
      </c>
    </row>
    <row r="76">
      <c r="D76" t="n">
        <v>15</v>
      </c>
      <c r="E76">
        <f>IF(G75&gt;0,MAX(0,G75*(1+$G$51)-$H$51),0)</f>
        <v/>
      </c>
      <c r="F76">
        <f>$B$6+IF($D76=$B$8,$B$7,0)</f>
        <v/>
      </c>
      <c r="G76">
        <f>IF(E76-F76&gt;1E-9,E76-F76,0)</f>
        <v/>
      </c>
      <c r="H76">
        <f>G75*$G$51</f>
        <v/>
      </c>
      <c r="I76">
        <f>IF(K75&gt;0,MAX(0,K75*(1+$G$52)-$H$52),0)</f>
        <v/>
      </c>
      <c r="J76">
        <f>MAX(0,F76-E76)</f>
        <v/>
      </c>
      <c r="K76">
        <f>IF(I76-J76&gt;1E-9,I76-J76,0)</f>
        <v/>
      </c>
      <c r="L76">
        <f>K75*$G$52</f>
        <v/>
      </c>
      <c r="M76">
        <f>IF(O75&gt;0,MAX(0,O75*(1+$G$53)-$H$53),0)</f>
        <v/>
      </c>
      <c r="N76">
        <f>MAX(0,J76-I76)</f>
        <v/>
      </c>
      <c r="O76">
        <f>IF(M76-N76&gt;1E-9,M76-N76,0)</f>
        <v/>
      </c>
      <c r="P76">
        <f>O75*$G$53</f>
        <v/>
      </c>
      <c r="Q76">
        <f>IF(S75&gt;0,MAX(0,S75*(1+$G$54)-$H$54),0)</f>
        <v/>
      </c>
      <c r="R76">
        <f>MAX(0,N76-M76)</f>
        <v/>
      </c>
      <c r="S76">
        <f>IF(Q76-R76&gt;1E-9,Q76-R76,0)</f>
        <v/>
      </c>
      <c r="T76">
        <f>S75*$G$54</f>
        <v/>
      </c>
      <c r="U76">
        <f>IF(W75&gt;0,MAX(0,W75*(1+$G$55)-$H$55),0)</f>
        <v/>
      </c>
      <c r="V76">
        <f>MAX(0,R76-Q76)</f>
        <v/>
      </c>
      <c r="W76">
        <f>IF(U76-V76&gt;1E-9,U76-V76,0)</f>
        <v/>
      </c>
      <c r="X76">
        <f>W75*$G$55</f>
        <v/>
      </c>
      <c r="Y76">
        <f>IF(Y75&gt;1E-9,IF(Y75*(1+$G$51)-MAX($B$9,0.01*Y75+Y75*$G$51)&gt;1E-9,Y75*(1+$G$51)-MAX($B$9,0.01*Y75+Y75*$G$51),0),0)</f>
        <v/>
      </c>
      <c r="Z76">
        <f>Y75*$G$51</f>
        <v/>
      </c>
      <c r="AA76">
        <f>IF(AA75&gt;1E-9,IF(AA75*(1+$G$52)-MAX($B$9,0.01*AA75+AA75*$G$52)&gt;1E-9,AA75*(1+$G$52)-MAX($B$9,0.01*AA75+AA75*$G$52),0),0)</f>
        <v/>
      </c>
      <c r="AB76">
        <f>AA75*$G$52</f>
        <v/>
      </c>
      <c r="AC76">
        <f>IF(AC75&gt;1E-9,IF(AC75*(1+$G$53)-MAX($B$9,0.01*AC75+AC75*$G$53)&gt;1E-9,AC75*(1+$G$53)-MAX($B$9,0.01*AC75+AC75*$G$53),0),0)</f>
        <v/>
      </c>
      <c r="AD76">
        <f>AC75*$G$53</f>
        <v/>
      </c>
      <c r="AE76">
        <f>IF(AE75&gt;1E-9,IF(AE75*(1+$G$54)-MAX($B$9,0.01*AE75+AE75*$G$54)&gt;1E-9,AE75*(1+$G$54)-MAX($B$9,0.01*AE75+AE75*$G$54),0),0)</f>
        <v/>
      </c>
      <c r="AF76">
        <f>AE75*$G$54</f>
        <v/>
      </c>
      <c r="AG76">
        <f>IF(AG75&gt;1E-9,IF(AG75*(1+$G$55)-MAX($B$9,0.01*AG75+AG75*$G$55)&gt;1E-9,AG75*(1+$G$55)-MAX($B$9,0.01*AG75+AG75*$G$55),0),0)</f>
        <v/>
      </c>
      <c r="AH76">
        <f>AG75*$G$55</f>
        <v/>
      </c>
      <c r="AI76">
        <f>G76+K76+O76+S76+W76</f>
        <v/>
      </c>
      <c r="AJ76">
        <f>AI75+AK76-AI76</f>
        <v/>
      </c>
      <c r="AK76">
        <f>H76+L76+P76+T76+X76</f>
        <v/>
      </c>
      <c r="AL76">
        <f>TEXT(EDATE($B$5,D76-1),"mmm yyyy")</f>
        <v/>
      </c>
      <c r="AM76">
        <f>AI76</f>
        <v/>
      </c>
    </row>
    <row r="77">
      <c r="D77" t="n">
        <v>16</v>
      </c>
      <c r="E77">
        <f>IF(G76&gt;0,MAX(0,G76*(1+$G$51)-$H$51),0)</f>
        <v/>
      </c>
      <c r="F77">
        <f>$B$6+IF($D77=$B$8,$B$7,0)</f>
        <v/>
      </c>
      <c r="G77">
        <f>IF(E77-F77&gt;1E-9,E77-F77,0)</f>
        <v/>
      </c>
      <c r="H77">
        <f>G76*$G$51</f>
        <v/>
      </c>
      <c r="I77">
        <f>IF(K76&gt;0,MAX(0,K76*(1+$G$52)-$H$52),0)</f>
        <v/>
      </c>
      <c r="J77">
        <f>MAX(0,F77-E77)</f>
        <v/>
      </c>
      <c r="K77">
        <f>IF(I77-J77&gt;1E-9,I77-J77,0)</f>
        <v/>
      </c>
      <c r="L77">
        <f>K76*$G$52</f>
        <v/>
      </c>
      <c r="M77">
        <f>IF(O76&gt;0,MAX(0,O76*(1+$G$53)-$H$53),0)</f>
        <v/>
      </c>
      <c r="N77">
        <f>MAX(0,J77-I77)</f>
        <v/>
      </c>
      <c r="O77">
        <f>IF(M77-N77&gt;1E-9,M77-N77,0)</f>
        <v/>
      </c>
      <c r="P77">
        <f>O76*$G$53</f>
        <v/>
      </c>
      <c r="Q77">
        <f>IF(S76&gt;0,MAX(0,S76*(1+$G$54)-$H$54),0)</f>
        <v/>
      </c>
      <c r="R77">
        <f>MAX(0,N77-M77)</f>
        <v/>
      </c>
      <c r="S77">
        <f>IF(Q77-R77&gt;1E-9,Q77-R77,0)</f>
        <v/>
      </c>
      <c r="T77">
        <f>S76*$G$54</f>
        <v/>
      </c>
      <c r="U77">
        <f>IF(W76&gt;0,MAX(0,W76*(1+$G$55)-$H$55),0)</f>
        <v/>
      </c>
      <c r="V77">
        <f>MAX(0,R77-Q77)</f>
        <v/>
      </c>
      <c r="W77">
        <f>IF(U77-V77&gt;1E-9,U77-V77,0)</f>
        <v/>
      </c>
      <c r="X77">
        <f>W76*$G$55</f>
        <v/>
      </c>
      <c r="Y77">
        <f>IF(Y76&gt;1E-9,IF(Y76*(1+$G$51)-MAX($B$9,0.01*Y76+Y76*$G$51)&gt;1E-9,Y76*(1+$G$51)-MAX($B$9,0.01*Y76+Y76*$G$51),0),0)</f>
        <v/>
      </c>
      <c r="Z77">
        <f>Y76*$G$51</f>
        <v/>
      </c>
      <c r="AA77">
        <f>IF(AA76&gt;1E-9,IF(AA76*(1+$G$52)-MAX($B$9,0.01*AA76+AA76*$G$52)&gt;1E-9,AA76*(1+$G$52)-MAX($B$9,0.01*AA76+AA76*$G$52),0),0)</f>
        <v/>
      </c>
      <c r="AB77">
        <f>AA76*$G$52</f>
        <v/>
      </c>
      <c r="AC77">
        <f>IF(AC76&gt;1E-9,IF(AC76*(1+$G$53)-MAX($B$9,0.01*AC76+AC76*$G$53)&gt;1E-9,AC76*(1+$G$53)-MAX($B$9,0.01*AC76+AC76*$G$53),0),0)</f>
        <v/>
      </c>
      <c r="AD77">
        <f>AC76*$G$53</f>
        <v/>
      </c>
      <c r="AE77">
        <f>IF(AE76&gt;1E-9,IF(AE76*(1+$G$54)-MAX($B$9,0.01*AE76+AE76*$G$54)&gt;1E-9,AE76*(1+$G$54)-MAX($B$9,0.01*AE76+AE76*$G$54),0),0)</f>
        <v/>
      </c>
      <c r="AF77">
        <f>AE76*$G$54</f>
        <v/>
      </c>
      <c r="AG77">
        <f>IF(AG76&gt;1E-9,IF(AG76*(1+$G$55)-MAX($B$9,0.01*AG76+AG76*$G$55)&gt;1E-9,AG76*(1+$G$55)-MAX($B$9,0.01*AG76+AG76*$G$55),0),0)</f>
        <v/>
      </c>
      <c r="AH77">
        <f>AG76*$G$55</f>
        <v/>
      </c>
      <c r="AI77">
        <f>G77+K77+O77+S77+W77</f>
        <v/>
      </c>
      <c r="AJ77">
        <f>AI76+AK77-AI77</f>
        <v/>
      </c>
      <c r="AK77">
        <f>H77+L77+P77+T77+X77</f>
        <v/>
      </c>
      <c r="AL77">
        <f>TEXT(EDATE($B$5,D77-1),"mmm yyyy")</f>
        <v/>
      </c>
      <c r="AM77">
        <f>AI77</f>
        <v/>
      </c>
    </row>
    <row r="78">
      <c r="D78" t="n">
        <v>17</v>
      </c>
      <c r="E78">
        <f>IF(G77&gt;0,MAX(0,G77*(1+$G$51)-$H$51),0)</f>
        <v/>
      </c>
      <c r="F78">
        <f>$B$6+IF($D78=$B$8,$B$7,0)</f>
        <v/>
      </c>
      <c r="G78">
        <f>IF(E78-F78&gt;1E-9,E78-F78,0)</f>
        <v/>
      </c>
      <c r="H78">
        <f>G77*$G$51</f>
        <v/>
      </c>
      <c r="I78">
        <f>IF(K77&gt;0,MAX(0,K77*(1+$G$52)-$H$52),0)</f>
        <v/>
      </c>
      <c r="J78">
        <f>MAX(0,F78-E78)</f>
        <v/>
      </c>
      <c r="K78">
        <f>IF(I78-J78&gt;1E-9,I78-J78,0)</f>
        <v/>
      </c>
      <c r="L78">
        <f>K77*$G$52</f>
        <v/>
      </c>
      <c r="M78">
        <f>IF(O77&gt;0,MAX(0,O77*(1+$G$53)-$H$53),0)</f>
        <v/>
      </c>
      <c r="N78">
        <f>MAX(0,J78-I78)</f>
        <v/>
      </c>
      <c r="O78">
        <f>IF(M78-N78&gt;1E-9,M78-N78,0)</f>
        <v/>
      </c>
      <c r="P78">
        <f>O77*$G$53</f>
        <v/>
      </c>
      <c r="Q78">
        <f>IF(S77&gt;0,MAX(0,S77*(1+$G$54)-$H$54),0)</f>
        <v/>
      </c>
      <c r="R78">
        <f>MAX(0,N78-M78)</f>
        <v/>
      </c>
      <c r="S78">
        <f>IF(Q78-R78&gt;1E-9,Q78-R78,0)</f>
        <v/>
      </c>
      <c r="T78">
        <f>S77*$G$54</f>
        <v/>
      </c>
      <c r="U78">
        <f>IF(W77&gt;0,MAX(0,W77*(1+$G$55)-$H$55),0)</f>
        <v/>
      </c>
      <c r="V78">
        <f>MAX(0,R78-Q78)</f>
        <v/>
      </c>
      <c r="W78">
        <f>IF(U78-V78&gt;1E-9,U78-V78,0)</f>
        <v/>
      </c>
      <c r="X78">
        <f>W77*$G$55</f>
        <v/>
      </c>
      <c r="Y78">
        <f>IF(Y77&gt;1E-9,IF(Y77*(1+$G$51)-MAX($B$9,0.01*Y77+Y77*$G$51)&gt;1E-9,Y77*(1+$G$51)-MAX($B$9,0.01*Y77+Y77*$G$51),0),0)</f>
        <v/>
      </c>
      <c r="Z78">
        <f>Y77*$G$51</f>
        <v/>
      </c>
      <c r="AA78">
        <f>IF(AA77&gt;1E-9,IF(AA77*(1+$G$52)-MAX($B$9,0.01*AA77+AA77*$G$52)&gt;1E-9,AA77*(1+$G$52)-MAX($B$9,0.01*AA77+AA77*$G$52),0),0)</f>
        <v/>
      </c>
      <c r="AB78">
        <f>AA77*$G$52</f>
        <v/>
      </c>
      <c r="AC78">
        <f>IF(AC77&gt;1E-9,IF(AC77*(1+$G$53)-MAX($B$9,0.01*AC77+AC77*$G$53)&gt;1E-9,AC77*(1+$G$53)-MAX($B$9,0.01*AC77+AC77*$G$53),0),0)</f>
        <v/>
      </c>
      <c r="AD78">
        <f>AC77*$G$53</f>
        <v/>
      </c>
      <c r="AE78">
        <f>IF(AE77&gt;1E-9,IF(AE77*(1+$G$54)-MAX($B$9,0.01*AE77+AE77*$G$54)&gt;1E-9,AE77*(1+$G$54)-MAX($B$9,0.01*AE77+AE77*$G$54),0),0)</f>
        <v/>
      </c>
      <c r="AF78">
        <f>AE77*$G$54</f>
        <v/>
      </c>
      <c r="AG78">
        <f>IF(AG77&gt;1E-9,IF(AG77*(1+$G$55)-MAX($B$9,0.01*AG77+AG77*$G$55)&gt;1E-9,AG77*(1+$G$55)-MAX($B$9,0.01*AG77+AG77*$G$55),0),0)</f>
        <v/>
      </c>
      <c r="AH78">
        <f>AG77*$G$55</f>
        <v/>
      </c>
      <c r="AI78">
        <f>G78+K78+O78+S78+W78</f>
        <v/>
      </c>
      <c r="AJ78">
        <f>AI77+AK78-AI78</f>
        <v/>
      </c>
      <c r="AK78">
        <f>H78+L78+P78+T78+X78</f>
        <v/>
      </c>
      <c r="AL78">
        <f>TEXT(EDATE($B$5,D78-1),"mmm yyyy")</f>
        <v/>
      </c>
      <c r="AM78">
        <f>AI78</f>
        <v/>
      </c>
    </row>
    <row r="79">
      <c r="D79" t="n">
        <v>18</v>
      </c>
      <c r="E79">
        <f>IF(G78&gt;0,MAX(0,G78*(1+$G$51)-$H$51),0)</f>
        <v/>
      </c>
      <c r="F79">
        <f>$B$6+IF($D79=$B$8,$B$7,0)</f>
        <v/>
      </c>
      <c r="G79">
        <f>IF(E79-F79&gt;1E-9,E79-F79,0)</f>
        <v/>
      </c>
      <c r="H79">
        <f>G78*$G$51</f>
        <v/>
      </c>
      <c r="I79">
        <f>IF(K78&gt;0,MAX(0,K78*(1+$G$52)-$H$52),0)</f>
        <v/>
      </c>
      <c r="J79">
        <f>MAX(0,F79-E79)</f>
        <v/>
      </c>
      <c r="K79">
        <f>IF(I79-J79&gt;1E-9,I79-J79,0)</f>
        <v/>
      </c>
      <c r="L79">
        <f>K78*$G$52</f>
        <v/>
      </c>
      <c r="M79">
        <f>IF(O78&gt;0,MAX(0,O78*(1+$G$53)-$H$53),0)</f>
        <v/>
      </c>
      <c r="N79">
        <f>MAX(0,J79-I79)</f>
        <v/>
      </c>
      <c r="O79">
        <f>IF(M79-N79&gt;1E-9,M79-N79,0)</f>
        <v/>
      </c>
      <c r="P79">
        <f>O78*$G$53</f>
        <v/>
      </c>
      <c r="Q79">
        <f>IF(S78&gt;0,MAX(0,S78*(1+$G$54)-$H$54),0)</f>
        <v/>
      </c>
      <c r="R79">
        <f>MAX(0,N79-M79)</f>
        <v/>
      </c>
      <c r="S79">
        <f>IF(Q79-R79&gt;1E-9,Q79-R79,0)</f>
        <v/>
      </c>
      <c r="T79">
        <f>S78*$G$54</f>
        <v/>
      </c>
      <c r="U79">
        <f>IF(W78&gt;0,MAX(0,W78*(1+$G$55)-$H$55),0)</f>
        <v/>
      </c>
      <c r="V79">
        <f>MAX(0,R79-Q79)</f>
        <v/>
      </c>
      <c r="W79">
        <f>IF(U79-V79&gt;1E-9,U79-V79,0)</f>
        <v/>
      </c>
      <c r="X79">
        <f>W78*$G$55</f>
        <v/>
      </c>
      <c r="Y79">
        <f>IF(Y78&gt;1E-9,IF(Y78*(1+$G$51)-MAX($B$9,0.01*Y78+Y78*$G$51)&gt;1E-9,Y78*(1+$G$51)-MAX($B$9,0.01*Y78+Y78*$G$51),0),0)</f>
        <v/>
      </c>
      <c r="Z79">
        <f>Y78*$G$51</f>
        <v/>
      </c>
      <c r="AA79">
        <f>IF(AA78&gt;1E-9,IF(AA78*(1+$G$52)-MAX($B$9,0.01*AA78+AA78*$G$52)&gt;1E-9,AA78*(1+$G$52)-MAX($B$9,0.01*AA78+AA78*$G$52),0),0)</f>
        <v/>
      </c>
      <c r="AB79">
        <f>AA78*$G$52</f>
        <v/>
      </c>
      <c r="AC79">
        <f>IF(AC78&gt;1E-9,IF(AC78*(1+$G$53)-MAX($B$9,0.01*AC78+AC78*$G$53)&gt;1E-9,AC78*(1+$G$53)-MAX($B$9,0.01*AC78+AC78*$G$53),0),0)</f>
        <v/>
      </c>
      <c r="AD79">
        <f>AC78*$G$53</f>
        <v/>
      </c>
      <c r="AE79">
        <f>IF(AE78&gt;1E-9,IF(AE78*(1+$G$54)-MAX($B$9,0.01*AE78+AE78*$G$54)&gt;1E-9,AE78*(1+$G$54)-MAX($B$9,0.01*AE78+AE78*$G$54),0),0)</f>
        <v/>
      </c>
      <c r="AF79">
        <f>AE78*$G$54</f>
        <v/>
      </c>
      <c r="AG79">
        <f>IF(AG78&gt;1E-9,IF(AG78*(1+$G$55)-MAX($B$9,0.01*AG78+AG78*$G$55)&gt;1E-9,AG78*(1+$G$55)-MAX($B$9,0.01*AG78+AG78*$G$55),0),0)</f>
        <v/>
      </c>
      <c r="AH79">
        <f>AG78*$G$55</f>
        <v/>
      </c>
      <c r="AI79">
        <f>G79+K79+O79+S79+W79</f>
        <v/>
      </c>
      <c r="AJ79">
        <f>AI78+AK79-AI79</f>
        <v/>
      </c>
      <c r="AK79">
        <f>H79+L79+P79+T79+X79</f>
        <v/>
      </c>
      <c r="AL79">
        <f>TEXT(EDATE($B$5,D79-1),"mmm yyyy")</f>
        <v/>
      </c>
      <c r="AM79">
        <f>AI79</f>
        <v/>
      </c>
    </row>
    <row r="80">
      <c r="D80" t="n">
        <v>19</v>
      </c>
      <c r="E80">
        <f>IF(G79&gt;0,MAX(0,G79*(1+$G$51)-$H$51),0)</f>
        <v/>
      </c>
      <c r="F80">
        <f>$B$6+IF($D80=$B$8,$B$7,0)</f>
        <v/>
      </c>
      <c r="G80">
        <f>IF(E80-F80&gt;1E-9,E80-F80,0)</f>
        <v/>
      </c>
      <c r="H80">
        <f>G79*$G$51</f>
        <v/>
      </c>
      <c r="I80">
        <f>IF(K79&gt;0,MAX(0,K79*(1+$G$52)-$H$52),0)</f>
        <v/>
      </c>
      <c r="J80">
        <f>MAX(0,F80-E80)</f>
        <v/>
      </c>
      <c r="K80">
        <f>IF(I80-J80&gt;1E-9,I80-J80,0)</f>
        <v/>
      </c>
      <c r="L80">
        <f>K79*$G$52</f>
        <v/>
      </c>
      <c r="M80">
        <f>IF(O79&gt;0,MAX(0,O79*(1+$G$53)-$H$53),0)</f>
        <v/>
      </c>
      <c r="N80">
        <f>MAX(0,J80-I80)</f>
        <v/>
      </c>
      <c r="O80">
        <f>IF(M80-N80&gt;1E-9,M80-N80,0)</f>
        <v/>
      </c>
      <c r="P80">
        <f>O79*$G$53</f>
        <v/>
      </c>
      <c r="Q80">
        <f>IF(S79&gt;0,MAX(0,S79*(1+$G$54)-$H$54),0)</f>
        <v/>
      </c>
      <c r="R80">
        <f>MAX(0,N80-M80)</f>
        <v/>
      </c>
      <c r="S80">
        <f>IF(Q80-R80&gt;1E-9,Q80-R80,0)</f>
        <v/>
      </c>
      <c r="T80">
        <f>S79*$G$54</f>
        <v/>
      </c>
      <c r="U80">
        <f>IF(W79&gt;0,MAX(0,W79*(1+$G$55)-$H$55),0)</f>
        <v/>
      </c>
      <c r="V80">
        <f>MAX(0,R80-Q80)</f>
        <v/>
      </c>
      <c r="W80">
        <f>IF(U80-V80&gt;1E-9,U80-V80,0)</f>
        <v/>
      </c>
      <c r="X80">
        <f>W79*$G$55</f>
        <v/>
      </c>
      <c r="Y80">
        <f>IF(Y79&gt;1E-9,IF(Y79*(1+$G$51)-MAX($B$9,0.01*Y79+Y79*$G$51)&gt;1E-9,Y79*(1+$G$51)-MAX($B$9,0.01*Y79+Y79*$G$51),0),0)</f>
        <v/>
      </c>
      <c r="Z80">
        <f>Y79*$G$51</f>
        <v/>
      </c>
      <c r="AA80">
        <f>IF(AA79&gt;1E-9,IF(AA79*(1+$G$52)-MAX($B$9,0.01*AA79+AA79*$G$52)&gt;1E-9,AA79*(1+$G$52)-MAX($B$9,0.01*AA79+AA79*$G$52),0),0)</f>
        <v/>
      </c>
      <c r="AB80">
        <f>AA79*$G$52</f>
        <v/>
      </c>
      <c r="AC80">
        <f>IF(AC79&gt;1E-9,IF(AC79*(1+$G$53)-MAX($B$9,0.01*AC79+AC79*$G$53)&gt;1E-9,AC79*(1+$G$53)-MAX($B$9,0.01*AC79+AC79*$G$53),0),0)</f>
        <v/>
      </c>
      <c r="AD80">
        <f>AC79*$G$53</f>
        <v/>
      </c>
      <c r="AE80">
        <f>IF(AE79&gt;1E-9,IF(AE79*(1+$G$54)-MAX($B$9,0.01*AE79+AE79*$G$54)&gt;1E-9,AE79*(1+$G$54)-MAX($B$9,0.01*AE79+AE79*$G$54),0),0)</f>
        <v/>
      </c>
      <c r="AF80">
        <f>AE79*$G$54</f>
        <v/>
      </c>
      <c r="AG80">
        <f>IF(AG79&gt;1E-9,IF(AG79*(1+$G$55)-MAX($B$9,0.01*AG79+AG79*$G$55)&gt;1E-9,AG79*(1+$G$55)-MAX($B$9,0.01*AG79+AG79*$G$55),0),0)</f>
        <v/>
      </c>
      <c r="AH80">
        <f>AG79*$G$55</f>
        <v/>
      </c>
      <c r="AI80">
        <f>G80+K80+O80+S80+W80</f>
        <v/>
      </c>
      <c r="AJ80">
        <f>AI79+AK80-AI80</f>
        <v/>
      </c>
      <c r="AK80">
        <f>H80+L80+P80+T80+X80</f>
        <v/>
      </c>
      <c r="AL80">
        <f>TEXT(EDATE($B$5,D80-1),"mmm yyyy")</f>
        <v/>
      </c>
      <c r="AM80">
        <f>AI80</f>
        <v/>
      </c>
    </row>
    <row r="81">
      <c r="D81" t="n">
        <v>20</v>
      </c>
      <c r="E81">
        <f>IF(G80&gt;0,MAX(0,G80*(1+$G$51)-$H$51),0)</f>
        <v/>
      </c>
      <c r="F81">
        <f>$B$6+IF($D81=$B$8,$B$7,0)</f>
        <v/>
      </c>
      <c r="G81">
        <f>IF(E81-F81&gt;1E-9,E81-F81,0)</f>
        <v/>
      </c>
      <c r="H81">
        <f>G80*$G$51</f>
        <v/>
      </c>
      <c r="I81">
        <f>IF(K80&gt;0,MAX(0,K80*(1+$G$52)-$H$52),0)</f>
        <v/>
      </c>
      <c r="J81">
        <f>MAX(0,F81-E81)</f>
        <v/>
      </c>
      <c r="K81">
        <f>IF(I81-J81&gt;1E-9,I81-J81,0)</f>
        <v/>
      </c>
      <c r="L81">
        <f>K80*$G$52</f>
        <v/>
      </c>
      <c r="M81">
        <f>IF(O80&gt;0,MAX(0,O80*(1+$G$53)-$H$53),0)</f>
        <v/>
      </c>
      <c r="N81">
        <f>MAX(0,J81-I81)</f>
        <v/>
      </c>
      <c r="O81">
        <f>IF(M81-N81&gt;1E-9,M81-N81,0)</f>
        <v/>
      </c>
      <c r="P81">
        <f>O80*$G$53</f>
        <v/>
      </c>
      <c r="Q81">
        <f>IF(S80&gt;0,MAX(0,S80*(1+$G$54)-$H$54),0)</f>
        <v/>
      </c>
      <c r="R81">
        <f>MAX(0,N81-M81)</f>
        <v/>
      </c>
      <c r="S81">
        <f>IF(Q81-R81&gt;1E-9,Q81-R81,0)</f>
        <v/>
      </c>
      <c r="T81">
        <f>S80*$G$54</f>
        <v/>
      </c>
      <c r="U81">
        <f>IF(W80&gt;0,MAX(0,W80*(1+$G$55)-$H$55),0)</f>
        <v/>
      </c>
      <c r="V81">
        <f>MAX(0,R81-Q81)</f>
        <v/>
      </c>
      <c r="W81">
        <f>IF(U81-V81&gt;1E-9,U81-V81,0)</f>
        <v/>
      </c>
      <c r="X81">
        <f>W80*$G$55</f>
        <v/>
      </c>
      <c r="Y81">
        <f>IF(Y80&gt;1E-9,IF(Y80*(1+$G$51)-MAX($B$9,0.01*Y80+Y80*$G$51)&gt;1E-9,Y80*(1+$G$51)-MAX($B$9,0.01*Y80+Y80*$G$51),0),0)</f>
        <v/>
      </c>
      <c r="Z81">
        <f>Y80*$G$51</f>
        <v/>
      </c>
      <c r="AA81">
        <f>IF(AA80&gt;1E-9,IF(AA80*(1+$G$52)-MAX($B$9,0.01*AA80+AA80*$G$52)&gt;1E-9,AA80*(1+$G$52)-MAX($B$9,0.01*AA80+AA80*$G$52),0),0)</f>
        <v/>
      </c>
      <c r="AB81">
        <f>AA80*$G$52</f>
        <v/>
      </c>
      <c r="AC81">
        <f>IF(AC80&gt;1E-9,IF(AC80*(1+$G$53)-MAX($B$9,0.01*AC80+AC80*$G$53)&gt;1E-9,AC80*(1+$G$53)-MAX($B$9,0.01*AC80+AC80*$G$53),0),0)</f>
        <v/>
      </c>
      <c r="AD81">
        <f>AC80*$G$53</f>
        <v/>
      </c>
      <c r="AE81">
        <f>IF(AE80&gt;1E-9,IF(AE80*(1+$G$54)-MAX($B$9,0.01*AE80+AE80*$G$54)&gt;1E-9,AE80*(1+$G$54)-MAX($B$9,0.01*AE80+AE80*$G$54),0),0)</f>
        <v/>
      </c>
      <c r="AF81">
        <f>AE80*$G$54</f>
        <v/>
      </c>
      <c r="AG81">
        <f>IF(AG80&gt;1E-9,IF(AG80*(1+$G$55)-MAX($B$9,0.01*AG80+AG80*$G$55)&gt;1E-9,AG80*(1+$G$55)-MAX($B$9,0.01*AG80+AG80*$G$55),0),0)</f>
        <v/>
      </c>
      <c r="AH81">
        <f>AG80*$G$55</f>
        <v/>
      </c>
      <c r="AI81">
        <f>G81+K81+O81+S81+W81</f>
        <v/>
      </c>
      <c r="AJ81">
        <f>AI80+AK81-AI81</f>
        <v/>
      </c>
      <c r="AK81">
        <f>H81+L81+P81+T81+X81</f>
        <v/>
      </c>
      <c r="AL81">
        <f>TEXT(EDATE($B$5,D81-1),"mmm yyyy")</f>
        <v/>
      </c>
      <c r="AM81">
        <f>AI81</f>
        <v/>
      </c>
    </row>
    <row r="82">
      <c r="D82" t="n">
        <v>21</v>
      </c>
      <c r="E82">
        <f>IF(G81&gt;0,MAX(0,G81*(1+$G$51)-$H$51),0)</f>
        <v/>
      </c>
      <c r="F82">
        <f>$B$6+IF($D82=$B$8,$B$7,0)</f>
        <v/>
      </c>
      <c r="G82">
        <f>IF(E82-F82&gt;1E-9,E82-F82,0)</f>
        <v/>
      </c>
      <c r="H82">
        <f>G81*$G$51</f>
        <v/>
      </c>
      <c r="I82">
        <f>IF(K81&gt;0,MAX(0,K81*(1+$G$52)-$H$52),0)</f>
        <v/>
      </c>
      <c r="J82">
        <f>MAX(0,F82-E82)</f>
        <v/>
      </c>
      <c r="K82">
        <f>IF(I82-J82&gt;1E-9,I82-J82,0)</f>
        <v/>
      </c>
      <c r="L82">
        <f>K81*$G$52</f>
        <v/>
      </c>
      <c r="M82">
        <f>IF(O81&gt;0,MAX(0,O81*(1+$G$53)-$H$53),0)</f>
        <v/>
      </c>
      <c r="N82">
        <f>MAX(0,J82-I82)</f>
        <v/>
      </c>
      <c r="O82">
        <f>IF(M82-N82&gt;1E-9,M82-N82,0)</f>
        <v/>
      </c>
      <c r="P82">
        <f>O81*$G$53</f>
        <v/>
      </c>
      <c r="Q82">
        <f>IF(S81&gt;0,MAX(0,S81*(1+$G$54)-$H$54),0)</f>
        <v/>
      </c>
      <c r="R82">
        <f>MAX(0,N82-M82)</f>
        <v/>
      </c>
      <c r="S82">
        <f>IF(Q82-R82&gt;1E-9,Q82-R82,0)</f>
        <v/>
      </c>
      <c r="T82">
        <f>S81*$G$54</f>
        <v/>
      </c>
      <c r="U82">
        <f>IF(W81&gt;0,MAX(0,W81*(1+$G$55)-$H$55),0)</f>
        <v/>
      </c>
      <c r="V82">
        <f>MAX(0,R82-Q82)</f>
        <v/>
      </c>
      <c r="W82">
        <f>IF(U82-V82&gt;1E-9,U82-V82,0)</f>
        <v/>
      </c>
      <c r="X82">
        <f>W81*$G$55</f>
        <v/>
      </c>
      <c r="Y82">
        <f>IF(Y81&gt;1E-9,IF(Y81*(1+$G$51)-MAX($B$9,0.01*Y81+Y81*$G$51)&gt;1E-9,Y81*(1+$G$51)-MAX($B$9,0.01*Y81+Y81*$G$51),0),0)</f>
        <v/>
      </c>
      <c r="Z82">
        <f>Y81*$G$51</f>
        <v/>
      </c>
      <c r="AA82">
        <f>IF(AA81&gt;1E-9,IF(AA81*(1+$G$52)-MAX($B$9,0.01*AA81+AA81*$G$52)&gt;1E-9,AA81*(1+$G$52)-MAX($B$9,0.01*AA81+AA81*$G$52),0),0)</f>
        <v/>
      </c>
      <c r="AB82">
        <f>AA81*$G$52</f>
        <v/>
      </c>
      <c r="AC82">
        <f>IF(AC81&gt;1E-9,IF(AC81*(1+$G$53)-MAX($B$9,0.01*AC81+AC81*$G$53)&gt;1E-9,AC81*(1+$G$53)-MAX($B$9,0.01*AC81+AC81*$G$53),0),0)</f>
        <v/>
      </c>
      <c r="AD82">
        <f>AC81*$G$53</f>
        <v/>
      </c>
      <c r="AE82">
        <f>IF(AE81&gt;1E-9,IF(AE81*(1+$G$54)-MAX($B$9,0.01*AE81+AE81*$G$54)&gt;1E-9,AE81*(1+$G$54)-MAX($B$9,0.01*AE81+AE81*$G$54),0),0)</f>
        <v/>
      </c>
      <c r="AF82">
        <f>AE81*$G$54</f>
        <v/>
      </c>
      <c r="AG82">
        <f>IF(AG81&gt;1E-9,IF(AG81*(1+$G$55)-MAX($B$9,0.01*AG81+AG81*$G$55)&gt;1E-9,AG81*(1+$G$55)-MAX($B$9,0.01*AG81+AG81*$G$55),0),0)</f>
        <v/>
      </c>
      <c r="AH82">
        <f>AG81*$G$55</f>
        <v/>
      </c>
      <c r="AI82">
        <f>G82+K82+O82+S82+W82</f>
        <v/>
      </c>
      <c r="AJ82">
        <f>AI81+AK82-AI82</f>
        <v/>
      </c>
      <c r="AK82">
        <f>H82+L82+P82+T82+X82</f>
        <v/>
      </c>
      <c r="AL82">
        <f>TEXT(EDATE($B$5,D82-1),"mmm yyyy")</f>
        <v/>
      </c>
      <c r="AM82">
        <f>AI82</f>
        <v/>
      </c>
    </row>
    <row r="83">
      <c r="D83" t="n">
        <v>22</v>
      </c>
      <c r="E83">
        <f>IF(G82&gt;0,MAX(0,G82*(1+$G$51)-$H$51),0)</f>
        <v/>
      </c>
      <c r="F83">
        <f>$B$6+IF($D83=$B$8,$B$7,0)</f>
        <v/>
      </c>
      <c r="G83">
        <f>IF(E83-F83&gt;1E-9,E83-F83,0)</f>
        <v/>
      </c>
      <c r="H83">
        <f>G82*$G$51</f>
        <v/>
      </c>
      <c r="I83">
        <f>IF(K82&gt;0,MAX(0,K82*(1+$G$52)-$H$52),0)</f>
        <v/>
      </c>
      <c r="J83">
        <f>MAX(0,F83-E83)</f>
        <v/>
      </c>
      <c r="K83">
        <f>IF(I83-J83&gt;1E-9,I83-J83,0)</f>
        <v/>
      </c>
      <c r="L83">
        <f>K82*$G$52</f>
        <v/>
      </c>
      <c r="M83">
        <f>IF(O82&gt;0,MAX(0,O82*(1+$G$53)-$H$53),0)</f>
        <v/>
      </c>
      <c r="N83">
        <f>MAX(0,J83-I83)</f>
        <v/>
      </c>
      <c r="O83">
        <f>IF(M83-N83&gt;1E-9,M83-N83,0)</f>
        <v/>
      </c>
      <c r="P83">
        <f>O82*$G$53</f>
        <v/>
      </c>
      <c r="Q83">
        <f>IF(S82&gt;0,MAX(0,S82*(1+$G$54)-$H$54),0)</f>
        <v/>
      </c>
      <c r="R83">
        <f>MAX(0,N83-M83)</f>
        <v/>
      </c>
      <c r="S83">
        <f>IF(Q83-R83&gt;1E-9,Q83-R83,0)</f>
        <v/>
      </c>
      <c r="T83">
        <f>S82*$G$54</f>
        <v/>
      </c>
      <c r="U83">
        <f>IF(W82&gt;0,MAX(0,W82*(1+$G$55)-$H$55),0)</f>
        <v/>
      </c>
      <c r="V83">
        <f>MAX(0,R83-Q83)</f>
        <v/>
      </c>
      <c r="W83">
        <f>IF(U83-V83&gt;1E-9,U83-V83,0)</f>
        <v/>
      </c>
      <c r="X83">
        <f>W82*$G$55</f>
        <v/>
      </c>
      <c r="Y83">
        <f>IF(Y82&gt;1E-9,IF(Y82*(1+$G$51)-MAX($B$9,0.01*Y82+Y82*$G$51)&gt;1E-9,Y82*(1+$G$51)-MAX($B$9,0.01*Y82+Y82*$G$51),0),0)</f>
        <v/>
      </c>
      <c r="Z83">
        <f>Y82*$G$51</f>
        <v/>
      </c>
      <c r="AA83">
        <f>IF(AA82&gt;1E-9,IF(AA82*(1+$G$52)-MAX($B$9,0.01*AA82+AA82*$G$52)&gt;1E-9,AA82*(1+$G$52)-MAX($B$9,0.01*AA82+AA82*$G$52),0),0)</f>
        <v/>
      </c>
      <c r="AB83">
        <f>AA82*$G$52</f>
        <v/>
      </c>
      <c r="AC83">
        <f>IF(AC82&gt;1E-9,IF(AC82*(1+$G$53)-MAX($B$9,0.01*AC82+AC82*$G$53)&gt;1E-9,AC82*(1+$G$53)-MAX($B$9,0.01*AC82+AC82*$G$53),0),0)</f>
        <v/>
      </c>
      <c r="AD83">
        <f>AC82*$G$53</f>
        <v/>
      </c>
      <c r="AE83">
        <f>IF(AE82&gt;1E-9,IF(AE82*(1+$G$54)-MAX($B$9,0.01*AE82+AE82*$G$54)&gt;1E-9,AE82*(1+$G$54)-MAX($B$9,0.01*AE82+AE82*$G$54),0),0)</f>
        <v/>
      </c>
      <c r="AF83">
        <f>AE82*$G$54</f>
        <v/>
      </c>
      <c r="AG83">
        <f>IF(AG82&gt;1E-9,IF(AG82*(1+$G$55)-MAX($B$9,0.01*AG82+AG82*$G$55)&gt;1E-9,AG82*(1+$G$55)-MAX($B$9,0.01*AG82+AG82*$G$55),0),0)</f>
        <v/>
      </c>
      <c r="AH83">
        <f>AG82*$G$55</f>
        <v/>
      </c>
      <c r="AI83">
        <f>G83+K83+O83+S83+W83</f>
        <v/>
      </c>
      <c r="AJ83">
        <f>AI82+AK83-AI83</f>
        <v/>
      </c>
      <c r="AK83">
        <f>H83+L83+P83+T83+X83</f>
        <v/>
      </c>
      <c r="AL83">
        <f>TEXT(EDATE($B$5,D83-1),"mmm yyyy")</f>
        <v/>
      </c>
      <c r="AM83">
        <f>AI83</f>
        <v/>
      </c>
    </row>
    <row r="84">
      <c r="D84" t="n">
        <v>23</v>
      </c>
      <c r="E84">
        <f>IF(G83&gt;0,MAX(0,G83*(1+$G$51)-$H$51),0)</f>
        <v/>
      </c>
      <c r="F84">
        <f>$B$6+IF($D84=$B$8,$B$7,0)</f>
        <v/>
      </c>
      <c r="G84">
        <f>IF(E84-F84&gt;1E-9,E84-F84,0)</f>
        <v/>
      </c>
      <c r="H84">
        <f>G83*$G$51</f>
        <v/>
      </c>
      <c r="I84">
        <f>IF(K83&gt;0,MAX(0,K83*(1+$G$52)-$H$52),0)</f>
        <v/>
      </c>
      <c r="J84">
        <f>MAX(0,F84-E84)</f>
        <v/>
      </c>
      <c r="K84">
        <f>IF(I84-J84&gt;1E-9,I84-J84,0)</f>
        <v/>
      </c>
      <c r="L84">
        <f>K83*$G$52</f>
        <v/>
      </c>
      <c r="M84">
        <f>IF(O83&gt;0,MAX(0,O83*(1+$G$53)-$H$53),0)</f>
        <v/>
      </c>
      <c r="N84">
        <f>MAX(0,J84-I84)</f>
        <v/>
      </c>
      <c r="O84">
        <f>IF(M84-N84&gt;1E-9,M84-N84,0)</f>
        <v/>
      </c>
      <c r="P84">
        <f>O83*$G$53</f>
        <v/>
      </c>
      <c r="Q84">
        <f>IF(S83&gt;0,MAX(0,S83*(1+$G$54)-$H$54),0)</f>
        <v/>
      </c>
      <c r="R84">
        <f>MAX(0,N84-M84)</f>
        <v/>
      </c>
      <c r="S84">
        <f>IF(Q84-R84&gt;1E-9,Q84-R84,0)</f>
        <v/>
      </c>
      <c r="T84">
        <f>S83*$G$54</f>
        <v/>
      </c>
      <c r="U84">
        <f>IF(W83&gt;0,MAX(0,W83*(1+$G$55)-$H$55),0)</f>
        <v/>
      </c>
      <c r="V84">
        <f>MAX(0,R84-Q84)</f>
        <v/>
      </c>
      <c r="W84">
        <f>IF(U84-V84&gt;1E-9,U84-V84,0)</f>
        <v/>
      </c>
      <c r="X84">
        <f>W83*$G$55</f>
        <v/>
      </c>
      <c r="Y84">
        <f>IF(Y83&gt;1E-9,IF(Y83*(1+$G$51)-MAX($B$9,0.01*Y83+Y83*$G$51)&gt;1E-9,Y83*(1+$G$51)-MAX($B$9,0.01*Y83+Y83*$G$51),0),0)</f>
        <v/>
      </c>
      <c r="Z84">
        <f>Y83*$G$51</f>
        <v/>
      </c>
      <c r="AA84">
        <f>IF(AA83&gt;1E-9,IF(AA83*(1+$G$52)-MAX($B$9,0.01*AA83+AA83*$G$52)&gt;1E-9,AA83*(1+$G$52)-MAX($B$9,0.01*AA83+AA83*$G$52),0),0)</f>
        <v/>
      </c>
      <c r="AB84">
        <f>AA83*$G$52</f>
        <v/>
      </c>
      <c r="AC84">
        <f>IF(AC83&gt;1E-9,IF(AC83*(1+$G$53)-MAX($B$9,0.01*AC83+AC83*$G$53)&gt;1E-9,AC83*(1+$G$53)-MAX($B$9,0.01*AC83+AC83*$G$53),0),0)</f>
        <v/>
      </c>
      <c r="AD84">
        <f>AC83*$G$53</f>
        <v/>
      </c>
      <c r="AE84">
        <f>IF(AE83&gt;1E-9,IF(AE83*(1+$G$54)-MAX($B$9,0.01*AE83+AE83*$G$54)&gt;1E-9,AE83*(1+$G$54)-MAX($B$9,0.01*AE83+AE83*$G$54),0),0)</f>
        <v/>
      </c>
      <c r="AF84">
        <f>AE83*$G$54</f>
        <v/>
      </c>
      <c r="AG84">
        <f>IF(AG83&gt;1E-9,IF(AG83*(1+$G$55)-MAX($B$9,0.01*AG83+AG83*$G$55)&gt;1E-9,AG83*(1+$G$55)-MAX($B$9,0.01*AG83+AG83*$G$55),0),0)</f>
        <v/>
      </c>
      <c r="AH84">
        <f>AG83*$G$55</f>
        <v/>
      </c>
      <c r="AI84">
        <f>G84+K84+O84+S84+W84</f>
        <v/>
      </c>
      <c r="AJ84">
        <f>AI83+AK84-AI84</f>
        <v/>
      </c>
      <c r="AK84">
        <f>H84+L84+P84+T84+X84</f>
        <v/>
      </c>
      <c r="AL84">
        <f>TEXT(EDATE($B$5,D84-1),"mmm yyyy")</f>
        <v/>
      </c>
      <c r="AM84">
        <f>AI84</f>
        <v/>
      </c>
    </row>
    <row r="85">
      <c r="D85" t="n">
        <v>24</v>
      </c>
      <c r="E85">
        <f>IF(G84&gt;0,MAX(0,G84*(1+$G$51)-$H$51),0)</f>
        <v/>
      </c>
      <c r="F85">
        <f>$B$6+IF($D85=$B$8,$B$7,0)</f>
        <v/>
      </c>
      <c r="G85">
        <f>IF(E85-F85&gt;1E-9,E85-F85,0)</f>
        <v/>
      </c>
      <c r="H85">
        <f>G84*$G$51</f>
        <v/>
      </c>
      <c r="I85">
        <f>IF(K84&gt;0,MAX(0,K84*(1+$G$52)-$H$52),0)</f>
        <v/>
      </c>
      <c r="J85">
        <f>MAX(0,F85-E85)</f>
        <v/>
      </c>
      <c r="K85">
        <f>IF(I85-J85&gt;1E-9,I85-J85,0)</f>
        <v/>
      </c>
      <c r="L85">
        <f>K84*$G$52</f>
        <v/>
      </c>
      <c r="M85">
        <f>IF(O84&gt;0,MAX(0,O84*(1+$G$53)-$H$53),0)</f>
        <v/>
      </c>
      <c r="N85">
        <f>MAX(0,J85-I85)</f>
        <v/>
      </c>
      <c r="O85">
        <f>IF(M85-N85&gt;1E-9,M85-N85,0)</f>
        <v/>
      </c>
      <c r="P85">
        <f>O84*$G$53</f>
        <v/>
      </c>
      <c r="Q85">
        <f>IF(S84&gt;0,MAX(0,S84*(1+$G$54)-$H$54),0)</f>
        <v/>
      </c>
      <c r="R85">
        <f>MAX(0,N85-M85)</f>
        <v/>
      </c>
      <c r="S85">
        <f>IF(Q85-R85&gt;1E-9,Q85-R85,0)</f>
        <v/>
      </c>
      <c r="T85">
        <f>S84*$G$54</f>
        <v/>
      </c>
      <c r="U85">
        <f>IF(W84&gt;0,MAX(0,W84*(1+$G$55)-$H$55),0)</f>
        <v/>
      </c>
      <c r="V85">
        <f>MAX(0,R85-Q85)</f>
        <v/>
      </c>
      <c r="W85">
        <f>IF(U85-V85&gt;1E-9,U85-V85,0)</f>
        <v/>
      </c>
      <c r="X85">
        <f>W84*$G$55</f>
        <v/>
      </c>
      <c r="Y85">
        <f>IF(Y84&gt;1E-9,IF(Y84*(1+$G$51)-MAX($B$9,0.01*Y84+Y84*$G$51)&gt;1E-9,Y84*(1+$G$51)-MAX($B$9,0.01*Y84+Y84*$G$51),0),0)</f>
        <v/>
      </c>
      <c r="Z85">
        <f>Y84*$G$51</f>
        <v/>
      </c>
      <c r="AA85">
        <f>IF(AA84&gt;1E-9,IF(AA84*(1+$G$52)-MAX($B$9,0.01*AA84+AA84*$G$52)&gt;1E-9,AA84*(1+$G$52)-MAX($B$9,0.01*AA84+AA84*$G$52),0),0)</f>
        <v/>
      </c>
      <c r="AB85">
        <f>AA84*$G$52</f>
        <v/>
      </c>
      <c r="AC85">
        <f>IF(AC84&gt;1E-9,IF(AC84*(1+$G$53)-MAX($B$9,0.01*AC84+AC84*$G$53)&gt;1E-9,AC84*(1+$G$53)-MAX($B$9,0.01*AC84+AC84*$G$53),0),0)</f>
        <v/>
      </c>
      <c r="AD85">
        <f>AC84*$G$53</f>
        <v/>
      </c>
      <c r="AE85">
        <f>IF(AE84&gt;1E-9,IF(AE84*(1+$G$54)-MAX($B$9,0.01*AE84+AE84*$G$54)&gt;1E-9,AE84*(1+$G$54)-MAX($B$9,0.01*AE84+AE84*$G$54),0),0)</f>
        <v/>
      </c>
      <c r="AF85">
        <f>AE84*$G$54</f>
        <v/>
      </c>
      <c r="AG85">
        <f>IF(AG84&gt;1E-9,IF(AG84*(1+$G$55)-MAX($B$9,0.01*AG84+AG84*$G$55)&gt;1E-9,AG84*(1+$G$55)-MAX($B$9,0.01*AG84+AG84*$G$55),0),0)</f>
        <v/>
      </c>
      <c r="AH85">
        <f>AG84*$G$55</f>
        <v/>
      </c>
      <c r="AI85">
        <f>G85+K85+O85+S85+W85</f>
        <v/>
      </c>
      <c r="AJ85">
        <f>AI84+AK85-AI85</f>
        <v/>
      </c>
      <c r="AK85">
        <f>H85+L85+P85+T85+X85</f>
        <v/>
      </c>
      <c r="AL85">
        <f>TEXT(EDATE($B$5,D85-1),"mmm yyyy")</f>
        <v/>
      </c>
      <c r="AM85">
        <f>AI85</f>
        <v/>
      </c>
    </row>
    <row r="86">
      <c r="D86" t="n">
        <v>25</v>
      </c>
      <c r="E86">
        <f>IF(G85&gt;0,MAX(0,G85*(1+$G$51)-$H$51),0)</f>
        <v/>
      </c>
      <c r="F86">
        <f>$B$6+IF($D86=$B$8,$B$7,0)</f>
        <v/>
      </c>
      <c r="G86">
        <f>IF(E86-F86&gt;1E-9,E86-F86,0)</f>
        <v/>
      </c>
      <c r="H86">
        <f>G85*$G$51</f>
        <v/>
      </c>
      <c r="I86">
        <f>IF(K85&gt;0,MAX(0,K85*(1+$G$52)-$H$52),0)</f>
        <v/>
      </c>
      <c r="J86">
        <f>MAX(0,F86-E86)</f>
        <v/>
      </c>
      <c r="K86">
        <f>IF(I86-J86&gt;1E-9,I86-J86,0)</f>
        <v/>
      </c>
      <c r="L86">
        <f>K85*$G$52</f>
        <v/>
      </c>
      <c r="M86">
        <f>IF(O85&gt;0,MAX(0,O85*(1+$G$53)-$H$53),0)</f>
        <v/>
      </c>
      <c r="N86">
        <f>MAX(0,J86-I86)</f>
        <v/>
      </c>
      <c r="O86">
        <f>IF(M86-N86&gt;1E-9,M86-N86,0)</f>
        <v/>
      </c>
      <c r="P86">
        <f>O85*$G$53</f>
        <v/>
      </c>
      <c r="Q86">
        <f>IF(S85&gt;0,MAX(0,S85*(1+$G$54)-$H$54),0)</f>
        <v/>
      </c>
      <c r="R86">
        <f>MAX(0,N86-M86)</f>
        <v/>
      </c>
      <c r="S86">
        <f>IF(Q86-R86&gt;1E-9,Q86-R86,0)</f>
        <v/>
      </c>
      <c r="T86">
        <f>S85*$G$54</f>
        <v/>
      </c>
      <c r="U86">
        <f>IF(W85&gt;0,MAX(0,W85*(1+$G$55)-$H$55),0)</f>
        <v/>
      </c>
      <c r="V86">
        <f>MAX(0,R86-Q86)</f>
        <v/>
      </c>
      <c r="W86">
        <f>IF(U86-V86&gt;1E-9,U86-V86,0)</f>
        <v/>
      </c>
      <c r="X86">
        <f>W85*$G$55</f>
        <v/>
      </c>
      <c r="Y86">
        <f>IF(Y85&gt;1E-9,IF(Y85*(1+$G$51)-MAX($B$9,0.01*Y85+Y85*$G$51)&gt;1E-9,Y85*(1+$G$51)-MAX($B$9,0.01*Y85+Y85*$G$51),0),0)</f>
        <v/>
      </c>
      <c r="Z86">
        <f>Y85*$G$51</f>
        <v/>
      </c>
      <c r="AA86">
        <f>IF(AA85&gt;1E-9,IF(AA85*(1+$G$52)-MAX($B$9,0.01*AA85+AA85*$G$52)&gt;1E-9,AA85*(1+$G$52)-MAX($B$9,0.01*AA85+AA85*$G$52),0),0)</f>
        <v/>
      </c>
      <c r="AB86">
        <f>AA85*$G$52</f>
        <v/>
      </c>
      <c r="AC86">
        <f>IF(AC85&gt;1E-9,IF(AC85*(1+$G$53)-MAX($B$9,0.01*AC85+AC85*$G$53)&gt;1E-9,AC85*(1+$G$53)-MAX($B$9,0.01*AC85+AC85*$G$53),0),0)</f>
        <v/>
      </c>
      <c r="AD86">
        <f>AC85*$G$53</f>
        <v/>
      </c>
      <c r="AE86">
        <f>IF(AE85&gt;1E-9,IF(AE85*(1+$G$54)-MAX($B$9,0.01*AE85+AE85*$G$54)&gt;1E-9,AE85*(1+$G$54)-MAX($B$9,0.01*AE85+AE85*$G$54),0),0)</f>
        <v/>
      </c>
      <c r="AF86">
        <f>AE85*$G$54</f>
        <v/>
      </c>
      <c r="AG86">
        <f>IF(AG85&gt;1E-9,IF(AG85*(1+$G$55)-MAX($B$9,0.01*AG85+AG85*$G$55)&gt;1E-9,AG85*(1+$G$55)-MAX($B$9,0.01*AG85+AG85*$G$55),0),0)</f>
        <v/>
      </c>
      <c r="AH86">
        <f>AG85*$G$55</f>
        <v/>
      </c>
      <c r="AI86">
        <f>G86+K86+O86+S86+W86</f>
        <v/>
      </c>
      <c r="AJ86">
        <f>AI85+AK86-AI86</f>
        <v/>
      </c>
      <c r="AK86">
        <f>H86+L86+P86+T86+X86</f>
        <v/>
      </c>
      <c r="AL86">
        <f>TEXT(EDATE($B$5,D86-1),"mmm yyyy")</f>
        <v/>
      </c>
      <c r="AM86">
        <f>AI86</f>
        <v/>
      </c>
    </row>
    <row r="87">
      <c r="D87" t="n">
        <v>26</v>
      </c>
      <c r="E87">
        <f>IF(G86&gt;0,MAX(0,G86*(1+$G$51)-$H$51),0)</f>
        <v/>
      </c>
      <c r="F87">
        <f>$B$6+IF($D87=$B$8,$B$7,0)</f>
        <v/>
      </c>
      <c r="G87">
        <f>IF(E87-F87&gt;1E-9,E87-F87,0)</f>
        <v/>
      </c>
      <c r="H87">
        <f>G86*$G$51</f>
        <v/>
      </c>
      <c r="I87">
        <f>IF(K86&gt;0,MAX(0,K86*(1+$G$52)-$H$52),0)</f>
        <v/>
      </c>
      <c r="J87">
        <f>MAX(0,F87-E87)</f>
        <v/>
      </c>
      <c r="K87">
        <f>IF(I87-J87&gt;1E-9,I87-J87,0)</f>
        <v/>
      </c>
      <c r="L87">
        <f>K86*$G$52</f>
        <v/>
      </c>
      <c r="M87">
        <f>IF(O86&gt;0,MAX(0,O86*(1+$G$53)-$H$53),0)</f>
        <v/>
      </c>
      <c r="N87">
        <f>MAX(0,J87-I87)</f>
        <v/>
      </c>
      <c r="O87">
        <f>IF(M87-N87&gt;1E-9,M87-N87,0)</f>
        <v/>
      </c>
      <c r="P87">
        <f>O86*$G$53</f>
        <v/>
      </c>
      <c r="Q87">
        <f>IF(S86&gt;0,MAX(0,S86*(1+$G$54)-$H$54),0)</f>
        <v/>
      </c>
      <c r="R87">
        <f>MAX(0,N87-M87)</f>
        <v/>
      </c>
      <c r="S87">
        <f>IF(Q87-R87&gt;1E-9,Q87-R87,0)</f>
        <v/>
      </c>
      <c r="T87">
        <f>S86*$G$54</f>
        <v/>
      </c>
      <c r="U87">
        <f>IF(W86&gt;0,MAX(0,W86*(1+$G$55)-$H$55),0)</f>
        <v/>
      </c>
      <c r="V87">
        <f>MAX(0,R87-Q87)</f>
        <v/>
      </c>
      <c r="W87">
        <f>IF(U87-V87&gt;1E-9,U87-V87,0)</f>
        <v/>
      </c>
      <c r="X87">
        <f>W86*$G$55</f>
        <v/>
      </c>
      <c r="Y87">
        <f>IF(Y86&gt;1E-9,IF(Y86*(1+$G$51)-MAX($B$9,0.01*Y86+Y86*$G$51)&gt;1E-9,Y86*(1+$G$51)-MAX($B$9,0.01*Y86+Y86*$G$51),0),0)</f>
        <v/>
      </c>
      <c r="Z87">
        <f>Y86*$G$51</f>
        <v/>
      </c>
      <c r="AA87">
        <f>IF(AA86&gt;1E-9,IF(AA86*(1+$G$52)-MAX($B$9,0.01*AA86+AA86*$G$52)&gt;1E-9,AA86*(1+$G$52)-MAX($B$9,0.01*AA86+AA86*$G$52),0),0)</f>
        <v/>
      </c>
      <c r="AB87">
        <f>AA86*$G$52</f>
        <v/>
      </c>
      <c r="AC87">
        <f>IF(AC86&gt;1E-9,IF(AC86*(1+$G$53)-MAX($B$9,0.01*AC86+AC86*$G$53)&gt;1E-9,AC86*(1+$G$53)-MAX($B$9,0.01*AC86+AC86*$G$53),0),0)</f>
        <v/>
      </c>
      <c r="AD87">
        <f>AC86*$G$53</f>
        <v/>
      </c>
      <c r="AE87">
        <f>IF(AE86&gt;1E-9,IF(AE86*(1+$G$54)-MAX($B$9,0.01*AE86+AE86*$G$54)&gt;1E-9,AE86*(1+$G$54)-MAX($B$9,0.01*AE86+AE86*$G$54),0),0)</f>
        <v/>
      </c>
      <c r="AF87">
        <f>AE86*$G$54</f>
        <v/>
      </c>
      <c r="AG87">
        <f>IF(AG86&gt;1E-9,IF(AG86*(1+$G$55)-MAX($B$9,0.01*AG86+AG86*$G$55)&gt;1E-9,AG86*(1+$G$55)-MAX($B$9,0.01*AG86+AG86*$G$55),0),0)</f>
        <v/>
      </c>
      <c r="AH87">
        <f>AG86*$G$55</f>
        <v/>
      </c>
      <c r="AI87">
        <f>G87+K87+O87+S87+W87</f>
        <v/>
      </c>
      <c r="AJ87">
        <f>AI86+AK87-AI87</f>
        <v/>
      </c>
      <c r="AK87">
        <f>H87+L87+P87+T87+X87</f>
        <v/>
      </c>
      <c r="AL87">
        <f>TEXT(EDATE($B$5,D87-1),"mmm yyyy")</f>
        <v/>
      </c>
      <c r="AM87">
        <f>AI87</f>
        <v/>
      </c>
    </row>
    <row r="88">
      <c r="D88" t="n">
        <v>27</v>
      </c>
      <c r="E88">
        <f>IF(G87&gt;0,MAX(0,G87*(1+$G$51)-$H$51),0)</f>
        <v/>
      </c>
      <c r="F88">
        <f>$B$6+IF($D88=$B$8,$B$7,0)</f>
        <v/>
      </c>
      <c r="G88">
        <f>IF(E88-F88&gt;1E-9,E88-F88,0)</f>
        <v/>
      </c>
      <c r="H88">
        <f>G87*$G$51</f>
        <v/>
      </c>
      <c r="I88">
        <f>IF(K87&gt;0,MAX(0,K87*(1+$G$52)-$H$52),0)</f>
        <v/>
      </c>
      <c r="J88">
        <f>MAX(0,F88-E88)</f>
        <v/>
      </c>
      <c r="K88">
        <f>IF(I88-J88&gt;1E-9,I88-J88,0)</f>
        <v/>
      </c>
      <c r="L88">
        <f>K87*$G$52</f>
        <v/>
      </c>
      <c r="M88">
        <f>IF(O87&gt;0,MAX(0,O87*(1+$G$53)-$H$53),0)</f>
        <v/>
      </c>
      <c r="N88">
        <f>MAX(0,J88-I88)</f>
        <v/>
      </c>
      <c r="O88">
        <f>IF(M88-N88&gt;1E-9,M88-N88,0)</f>
        <v/>
      </c>
      <c r="P88">
        <f>O87*$G$53</f>
        <v/>
      </c>
      <c r="Q88">
        <f>IF(S87&gt;0,MAX(0,S87*(1+$G$54)-$H$54),0)</f>
        <v/>
      </c>
      <c r="R88">
        <f>MAX(0,N88-M88)</f>
        <v/>
      </c>
      <c r="S88">
        <f>IF(Q88-R88&gt;1E-9,Q88-R88,0)</f>
        <v/>
      </c>
      <c r="T88">
        <f>S87*$G$54</f>
        <v/>
      </c>
      <c r="U88">
        <f>IF(W87&gt;0,MAX(0,W87*(1+$G$55)-$H$55),0)</f>
        <v/>
      </c>
      <c r="V88">
        <f>MAX(0,R88-Q88)</f>
        <v/>
      </c>
      <c r="W88">
        <f>IF(U88-V88&gt;1E-9,U88-V88,0)</f>
        <v/>
      </c>
      <c r="X88">
        <f>W87*$G$55</f>
        <v/>
      </c>
      <c r="Y88">
        <f>IF(Y87&gt;1E-9,IF(Y87*(1+$G$51)-MAX($B$9,0.01*Y87+Y87*$G$51)&gt;1E-9,Y87*(1+$G$51)-MAX($B$9,0.01*Y87+Y87*$G$51),0),0)</f>
        <v/>
      </c>
      <c r="Z88">
        <f>Y87*$G$51</f>
        <v/>
      </c>
      <c r="AA88">
        <f>IF(AA87&gt;1E-9,IF(AA87*(1+$G$52)-MAX($B$9,0.01*AA87+AA87*$G$52)&gt;1E-9,AA87*(1+$G$52)-MAX($B$9,0.01*AA87+AA87*$G$52),0),0)</f>
        <v/>
      </c>
      <c r="AB88">
        <f>AA87*$G$52</f>
        <v/>
      </c>
      <c r="AC88">
        <f>IF(AC87&gt;1E-9,IF(AC87*(1+$G$53)-MAX($B$9,0.01*AC87+AC87*$G$53)&gt;1E-9,AC87*(1+$G$53)-MAX($B$9,0.01*AC87+AC87*$G$53),0),0)</f>
        <v/>
      </c>
      <c r="AD88">
        <f>AC87*$G$53</f>
        <v/>
      </c>
      <c r="AE88">
        <f>IF(AE87&gt;1E-9,IF(AE87*(1+$G$54)-MAX($B$9,0.01*AE87+AE87*$G$54)&gt;1E-9,AE87*(1+$G$54)-MAX($B$9,0.01*AE87+AE87*$G$54),0),0)</f>
        <v/>
      </c>
      <c r="AF88">
        <f>AE87*$G$54</f>
        <v/>
      </c>
      <c r="AG88">
        <f>IF(AG87&gt;1E-9,IF(AG87*(1+$G$55)-MAX($B$9,0.01*AG87+AG87*$G$55)&gt;1E-9,AG87*(1+$G$55)-MAX($B$9,0.01*AG87+AG87*$G$55),0),0)</f>
        <v/>
      </c>
      <c r="AH88">
        <f>AG87*$G$55</f>
        <v/>
      </c>
      <c r="AI88">
        <f>G88+K88+O88+S88+W88</f>
        <v/>
      </c>
      <c r="AJ88">
        <f>AI87+AK88-AI88</f>
        <v/>
      </c>
      <c r="AK88">
        <f>H88+L88+P88+T88+X88</f>
        <v/>
      </c>
      <c r="AL88">
        <f>TEXT(EDATE($B$5,D88-1),"mmm yyyy")</f>
        <v/>
      </c>
      <c r="AM88">
        <f>AI88</f>
        <v/>
      </c>
    </row>
    <row r="89">
      <c r="D89" t="n">
        <v>28</v>
      </c>
      <c r="E89">
        <f>IF(G88&gt;0,MAX(0,G88*(1+$G$51)-$H$51),0)</f>
        <v/>
      </c>
      <c r="F89">
        <f>$B$6+IF($D89=$B$8,$B$7,0)</f>
        <v/>
      </c>
      <c r="G89">
        <f>IF(E89-F89&gt;1E-9,E89-F89,0)</f>
        <v/>
      </c>
      <c r="H89">
        <f>G88*$G$51</f>
        <v/>
      </c>
      <c r="I89">
        <f>IF(K88&gt;0,MAX(0,K88*(1+$G$52)-$H$52),0)</f>
        <v/>
      </c>
      <c r="J89">
        <f>MAX(0,F89-E89)</f>
        <v/>
      </c>
      <c r="K89">
        <f>IF(I89-J89&gt;1E-9,I89-J89,0)</f>
        <v/>
      </c>
      <c r="L89">
        <f>K88*$G$52</f>
        <v/>
      </c>
      <c r="M89">
        <f>IF(O88&gt;0,MAX(0,O88*(1+$G$53)-$H$53),0)</f>
        <v/>
      </c>
      <c r="N89">
        <f>MAX(0,J89-I89)</f>
        <v/>
      </c>
      <c r="O89">
        <f>IF(M89-N89&gt;1E-9,M89-N89,0)</f>
        <v/>
      </c>
      <c r="P89">
        <f>O88*$G$53</f>
        <v/>
      </c>
      <c r="Q89">
        <f>IF(S88&gt;0,MAX(0,S88*(1+$G$54)-$H$54),0)</f>
        <v/>
      </c>
      <c r="R89">
        <f>MAX(0,N89-M89)</f>
        <v/>
      </c>
      <c r="S89">
        <f>IF(Q89-R89&gt;1E-9,Q89-R89,0)</f>
        <v/>
      </c>
      <c r="T89">
        <f>S88*$G$54</f>
        <v/>
      </c>
      <c r="U89">
        <f>IF(W88&gt;0,MAX(0,W88*(1+$G$55)-$H$55),0)</f>
        <v/>
      </c>
      <c r="V89">
        <f>MAX(0,R89-Q89)</f>
        <v/>
      </c>
      <c r="W89">
        <f>IF(U89-V89&gt;1E-9,U89-V89,0)</f>
        <v/>
      </c>
      <c r="X89">
        <f>W88*$G$55</f>
        <v/>
      </c>
      <c r="Y89">
        <f>IF(Y88&gt;1E-9,IF(Y88*(1+$G$51)-MAX($B$9,0.01*Y88+Y88*$G$51)&gt;1E-9,Y88*(1+$G$51)-MAX($B$9,0.01*Y88+Y88*$G$51),0),0)</f>
        <v/>
      </c>
      <c r="Z89">
        <f>Y88*$G$51</f>
        <v/>
      </c>
      <c r="AA89">
        <f>IF(AA88&gt;1E-9,IF(AA88*(1+$G$52)-MAX($B$9,0.01*AA88+AA88*$G$52)&gt;1E-9,AA88*(1+$G$52)-MAX($B$9,0.01*AA88+AA88*$G$52),0),0)</f>
        <v/>
      </c>
      <c r="AB89">
        <f>AA88*$G$52</f>
        <v/>
      </c>
      <c r="AC89">
        <f>IF(AC88&gt;1E-9,IF(AC88*(1+$G$53)-MAX($B$9,0.01*AC88+AC88*$G$53)&gt;1E-9,AC88*(1+$G$53)-MAX($B$9,0.01*AC88+AC88*$G$53),0),0)</f>
        <v/>
      </c>
      <c r="AD89">
        <f>AC88*$G$53</f>
        <v/>
      </c>
      <c r="AE89">
        <f>IF(AE88&gt;1E-9,IF(AE88*(1+$G$54)-MAX($B$9,0.01*AE88+AE88*$G$54)&gt;1E-9,AE88*(1+$G$54)-MAX($B$9,0.01*AE88+AE88*$G$54),0),0)</f>
        <v/>
      </c>
      <c r="AF89">
        <f>AE88*$G$54</f>
        <v/>
      </c>
      <c r="AG89">
        <f>IF(AG88&gt;1E-9,IF(AG88*(1+$G$55)-MAX($B$9,0.01*AG88+AG88*$G$55)&gt;1E-9,AG88*(1+$G$55)-MAX($B$9,0.01*AG88+AG88*$G$55),0),0)</f>
        <v/>
      </c>
      <c r="AH89">
        <f>AG88*$G$55</f>
        <v/>
      </c>
      <c r="AI89">
        <f>G89+K89+O89+S89+W89</f>
        <v/>
      </c>
      <c r="AJ89">
        <f>AI88+AK89-AI89</f>
        <v/>
      </c>
      <c r="AK89">
        <f>H89+L89+P89+T89+X89</f>
        <v/>
      </c>
      <c r="AL89">
        <f>TEXT(EDATE($B$5,D89-1),"mmm yyyy")</f>
        <v/>
      </c>
      <c r="AM89">
        <f>AI89</f>
        <v/>
      </c>
    </row>
    <row r="90">
      <c r="D90" t="n">
        <v>29</v>
      </c>
      <c r="E90">
        <f>IF(G89&gt;0,MAX(0,G89*(1+$G$51)-$H$51),0)</f>
        <v/>
      </c>
      <c r="F90">
        <f>$B$6+IF($D90=$B$8,$B$7,0)</f>
        <v/>
      </c>
      <c r="G90">
        <f>IF(E90-F90&gt;1E-9,E90-F90,0)</f>
        <v/>
      </c>
      <c r="H90">
        <f>G89*$G$51</f>
        <v/>
      </c>
      <c r="I90">
        <f>IF(K89&gt;0,MAX(0,K89*(1+$G$52)-$H$52),0)</f>
        <v/>
      </c>
      <c r="J90">
        <f>MAX(0,F90-E90)</f>
        <v/>
      </c>
      <c r="K90">
        <f>IF(I90-J90&gt;1E-9,I90-J90,0)</f>
        <v/>
      </c>
      <c r="L90">
        <f>K89*$G$52</f>
        <v/>
      </c>
      <c r="M90">
        <f>IF(O89&gt;0,MAX(0,O89*(1+$G$53)-$H$53),0)</f>
        <v/>
      </c>
      <c r="N90">
        <f>MAX(0,J90-I90)</f>
        <v/>
      </c>
      <c r="O90">
        <f>IF(M90-N90&gt;1E-9,M90-N90,0)</f>
        <v/>
      </c>
      <c r="P90">
        <f>O89*$G$53</f>
        <v/>
      </c>
      <c r="Q90">
        <f>IF(S89&gt;0,MAX(0,S89*(1+$G$54)-$H$54),0)</f>
        <v/>
      </c>
      <c r="R90">
        <f>MAX(0,N90-M90)</f>
        <v/>
      </c>
      <c r="S90">
        <f>IF(Q90-R90&gt;1E-9,Q90-R90,0)</f>
        <v/>
      </c>
      <c r="T90">
        <f>S89*$G$54</f>
        <v/>
      </c>
      <c r="U90">
        <f>IF(W89&gt;0,MAX(0,W89*(1+$G$55)-$H$55),0)</f>
        <v/>
      </c>
      <c r="V90">
        <f>MAX(0,R90-Q90)</f>
        <v/>
      </c>
      <c r="W90">
        <f>IF(U90-V90&gt;1E-9,U90-V90,0)</f>
        <v/>
      </c>
      <c r="X90">
        <f>W89*$G$55</f>
        <v/>
      </c>
      <c r="Y90">
        <f>IF(Y89&gt;1E-9,IF(Y89*(1+$G$51)-MAX($B$9,0.01*Y89+Y89*$G$51)&gt;1E-9,Y89*(1+$G$51)-MAX($B$9,0.01*Y89+Y89*$G$51),0),0)</f>
        <v/>
      </c>
      <c r="Z90">
        <f>Y89*$G$51</f>
        <v/>
      </c>
      <c r="AA90">
        <f>IF(AA89&gt;1E-9,IF(AA89*(1+$G$52)-MAX($B$9,0.01*AA89+AA89*$G$52)&gt;1E-9,AA89*(1+$G$52)-MAX($B$9,0.01*AA89+AA89*$G$52),0),0)</f>
        <v/>
      </c>
      <c r="AB90">
        <f>AA89*$G$52</f>
        <v/>
      </c>
      <c r="AC90">
        <f>IF(AC89&gt;1E-9,IF(AC89*(1+$G$53)-MAX($B$9,0.01*AC89+AC89*$G$53)&gt;1E-9,AC89*(1+$G$53)-MAX($B$9,0.01*AC89+AC89*$G$53),0),0)</f>
        <v/>
      </c>
      <c r="AD90">
        <f>AC89*$G$53</f>
        <v/>
      </c>
      <c r="AE90">
        <f>IF(AE89&gt;1E-9,IF(AE89*(1+$G$54)-MAX($B$9,0.01*AE89+AE89*$G$54)&gt;1E-9,AE89*(1+$G$54)-MAX($B$9,0.01*AE89+AE89*$G$54),0),0)</f>
        <v/>
      </c>
      <c r="AF90">
        <f>AE89*$G$54</f>
        <v/>
      </c>
      <c r="AG90">
        <f>IF(AG89&gt;1E-9,IF(AG89*(1+$G$55)-MAX($B$9,0.01*AG89+AG89*$G$55)&gt;1E-9,AG89*(1+$G$55)-MAX($B$9,0.01*AG89+AG89*$G$55),0),0)</f>
        <v/>
      </c>
      <c r="AH90">
        <f>AG89*$G$55</f>
        <v/>
      </c>
      <c r="AI90">
        <f>G90+K90+O90+S90+W90</f>
        <v/>
      </c>
      <c r="AJ90">
        <f>AI89+AK90-AI90</f>
        <v/>
      </c>
      <c r="AK90">
        <f>H90+L90+P90+T90+X90</f>
        <v/>
      </c>
      <c r="AL90">
        <f>TEXT(EDATE($B$5,D90-1),"mmm yyyy")</f>
        <v/>
      </c>
      <c r="AM90">
        <f>AI90</f>
        <v/>
      </c>
    </row>
    <row r="91">
      <c r="D91" t="n">
        <v>30</v>
      </c>
      <c r="E91">
        <f>IF(G90&gt;0,MAX(0,G90*(1+$G$51)-$H$51),0)</f>
        <v/>
      </c>
      <c r="F91">
        <f>$B$6+IF($D91=$B$8,$B$7,0)</f>
        <v/>
      </c>
      <c r="G91">
        <f>IF(E91-F91&gt;1E-9,E91-F91,0)</f>
        <v/>
      </c>
      <c r="H91">
        <f>G90*$G$51</f>
        <v/>
      </c>
      <c r="I91">
        <f>IF(K90&gt;0,MAX(0,K90*(1+$G$52)-$H$52),0)</f>
        <v/>
      </c>
      <c r="J91">
        <f>MAX(0,F91-E91)</f>
        <v/>
      </c>
      <c r="K91">
        <f>IF(I91-J91&gt;1E-9,I91-J91,0)</f>
        <v/>
      </c>
      <c r="L91">
        <f>K90*$G$52</f>
        <v/>
      </c>
      <c r="M91">
        <f>IF(O90&gt;0,MAX(0,O90*(1+$G$53)-$H$53),0)</f>
        <v/>
      </c>
      <c r="N91">
        <f>MAX(0,J91-I91)</f>
        <v/>
      </c>
      <c r="O91">
        <f>IF(M91-N91&gt;1E-9,M91-N91,0)</f>
        <v/>
      </c>
      <c r="P91">
        <f>O90*$G$53</f>
        <v/>
      </c>
      <c r="Q91">
        <f>IF(S90&gt;0,MAX(0,S90*(1+$G$54)-$H$54),0)</f>
        <v/>
      </c>
      <c r="R91">
        <f>MAX(0,N91-M91)</f>
        <v/>
      </c>
      <c r="S91">
        <f>IF(Q91-R91&gt;1E-9,Q91-R91,0)</f>
        <v/>
      </c>
      <c r="T91">
        <f>S90*$G$54</f>
        <v/>
      </c>
      <c r="U91">
        <f>IF(W90&gt;0,MAX(0,W90*(1+$G$55)-$H$55),0)</f>
        <v/>
      </c>
      <c r="V91">
        <f>MAX(0,R91-Q91)</f>
        <v/>
      </c>
      <c r="W91">
        <f>IF(U91-V91&gt;1E-9,U91-V91,0)</f>
        <v/>
      </c>
      <c r="X91">
        <f>W90*$G$55</f>
        <v/>
      </c>
      <c r="Y91">
        <f>IF(Y90&gt;1E-9,IF(Y90*(1+$G$51)-MAX($B$9,0.01*Y90+Y90*$G$51)&gt;1E-9,Y90*(1+$G$51)-MAX($B$9,0.01*Y90+Y90*$G$51),0),0)</f>
        <v/>
      </c>
      <c r="Z91">
        <f>Y90*$G$51</f>
        <v/>
      </c>
      <c r="AA91">
        <f>IF(AA90&gt;1E-9,IF(AA90*(1+$G$52)-MAX($B$9,0.01*AA90+AA90*$G$52)&gt;1E-9,AA90*(1+$G$52)-MAX($B$9,0.01*AA90+AA90*$G$52),0),0)</f>
        <v/>
      </c>
      <c r="AB91">
        <f>AA90*$G$52</f>
        <v/>
      </c>
      <c r="AC91">
        <f>IF(AC90&gt;1E-9,IF(AC90*(1+$G$53)-MAX($B$9,0.01*AC90+AC90*$G$53)&gt;1E-9,AC90*(1+$G$53)-MAX($B$9,0.01*AC90+AC90*$G$53),0),0)</f>
        <v/>
      </c>
      <c r="AD91">
        <f>AC90*$G$53</f>
        <v/>
      </c>
      <c r="AE91">
        <f>IF(AE90&gt;1E-9,IF(AE90*(1+$G$54)-MAX($B$9,0.01*AE90+AE90*$G$54)&gt;1E-9,AE90*(1+$G$54)-MAX($B$9,0.01*AE90+AE90*$G$54),0),0)</f>
        <v/>
      </c>
      <c r="AF91">
        <f>AE90*$G$54</f>
        <v/>
      </c>
      <c r="AG91">
        <f>IF(AG90&gt;1E-9,IF(AG90*(1+$G$55)-MAX($B$9,0.01*AG90+AG90*$G$55)&gt;1E-9,AG90*(1+$G$55)-MAX($B$9,0.01*AG90+AG90*$G$55),0),0)</f>
        <v/>
      </c>
      <c r="AH91">
        <f>AG90*$G$55</f>
        <v/>
      </c>
      <c r="AI91">
        <f>G91+K91+O91+S91+W91</f>
        <v/>
      </c>
      <c r="AJ91">
        <f>AI90+AK91-AI91</f>
        <v/>
      </c>
      <c r="AK91">
        <f>H91+L91+P91+T91+X91</f>
        <v/>
      </c>
      <c r="AL91">
        <f>TEXT(EDATE($B$5,D91-1),"mmm yyyy")</f>
        <v/>
      </c>
      <c r="AM91">
        <f>AI91</f>
        <v/>
      </c>
    </row>
    <row r="92">
      <c r="D92" t="n">
        <v>31</v>
      </c>
      <c r="E92">
        <f>IF(G91&gt;0,MAX(0,G91*(1+$G$51)-$H$51),0)</f>
        <v/>
      </c>
      <c r="F92">
        <f>$B$6+IF($D92=$B$8,$B$7,0)</f>
        <v/>
      </c>
      <c r="G92">
        <f>IF(E92-F92&gt;1E-9,E92-F92,0)</f>
        <v/>
      </c>
      <c r="H92">
        <f>G91*$G$51</f>
        <v/>
      </c>
      <c r="I92">
        <f>IF(K91&gt;0,MAX(0,K91*(1+$G$52)-$H$52),0)</f>
        <v/>
      </c>
      <c r="J92">
        <f>MAX(0,F92-E92)</f>
        <v/>
      </c>
      <c r="K92">
        <f>IF(I92-J92&gt;1E-9,I92-J92,0)</f>
        <v/>
      </c>
      <c r="L92">
        <f>K91*$G$52</f>
        <v/>
      </c>
      <c r="M92">
        <f>IF(O91&gt;0,MAX(0,O91*(1+$G$53)-$H$53),0)</f>
        <v/>
      </c>
      <c r="N92">
        <f>MAX(0,J92-I92)</f>
        <v/>
      </c>
      <c r="O92">
        <f>IF(M92-N92&gt;1E-9,M92-N92,0)</f>
        <v/>
      </c>
      <c r="P92">
        <f>O91*$G$53</f>
        <v/>
      </c>
      <c r="Q92">
        <f>IF(S91&gt;0,MAX(0,S91*(1+$G$54)-$H$54),0)</f>
        <v/>
      </c>
      <c r="R92">
        <f>MAX(0,N92-M92)</f>
        <v/>
      </c>
      <c r="S92">
        <f>IF(Q92-R92&gt;1E-9,Q92-R92,0)</f>
        <v/>
      </c>
      <c r="T92">
        <f>S91*$G$54</f>
        <v/>
      </c>
      <c r="U92">
        <f>IF(W91&gt;0,MAX(0,W91*(1+$G$55)-$H$55),0)</f>
        <v/>
      </c>
      <c r="V92">
        <f>MAX(0,R92-Q92)</f>
        <v/>
      </c>
      <c r="W92">
        <f>IF(U92-V92&gt;1E-9,U92-V92,0)</f>
        <v/>
      </c>
      <c r="X92">
        <f>W91*$G$55</f>
        <v/>
      </c>
      <c r="Y92">
        <f>IF(Y91&gt;1E-9,IF(Y91*(1+$G$51)-MAX($B$9,0.01*Y91+Y91*$G$51)&gt;1E-9,Y91*(1+$G$51)-MAX($B$9,0.01*Y91+Y91*$G$51),0),0)</f>
        <v/>
      </c>
      <c r="Z92">
        <f>Y91*$G$51</f>
        <v/>
      </c>
      <c r="AA92">
        <f>IF(AA91&gt;1E-9,IF(AA91*(1+$G$52)-MAX($B$9,0.01*AA91+AA91*$G$52)&gt;1E-9,AA91*(1+$G$52)-MAX($B$9,0.01*AA91+AA91*$G$52),0),0)</f>
        <v/>
      </c>
      <c r="AB92">
        <f>AA91*$G$52</f>
        <v/>
      </c>
      <c r="AC92">
        <f>IF(AC91&gt;1E-9,IF(AC91*(1+$G$53)-MAX($B$9,0.01*AC91+AC91*$G$53)&gt;1E-9,AC91*(1+$G$53)-MAX($B$9,0.01*AC91+AC91*$G$53),0),0)</f>
        <v/>
      </c>
      <c r="AD92">
        <f>AC91*$G$53</f>
        <v/>
      </c>
      <c r="AE92">
        <f>IF(AE91&gt;1E-9,IF(AE91*(1+$G$54)-MAX($B$9,0.01*AE91+AE91*$G$54)&gt;1E-9,AE91*(1+$G$54)-MAX($B$9,0.01*AE91+AE91*$G$54),0),0)</f>
        <v/>
      </c>
      <c r="AF92">
        <f>AE91*$G$54</f>
        <v/>
      </c>
      <c r="AG92">
        <f>IF(AG91&gt;1E-9,IF(AG91*(1+$G$55)-MAX($B$9,0.01*AG91+AG91*$G$55)&gt;1E-9,AG91*(1+$G$55)-MAX($B$9,0.01*AG91+AG91*$G$55),0),0)</f>
        <v/>
      </c>
      <c r="AH92">
        <f>AG91*$G$55</f>
        <v/>
      </c>
      <c r="AI92">
        <f>G92+K92+O92+S92+W92</f>
        <v/>
      </c>
      <c r="AJ92">
        <f>AI91+AK92-AI92</f>
        <v/>
      </c>
      <c r="AK92">
        <f>H92+L92+P92+T92+X92</f>
        <v/>
      </c>
      <c r="AL92">
        <f>TEXT(EDATE($B$5,D92-1),"mmm yyyy")</f>
        <v/>
      </c>
      <c r="AM92">
        <f>AI92</f>
        <v/>
      </c>
    </row>
    <row r="93">
      <c r="D93" t="n">
        <v>32</v>
      </c>
      <c r="E93">
        <f>IF(G92&gt;0,MAX(0,G92*(1+$G$51)-$H$51),0)</f>
        <v/>
      </c>
      <c r="F93">
        <f>$B$6+IF($D93=$B$8,$B$7,0)</f>
        <v/>
      </c>
      <c r="G93">
        <f>IF(E93-F93&gt;1E-9,E93-F93,0)</f>
        <v/>
      </c>
      <c r="H93">
        <f>G92*$G$51</f>
        <v/>
      </c>
      <c r="I93">
        <f>IF(K92&gt;0,MAX(0,K92*(1+$G$52)-$H$52),0)</f>
        <v/>
      </c>
      <c r="J93">
        <f>MAX(0,F93-E93)</f>
        <v/>
      </c>
      <c r="K93">
        <f>IF(I93-J93&gt;1E-9,I93-J93,0)</f>
        <v/>
      </c>
      <c r="L93">
        <f>K92*$G$52</f>
        <v/>
      </c>
      <c r="M93">
        <f>IF(O92&gt;0,MAX(0,O92*(1+$G$53)-$H$53),0)</f>
        <v/>
      </c>
      <c r="N93">
        <f>MAX(0,J93-I93)</f>
        <v/>
      </c>
      <c r="O93">
        <f>IF(M93-N93&gt;1E-9,M93-N93,0)</f>
        <v/>
      </c>
      <c r="P93">
        <f>O92*$G$53</f>
        <v/>
      </c>
      <c r="Q93">
        <f>IF(S92&gt;0,MAX(0,S92*(1+$G$54)-$H$54),0)</f>
        <v/>
      </c>
      <c r="R93">
        <f>MAX(0,N93-M93)</f>
        <v/>
      </c>
      <c r="S93">
        <f>IF(Q93-R93&gt;1E-9,Q93-R93,0)</f>
        <v/>
      </c>
      <c r="T93">
        <f>S92*$G$54</f>
        <v/>
      </c>
      <c r="U93">
        <f>IF(W92&gt;0,MAX(0,W92*(1+$G$55)-$H$55),0)</f>
        <v/>
      </c>
      <c r="V93">
        <f>MAX(0,R93-Q93)</f>
        <v/>
      </c>
      <c r="W93">
        <f>IF(U93-V93&gt;1E-9,U93-V93,0)</f>
        <v/>
      </c>
      <c r="X93">
        <f>W92*$G$55</f>
        <v/>
      </c>
      <c r="Y93">
        <f>IF(Y92&gt;1E-9,IF(Y92*(1+$G$51)-MAX($B$9,0.01*Y92+Y92*$G$51)&gt;1E-9,Y92*(1+$G$51)-MAX($B$9,0.01*Y92+Y92*$G$51),0),0)</f>
        <v/>
      </c>
      <c r="Z93">
        <f>Y92*$G$51</f>
        <v/>
      </c>
      <c r="AA93">
        <f>IF(AA92&gt;1E-9,IF(AA92*(1+$G$52)-MAX($B$9,0.01*AA92+AA92*$G$52)&gt;1E-9,AA92*(1+$G$52)-MAX($B$9,0.01*AA92+AA92*$G$52),0),0)</f>
        <v/>
      </c>
      <c r="AB93">
        <f>AA92*$G$52</f>
        <v/>
      </c>
      <c r="AC93">
        <f>IF(AC92&gt;1E-9,IF(AC92*(1+$G$53)-MAX($B$9,0.01*AC92+AC92*$G$53)&gt;1E-9,AC92*(1+$G$53)-MAX($B$9,0.01*AC92+AC92*$G$53),0),0)</f>
        <v/>
      </c>
      <c r="AD93">
        <f>AC92*$G$53</f>
        <v/>
      </c>
      <c r="AE93">
        <f>IF(AE92&gt;1E-9,IF(AE92*(1+$G$54)-MAX($B$9,0.01*AE92+AE92*$G$54)&gt;1E-9,AE92*(1+$G$54)-MAX($B$9,0.01*AE92+AE92*$G$54),0),0)</f>
        <v/>
      </c>
      <c r="AF93">
        <f>AE92*$G$54</f>
        <v/>
      </c>
      <c r="AG93">
        <f>IF(AG92&gt;1E-9,IF(AG92*(1+$G$55)-MAX($B$9,0.01*AG92+AG92*$G$55)&gt;1E-9,AG92*(1+$G$55)-MAX($B$9,0.01*AG92+AG92*$G$55),0),0)</f>
        <v/>
      </c>
      <c r="AH93">
        <f>AG92*$G$55</f>
        <v/>
      </c>
      <c r="AI93">
        <f>G93+K93+O93+S93+W93</f>
        <v/>
      </c>
      <c r="AJ93">
        <f>AI92+AK93-AI93</f>
        <v/>
      </c>
      <c r="AK93">
        <f>H93+L93+P93+T93+X93</f>
        <v/>
      </c>
      <c r="AL93">
        <f>TEXT(EDATE($B$5,D93-1),"mmm yyyy")</f>
        <v/>
      </c>
      <c r="AM93">
        <f>AI93</f>
        <v/>
      </c>
    </row>
    <row r="94">
      <c r="D94" t="n">
        <v>33</v>
      </c>
      <c r="E94">
        <f>IF(G93&gt;0,MAX(0,G93*(1+$G$51)-$H$51),0)</f>
        <v/>
      </c>
      <c r="F94">
        <f>$B$6+IF($D94=$B$8,$B$7,0)</f>
        <v/>
      </c>
      <c r="G94">
        <f>IF(E94-F94&gt;1E-9,E94-F94,0)</f>
        <v/>
      </c>
      <c r="H94">
        <f>G93*$G$51</f>
        <v/>
      </c>
      <c r="I94">
        <f>IF(K93&gt;0,MAX(0,K93*(1+$G$52)-$H$52),0)</f>
        <v/>
      </c>
      <c r="J94">
        <f>MAX(0,F94-E94)</f>
        <v/>
      </c>
      <c r="K94">
        <f>IF(I94-J94&gt;1E-9,I94-J94,0)</f>
        <v/>
      </c>
      <c r="L94">
        <f>K93*$G$52</f>
        <v/>
      </c>
      <c r="M94">
        <f>IF(O93&gt;0,MAX(0,O93*(1+$G$53)-$H$53),0)</f>
        <v/>
      </c>
      <c r="N94">
        <f>MAX(0,J94-I94)</f>
        <v/>
      </c>
      <c r="O94">
        <f>IF(M94-N94&gt;1E-9,M94-N94,0)</f>
        <v/>
      </c>
      <c r="P94">
        <f>O93*$G$53</f>
        <v/>
      </c>
      <c r="Q94">
        <f>IF(S93&gt;0,MAX(0,S93*(1+$G$54)-$H$54),0)</f>
        <v/>
      </c>
      <c r="R94">
        <f>MAX(0,N94-M94)</f>
        <v/>
      </c>
      <c r="S94">
        <f>IF(Q94-R94&gt;1E-9,Q94-R94,0)</f>
        <v/>
      </c>
      <c r="T94">
        <f>S93*$G$54</f>
        <v/>
      </c>
      <c r="U94">
        <f>IF(W93&gt;0,MAX(0,W93*(1+$G$55)-$H$55),0)</f>
        <v/>
      </c>
      <c r="V94">
        <f>MAX(0,R94-Q94)</f>
        <v/>
      </c>
      <c r="W94">
        <f>IF(U94-V94&gt;1E-9,U94-V94,0)</f>
        <v/>
      </c>
      <c r="X94">
        <f>W93*$G$55</f>
        <v/>
      </c>
      <c r="Y94">
        <f>IF(Y93&gt;1E-9,IF(Y93*(1+$G$51)-MAX($B$9,0.01*Y93+Y93*$G$51)&gt;1E-9,Y93*(1+$G$51)-MAX($B$9,0.01*Y93+Y93*$G$51),0),0)</f>
        <v/>
      </c>
      <c r="Z94">
        <f>Y93*$G$51</f>
        <v/>
      </c>
      <c r="AA94">
        <f>IF(AA93&gt;1E-9,IF(AA93*(1+$G$52)-MAX($B$9,0.01*AA93+AA93*$G$52)&gt;1E-9,AA93*(1+$G$52)-MAX($B$9,0.01*AA93+AA93*$G$52),0),0)</f>
        <v/>
      </c>
      <c r="AB94">
        <f>AA93*$G$52</f>
        <v/>
      </c>
      <c r="AC94">
        <f>IF(AC93&gt;1E-9,IF(AC93*(1+$G$53)-MAX($B$9,0.01*AC93+AC93*$G$53)&gt;1E-9,AC93*(1+$G$53)-MAX($B$9,0.01*AC93+AC93*$G$53),0),0)</f>
        <v/>
      </c>
      <c r="AD94">
        <f>AC93*$G$53</f>
        <v/>
      </c>
      <c r="AE94">
        <f>IF(AE93&gt;1E-9,IF(AE93*(1+$G$54)-MAX($B$9,0.01*AE93+AE93*$G$54)&gt;1E-9,AE93*(1+$G$54)-MAX($B$9,0.01*AE93+AE93*$G$54),0),0)</f>
        <v/>
      </c>
      <c r="AF94">
        <f>AE93*$G$54</f>
        <v/>
      </c>
      <c r="AG94">
        <f>IF(AG93&gt;1E-9,IF(AG93*(1+$G$55)-MAX($B$9,0.01*AG93+AG93*$G$55)&gt;1E-9,AG93*(1+$G$55)-MAX($B$9,0.01*AG93+AG93*$G$55),0),0)</f>
        <v/>
      </c>
      <c r="AH94">
        <f>AG93*$G$55</f>
        <v/>
      </c>
      <c r="AI94">
        <f>G94+K94+O94+S94+W94</f>
        <v/>
      </c>
      <c r="AJ94">
        <f>AI93+AK94-AI94</f>
        <v/>
      </c>
      <c r="AK94">
        <f>H94+L94+P94+T94+X94</f>
        <v/>
      </c>
      <c r="AL94">
        <f>TEXT(EDATE($B$5,D94-1),"mmm yyyy")</f>
        <v/>
      </c>
      <c r="AM94">
        <f>AI94</f>
        <v/>
      </c>
    </row>
    <row r="95">
      <c r="D95" t="n">
        <v>34</v>
      </c>
      <c r="E95">
        <f>IF(G94&gt;0,MAX(0,G94*(1+$G$51)-$H$51),0)</f>
        <v/>
      </c>
      <c r="F95">
        <f>$B$6+IF($D95=$B$8,$B$7,0)</f>
        <v/>
      </c>
      <c r="G95">
        <f>IF(E95-F95&gt;1E-9,E95-F95,0)</f>
        <v/>
      </c>
      <c r="H95">
        <f>G94*$G$51</f>
        <v/>
      </c>
      <c r="I95">
        <f>IF(K94&gt;0,MAX(0,K94*(1+$G$52)-$H$52),0)</f>
        <v/>
      </c>
      <c r="J95">
        <f>MAX(0,F95-E95)</f>
        <v/>
      </c>
      <c r="K95">
        <f>IF(I95-J95&gt;1E-9,I95-J95,0)</f>
        <v/>
      </c>
      <c r="L95">
        <f>K94*$G$52</f>
        <v/>
      </c>
      <c r="M95">
        <f>IF(O94&gt;0,MAX(0,O94*(1+$G$53)-$H$53),0)</f>
        <v/>
      </c>
      <c r="N95">
        <f>MAX(0,J95-I95)</f>
        <v/>
      </c>
      <c r="O95">
        <f>IF(M95-N95&gt;1E-9,M95-N95,0)</f>
        <v/>
      </c>
      <c r="P95">
        <f>O94*$G$53</f>
        <v/>
      </c>
      <c r="Q95">
        <f>IF(S94&gt;0,MAX(0,S94*(1+$G$54)-$H$54),0)</f>
        <v/>
      </c>
      <c r="R95">
        <f>MAX(0,N95-M95)</f>
        <v/>
      </c>
      <c r="S95">
        <f>IF(Q95-R95&gt;1E-9,Q95-R95,0)</f>
        <v/>
      </c>
      <c r="T95">
        <f>S94*$G$54</f>
        <v/>
      </c>
      <c r="U95">
        <f>IF(W94&gt;0,MAX(0,W94*(1+$G$55)-$H$55),0)</f>
        <v/>
      </c>
      <c r="V95">
        <f>MAX(0,R95-Q95)</f>
        <v/>
      </c>
      <c r="W95">
        <f>IF(U95-V95&gt;1E-9,U95-V95,0)</f>
        <v/>
      </c>
      <c r="X95">
        <f>W94*$G$55</f>
        <v/>
      </c>
      <c r="Y95">
        <f>IF(Y94&gt;1E-9,IF(Y94*(1+$G$51)-MAX($B$9,0.01*Y94+Y94*$G$51)&gt;1E-9,Y94*(1+$G$51)-MAX($B$9,0.01*Y94+Y94*$G$51),0),0)</f>
        <v/>
      </c>
      <c r="Z95">
        <f>Y94*$G$51</f>
        <v/>
      </c>
      <c r="AA95">
        <f>IF(AA94&gt;1E-9,IF(AA94*(1+$G$52)-MAX($B$9,0.01*AA94+AA94*$G$52)&gt;1E-9,AA94*(1+$G$52)-MAX($B$9,0.01*AA94+AA94*$G$52),0),0)</f>
        <v/>
      </c>
      <c r="AB95">
        <f>AA94*$G$52</f>
        <v/>
      </c>
      <c r="AC95">
        <f>IF(AC94&gt;1E-9,IF(AC94*(1+$G$53)-MAX($B$9,0.01*AC94+AC94*$G$53)&gt;1E-9,AC94*(1+$G$53)-MAX($B$9,0.01*AC94+AC94*$G$53),0),0)</f>
        <v/>
      </c>
      <c r="AD95">
        <f>AC94*$G$53</f>
        <v/>
      </c>
      <c r="AE95">
        <f>IF(AE94&gt;1E-9,IF(AE94*(1+$G$54)-MAX($B$9,0.01*AE94+AE94*$G$54)&gt;1E-9,AE94*(1+$G$54)-MAX($B$9,0.01*AE94+AE94*$G$54),0),0)</f>
        <v/>
      </c>
      <c r="AF95">
        <f>AE94*$G$54</f>
        <v/>
      </c>
      <c r="AG95">
        <f>IF(AG94&gt;1E-9,IF(AG94*(1+$G$55)-MAX($B$9,0.01*AG94+AG94*$G$55)&gt;1E-9,AG94*(1+$G$55)-MAX($B$9,0.01*AG94+AG94*$G$55),0),0)</f>
        <v/>
      </c>
      <c r="AH95">
        <f>AG94*$G$55</f>
        <v/>
      </c>
      <c r="AI95">
        <f>G95+K95+O95+S95+W95</f>
        <v/>
      </c>
      <c r="AJ95">
        <f>AI94+AK95-AI95</f>
        <v/>
      </c>
      <c r="AK95">
        <f>H95+L95+P95+T95+X95</f>
        <v/>
      </c>
      <c r="AL95">
        <f>TEXT(EDATE($B$5,D95-1),"mmm yyyy")</f>
        <v/>
      </c>
      <c r="AM95">
        <f>AI95</f>
        <v/>
      </c>
    </row>
    <row r="96">
      <c r="D96" t="n">
        <v>35</v>
      </c>
      <c r="E96">
        <f>IF(G95&gt;0,MAX(0,G95*(1+$G$51)-$H$51),0)</f>
        <v/>
      </c>
      <c r="F96">
        <f>$B$6+IF($D96=$B$8,$B$7,0)</f>
        <v/>
      </c>
      <c r="G96">
        <f>IF(E96-F96&gt;1E-9,E96-F96,0)</f>
        <v/>
      </c>
      <c r="H96">
        <f>G95*$G$51</f>
        <v/>
      </c>
      <c r="I96">
        <f>IF(K95&gt;0,MAX(0,K95*(1+$G$52)-$H$52),0)</f>
        <v/>
      </c>
      <c r="J96">
        <f>MAX(0,F96-E96)</f>
        <v/>
      </c>
      <c r="K96">
        <f>IF(I96-J96&gt;1E-9,I96-J96,0)</f>
        <v/>
      </c>
      <c r="L96">
        <f>K95*$G$52</f>
        <v/>
      </c>
      <c r="M96">
        <f>IF(O95&gt;0,MAX(0,O95*(1+$G$53)-$H$53),0)</f>
        <v/>
      </c>
      <c r="N96">
        <f>MAX(0,J96-I96)</f>
        <v/>
      </c>
      <c r="O96">
        <f>IF(M96-N96&gt;1E-9,M96-N96,0)</f>
        <v/>
      </c>
      <c r="P96">
        <f>O95*$G$53</f>
        <v/>
      </c>
      <c r="Q96">
        <f>IF(S95&gt;0,MAX(0,S95*(1+$G$54)-$H$54),0)</f>
        <v/>
      </c>
      <c r="R96">
        <f>MAX(0,N96-M96)</f>
        <v/>
      </c>
      <c r="S96">
        <f>IF(Q96-R96&gt;1E-9,Q96-R96,0)</f>
        <v/>
      </c>
      <c r="T96">
        <f>S95*$G$54</f>
        <v/>
      </c>
      <c r="U96">
        <f>IF(W95&gt;0,MAX(0,W95*(1+$G$55)-$H$55),0)</f>
        <v/>
      </c>
      <c r="V96">
        <f>MAX(0,R96-Q96)</f>
        <v/>
      </c>
      <c r="W96">
        <f>IF(U96-V96&gt;1E-9,U96-V96,0)</f>
        <v/>
      </c>
      <c r="X96">
        <f>W95*$G$55</f>
        <v/>
      </c>
      <c r="Y96">
        <f>IF(Y95&gt;1E-9,IF(Y95*(1+$G$51)-MAX($B$9,0.01*Y95+Y95*$G$51)&gt;1E-9,Y95*(1+$G$51)-MAX($B$9,0.01*Y95+Y95*$G$51),0),0)</f>
        <v/>
      </c>
      <c r="Z96">
        <f>Y95*$G$51</f>
        <v/>
      </c>
      <c r="AA96">
        <f>IF(AA95&gt;1E-9,IF(AA95*(1+$G$52)-MAX($B$9,0.01*AA95+AA95*$G$52)&gt;1E-9,AA95*(1+$G$52)-MAX($B$9,0.01*AA95+AA95*$G$52),0),0)</f>
        <v/>
      </c>
      <c r="AB96">
        <f>AA95*$G$52</f>
        <v/>
      </c>
      <c r="AC96">
        <f>IF(AC95&gt;1E-9,IF(AC95*(1+$G$53)-MAX($B$9,0.01*AC95+AC95*$G$53)&gt;1E-9,AC95*(1+$G$53)-MAX($B$9,0.01*AC95+AC95*$G$53),0),0)</f>
        <v/>
      </c>
      <c r="AD96">
        <f>AC95*$G$53</f>
        <v/>
      </c>
      <c r="AE96">
        <f>IF(AE95&gt;1E-9,IF(AE95*(1+$G$54)-MAX($B$9,0.01*AE95+AE95*$G$54)&gt;1E-9,AE95*(1+$G$54)-MAX($B$9,0.01*AE95+AE95*$G$54),0),0)</f>
        <v/>
      </c>
      <c r="AF96">
        <f>AE95*$G$54</f>
        <v/>
      </c>
      <c r="AG96">
        <f>IF(AG95&gt;1E-9,IF(AG95*(1+$G$55)-MAX($B$9,0.01*AG95+AG95*$G$55)&gt;1E-9,AG95*(1+$G$55)-MAX($B$9,0.01*AG95+AG95*$G$55),0),0)</f>
        <v/>
      </c>
      <c r="AH96">
        <f>AG95*$G$55</f>
        <v/>
      </c>
      <c r="AI96">
        <f>G96+K96+O96+S96+W96</f>
        <v/>
      </c>
      <c r="AJ96">
        <f>AI95+AK96-AI96</f>
        <v/>
      </c>
      <c r="AK96">
        <f>H96+L96+P96+T96+X96</f>
        <v/>
      </c>
      <c r="AL96">
        <f>TEXT(EDATE($B$5,D96-1),"mmm yyyy")</f>
        <v/>
      </c>
      <c r="AM96">
        <f>AI96</f>
        <v/>
      </c>
    </row>
    <row r="97">
      <c r="D97" t="n">
        <v>36</v>
      </c>
      <c r="E97">
        <f>IF(G96&gt;0,MAX(0,G96*(1+$G$51)-$H$51),0)</f>
        <v/>
      </c>
      <c r="F97">
        <f>$B$6+IF($D97=$B$8,$B$7,0)</f>
        <v/>
      </c>
      <c r="G97">
        <f>IF(E97-F97&gt;1E-9,E97-F97,0)</f>
        <v/>
      </c>
      <c r="H97">
        <f>G96*$G$51</f>
        <v/>
      </c>
      <c r="I97">
        <f>IF(K96&gt;0,MAX(0,K96*(1+$G$52)-$H$52),0)</f>
        <v/>
      </c>
      <c r="J97">
        <f>MAX(0,F97-E97)</f>
        <v/>
      </c>
      <c r="K97">
        <f>IF(I97-J97&gt;1E-9,I97-J97,0)</f>
        <v/>
      </c>
      <c r="L97">
        <f>K96*$G$52</f>
        <v/>
      </c>
      <c r="M97">
        <f>IF(O96&gt;0,MAX(0,O96*(1+$G$53)-$H$53),0)</f>
        <v/>
      </c>
      <c r="N97">
        <f>MAX(0,J97-I97)</f>
        <v/>
      </c>
      <c r="O97">
        <f>IF(M97-N97&gt;1E-9,M97-N97,0)</f>
        <v/>
      </c>
      <c r="P97">
        <f>O96*$G$53</f>
        <v/>
      </c>
      <c r="Q97">
        <f>IF(S96&gt;0,MAX(0,S96*(1+$G$54)-$H$54),0)</f>
        <v/>
      </c>
      <c r="R97">
        <f>MAX(0,N97-M97)</f>
        <v/>
      </c>
      <c r="S97">
        <f>IF(Q97-R97&gt;1E-9,Q97-R97,0)</f>
        <v/>
      </c>
      <c r="T97">
        <f>S96*$G$54</f>
        <v/>
      </c>
      <c r="U97">
        <f>IF(W96&gt;0,MAX(0,W96*(1+$G$55)-$H$55),0)</f>
        <v/>
      </c>
      <c r="V97">
        <f>MAX(0,R97-Q97)</f>
        <v/>
      </c>
      <c r="W97">
        <f>IF(U97-V97&gt;1E-9,U97-V97,0)</f>
        <v/>
      </c>
      <c r="X97">
        <f>W96*$G$55</f>
        <v/>
      </c>
      <c r="Y97">
        <f>IF(Y96&gt;1E-9,IF(Y96*(1+$G$51)-MAX($B$9,0.01*Y96+Y96*$G$51)&gt;1E-9,Y96*(1+$G$51)-MAX($B$9,0.01*Y96+Y96*$G$51),0),0)</f>
        <v/>
      </c>
      <c r="Z97">
        <f>Y96*$G$51</f>
        <v/>
      </c>
      <c r="AA97">
        <f>IF(AA96&gt;1E-9,IF(AA96*(1+$G$52)-MAX($B$9,0.01*AA96+AA96*$G$52)&gt;1E-9,AA96*(1+$G$52)-MAX($B$9,0.01*AA96+AA96*$G$52),0),0)</f>
        <v/>
      </c>
      <c r="AB97">
        <f>AA96*$G$52</f>
        <v/>
      </c>
      <c r="AC97">
        <f>IF(AC96&gt;1E-9,IF(AC96*(1+$G$53)-MAX($B$9,0.01*AC96+AC96*$G$53)&gt;1E-9,AC96*(1+$G$53)-MAX($B$9,0.01*AC96+AC96*$G$53),0),0)</f>
        <v/>
      </c>
      <c r="AD97">
        <f>AC96*$G$53</f>
        <v/>
      </c>
      <c r="AE97">
        <f>IF(AE96&gt;1E-9,IF(AE96*(1+$G$54)-MAX($B$9,0.01*AE96+AE96*$G$54)&gt;1E-9,AE96*(1+$G$54)-MAX($B$9,0.01*AE96+AE96*$G$54),0),0)</f>
        <v/>
      </c>
      <c r="AF97">
        <f>AE96*$G$54</f>
        <v/>
      </c>
      <c r="AG97">
        <f>IF(AG96&gt;1E-9,IF(AG96*(1+$G$55)-MAX($B$9,0.01*AG96+AG96*$G$55)&gt;1E-9,AG96*(1+$G$55)-MAX($B$9,0.01*AG96+AG96*$G$55),0),0)</f>
        <v/>
      </c>
      <c r="AH97">
        <f>AG96*$G$55</f>
        <v/>
      </c>
      <c r="AI97">
        <f>G97+K97+O97+S97+W97</f>
        <v/>
      </c>
      <c r="AJ97">
        <f>AI96+AK97-AI97</f>
        <v/>
      </c>
      <c r="AK97">
        <f>H97+L97+P97+T97+X97</f>
        <v/>
      </c>
      <c r="AL97">
        <f>TEXT(EDATE($B$5,D97-1),"mmm yyyy")</f>
        <v/>
      </c>
      <c r="AM97">
        <f>AI97</f>
        <v/>
      </c>
    </row>
    <row r="98">
      <c r="D98" t="n">
        <v>37</v>
      </c>
      <c r="E98">
        <f>IF(G97&gt;0,MAX(0,G97*(1+$G$51)-$H$51),0)</f>
        <v/>
      </c>
      <c r="F98">
        <f>$B$6+IF($D98=$B$8,$B$7,0)</f>
        <v/>
      </c>
      <c r="G98">
        <f>IF(E98-F98&gt;1E-9,E98-F98,0)</f>
        <v/>
      </c>
      <c r="H98">
        <f>G97*$G$51</f>
        <v/>
      </c>
      <c r="I98">
        <f>IF(K97&gt;0,MAX(0,K97*(1+$G$52)-$H$52),0)</f>
        <v/>
      </c>
      <c r="J98">
        <f>MAX(0,F98-E98)</f>
        <v/>
      </c>
      <c r="K98">
        <f>IF(I98-J98&gt;1E-9,I98-J98,0)</f>
        <v/>
      </c>
      <c r="L98">
        <f>K97*$G$52</f>
        <v/>
      </c>
      <c r="M98">
        <f>IF(O97&gt;0,MAX(0,O97*(1+$G$53)-$H$53),0)</f>
        <v/>
      </c>
      <c r="N98">
        <f>MAX(0,J98-I98)</f>
        <v/>
      </c>
      <c r="O98">
        <f>IF(M98-N98&gt;1E-9,M98-N98,0)</f>
        <v/>
      </c>
      <c r="P98">
        <f>O97*$G$53</f>
        <v/>
      </c>
      <c r="Q98">
        <f>IF(S97&gt;0,MAX(0,S97*(1+$G$54)-$H$54),0)</f>
        <v/>
      </c>
      <c r="R98">
        <f>MAX(0,N98-M98)</f>
        <v/>
      </c>
      <c r="S98">
        <f>IF(Q98-R98&gt;1E-9,Q98-R98,0)</f>
        <v/>
      </c>
      <c r="T98">
        <f>S97*$G$54</f>
        <v/>
      </c>
      <c r="U98">
        <f>IF(W97&gt;0,MAX(0,W97*(1+$G$55)-$H$55),0)</f>
        <v/>
      </c>
      <c r="V98">
        <f>MAX(0,R98-Q98)</f>
        <v/>
      </c>
      <c r="W98">
        <f>IF(U98-V98&gt;1E-9,U98-V98,0)</f>
        <v/>
      </c>
      <c r="X98">
        <f>W97*$G$55</f>
        <v/>
      </c>
      <c r="Y98">
        <f>IF(Y97&gt;1E-9,IF(Y97*(1+$G$51)-MAX($B$9,0.01*Y97+Y97*$G$51)&gt;1E-9,Y97*(1+$G$51)-MAX($B$9,0.01*Y97+Y97*$G$51),0),0)</f>
        <v/>
      </c>
      <c r="Z98">
        <f>Y97*$G$51</f>
        <v/>
      </c>
      <c r="AA98">
        <f>IF(AA97&gt;1E-9,IF(AA97*(1+$G$52)-MAX($B$9,0.01*AA97+AA97*$G$52)&gt;1E-9,AA97*(1+$G$52)-MAX($B$9,0.01*AA97+AA97*$G$52),0),0)</f>
        <v/>
      </c>
      <c r="AB98">
        <f>AA97*$G$52</f>
        <v/>
      </c>
      <c r="AC98">
        <f>IF(AC97&gt;1E-9,IF(AC97*(1+$G$53)-MAX($B$9,0.01*AC97+AC97*$G$53)&gt;1E-9,AC97*(1+$G$53)-MAX($B$9,0.01*AC97+AC97*$G$53),0),0)</f>
        <v/>
      </c>
      <c r="AD98">
        <f>AC97*$G$53</f>
        <v/>
      </c>
      <c r="AE98">
        <f>IF(AE97&gt;1E-9,IF(AE97*(1+$G$54)-MAX($B$9,0.01*AE97+AE97*$G$54)&gt;1E-9,AE97*(1+$G$54)-MAX($B$9,0.01*AE97+AE97*$G$54),0),0)</f>
        <v/>
      </c>
      <c r="AF98">
        <f>AE97*$G$54</f>
        <v/>
      </c>
      <c r="AG98">
        <f>IF(AG97&gt;1E-9,IF(AG97*(1+$G$55)-MAX($B$9,0.01*AG97+AG97*$G$55)&gt;1E-9,AG97*(1+$G$55)-MAX($B$9,0.01*AG97+AG97*$G$55),0),0)</f>
        <v/>
      </c>
      <c r="AH98">
        <f>AG97*$G$55</f>
        <v/>
      </c>
      <c r="AI98">
        <f>G98+K98+O98+S98+W98</f>
        <v/>
      </c>
      <c r="AJ98">
        <f>AI97+AK98-AI98</f>
        <v/>
      </c>
      <c r="AK98">
        <f>H98+L98+P98+T98+X98</f>
        <v/>
      </c>
      <c r="AL98">
        <f>TEXT(EDATE($B$5,D98-1),"mmm yyyy")</f>
        <v/>
      </c>
      <c r="AM98">
        <f>AI98</f>
        <v/>
      </c>
    </row>
    <row r="99">
      <c r="D99" t="n">
        <v>38</v>
      </c>
      <c r="E99">
        <f>IF(G98&gt;0,MAX(0,G98*(1+$G$51)-$H$51),0)</f>
        <v/>
      </c>
      <c r="F99">
        <f>$B$6+IF($D99=$B$8,$B$7,0)</f>
        <v/>
      </c>
      <c r="G99">
        <f>IF(E99-F99&gt;1E-9,E99-F99,0)</f>
        <v/>
      </c>
      <c r="H99">
        <f>G98*$G$51</f>
        <v/>
      </c>
      <c r="I99">
        <f>IF(K98&gt;0,MAX(0,K98*(1+$G$52)-$H$52),0)</f>
        <v/>
      </c>
      <c r="J99">
        <f>MAX(0,F99-E99)</f>
        <v/>
      </c>
      <c r="K99">
        <f>IF(I99-J99&gt;1E-9,I99-J99,0)</f>
        <v/>
      </c>
      <c r="L99">
        <f>K98*$G$52</f>
        <v/>
      </c>
      <c r="M99">
        <f>IF(O98&gt;0,MAX(0,O98*(1+$G$53)-$H$53),0)</f>
        <v/>
      </c>
      <c r="N99">
        <f>MAX(0,J99-I99)</f>
        <v/>
      </c>
      <c r="O99">
        <f>IF(M99-N99&gt;1E-9,M99-N99,0)</f>
        <v/>
      </c>
      <c r="P99">
        <f>O98*$G$53</f>
        <v/>
      </c>
      <c r="Q99">
        <f>IF(S98&gt;0,MAX(0,S98*(1+$G$54)-$H$54),0)</f>
        <v/>
      </c>
      <c r="R99">
        <f>MAX(0,N99-M99)</f>
        <v/>
      </c>
      <c r="S99">
        <f>IF(Q99-R99&gt;1E-9,Q99-R99,0)</f>
        <v/>
      </c>
      <c r="T99">
        <f>S98*$G$54</f>
        <v/>
      </c>
      <c r="U99">
        <f>IF(W98&gt;0,MAX(0,W98*(1+$G$55)-$H$55),0)</f>
        <v/>
      </c>
      <c r="V99">
        <f>MAX(0,R99-Q99)</f>
        <v/>
      </c>
      <c r="W99">
        <f>IF(U99-V99&gt;1E-9,U99-V99,0)</f>
        <v/>
      </c>
      <c r="X99">
        <f>W98*$G$55</f>
        <v/>
      </c>
      <c r="Y99">
        <f>IF(Y98&gt;1E-9,IF(Y98*(1+$G$51)-MAX($B$9,0.01*Y98+Y98*$G$51)&gt;1E-9,Y98*(1+$G$51)-MAX($B$9,0.01*Y98+Y98*$G$51),0),0)</f>
        <v/>
      </c>
      <c r="Z99">
        <f>Y98*$G$51</f>
        <v/>
      </c>
      <c r="AA99">
        <f>IF(AA98&gt;1E-9,IF(AA98*(1+$G$52)-MAX($B$9,0.01*AA98+AA98*$G$52)&gt;1E-9,AA98*(1+$G$52)-MAX($B$9,0.01*AA98+AA98*$G$52),0),0)</f>
        <v/>
      </c>
      <c r="AB99">
        <f>AA98*$G$52</f>
        <v/>
      </c>
      <c r="AC99">
        <f>IF(AC98&gt;1E-9,IF(AC98*(1+$G$53)-MAX($B$9,0.01*AC98+AC98*$G$53)&gt;1E-9,AC98*(1+$G$53)-MAX($B$9,0.01*AC98+AC98*$G$53),0),0)</f>
        <v/>
      </c>
      <c r="AD99">
        <f>AC98*$G$53</f>
        <v/>
      </c>
      <c r="AE99">
        <f>IF(AE98&gt;1E-9,IF(AE98*(1+$G$54)-MAX($B$9,0.01*AE98+AE98*$G$54)&gt;1E-9,AE98*(1+$G$54)-MAX($B$9,0.01*AE98+AE98*$G$54),0),0)</f>
        <v/>
      </c>
      <c r="AF99">
        <f>AE98*$G$54</f>
        <v/>
      </c>
      <c r="AG99">
        <f>IF(AG98&gt;1E-9,IF(AG98*(1+$G$55)-MAX($B$9,0.01*AG98+AG98*$G$55)&gt;1E-9,AG98*(1+$G$55)-MAX($B$9,0.01*AG98+AG98*$G$55),0),0)</f>
        <v/>
      </c>
      <c r="AH99">
        <f>AG98*$G$55</f>
        <v/>
      </c>
      <c r="AI99">
        <f>G99+K99+O99+S99+W99</f>
        <v/>
      </c>
      <c r="AJ99">
        <f>AI98+AK99-AI99</f>
        <v/>
      </c>
      <c r="AK99">
        <f>H99+L99+P99+T99+X99</f>
        <v/>
      </c>
      <c r="AL99">
        <f>TEXT(EDATE($B$5,D99-1),"mmm yyyy")</f>
        <v/>
      </c>
      <c r="AM99">
        <f>AI99</f>
        <v/>
      </c>
    </row>
    <row r="100">
      <c r="D100" t="n">
        <v>39</v>
      </c>
      <c r="E100">
        <f>IF(G99&gt;0,MAX(0,G99*(1+$G$51)-$H$51),0)</f>
        <v/>
      </c>
      <c r="F100">
        <f>$B$6+IF($D100=$B$8,$B$7,0)</f>
        <v/>
      </c>
      <c r="G100">
        <f>IF(E100-F100&gt;1E-9,E100-F100,0)</f>
        <v/>
      </c>
      <c r="H100">
        <f>G99*$G$51</f>
        <v/>
      </c>
      <c r="I100">
        <f>IF(K99&gt;0,MAX(0,K99*(1+$G$52)-$H$52),0)</f>
        <v/>
      </c>
      <c r="J100">
        <f>MAX(0,F100-E100)</f>
        <v/>
      </c>
      <c r="K100">
        <f>IF(I100-J100&gt;1E-9,I100-J100,0)</f>
        <v/>
      </c>
      <c r="L100">
        <f>K99*$G$52</f>
        <v/>
      </c>
      <c r="M100">
        <f>IF(O99&gt;0,MAX(0,O99*(1+$G$53)-$H$53),0)</f>
        <v/>
      </c>
      <c r="N100">
        <f>MAX(0,J100-I100)</f>
        <v/>
      </c>
      <c r="O100">
        <f>IF(M100-N100&gt;1E-9,M100-N100,0)</f>
        <v/>
      </c>
      <c r="P100">
        <f>O99*$G$53</f>
        <v/>
      </c>
      <c r="Q100">
        <f>IF(S99&gt;0,MAX(0,S99*(1+$G$54)-$H$54),0)</f>
        <v/>
      </c>
      <c r="R100">
        <f>MAX(0,N100-M100)</f>
        <v/>
      </c>
      <c r="S100">
        <f>IF(Q100-R100&gt;1E-9,Q100-R100,0)</f>
        <v/>
      </c>
      <c r="T100">
        <f>S99*$G$54</f>
        <v/>
      </c>
      <c r="U100">
        <f>IF(W99&gt;0,MAX(0,W99*(1+$G$55)-$H$55),0)</f>
        <v/>
      </c>
      <c r="V100">
        <f>MAX(0,R100-Q100)</f>
        <v/>
      </c>
      <c r="W100">
        <f>IF(U100-V100&gt;1E-9,U100-V100,0)</f>
        <v/>
      </c>
      <c r="X100">
        <f>W99*$G$55</f>
        <v/>
      </c>
      <c r="Y100">
        <f>IF(Y99&gt;1E-9,IF(Y99*(1+$G$51)-MAX($B$9,0.01*Y99+Y99*$G$51)&gt;1E-9,Y99*(1+$G$51)-MAX($B$9,0.01*Y99+Y99*$G$51),0),0)</f>
        <v/>
      </c>
      <c r="Z100">
        <f>Y99*$G$51</f>
        <v/>
      </c>
      <c r="AA100">
        <f>IF(AA99&gt;1E-9,IF(AA99*(1+$G$52)-MAX($B$9,0.01*AA99+AA99*$G$52)&gt;1E-9,AA99*(1+$G$52)-MAX($B$9,0.01*AA99+AA99*$G$52),0),0)</f>
        <v/>
      </c>
      <c r="AB100">
        <f>AA99*$G$52</f>
        <v/>
      </c>
      <c r="AC100">
        <f>IF(AC99&gt;1E-9,IF(AC99*(1+$G$53)-MAX($B$9,0.01*AC99+AC99*$G$53)&gt;1E-9,AC99*(1+$G$53)-MAX($B$9,0.01*AC99+AC99*$G$53),0),0)</f>
        <v/>
      </c>
      <c r="AD100">
        <f>AC99*$G$53</f>
        <v/>
      </c>
      <c r="AE100">
        <f>IF(AE99&gt;1E-9,IF(AE99*(1+$G$54)-MAX($B$9,0.01*AE99+AE99*$G$54)&gt;1E-9,AE99*(1+$G$54)-MAX($B$9,0.01*AE99+AE99*$G$54),0),0)</f>
        <v/>
      </c>
      <c r="AF100">
        <f>AE99*$G$54</f>
        <v/>
      </c>
      <c r="AG100">
        <f>IF(AG99&gt;1E-9,IF(AG99*(1+$G$55)-MAX($B$9,0.01*AG99+AG99*$G$55)&gt;1E-9,AG99*(1+$G$55)-MAX($B$9,0.01*AG99+AG99*$G$55),0),0)</f>
        <v/>
      </c>
      <c r="AH100">
        <f>AG99*$G$55</f>
        <v/>
      </c>
      <c r="AI100">
        <f>G100+K100+O100+S100+W100</f>
        <v/>
      </c>
      <c r="AJ100">
        <f>AI99+AK100-AI100</f>
        <v/>
      </c>
      <c r="AK100">
        <f>H100+L100+P100+T100+X100</f>
        <v/>
      </c>
      <c r="AL100">
        <f>TEXT(EDATE($B$5,D100-1),"mmm yyyy")</f>
        <v/>
      </c>
      <c r="AM100">
        <f>AI100</f>
        <v/>
      </c>
    </row>
    <row r="101">
      <c r="D101" t="n">
        <v>40</v>
      </c>
      <c r="E101">
        <f>IF(G100&gt;0,MAX(0,G100*(1+$G$51)-$H$51),0)</f>
        <v/>
      </c>
      <c r="F101">
        <f>$B$6+IF($D101=$B$8,$B$7,0)</f>
        <v/>
      </c>
      <c r="G101">
        <f>IF(E101-F101&gt;1E-9,E101-F101,0)</f>
        <v/>
      </c>
      <c r="H101">
        <f>G100*$G$51</f>
        <v/>
      </c>
      <c r="I101">
        <f>IF(K100&gt;0,MAX(0,K100*(1+$G$52)-$H$52),0)</f>
        <v/>
      </c>
      <c r="J101">
        <f>MAX(0,F101-E101)</f>
        <v/>
      </c>
      <c r="K101">
        <f>IF(I101-J101&gt;1E-9,I101-J101,0)</f>
        <v/>
      </c>
      <c r="L101">
        <f>K100*$G$52</f>
        <v/>
      </c>
      <c r="M101">
        <f>IF(O100&gt;0,MAX(0,O100*(1+$G$53)-$H$53),0)</f>
        <v/>
      </c>
      <c r="N101">
        <f>MAX(0,J101-I101)</f>
        <v/>
      </c>
      <c r="O101">
        <f>IF(M101-N101&gt;1E-9,M101-N101,0)</f>
        <v/>
      </c>
      <c r="P101">
        <f>O100*$G$53</f>
        <v/>
      </c>
      <c r="Q101">
        <f>IF(S100&gt;0,MAX(0,S100*(1+$G$54)-$H$54),0)</f>
        <v/>
      </c>
      <c r="R101">
        <f>MAX(0,N101-M101)</f>
        <v/>
      </c>
      <c r="S101">
        <f>IF(Q101-R101&gt;1E-9,Q101-R101,0)</f>
        <v/>
      </c>
      <c r="T101">
        <f>S100*$G$54</f>
        <v/>
      </c>
      <c r="U101">
        <f>IF(W100&gt;0,MAX(0,W100*(1+$G$55)-$H$55),0)</f>
        <v/>
      </c>
      <c r="V101">
        <f>MAX(0,R101-Q101)</f>
        <v/>
      </c>
      <c r="W101">
        <f>IF(U101-V101&gt;1E-9,U101-V101,0)</f>
        <v/>
      </c>
      <c r="X101">
        <f>W100*$G$55</f>
        <v/>
      </c>
      <c r="Y101">
        <f>IF(Y100&gt;1E-9,IF(Y100*(1+$G$51)-MAX($B$9,0.01*Y100+Y100*$G$51)&gt;1E-9,Y100*(1+$G$51)-MAX($B$9,0.01*Y100+Y100*$G$51),0),0)</f>
        <v/>
      </c>
      <c r="Z101">
        <f>Y100*$G$51</f>
        <v/>
      </c>
      <c r="AA101">
        <f>IF(AA100&gt;1E-9,IF(AA100*(1+$G$52)-MAX($B$9,0.01*AA100+AA100*$G$52)&gt;1E-9,AA100*(1+$G$52)-MAX($B$9,0.01*AA100+AA100*$G$52),0),0)</f>
        <v/>
      </c>
      <c r="AB101">
        <f>AA100*$G$52</f>
        <v/>
      </c>
      <c r="AC101">
        <f>IF(AC100&gt;1E-9,IF(AC100*(1+$G$53)-MAX($B$9,0.01*AC100+AC100*$G$53)&gt;1E-9,AC100*(1+$G$53)-MAX($B$9,0.01*AC100+AC100*$G$53),0),0)</f>
        <v/>
      </c>
      <c r="AD101">
        <f>AC100*$G$53</f>
        <v/>
      </c>
      <c r="AE101">
        <f>IF(AE100&gt;1E-9,IF(AE100*(1+$G$54)-MAX($B$9,0.01*AE100+AE100*$G$54)&gt;1E-9,AE100*(1+$G$54)-MAX($B$9,0.01*AE100+AE100*$G$54),0),0)</f>
        <v/>
      </c>
      <c r="AF101">
        <f>AE100*$G$54</f>
        <v/>
      </c>
      <c r="AG101">
        <f>IF(AG100&gt;1E-9,IF(AG100*(1+$G$55)-MAX($B$9,0.01*AG100+AG100*$G$55)&gt;1E-9,AG100*(1+$G$55)-MAX($B$9,0.01*AG100+AG100*$G$55),0),0)</f>
        <v/>
      </c>
      <c r="AH101">
        <f>AG100*$G$55</f>
        <v/>
      </c>
      <c r="AI101">
        <f>G101+K101+O101+S101+W101</f>
        <v/>
      </c>
      <c r="AJ101">
        <f>AI100+AK101-AI101</f>
        <v/>
      </c>
      <c r="AK101">
        <f>H101+L101+P101+T101+X101</f>
        <v/>
      </c>
      <c r="AL101">
        <f>TEXT(EDATE($B$5,D101-1),"mmm yyyy")</f>
        <v/>
      </c>
      <c r="AM101">
        <f>AI101</f>
        <v/>
      </c>
    </row>
    <row r="102">
      <c r="D102" t="n">
        <v>41</v>
      </c>
      <c r="E102">
        <f>IF(G101&gt;0,MAX(0,G101*(1+$G$51)-$H$51),0)</f>
        <v/>
      </c>
      <c r="F102">
        <f>$B$6+IF($D102=$B$8,$B$7,0)</f>
        <v/>
      </c>
      <c r="G102">
        <f>IF(E102-F102&gt;1E-9,E102-F102,0)</f>
        <v/>
      </c>
      <c r="H102">
        <f>G101*$G$51</f>
        <v/>
      </c>
      <c r="I102">
        <f>IF(K101&gt;0,MAX(0,K101*(1+$G$52)-$H$52),0)</f>
        <v/>
      </c>
      <c r="J102">
        <f>MAX(0,F102-E102)</f>
        <v/>
      </c>
      <c r="K102">
        <f>IF(I102-J102&gt;1E-9,I102-J102,0)</f>
        <v/>
      </c>
      <c r="L102">
        <f>K101*$G$52</f>
        <v/>
      </c>
      <c r="M102">
        <f>IF(O101&gt;0,MAX(0,O101*(1+$G$53)-$H$53),0)</f>
        <v/>
      </c>
      <c r="N102">
        <f>MAX(0,J102-I102)</f>
        <v/>
      </c>
      <c r="O102">
        <f>IF(M102-N102&gt;1E-9,M102-N102,0)</f>
        <v/>
      </c>
      <c r="P102">
        <f>O101*$G$53</f>
        <v/>
      </c>
      <c r="Q102">
        <f>IF(S101&gt;0,MAX(0,S101*(1+$G$54)-$H$54),0)</f>
        <v/>
      </c>
      <c r="R102">
        <f>MAX(0,N102-M102)</f>
        <v/>
      </c>
      <c r="S102">
        <f>IF(Q102-R102&gt;1E-9,Q102-R102,0)</f>
        <v/>
      </c>
      <c r="T102">
        <f>S101*$G$54</f>
        <v/>
      </c>
      <c r="U102">
        <f>IF(W101&gt;0,MAX(0,W101*(1+$G$55)-$H$55),0)</f>
        <v/>
      </c>
      <c r="V102">
        <f>MAX(0,R102-Q102)</f>
        <v/>
      </c>
      <c r="W102">
        <f>IF(U102-V102&gt;1E-9,U102-V102,0)</f>
        <v/>
      </c>
      <c r="X102">
        <f>W101*$G$55</f>
        <v/>
      </c>
      <c r="Y102">
        <f>IF(Y101&gt;1E-9,IF(Y101*(1+$G$51)-MAX($B$9,0.01*Y101+Y101*$G$51)&gt;1E-9,Y101*(1+$G$51)-MAX($B$9,0.01*Y101+Y101*$G$51),0),0)</f>
        <v/>
      </c>
      <c r="Z102">
        <f>Y101*$G$51</f>
        <v/>
      </c>
      <c r="AA102">
        <f>IF(AA101&gt;1E-9,IF(AA101*(1+$G$52)-MAX($B$9,0.01*AA101+AA101*$G$52)&gt;1E-9,AA101*(1+$G$52)-MAX($B$9,0.01*AA101+AA101*$G$52),0),0)</f>
        <v/>
      </c>
      <c r="AB102">
        <f>AA101*$G$52</f>
        <v/>
      </c>
      <c r="AC102">
        <f>IF(AC101&gt;1E-9,IF(AC101*(1+$G$53)-MAX($B$9,0.01*AC101+AC101*$G$53)&gt;1E-9,AC101*(1+$G$53)-MAX($B$9,0.01*AC101+AC101*$G$53),0),0)</f>
        <v/>
      </c>
      <c r="AD102">
        <f>AC101*$G$53</f>
        <v/>
      </c>
      <c r="AE102">
        <f>IF(AE101&gt;1E-9,IF(AE101*(1+$G$54)-MAX($B$9,0.01*AE101+AE101*$G$54)&gt;1E-9,AE101*(1+$G$54)-MAX($B$9,0.01*AE101+AE101*$G$54),0),0)</f>
        <v/>
      </c>
      <c r="AF102">
        <f>AE101*$G$54</f>
        <v/>
      </c>
      <c r="AG102">
        <f>IF(AG101&gt;1E-9,IF(AG101*(1+$G$55)-MAX($B$9,0.01*AG101+AG101*$G$55)&gt;1E-9,AG101*(1+$G$55)-MAX($B$9,0.01*AG101+AG101*$G$55),0),0)</f>
        <v/>
      </c>
      <c r="AH102">
        <f>AG101*$G$55</f>
        <v/>
      </c>
      <c r="AI102">
        <f>G102+K102+O102+S102+W102</f>
        <v/>
      </c>
      <c r="AJ102">
        <f>AI101+AK102-AI102</f>
        <v/>
      </c>
      <c r="AK102">
        <f>H102+L102+P102+T102+X102</f>
        <v/>
      </c>
      <c r="AL102">
        <f>TEXT(EDATE($B$5,D102-1),"mmm yyyy")</f>
        <v/>
      </c>
      <c r="AM102">
        <f>AI102</f>
        <v/>
      </c>
    </row>
    <row r="103">
      <c r="D103" t="n">
        <v>42</v>
      </c>
      <c r="E103">
        <f>IF(G102&gt;0,MAX(0,G102*(1+$G$51)-$H$51),0)</f>
        <v/>
      </c>
      <c r="F103">
        <f>$B$6+IF($D103=$B$8,$B$7,0)</f>
        <v/>
      </c>
      <c r="G103">
        <f>IF(E103-F103&gt;1E-9,E103-F103,0)</f>
        <v/>
      </c>
      <c r="H103">
        <f>G102*$G$51</f>
        <v/>
      </c>
      <c r="I103">
        <f>IF(K102&gt;0,MAX(0,K102*(1+$G$52)-$H$52),0)</f>
        <v/>
      </c>
      <c r="J103">
        <f>MAX(0,F103-E103)</f>
        <v/>
      </c>
      <c r="K103">
        <f>IF(I103-J103&gt;1E-9,I103-J103,0)</f>
        <v/>
      </c>
      <c r="L103">
        <f>K102*$G$52</f>
        <v/>
      </c>
      <c r="M103">
        <f>IF(O102&gt;0,MAX(0,O102*(1+$G$53)-$H$53),0)</f>
        <v/>
      </c>
      <c r="N103">
        <f>MAX(0,J103-I103)</f>
        <v/>
      </c>
      <c r="O103">
        <f>IF(M103-N103&gt;1E-9,M103-N103,0)</f>
        <v/>
      </c>
      <c r="P103">
        <f>O102*$G$53</f>
        <v/>
      </c>
      <c r="Q103">
        <f>IF(S102&gt;0,MAX(0,S102*(1+$G$54)-$H$54),0)</f>
        <v/>
      </c>
      <c r="R103">
        <f>MAX(0,N103-M103)</f>
        <v/>
      </c>
      <c r="S103">
        <f>IF(Q103-R103&gt;1E-9,Q103-R103,0)</f>
        <v/>
      </c>
      <c r="T103">
        <f>S102*$G$54</f>
        <v/>
      </c>
      <c r="U103">
        <f>IF(W102&gt;0,MAX(0,W102*(1+$G$55)-$H$55),0)</f>
        <v/>
      </c>
      <c r="V103">
        <f>MAX(0,R103-Q103)</f>
        <v/>
      </c>
      <c r="W103">
        <f>IF(U103-V103&gt;1E-9,U103-V103,0)</f>
        <v/>
      </c>
      <c r="X103">
        <f>W102*$G$55</f>
        <v/>
      </c>
      <c r="Y103">
        <f>IF(Y102&gt;1E-9,IF(Y102*(1+$G$51)-MAX($B$9,0.01*Y102+Y102*$G$51)&gt;1E-9,Y102*(1+$G$51)-MAX($B$9,0.01*Y102+Y102*$G$51),0),0)</f>
        <v/>
      </c>
      <c r="Z103">
        <f>Y102*$G$51</f>
        <v/>
      </c>
      <c r="AA103">
        <f>IF(AA102&gt;1E-9,IF(AA102*(1+$G$52)-MAX($B$9,0.01*AA102+AA102*$G$52)&gt;1E-9,AA102*(1+$G$52)-MAX($B$9,0.01*AA102+AA102*$G$52),0),0)</f>
        <v/>
      </c>
      <c r="AB103">
        <f>AA102*$G$52</f>
        <v/>
      </c>
      <c r="AC103">
        <f>IF(AC102&gt;1E-9,IF(AC102*(1+$G$53)-MAX($B$9,0.01*AC102+AC102*$G$53)&gt;1E-9,AC102*(1+$G$53)-MAX($B$9,0.01*AC102+AC102*$G$53),0),0)</f>
        <v/>
      </c>
      <c r="AD103">
        <f>AC102*$G$53</f>
        <v/>
      </c>
      <c r="AE103">
        <f>IF(AE102&gt;1E-9,IF(AE102*(1+$G$54)-MAX($B$9,0.01*AE102+AE102*$G$54)&gt;1E-9,AE102*(1+$G$54)-MAX($B$9,0.01*AE102+AE102*$G$54),0),0)</f>
        <v/>
      </c>
      <c r="AF103">
        <f>AE102*$G$54</f>
        <v/>
      </c>
      <c r="AG103">
        <f>IF(AG102&gt;1E-9,IF(AG102*(1+$G$55)-MAX($B$9,0.01*AG102+AG102*$G$55)&gt;1E-9,AG102*(1+$G$55)-MAX($B$9,0.01*AG102+AG102*$G$55),0),0)</f>
        <v/>
      </c>
      <c r="AH103">
        <f>AG102*$G$55</f>
        <v/>
      </c>
      <c r="AI103">
        <f>G103+K103+O103+S103+W103</f>
        <v/>
      </c>
      <c r="AJ103">
        <f>AI102+AK103-AI103</f>
        <v/>
      </c>
      <c r="AK103">
        <f>H103+L103+P103+T103+X103</f>
        <v/>
      </c>
      <c r="AL103">
        <f>TEXT(EDATE($B$5,D103-1),"mmm yyyy")</f>
        <v/>
      </c>
      <c r="AM103">
        <f>AI103</f>
        <v/>
      </c>
    </row>
    <row r="104">
      <c r="D104" t="n">
        <v>43</v>
      </c>
      <c r="E104">
        <f>IF(G103&gt;0,MAX(0,G103*(1+$G$51)-$H$51),0)</f>
        <v/>
      </c>
      <c r="F104">
        <f>$B$6+IF($D104=$B$8,$B$7,0)</f>
        <v/>
      </c>
      <c r="G104">
        <f>IF(E104-F104&gt;1E-9,E104-F104,0)</f>
        <v/>
      </c>
      <c r="H104">
        <f>G103*$G$51</f>
        <v/>
      </c>
      <c r="I104">
        <f>IF(K103&gt;0,MAX(0,K103*(1+$G$52)-$H$52),0)</f>
        <v/>
      </c>
      <c r="J104">
        <f>MAX(0,F104-E104)</f>
        <v/>
      </c>
      <c r="K104">
        <f>IF(I104-J104&gt;1E-9,I104-J104,0)</f>
        <v/>
      </c>
      <c r="L104">
        <f>K103*$G$52</f>
        <v/>
      </c>
      <c r="M104">
        <f>IF(O103&gt;0,MAX(0,O103*(1+$G$53)-$H$53),0)</f>
        <v/>
      </c>
      <c r="N104">
        <f>MAX(0,J104-I104)</f>
        <v/>
      </c>
      <c r="O104">
        <f>IF(M104-N104&gt;1E-9,M104-N104,0)</f>
        <v/>
      </c>
      <c r="P104">
        <f>O103*$G$53</f>
        <v/>
      </c>
      <c r="Q104">
        <f>IF(S103&gt;0,MAX(0,S103*(1+$G$54)-$H$54),0)</f>
        <v/>
      </c>
      <c r="R104">
        <f>MAX(0,N104-M104)</f>
        <v/>
      </c>
      <c r="S104">
        <f>IF(Q104-R104&gt;1E-9,Q104-R104,0)</f>
        <v/>
      </c>
      <c r="T104">
        <f>S103*$G$54</f>
        <v/>
      </c>
      <c r="U104">
        <f>IF(W103&gt;0,MAX(0,W103*(1+$G$55)-$H$55),0)</f>
        <v/>
      </c>
      <c r="V104">
        <f>MAX(0,R104-Q104)</f>
        <v/>
      </c>
      <c r="W104">
        <f>IF(U104-V104&gt;1E-9,U104-V104,0)</f>
        <v/>
      </c>
      <c r="X104">
        <f>W103*$G$55</f>
        <v/>
      </c>
      <c r="Y104">
        <f>IF(Y103&gt;1E-9,IF(Y103*(1+$G$51)-MAX($B$9,0.01*Y103+Y103*$G$51)&gt;1E-9,Y103*(1+$G$51)-MAX($B$9,0.01*Y103+Y103*$G$51),0),0)</f>
        <v/>
      </c>
      <c r="Z104">
        <f>Y103*$G$51</f>
        <v/>
      </c>
      <c r="AA104">
        <f>IF(AA103&gt;1E-9,IF(AA103*(1+$G$52)-MAX($B$9,0.01*AA103+AA103*$G$52)&gt;1E-9,AA103*(1+$G$52)-MAX($B$9,0.01*AA103+AA103*$G$52),0),0)</f>
        <v/>
      </c>
      <c r="AB104">
        <f>AA103*$G$52</f>
        <v/>
      </c>
      <c r="AC104">
        <f>IF(AC103&gt;1E-9,IF(AC103*(1+$G$53)-MAX($B$9,0.01*AC103+AC103*$G$53)&gt;1E-9,AC103*(1+$G$53)-MAX($B$9,0.01*AC103+AC103*$G$53),0),0)</f>
        <v/>
      </c>
      <c r="AD104">
        <f>AC103*$G$53</f>
        <v/>
      </c>
      <c r="AE104">
        <f>IF(AE103&gt;1E-9,IF(AE103*(1+$G$54)-MAX($B$9,0.01*AE103+AE103*$G$54)&gt;1E-9,AE103*(1+$G$54)-MAX($B$9,0.01*AE103+AE103*$G$54),0),0)</f>
        <v/>
      </c>
      <c r="AF104">
        <f>AE103*$G$54</f>
        <v/>
      </c>
      <c r="AG104">
        <f>IF(AG103&gt;1E-9,IF(AG103*(1+$G$55)-MAX($B$9,0.01*AG103+AG103*$G$55)&gt;1E-9,AG103*(1+$G$55)-MAX($B$9,0.01*AG103+AG103*$G$55),0),0)</f>
        <v/>
      </c>
      <c r="AH104">
        <f>AG103*$G$55</f>
        <v/>
      </c>
      <c r="AI104">
        <f>G104+K104+O104+S104+W104</f>
        <v/>
      </c>
      <c r="AJ104">
        <f>AI103+AK104-AI104</f>
        <v/>
      </c>
      <c r="AK104">
        <f>H104+L104+P104+T104+X104</f>
        <v/>
      </c>
      <c r="AL104">
        <f>TEXT(EDATE($B$5,D104-1),"mmm yyyy")</f>
        <v/>
      </c>
      <c r="AM104">
        <f>AI104</f>
        <v/>
      </c>
    </row>
    <row r="105">
      <c r="D105" t="n">
        <v>44</v>
      </c>
      <c r="E105">
        <f>IF(G104&gt;0,MAX(0,G104*(1+$G$51)-$H$51),0)</f>
        <v/>
      </c>
      <c r="F105">
        <f>$B$6+IF($D105=$B$8,$B$7,0)</f>
        <v/>
      </c>
      <c r="G105">
        <f>IF(E105-F105&gt;1E-9,E105-F105,0)</f>
        <v/>
      </c>
      <c r="H105">
        <f>G104*$G$51</f>
        <v/>
      </c>
      <c r="I105">
        <f>IF(K104&gt;0,MAX(0,K104*(1+$G$52)-$H$52),0)</f>
        <v/>
      </c>
      <c r="J105">
        <f>MAX(0,F105-E105)</f>
        <v/>
      </c>
      <c r="K105">
        <f>IF(I105-J105&gt;1E-9,I105-J105,0)</f>
        <v/>
      </c>
      <c r="L105">
        <f>K104*$G$52</f>
        <v/>
      </c>
      <c r="M105">
        <f>IF(O104&gt;0,MAX(0,O104*(1+$G$53)-$H$53),0)</f>
        <v/>
      </c>
      <c r="N105">
        <f>MAX(0,J105-I105)</f>
        <v/>
      </c>
      <c r="O105">
        <f>IF(M105-N105&gt;1E-9,M105-N105,0)</f>
        <v/>
      </c>
      <c r="P105">
        <f>O104*$G$53</f>
        <v/>
      </c>
      <c r="Q105">
        <f>IF(S104&gt;0,MAX(0,S104*(1+$G$54)-$H$54),0)</f>
        <v/>
      </c>
      <c r="R105">
        <f>MAX(0,N105-M105)</f>
        <v/>
      </c>
      <c r="S105">
        <f>IF(Q105-R105&gt;1E-9,Q105-R105,0)</f>
        <v/>
      </c>
      <c r="T105">
        <f>S104*$G$54</f>
        <v/>
      </c>
      <c r="U105">
        <f>IF(W104&gt;0,MAX(0,W104*(1+$G$55)-$H$55),0)</f>
        <v/>
      </c>
      <c r="V105">
        <f>MAX(0,R105-Q105)</f>
        <v/>
      </c>
      <c r="W105">
        <f>IF(U105-V105&gt;1E-9,U105-V105,0)</f>
        <v/>
      </c>
      <c r="X105">
        <f>W104*$G$55</f>
        <v/>
      </c>
      <c r="Y105">
        <f>IF(Y104&gt;1E-9,IF(Y104*(1+$G$51)-MAX($B$9,0.01*Y104+Y104*$G$51)&gt;1E-9,Y104*(1+$G$51)-MAX($B$9,0.01*Y104+Y104*$G$51),0),0)</f>
        <v/>
      </c>
      <c r="Z105">
        <f>Y104*$G$51</f>
        <v/>
      </c>
      <c r="AA105">
        <f>IF(AA104&gt;1E-9,IF(AA104*(1+$G$52)-MAX($B$9,0.01*AA104+AA104*$G$52)&gt;1E-9,AA104*(1+$G$52)-MAX($B$9,0.01*AA104+AA104*$G$52),0),0)</f>
        <v/>
      </c>
      <c r="AB105">
        <f>AA104*$G$52</f>
        <v/>
      </c>
      <c r="AC105">
        <f>IF(AC104&gt;1E-9,IF(AC104*(1+$G$53)-MAX($B$9,0.01*AC104+AC104*$G$53)&gt;1E-9,AC104*(1+$G$53)-MAX($B$9,0.01*AC104+AC104*$G$53),0),0)</f>
        <v/>
      </c>
      <c r="AD105">
        <f>AC104*$G$53</f>
        <v/>
      </c>
      <c r="AE105">
        <f>IF(AE104&gt;1E-9,IF(AE104*(1+$G$54)-MAX($B$9,0.01*AE104+AE104*$G$54)&gt;1E-9,AE104*(1+$G$54)-MAX($B$9,0.01*AE104+AE104*$G$54),0),0)</f>
        <v/>
      </c>
      <c r="AF105">
        <f>AE104*$G$54</f>
        <v/>
      </c>
      <c r="AG105">
        <f>IF(AG104&gt;1E-9,IF(AG104*(1+$G$55)-MAX($B$9,0.01*AG104+AG104*$G$55)&gt;1E-9,AG104*(1+$G$55)-MAX($B$9,0.01*AG104+AG104*$G$55),0),0)</f>
        <v/>
      </c>
      <c r="AH105">
        <f>AG104*$G$55</f>
        <v/>
      </c>
      <c r="AI105">
        <f>G105+K105+O105+S105+W105</f>
        <v/>
      </c>
      <c r="AJ105">
        <f>AI104+AK105-AI105</f>
        <v/>
      </c>
      <c r="AK105">
        <f>H105+L105+P105+T105+X105</f>
        <v/>
      </c>
      <c r="AL105">
        <f>TEXT(EDATE($B$5,D105-1),"mmm yyyy")</f>
        <v/>
      </c>
      <c r="AM105">
        <f>AI105</f>
        <v/>
      </c>
    </row>
    <row r="106">
      <c r="D106" t="n">
        <v>45</v>
      </c>
      <c r="E106">
        <f>IF(G105&gt;0,MAX(0,G105*(1+$G$51)-$H$51),0)</f>
        <v/>
      </c>
      <c r="F106">
        <f>$B$6+IF($D106=$B$8,$B$7,0)</f>
        <v/>
      </c>
      <c r="G106">
        <f>IF(E106-F106&gt;1E-9,E106-F106,0)</f>
        <v/>
      </c>
      <c r="H106">
        <f>G105*$G$51</f>
        <v/>
      </c>
      <c r="I106">
        <f>IF(K105&gt;0,MAX(0,K105*(1+$G$52)-$H$52),0)</f>
        <v/>
      </c>
      <c r="J106">
        <f>MAX(0,F106-E106)</f>
        <v/>
      </c>
      <c r="K106">
        <f>IF(I106-J106&gt;1E-9,I106-J106,0)</f>
        <v/>
      </c>
      <c r="L106">
        <f>K105*$G$52</f>
        <v/>
      </c>
      <c r="M106">
        <f>IF(O105&gt;0,MAX(0,O105*(1+$G$53)-$H$53),0)</f>
        <v/>
      </c>
      <c r="N106">
        <f>MAX(0,J106-I106)</f>
        <v/>
      </c>
      <c r="O106">
        <f>IF(M106-N106&gt;1E-9,M106-N106,0)</f>
        <v/>
      </c>
      <c r="P106">
        <f>O105*$G$53</f>
        <v/>
      </c>
      <c r="Q106">
        <f>IF(S105&gt;0,MAX(0,S105*(1+$G$54)-$H$54),0)</f>
        <v/>
      </c>
      <c r="R106">
        <f>MAX(0,N106-M106)</f>
        <v/>
      </c>
      <c r="S106">
        <f>IF(Q106-R106&gt;1E-9,Q106-R106,0)</f>
        <v/>
      </c>
      <c r="T106">
        <f>S105*$G$54</f>
        <v/>
      </c>
      <c r="U106">
        <f>IF(W105&gt;0,MAX(0,W105*(1+$G$55)-$H$55),0)</f>
        <v/>
      </c>
      <c r="V106">
        <f>MAX(0,R106-Q106)</f>
        <v/>
      </c>
      <c r="W106">
        <f>IF(U106-V106&gt;1E-9,U106-V106,0)</f>
        <v/>
      </c>
      <c r="X106">
        <f>W105*$G$55</f>
        <v/>
      </c>
      <c r="Y106">
        <f>IF(Y105&gt;1E-9,IF(Y105*(1+$G$51)-MAX($B$9,0.01*Y105+Y105*$G$51)&gt;1E-9,Y105*(1+$G$51)-MAX($B$9,0.01*Y105+Y105*$G$51),0),0)</f>
        <v/>
      </c>
      <c r="Z106">
        <f>Y105*$G$51</f>
        <v/>
      </c>
      <c r="AA106">
        <f>IF(AA105&gt;1E-9,IF(AA105*(1+$G$52)-MAX($B$9,0.01*AA105+AA105*$G$52)&gt;1E-9,AA105*(1+$G$52)-MAX($B$9,0.01*AA105+AA105*$G$52),0),0)</f>
        <v/>
      </c>
      <c r="AB106">
        <f>AA105*$G$52</f>
        <v/>
      </c>
      <c r="AC106">
        <f>IF(AC105&gt;1E-9,IF(AC105*(1+$G$53)-MAX($B$9,0.01*AC105+AC105*$G$53)&gt;1E-9,AC105*(1+$G$53)-MAX($B$9,0.01*AC105+AC105*$G$53),0),0)</f>
        <v/>
      </c>
      <c r="AD106">
        <f>AC105*$G$53</f>
        <v/>
      </c>
      <c r="AE106">
        <f>IF(AE105&gt;1E-9,IF(AE105*(1+$G$54)-MAX($B$9,0.01*AE105+AE105*$G$54)&gt;1E-9,AE105*(1+$G$54)-MAX($B$9,0.01*AE105+AE105*$G$54),0),0)</f>
        <v/>
      </c>
      <c r="AF106">
        <f>AE105*$G$54</f>
        <v/>
      </c>
      <c r="AG106">
        <f>IF(AG105&gt;1E-9,IF(AG105*(1+$G$55)-MAX($B$9,0.01*AG105+AG105*$G$55)&gt;1E-9,AG105*(1+$G$55)-MAX($B$9,0.01*AG105+AG105*$G$55),0),0)</f>
        <v/>
      </c>
      <c r="AH106">
        <f>AG105*$G$55</f>
        <v/>
      </c>
      <c r="AI106">
        <f>G106+K106+O106+S106+W106</f>
        <v/>
      </c>
      <c r="AJ106">
        <f>AI105+AK106-AI106</f>
        <v/>
      </c>
      <c r="AK106">
        <f>H106+L106+P106+T106+X106</f>
        <v/>
      </c>
      <c r="AL106">
        <f>TEXT(EDATE($B$5,D106-1),"mmm yyyy")</f>
        <v/>
      </c>
      <c r="AM106">
        <f>AI106</f>
        <v/>
      </c>
    </row>
    <row r="107">
      <c r="D107" t="n">
        <v>46</v>
      </c>
      <c r="E107">
        <f>IF(G106&gt;0,MAX(0,G106*(1+$G$51)-$H$51),0)</f>
        <v/>
      </c>
      <c r="F107">
        <f>$B$6+IF($D107=$B$8,$B$7,0)</f>
        <v/>
      </c>
      <c r="G107">
        <f>IF(E107-F107&gt;1E-9,E107-F107,0)</f>
        <v/>
      </c>
      <c r="H107">
        <f>G106*$G$51</f>
        <v/>
      </c>
      <c r="I107">
        <f>IF(K106&gt;0,MAX(0,K106*(1+$G$52)-$H$52),0)</f>
        <v/>
      </c>
      <c r="J107">
        <f>MAX(0,F107-E107)</f>
        <v/>
      </c>
      <c r="K107">
        <f>IF(I107-J107&gt;1E-9,I107-J107,0)</f>
        <v/>
      </c>
      <c r="L107">
        <f>K106*$G$52</f>
        <v/>
      </c>
      <c r="M107">
        <f>IF(O106&gt;0,MAX(0,O106*(1+$G$53)-$H$53),0)</f>
        <v/>
      </c>
      <c r="N107">
        <f>MAX(0,J107-I107)</f>
        <v/>
      </c>
      <c r="O107">
        <f>IF(M107-N107&gt;1E-9,M107-N107,0)</f>
        <v/>
      </c>
      <c r="P107">
        <f>O106*$G$53</f>
        <v/>
      </c>
      <c r="Q107">
        <f>IF(S106&gt;0,MAX(0,S106*(1+$G$54)-$H$54),0)</f>
        <v/>
      </c>
      <c r="R107">
        <f>MAX(0,N107-M107)</f>
        <v/>
      </c>
      <c r="S107">
        <f>IF(Q107-R107&gt;1E-9,Q107-R107,0)</f>
        <v/>
      </c>
      <c r="T107">
        <f>S106*$G$54</f>
        <v/>
      </c>
      <c r="U107">
        <f>IF(W106&gt;0,MAX(0,W106*(1+$G$55)-$H$55),0)</f>
        <v/>
      </c>
      <c r="V107">
        <f>MAX(0,R107-Q107)</f>
        <v/>
      </c>
      <c r="W107">
        <f>IF(U107-V107&gt;1E-9,U107-V107,0)</f>
        <v/>
      </c>
      <c r="X107">
        <f>W106*$G$55</f>
        <v/>
      </c>
      <c r="Y107">
        <f>IF(Y106&gt;1E-9,IF(Y106*(1+$G$51)-MAX($B$9,0.01*Y106+Y106*$G$51)&gt;1E-9,Y106*(1+$G$51)-MAX($B$9,0.01*Y106+Y106*$G$51),0),0)</f>
        <v/>
      </c>
      <c r="Z107">
        <f>Y106*$G$51</f>
        <v/>
      </c>
      <c r="AA107">
        <f>IF(AA106&gt;1E-9,IF(AA106*(1+$G$52)-MAX($B$9,0.01*AA106+AA106*$G$52)&gt;1E-9,AA106*(1+$G$52)-MAX($B$9,0.01*AA106+AA106*$G$52),0),0)</f>
        <v/>
      </c>
      <c r="AB107">
        <f>AA106*$G$52</f>
        <v/>
      </c>
      <c r="AC107">
        <f>IF(AC106&gt;1E-9,IF(AC106*(1+$G$53)-MAX($B$9,0.01*AC106+AC106*$G$53)&gt;1E-9,AC106*(1+$G$53)-MAX($B$9,0.01*AC106+AC106*$G$53),0),0)</f>
        <v/>
      </c>
      <c r="AD107">
        <f>AC106*$G$53</f>
        <v/>
      </c>
      <c r="AE107">
        <f>IF(AE106&gt;1E-9,IF(AE106*(1+$G$54)-MAX($B$9,0.01*AE106+AE106*$G$54)&gt;1E-9,AE106*(1+$G$54)-MAX($B$9,0.01*AE106+AE106*$G$54),0),0)</f>
        <v/>
      </c>
      <c r="AF107">
        <f>AE106*$G$54</f>
        <v/>
      </c>
      <c r="AG107">
        <f>IF(AG106&gt;1E-9,IF(AG106*(1+$G$55)-MAX($B$9,0.01*AG106+AG106*$G$55)&gt;1E-9,AG106*(1+$G$55)-MAX($B$9,0.01*AG106+AG106*$G$55),0),0)</f>
        <v/>
      </c>
      <c r="AH107">
        <f>AG106*$G$55</f>
        <v/>
      </c>
      <c r="AI107">
        <f>G107+K107+O107+S107+W107</f>
        <v/>
      </c>
      <c r="AJ107">
        <f>AI106+AK107-AI107</f>
        <v/>
      </c>
      <c r="AK107">
        <f>H107+L107+P107+T107+X107</f>
        <v/>
      </c>
      <c r="AL107">
        <f>TEXT(EDATE($B$5,D107-1),"mmm yyyy")</f>
        <v/>
      </c>
      <c r="AM107">
        <f>AI107</f>
        <v/>
      </c>
    </row>
    <row r="108">
      <c r="D108" t="n">
        <v>47</v>
      </c>
      <c r="E108">
        <f>IF(G107&gt;0,MAX(0,G107*(1+$G$51)-$H$51),0)</f>
        <v/>
      </c>
      <c r="F108">
        <f>$B$6+IF($D108=$B$8,$B$7,0)</f>
        <v/>
      </c>
      <c r="G108">
        <f>IF(E108-F108&gt;1E-9,E108-F108,0)</f>
        <v/>
      </c>
      <c r="H108">
        <f>G107*$G$51</f>
        <v/>
      </c>
      <c r="I108">
        <f>IF(K107&gt;0,MAX(0,K107*(1+$G$52)-$H$52),0)</f>
        <v/>
      </c>
      <c r="J108">
        <f>MAX(0,F108-E108)</f>
        <v/>
      </c>
      <c r="K108">
        <f>IF(I108-J108&gt;1E-9,I108-J108,0)</f>
        <v/>
      </c>
      <c r="L108">
        <f>K107*$G$52</f>
        <v/>
      </c>
      <c r="M108">
        <f>IF(O107&gt;0,MAX(0,O107*(1+$G$53)-$H$53),0)</f>
        <v/>
      </c>
      <c r="N108">
        <f>MAX(0,J108-I108)</f>
        <v/>
      </c>
      <c r="O108">
        <f>IF(M108-N108&gt;1E-9,M108-N108,0)</f>
        <v/>
      </c>
      <c r="P108">
        <f>O107*$G$53</f>
        <v/>
      </c>
      <c r="Q108">
        <f>IF(S107&gt;0,MAX(0,S107*(1+$G$54)-$H$54),0)</f>
        <v/>
      </c>
      <c r="R108">
        <f>MAX(0,N108-M108)</f>
        <v/>
      </c>
      <c r="S108">
        <f>IF(Q108-R108&gt;1E-9,Q108-R108,0)</f>
        <v/>
      </c>
      <c r="T108">
        <f>S107*$G$54</f>
        <v/>
      </c>
      <c r="U108">
        <f>IF(W107&gt;0,MAX(0,W107*(1+$G$55)-$H$55),0)</f>
        <v/>
      </c>
      <c r="V108">
        <f>MAX(0,R108-Q108)</f>
        <v/>
      </c>
      <c r="W108">
        <f>IF(U108-V108&gt;1E-9,U108-V108,0)</f>
        <v/>
      </c>
      <c r="X108">
        <f>W107*$G$55</f>
        <v/>
      </c>
      <c r="Y108">
        <f>IF(Y107&gt;1E-9,IF(Y107*(1+$G$51)-MAX($B$9,0.01*Y107+Y107*$G$51)&gt;1E-9,Y107*(1+$G$51)-MAX($B$9,0.01*Y107+Y107*$G$51),0),0)</f>
        <v/>
      </c>
      <c r="Z108">
        <f>Y107*$G$51</f>
        <v/>
      </c>
      <c r="AA108">
        <f>IF(AA107&gt;1E-9,IF(AA107*(1+$G$52)-MAX($B$9,0.01*AA107+AA107*$G$52)&gt;1E-9,AA107*(1+$G$52)-MAX($B$9,0.01*AA107+AA107*$G$52),0),0)</f>
        <v/>
      </c>
      <c r="AB108">
        <f>AA107*$G$52</f>
        <v/>
      </c>
      <c r="AC108">
        <f>IF(AC107&gt;1E-9,IF(AC107*(1+$G$53)-MAX($B$9,0.01*AC107+AC107*$G$53)&gt;1E-9,AC107*(1+$G$53)-MAX($B$9,0.01*AC107+AC107*$G$53),0),0)</f>
        <v/>
      </c>
      <c r="AD108">
        <f>AC107*$G$53</f>
        <v/>
      </c>
      <c r="AE108">
        <f>IF(AE107&gt;1E-9,IF(AE107*(1+$G$54)-MAX($B$9,0.01*AE107+AE107*$G$54)&gt;1E-9,AE107*(1+$G$54)-MAX($B$9,0.01*AE107+AE107*$G$54),0),0)</f>
        <v/>
      </c>
      <c r="AF108">
        <f>AE107*$G$54</f>
        <v/>
      </c>
      <c r="AG108">
        <f>IF(AG107&gt;1E-9,IF(AG107*(1+$G$55)-MAX($B$9,0.01*AG107+AG107*$G$55)&gt;1E-9,AG107*(1+$G$55)-MAX($B$9,0.01*AG107+AG107*$G$55),0),0)</f>
        <v/>
      </c>
      <c r="AH108">
        <f>AG107*$G$55</f>
        <v/>
      </c>
      <c r="AI108">
        <f>G108+K108+O108+S108+W108</f>
        <v/>
      </c>
      <c r="AJ108">
        <f>AI107+AK108-AI108</f>
        <v/>
      </c>
      <c r="AK108">
        <f>H108+L108+P108+T108+X108</f>
        <v/>
      </c>
      <c r="AL108">
        <f>TEXT(EDATE($B$5,D108-1),"mmm yyyy")</f>
        <v/>
      </c>
      <c r="AM108">
        <f>AI108</f>
        <v/>
      </c>
    </row>
    <row r="109">
      <c r="D109" t="n">
        <v>48</v>
      </c>
      <c r="E109">
        <f>IF(G108&gt;0,MAX(0,G108*(1+$G$51)-$H$51),0)</f>
        <v/>
      </c>
      <c r="F109">
        <f>$B$6+IF($D109=$B$8,$B$7,0)</f>
        <v/>
      </c>
      <c r="G109">
        <f>IF(E109-F109&gt;1E-9,E109-F109,0)</f>
        <v/>
      </c>
      <c r="H109">
        <f>G108*$G$51</f>
        <v/>
      </c>
      <c r="I109">
        <f>IF(K108&gt;0,MAX(0,K108*(1+$G$52)-$H$52),0)</f>
        <v/>
      </c>
      <c r="J109">
        <f>MAX(0,F109-E109)</f>
        <v/>
      </c>
      <c r="K109">
        <f>IF(I109-J109&gt;1E-9,I109-J109,0)</f>
        <v/>
      </c>
      <c r="L109">
        <f>K108*$G$52</f>
        <v/>
      </c>
      <c r="M109">
        <f>IF(O108&gt;0,MAX(0,O108*(1+$G$53)-$H$53),0)</f>
        <v/>
      </c>
      <c r="N109">
        <f>MAX(0,J109-I109)</f>
        <v/>
      </c>
      <c r="O109">
        <f>IF(M109-N109&gt;1E-9,M109-N109,0)</f>
        <v/>
      </c>
      <c r="P109">
        <f>O108*$G$53</f>
        <v/>
      </c>
      <c r="Q109">
        <f>IF(S108&gt;0,MAX(0,S108*(1+$G$54)-$H$54),0)</f>
        <v/>
      </c>
      <c r="R109">
        <f>MAX(0,N109-M109)</f>
        <v/>
      </c>
      <c r="S109">
        <f>IF(Q109-R109&gt;1E-9,Q109-R109,0)</f>
        <v/>
      </c>
      <c r="T109">
        <f>S108*$G$54</f>
        <v/>
      </c>
      <c r="U109">
        <f>IF(W108&gt;0,MAX(0,W108*(1+$G$55)-$H$55),0)</f>
        <v/>
      </c>
      <c r="V109">
        <f>MAX(0,R109-Q109)</f>
        <v/>
      </c>
      <c r="W109">
        <f>IF(U109-V109&gt;1E-9,U109-V109,0)</f>
        <v/>
      </c>
      <c r="X109">
        <f>W108*$G$55</f>
        <v/>
      </c>
      <c r="Y109">
        <f>IF(Y108&gt;1E-9,IF(Y108*(1+$G$51)-MAX($B$9,0.01*Y108+Y108*$G$51)&gt;1E-9,Y108*(1+$G$51)-MAX($B$9,0.01*Y108+Y108*$G$51),0),0)</f>
        <v/>
      </c>
      <c r="Z109">
        <f>Y108*$G$51</f>
        <v/>
      </c>
      <c r="AA109">
        <f>IF(AA108&gt;1E-9,IF(AA108*(1+$G$52)-MAX($B$9,0.01*AA108+AA108*$G$52)&gt;1E-9,AA108*(1+$G$52)-MAX($B$9,0.01*AA108+AA108*$G$52),0),0)</f>
        <v/>
      </c>
      <c r="AB109">
        <f>AA108*$G$52</f>
        <v/>
      </c>
      <c r="AC109">
        <f>IF(AC108&gt;1E-9,IF(AC108*(1+$G$53)-MAX($B$9,0.01*AC108+AC108*$G$53)&gt;1E-9,AC108*(1+$G$53)-MAX($B$9,0.01*AC108+AC108*$G$53),0),0)</f>
        <v/>
      </c>
      <c r="AD109">
        <f>AC108*$G$53</f>
        <v/>
      </c>
      <c r="AE109">
        <f>IF(AE108&gt;1E-9,IF(AE108*(1+$G$54)-MAX($B$9,0.01*AE108+AE108*$G$54)&gt;1E-9,AE108*(1+$G$54)-MAX($B$9,0.01*AE108+AE108*$G$54),0),0)</f>
        <v/>
      </c>
      <c r="AF109">
        <f>AE108*$G$54</f>
        <v/>
      </c>
      <c r="AG109">
        <f>IF(AG108&gt;1E-9,IF(AG108*(1+$G$55)-MAX($B$9,0.01*AG108+AG108*$G$55)&gt;1E-9,AG108*(1+$G$55)-MAX($B$9,0.01*AG108+AG108*$G$55),0),0)</f>
        <v/>
      </c>
      <c r="AH109">
        <f>AG108*$G$55</f>
        <v/>
      </c>
      <c r="AI109">
        <f>G109+K109+O109+S109+W109</f>
        <v/>
      </c>
      <c r="AJ109">
        <f>AI108+AK109-AI109</f>
        <v/>
      </c>
      <c r="AK109">
        <f>H109+L109+P109+T109+X109</f>
        <v/>
      </c>
      <c r="AL109">
        <f>TEXT(EDATE($B$5,D109-1),"mmm yyyy")</f>
        <v/>
      </c>
      <c r="AM109">
        <f>AI109</f>
        <v/>
      </c>
    </row>
    <row r="110">
      <c r="D110" t="n">
        <v>49</v>
      </c>
      <c r="E110">
        <f>IF(G109&gt;0,MAX(0,G109*(1+$G$51)-$H$51),0)</f>
        <v/>
      </c>
      <c r="F110">
        <f>$B$6+IF($D110=$B$8,$B$7,0)</f>
        <v/>
      </c>
      <c r="G110">
        <f>IF(E110-F110&gt;1E-9,E110-F110,0)</f>
        <v/>
      </c>
      <c r="H110">
        <f>G109*$G$51</f>
        <v/>
      </c>
      <c r="I110">
        <f>IF(K109&gt;0,MAX(0,K109*(1+$G$52)-$H$52),0)</f>
        <v/>
      </c>
      <c r="J110">
        <f>MAX(0,F110-E110)</f>
        <v/>
      </c>
      <c r="K110">
        <f>IF(I110-J110&gt;1E-9,I110-J110,0)</f>
        <v/>
      </c>
      <c r="L110">
        <f>K109*$G$52</f>
        <v/>
      </c>
      <c r="M110">
        <f>IF(O109&gt;0,MAX(0,O109*(1+$G$53)-$H$53),0)</f>
        <v/>
      </c>
      <c r="N110">
        <f>MAX(0,J110-I110)</f>
        <v/>
      </c>
      <c r="O110">
        <f>IF(M110-N110&gt;1E-9,M110-N110,0)</f>
        <v/>
      </c>
      <c r="P110">
        <f>O109*$G$53</f>
        <v/>
      </c>
      <c r="Q110">
        <f>IF(S109&gt;0,MAX(0,S109*(1+$G$54)-$H$54),0)</f>
        <v/>
      </c>
      <c r="R110">
        <f>MAX(0,N110-M110)</f>
        <v/>
      </c>
      <c r="S110">
        <f>IF(Q110-R110&gt;1E-9,Q110-R110,0)</f>
        <v/>
      </c>
      <c r="T110">
        <f>S109*$G$54</f>
        <v/>
      </c>
      <c r="U110">
        <f>IF(W109&gt;0,MAX(0,W109*(1+$G$55)-$H$55),0)</f>
        <v/>
      </c>
      <c r="V110">
        <f>MAX(0,R110-Q110)</f>
        <v/>
      </c>
      <c r="W110">
        <f>IF(U110-V110&gt;1E-9,U110-V110,0)</f>
        <v/>
      </c>
      <c r="X110">
        <f>W109*$G$55</f>
        <v/>
      </c>
      <c r="Y110">
        <f>IF(Y109&gt;1E-9,IF(Y109*(1+$G$51)-MAX($B$9,0.01*Y109+Y109*$G$51)&gt;1E-9,Y109*(1+$G$51)-MAX($B$9,0.01*Y109+Y109*$G$51),0),0)</f>
        <v/>
      </c>
      <c r="Z110">
        <f>Y109*$G$51</f>
        <v/>
      </c>
      <c r="AA110">
        <f>IF(AA109&gt;1E-9,IF(AA109*(1+$G$52)-MAX($B$9,0.01*AA109+AA109*$G$52)&gt;1E-9,AA109*(1+$G$52)-MAX($B$9,0.01*AA109+AA109*$G$52),0),0)</f>
        <v/>
      </c>
      <c r="AB110">
        <f>AA109*$G$52</f>
        <v/>
      </c>
      <c r="AC110">
        <f>IF(AC109&gt;1E-9,IF(AC109*(1+$G$53)-MAX($B$9,0.01*AC109+AC109*$G$53)&gt;1E-9,AC109*(1+$G$53)-MAX($B$9,0.01*AC109+AC109*$G$53),0),0)</f>
        <v/>
      </c>
      <c r="AD110">
        <f>AC109*$G$53</f>
        <v/>
      </c>
      <c r="AE110">
        <f>IF(AE109&gt;1E-9,IF(AE109*(1+$G$54)-MAX($B$9,0.01*AE109+AE109*$G$54)&gt;1E-9,AE109*(1+$G$54)-MAX($B$9,0.01*AE109+AE109*$G$54),0),0)</f>
        <v/>
      </c>
      <c r="AF110">
        <f>AE109*$G$54</f>
        <v/>
      </c>
      <c r="AG110">
        <f>IF(AG109&gt;1E-9,IF(AG109*(1+$G$55)-MAX($B$9,0.01*AG109+AG109*$G$55)&gt;1E-9,AG109*(1+$G$55)-MAX($B$9,0.01*AG109+AG109*$G$55),0),0)</f>
        <v/>
      </c>
      <c r="AH110">
        <f>AG109*$G$55</f>
        <v/>
      </c>
      <c r="AI110">
        <f>G110+K110+O110+S110+W110</f>
        <v/>
      </c>
      <c r="AJ110">
        <f>AI109+AK110-AI110</f>
        <v/>
      </c>
      <c r="AK110">
        <f>H110+L110+P110+T110+X110</f>
        <v/>
      </c>
      <c r="AL110">
        <f>TEXT(EDATE($B$5,D110-1),"mmm yyyy")</f>
        <v/>
      </c>
      <c r="AM110">
        <f>AI110</f>
        <v/>
      </c>
    </row>
    <row r="111">
      <c r="D111" t="n">
        <v>50</v>
      </c>
      <c r="E111">
        <f>IF(G110&gt;0,MAX(0,G110*(1+$G$51)-$H$51),0)</f>
        <v/>
      </c>
      <c r="F111">
        <f>$B$6+IF($D111=$B$8,$B$7,0)</f>
        <v/>
      </c>
      <c r="G111">
        <f>IF(E111-F111&gt;1E-9,E111-F111,0)</f>
        <v/>
      </c>
      <c r="H111">
        <f>G110*$G$51</f>
        <v/>
      </c>
      <c r="I111">
        <f>IF(K110&gt;0,MAX(0,K110*(1+$G$52)-$H$52),0)</f>
        <v/>
      </c>
      <c r="J111">
        <f>MAX(0,F111-E111)</f>
        <v/>
      </c>
      <c r="K111">
        <f>IF(I111-J111&gt;1E-9,I111-J111,0)</f>
        <v/>
      </c>
      <c r="L111">
        <f>K110*$G$52</f>
        <v/>
      </c>
      <c r="M111">
        <f>IF(O110&gt;0,MAX(0,O110*(1+$G$53)-$H$53),0)</f>
        <v/>
      </c>
      <c r="N111">
        <f>MAX(0,J111-I111)</f>
        <v/>
      </c>
      <c r="O111">
        <f>IF(M111-N111&gt;1E-9,M111-N111,0)</f>
        <v/>
      </c>
      <c r="P111">
        <f>O110*$G$53</f>
        <v/>
      </c>
      <c r="Q111">
        <f>IF(S110&gt;0,MAX(0,S110*(1+$G$54)-$H$54),0)</f>
        <v/>
      </c>
      <c r="R111">
        <f>MAX(0,N111-M111)</f>
        <v/>
      </c>
      <c r="S111">
        <f>IF(Q111-R111&gt;1E-9,Q111-R111,0)</f>
        <v/>
      </c>
      <c r="T111">
        <f>S110*$G$54</f>
        <v/>
      </c>
      <c r="U111">
        <f>IF(W110&gt;0,MAX(0,W110*(1+$G$55)-$H$55),0)</f>
        <v/>
      </c>
      <c r="V111">
        <f>MAX(0,R111-Q111)</f>
        <v/>
      </c>
      <c r="W111">
        <f>IF(U111-V111&gt;1E-9,U111-V111,0)</f>
        <v/>
      </c>
      <c r="X111">
        <f>W110*$G$55</f>
        <v/>
      </c>
      <c r="Y111">
        <f>IF(Y110&gt;1E-9,IF(Y110*(1+$G$51)-MAX($B$9,0.01*Y110+Y110*$G$51)&gt;1E-9,Y110*(1+$G$51)-MAX($B$9,0.01*Y110+Y110*$G$51),0),0)</f>
        <v/>
      </c>
      <c r="Z111">
        <f>Y110*$G$51</f>
        <v/>
      </c>
      <c r="AA111">
        <f>IF(AA110&gt;1E-9,IF(AA110*(1+$G$52)-MAX($B$9,0.01*AA110+AA110*$G$52)&gt;1E-9,AA110*(1+$G$52)-MAX($B$9,0.01*AA110+AA110*$G$52),0),0)</f>
        <v/>
      </c>
      <c r="AB111">
        <f>AA110*$G$52</f>
        <v/>
      </c>
      <c r="AC111">
        <f>IF(AC110&gt;1E-9,IF(AC110*(1+$G$53)-MAX($B$9,0.01*AC110+AC110*$G$53)&gt;1E-9,AC110*(1+$G$53)-MAX($B$9,0.01*AC110+AC110*$G$53),0),0)</f>
        <v/>
      </c>
      <c r="AD111">
        <f>AC110*$G$53</f>
        <v/>
      </c>
      <c r="AE111">
        <f>IF(AE110&gt;1E-9,IF(AE110*(1+$G$54)-MAX($B$9,0.01*AE110+AE110*$G$54)&gt;1E-9,AE110*(1+$G$54)-MAX($B$9,0.01*AE110+AE110*$G$54),0),0)</f>
        <v/>
      </c>
      <c r="AF111">
        <f>AE110*$G$54</f>
        <v/>
      </c>
      <c r="AG111">
        <f>IF(AG110&gt;1E-9,IF(AG110*(1+$G$55)-MAX($B$9,0.01*AG110+AG110*$G$55)&gt;1E-9,AG110*(1+$G$55)-MAX($B$9,0.01*AG110+AG110*$G$55),0),0)</f>
        <v/>
      </c>
      <c r="AH111">
        <f>AG110*$G$55</f>
        <v/>
      </c>
      <c r="AI111">
        <f>G111+K111+O111+S111+W111</f>
        <v/>
      </c>
      <c r="AJ111">
        <f>AI110+AK111-AI111</f>
        <v/>
      </c>
      <c r="AK111">
        <f>H111+L111+P111+T111+X111</f>
        <v/>
      </c>
      <c r="AL111">
        <f>TEXT(EDATE($B$5,D111-1),"mmm yyyy")</f>
        <v/>
      </c>
      <c r="AM111">
        <f>AI111</f>
        <v/>
      </c>
    </row>
    <row r="112">
      <c r="D112" t="n">
        <v>51</v>
      </c>
      <c r="E112">
        <f>IF(G111&gt;0,MAX(0,G111*(1+$G$51)-$H$51),0)</f>
        <v/>
      </c>
      <c r="F112">
        <f>$B$6+IF($D112=$B$8,$B$7,0)</f>
        <v/>
      </c>
      <c r="G112">
        <f>IF(E112-F112&gt;1E-9,E112-F112,0)</f>
        <v/>
      </c>
      <c r="H112">
        <f>G111*$G$51</f>
        <v/>
      </c>
      <c r="I112">
        <f>IF(K111&gt;0,MAX(0,K111*(1+$G$52)-$H$52),0)</f>
        <v/>
      </c>
      <c r="J112">
        <f>MAX(0,F112-E112)</f>
        <v/>
      </c>
      <c r="K112">
        <f>IF(I112-J112&gt;1E-9,I112-J112,0)</f>
        <v/>
      </c>
      <c r="L112">
        <f>K111*$G$52</f>
        <v/>
      </c>
      <c r="M112">
        <f>IF(O111&gt;0,MAX(0,O111*(1+$G$53)-$H$53),0)</f>
        <v/>
      </c>
      <c r="N112">
        <f>MAX(0,J112-I112)</f>
        <v/>
      </c>
      <c r="O112">
        <f>IF(M112-N112&gt;1E-9,M112-N112,0)</f>
        <v/>
      </c>
      <c r="P112">
        <f>O111*$G$53</f>
        <v/>
      </c>
      <c r="Q112">
        <f>IF(S111&gt;0,MAX(0,S111*(1+$G$54)-$H$54),0)</f>
        <v/>
      </c>
      <c r="R112">
        <f>MAX(0,N112-M112)</f>
        <v/>
      </c>
      <c r="S112">
        <f>IF(Q112-R112&gt;1E-9,Q112-R112,0)</f>
        <v/>
      </c>
      <c r="T112">
        <f>S111*$G$54</f>
        <v/>
      </c>
      <c r="U112">
        <f>IF(W111&gt;0,MAX(0,W111*(1+$G$55)-$H$55),0)</f>
        <v/>
      </c>
      <c r="V112">
        <f>MAX(0,R112-Q112)</f>
        <v/>
      </c>
      <c r="W112">
        <f>IF(U112-V112&gt;1E-9,U112-V112,0)</f>
        <v/>
      </c>
      <c r="X112">
        <f>W111*$G$55</f>
        <v/>
      </c>
      <c r="Y112">
        <f>IF(Y111&gt;1E-9,IF(Y111*(1+$G$51)-MAX($B$9,0.01*Y111+Y111*$G$51)&gt;1E-9,Y111*(1+$G$51)-MAX($B$9,0.01*Y111+Y111*$G$51),0),0)</f>
        <v/>
      </c>
      <c r="Z112">
        <f>Y111*$G$51</f>
        <v/>
      </c>
      <c r="AA112">
        <f>IF(AA111&gt;1E-9,IF(AA111*(1+$G$52)-MAX($B$9,0.01*AA111+AA111*$G$52)&gt;1E-9,AA111*(1+$G$52)-MAX($B$9,0.01*AA111+AA111*$G$52),0),0)</f>
        <v/>
      </c>
      <c r="AB112">
        <f>AA111*$G$52</f>
        <v/>
      </c>
      <c r="AC112">
        <f>IF(AC111&gt;1E-9,IF(AC111*(1+$G$53)-MAX($B$9,0.01*AC111+AC111*$G$53)&gt;1E-9,AC111*(1+$G$53)-MAX($B$9,0.01*AC111+AC111*$G$53),0),0)</f>
        <v/>
      </c>
      <c r="AD112">
        <f>AC111*$G$53</f>
        <v/>
      </c>
      <c r="AE112">
        <f>IF(AE111&gt;1E-9,IF(AE111*(1+$G$54)-MAX($B$9,0.01*AE111+AE111*$G$54)&gt;1E-9,AE111*(1+$G$54)-MAX($B$9,0.01*AE111+AE111*$G$54),0),0)</f>
        <v/>
      </c>
      <c r="AF112">
        <f>AE111*$G$54</f>
        <v/>
      </c>
      <c r="AG112">
        <f>IF(AG111&gt;1E-9,IF(AG111*(1+$G$55)-MAX($B$9,0.01*AG111+AG111*$G$55)&gt;1E-9,AG111*(1+$G$55)-MAX($B$9,0.01*AG111+AG111*$G$55),0),0)</f>
        <v/>
      </c>
      <c r="AH112">
        <f>AG111*$G$55</f>
        <v/>
      </c>
      <c r="AI112">
        <f>G112+K112+O112+S112+W112</f>
        <v/>
      </c>
      <c r="AJ112">
        <f>AI111+AK112-AI112</f>
        <v/>
      </c>
      <c r="AK112">
        <f>H112+L112+P112+T112+X112</f>
        <v/>
      </c>
      <c r="AL112">
        <f>TEXT(EDATE($B$5,D112-1),"mmm yyyy")</f>
        <v/>
      </c>
      <c r="AM112">
        <f>AI112</f>
        <v/>
      </c>
    </row>
    <row r="113">
      <c r="D113" t="n">
        <v>52</v>
      </c>
      <c r="E113">
        <f>IF(G112&gt;0,MAX(0,G112*(1+$G$51)-$H$51),0)</f>
        <v/>
      </c>
      <c r="F113">
        <f>$B$6+IF($D113=$B$8,$B$7,0)</f>
        <v/>
      </c>
      <c r="G113">
        <f>IF(E113-F113&gt;1E-9,E113-F113,0)</f>
        <v/>
      </c>
      <c r="H113">
        <f>G112*$G$51</f>
        <v/>
      </c>
      <c r="I113">
        <f>IF(K112&gt;0,MAX(0,K112*(1+$G$52)-$H$52),0)</f>
        <v/>
      </c>
      <c r="J113">
        <f>MAX(0,F113-E113)</f>
        <v/>
      </c>
      <c r="K113">
        <f>IF(I113-J113&gt;1E-9,I113-J113,0)</f>
        <v/>
      </c>
      <c r="L113">
        <f>K112*$G$52</f>
        <v/>
      </c>
      <c r="M113">
        <f>IF(O112&gt;0,MAX(0,O112*(1+$G$53)-$H$53),0)</f>
        <v/>
      </c>
      <c r="N113">
        <f>MAX(0,J113-I113)</f>
        <v/>
      </c>
      <c r="O113">
        <f>IF(M113-N113&gt;1E-9,M113-N113,0)</f>
        <v/>
      </c>
      <c r="P113">
        <f>O112*$G$53</f>
        <v/>
      </c>
      <c r="Q113">
        <f>IF(S112&gt;0,MAX(0,S112*(1+$G$54)-$H$54),0)</f>
        <v/>
      </c>
      <c r="R113">
        <f>MAX(0,N113-M113)</f>
        <v/>
      </c>
      <c r="S113">
        <f>IF(Q113-R113&gt;1E-9,Q113-R113,0)</f>
        <v/>
      </c>
      <c r="T113">
        <f>S112*$G$54</f>
        <v/>
      </c>
      <c r="U113">
        <f>IF(W112&gt;0,MAX(0,W112*(1+$G$55)-$H$55),0)</f>
        <v/>
      </c>
      <c r="V113">
        <f>MAX(0,R113-Q113)</f>
        <v/>
      </c>
      <c r="W113">
        <f>IF(U113-V113&gt;1E-9,U113-V113,0)</f>
        <v/>
      </c>
      <c r="X113">
        <f>W112*$G$55</f>
        <v/>
      </c>
      <c r="Y113">
        <f>IF(Y112&gt;1E-9,IF(Y112*(1+$G$51)-MAX($B$9,0.01*Y112+Y112*$G$51)&gt;1E-9,Y112*(1+$G$51)-MAX($B$9,0.01*Y112+Y112*$G$51),0),0)</f>
        <v/>
      </c>
      <c r="Z113">
        <f>Y112*$G$51</f>
        <v/>
      </c>
      <c r="AA113">
        <f>IF(AA112&gt;1E-9,IF(AA112*(1+$G$52)-MAX($B$9,0.01*AA112+AA112*$G$52)&gt;1E-9,AA112*(1+$G$52)-MAX($B$9,0.01*AA112+AA112*$G$52),0),0)</f>
        <v/>
      </c>
      <c r="AB113">
        <f>AA112*$G$52</f>
        <v/>
      </c>
      <c r="AC113">
        <f>IF(AC112&gt;1E-9,IF(AC112*(1+$G$53)-MAX($B$9,0.01*AC112+AC112*$G$53)&gt;1E-9,AC112*(1+$G$53)-MAX($B$9,0.01*AC112+AC112*$G$53),0),0)</f>
        <v/>
      </c>
      <c r="AD113">
        <f>AC112*$G$53</f>
        <v/>
      </c>
      <c r="AE113">
        <f>IF(AE112&gt;1E-9,IF(AE112*(1+$G$54)-MAX($B$9,0.01*AE112+AE112*$G$54)&gt;1E-9,AE112*(1+$G$54)-MAX($B$9,0.01*AE112+AE112*$G$54),0),0)</f>
        <v/>
      </c>
      <c r="AF113">
        <f>AE112*$G$54</f>
        <v/>
      </c>
      <c r="AG113">
        <f>IF(AG112&gt;1E-9,IF(AG112*(1+$G$55)-MAX($B$9,0.01*AG112+AG112*$G$55)&gt;1E-9,AG112*(1+$G$55)-MAX($B$9,0.01*AG112+AG112*$G$55),0),0)</f>
        <v/>
      </c>
      <c r="AH113">
        <f>AG112*$G$55</f>
        <v/>
      </c>
      <c r="AI113">
        <f>G113+K113+O113+S113+W113</f>
        <v/>
      </c>
      <c r="AJ113">
        <f>AI112+AK113-AI113</f>
        <v/>
      </c>
      <c r="AK113">
        <f>H113+L113+P113+T113+X113</f>
        <v/>
      </c>
      <c r="AL113">
        <f>TEXT(EDATE($B$5,D113-1),"mmm yyyy")</f>
        <v/>
      </c>
      <c r="AM113">
        <f>AI113</f>
        <v/>
      </c>
    </row>
    <row r="114">
      <c r="D114" t="n">
        <v>53</v>
      </c>
      <c r="E114">
        <f>IF(G113&gt;0,MAX(0,G113*(1+$G$51)-$H$51),0)</f>
        <v/>
      </c>
      <c r="F114">
        <f>$B$6+IF($D114=$B$8,$B$7,0)</f>
        <v/>
      </c>
      <c r="G114">
        <f>IF(E114-F114&gt;1E-9,E114-F114,0)</f>
        <v/>
      </c>
      <c r="H114">
        <f>G113*$G$51</f>
        <v/>
      </c>
      <c r="I114">
        <f>IF(K113&gt;0,MAX(0,K113*(1+$G$52)-$H$52),0)</f>
        <v/>
      </c>
      <c r="J114">
        <f>MAX(0,F114-E114)</f>
        <v/>
      </c>
      <c r="K114">
        <f>IF(I114-J114&gt;1E-9,I114-J114,0)</f>
        <v/>
      </c>
      <c r="L114">
        <f>K113*$G$52</f>
        <v/>
      </c>
      <c r="M114">
        <f>IF(O113&gt;0,MAX(0,O113*(1+$G$53)-$H$53),0)</f>
        <v/>
      </c>
      <c r="N114">
        <f>MAX(0,J114-I114)</f>
        <v/>
      </c>
      <c r="O114">
        <f>IF(M114-N114&gt;1E-9,M114-N114,0)</f>
        <v/>
      </c>
      <c r="P114">
        <f>O113*$G$53</f>
        <v/>
      </c>
      <c r="Q114">
        <f>IF(S113&gt;0,MAX(0,S113*(1+$G$54)-$H$54),0)</f>
        <v/>
      </c>
      <c r="R114">
        <f>MAX(0,N114-M114)</f>
        <v/>
      </c>
      <c r="S114">
        <f>IF(Q114-R114&gt;1E-9,Q114-R114,0)</f>
        <v/>
      </c>
      <c r="T114">
        <f>S113*$G$54</f>
        <v/>
      </c>
      <c r="U114">
        <f>IF(W113&gt;0,MAX(0,W113*(1+$G$55)-$H$55),0)</f>
        <v/>
      </c>
      <c r="V114">
        <f>MAX(0,R114-Q114)</f>
        <v/>
      </c>
      <c r="W114">
        <f>IF(U114-V114&gt;1E-9,U114-V114,0)</f>
        <v/>
      </c>
      <c r="X114">
        <f>W113*$G$55</f>
        <v/>
      </c>
      <c r="Y114">
        <f>IF(Y113&gt;1E-9,IF(Y113*(1+$G$51)-MAX($B$9,0.01*Y113+Y113*$G$51)&gt;1E-9,Y113*(1+$G$51)-MAX($B$9,0.01*Y113+Y113*$G$51),0),0)</f>
        <v/>
      </c>
      <c r="Z114">
        <f>Y113*$G$51</f>
        <v/>
      </c>
      <c r="AA114">
        <f>IF(AA113&gt;1E-9,IF(AA113*(1+$G$52)-MAX($B$9,0.01*AA113+AA113*$G$52)&gt;1E-9,AA113*(1+$G$52)-MAX($B$9,0.01*AA113+AA113*$G$52),0),0)</f>
        <v/>
      </c>
      <c r="AB114">
        <f>AA113*$G$52</f>
        <v/>
      </c>
      <c r="AC114">
        <f>IF(AC113&gt;1E-9,IF(AC113*(1+$G$53)-MAX($B$9,0.01*AC113+AC113*$G$53)&gt;1E-9,AC113*(1+$G$53)-MAX($B$9,0.01*AC113+AC113*$G$53),0),0)</f>
        <v/>
      </c>
      <c r="AD114">
        <f>AC113*$G$53</f>
        <v/>
      </c>
      <c r="AE114">
        <f>IF(AE113&gt;1E-9,IF(AE113*(1+$G$54)-MAX($B$9,0.01*AE113+AE113*$G$54)&gt;1E-9,AE113*(1+$G$54)-MAX($B$9,0.01*AE113+AE113*$G$54),0),0)</f>
        <v/>
      </c>
      <c r="AF114">
        <f>AE113*$G$54</f>
        <v/>
      </c>
      <c r="AG114">
        <f>IF(AG113&gt;1E-9,IF(AG113*(1+$G$55)-MAX($B$9,0.01*AG113+AG113*$G$55)&gt;1E-9,AG113*(1+$G$55)-MAX($B$9,0.01*AG113+AG113*$G$55),0),0)</f>
        <v/>
      </c>
      <c r="AH114">
        <f>AG113*$G$55</f>
        <v/>
      </c>
      <c r="AI114">
        <f>G114+K114+O114+S114+W114</f>
        <v/>
      </c>
      <c r="AJ114">
        <f>AI113+AK114-AI114</f>
        <v/>
      </c>
      <c r="AK114">
        <f>H114+L114+P114+T114+X114</f>
        <v/>
      </c>
      <c r="AL114">
        <f>TEXT(EDATE($B$5,D114-1),"mmm yyyy")</f>
        <v/>
      </c>
      <c r="AM114">
        <f>AI114</f>
        <v/>
      </c>
    </row>
    <row r="115">
      <c r="D115" t="n">
        <v>54</v>
      </c>
      <c r="E115">
        <f>IF(G114&gt;0,MAX(0,G114*(1+$G$51)-$H$51),0)</f>
        <v/>
      </c>
      <c r="F115">
        <f>$B$6+IF($D115=$B$8,$B$7,0)</f>
        <v/>
      </c>
      <c r="G115">
        <f>IF(E115-F115&gt;1E-9,E115-F115,0)</f>
        <v/>
      </c>
      <c r="H115">
        <f>G114*$G$51</f>
        <v/>
      </c>
      <c r="I115">
        <f>IF(K114&gt;0,MAX(0,K114*(1+$G$52)-$H$52),0)</f>
        <v/>
      </c>
      <c r="J115">
        <f>MAX(0,F115-E115)</f>
        <v/>
      </c>
      <c r="K115">
        <f>IF(I115-J115&gt;1E-9,I115-J115,0)</f>
        <v/>
      </c>
      <c r="L115">
        <f>K114*$G$52</f>
        <v/>
      </c>
      <c r="M115">
        <f>IF(O114&gt;0,MAX(0,O114*(1+$G$53)-$H$53),0)</f>
        <v/>
      </c>
      <c r="N115">
        <f>MAX(0,J115-I115)</f>
        <v/>
      </c>
      <c r="O115">
        <f>IF(M115-N115&gt;1E-9,M115-N115,0)</f>
        <v/>
      </c>
      <c r="P115">
        <f>O114*$G$53</f>
        <v/>
      </c>
      <c r="Q115">
        <f>IF(S114&gt;0,MAX(0,S114*(1+$G$54)-$H$54),0)</f>
        <v/>
      </c>
      <c r="R115">
        <f>MAX(0,N115-M115)</f>
        <v/>
      </c>
      <c r="S115">
        <f>IF(Q115-R115&gt;1E-9,Q115-R115,0)</f>
        <v/>
      </c>
      <c r="T115">
        <f>S114*$G$54</f>
        <v/>
      </c>
      <c r="U115">
        <f>IF(W114&gt;0,MAX(0,W114*(1+$G$55)-$H$55),0)</f>
        <v/>
      </c>
      <c r="V115">
        <f>MAX(0,R115-Q115)</f>
        <v/>
      </c>
      <c r="W115">
        <f>IF(U115-V115&gt;1E-9,U115-V115,0)</f>
        <v/>
      </c>
      <c r="X115">
        <f>W114*$G$55</f>
        <v/>
      </c>
      <c r="Y115">
        <f>IF(Y114&gt;1E-9,IF(Y114*(1+$G$51)-MAX($B$9,0.01*Y114+Y114*$G$51)&gt;1E-9,Y114*(1+$G$51)-MAX($B$9,0.01*Y114+Y114*$G$51),0),0)</f>
        <v/>
      </c>
      <c r="Z115">
        <f>Y114*$G$51</f>
        <v/>
      </c>
      <c r="AA115">
        <f>IF(AA114&gt;1E-9,IF(AA114*(1+$G$52)-MAX($B$9,0.01*AA114+AA114*$G$52)&gt;1E-9,AA114*(1+$G$52)-MAX($B$9,0.01*AA114+AA114*$G$52),0),0)</f>
        <v/>
      </c>
      <c r="AB115">
        <f>AA114*$G$52</f>
        <v/>
      </c>
      <c r="AC115">
        <f>IF(AC114&gt;1E-9,IF(AC114*(1+$G$53)-MAX($B$9,0.01*AC114+AC114*$G$53)&gt;1E-9,AC114*(1+$G$53)-MAX($B$9,0.01*AC114+AC114*$G$53),0),0)</f>
        <v/>
      </c>
      <c r="AD115">
        <f>AC114*$G$53</f>
        <v/>
      </c>
      <c r="AE115">
        <f>IF(AE114&gt;1E-9,IF(AE114*(1+$G$54)-MAX($B$9,0.01*AE114+AE114*$G$54)&gt;1E-9,AE114*(1+$G$54)-MAX($B$9,0.01*AE114+AE114*$G$54),0),0)</f>
        <v/>
      </c>
      <c r="AF115">
        <f>AE114*$G$54</f>
        <v/>
      </c>
      <c r="AG115">
        <f>IF(AG114&gt;1E-9,IF(AG114*(1+$G$55)-MAX($B$9,0.01*AG114+AG114*$G$55)&gt;1E-9,AG114*(1+$G$55)-MAX($B$9,0.01*AG114+AG114*$G$55),0),0)</f>
        <v/>
      </c>
      <c r="AH115">
        <f>AG114*$G$55</f>
        <v/>
      </c>
      <c r="AI115">
        <f>G115+K115+O115+S115+W115</f>
        <v/>
      </c>
      <c r="AJ115">
        <f>AI114+AK115-AI115</f>
        <v/>
      </c>
      <c r="AK115">
        <f>H115+L115+P115+T115+X115</f>
        <v/>
      </c>
      <c r="AL115">
        <f>TEXT(EDATE($B$5,D115-1),"mmm yyyy")</f>
        <v/>
      </c>
      <c r="AM115">
        <f>AI115</f>
        <v/>
      </c>
    </row>
    <row r="116">
      <c r="D116" t="n">
        <v>55</v>
      </c>
      <c r="E116">
        <f>IF(G115&gt;0,MAX(0,G115*(1+$G$51)-$H$51),0)</f>
        <v/>
      </c>
      <c r="F116">
        <f>$B$6+IF($D116=$B$8,$B$7,0)</f>
        <v/>
      </c>
      <c r="G116">
        <f>IF(E116-F116&gt;1E-9,E116-F116,0)</f>
        <v/>
      </c>
      <c r="H116">
        <f>G115*$G$51</f>
        <v/>
      </c>
      <c r="I116">
        <f>IF(K115&gt;0,MAX(0,K115*(1+$G$52)-$H$52),0)</f>
        <v/>
      </c>
      <c r="J116">
        <f>MAX(0,F116-E116)</f>
        <v/>
      </c>
      <c r="K116">
        <f>IF(I116-J116&gt;1E-9,I116-J116,0)</f>
        <v/>
      </c>
      <c r="L116">
        <f>K115*$G$52</f>
        <v/>
      </c>
      <c r="M116">
        <f>IF(O115&gt;0,MAX(0,O115*(1+$G$53)-$H$53),0)</f>
        <v/>
      </c>
      <c r="N116">
        <f>MAX(0,J116-I116)</f>
        <v/>
      </c>
      <c r="O116">
        <f>IF(M116-N116&gt;1E-9,M116-N116,0)</f>
        <v/>
      </c>
      <c r="P116">
        <f>O115*$G$53</f>
        <v/>
      </c>
      <c r="Q116">
        <f>IF(S115&gt;0,MAX(0,S115*(1+$G$54)-$H$54),0)</f>
        <v/>
      </c>
      <c r="R116">
        <f>MAX(0,N116-M116)</f>
        <v/>
      </c>
      <c r="S116">
        <f>IF(Q116-R116&gt;1E-9,Q116-R116,0)</f>
        <v/>
      </c>
      <c r="T116">
        <f>S115*$G$54</f>
        <v/>
      </c>
      <c r="U116">
        <f>IF(W115&gt;0,MAX(0,W115*(1+$G$55)-$H$55),0)</f>
        <v/>
      </c>
      <c r="V116">
        <f>MAX(0,R116-Q116)</f>
        <v/>
      </c>
      <c r="W116">
        <f>IF(U116-V116&gt;1E-9,U116-V116,0)</f>
        <v/>
      </c>
      <c r="X116">
        <f>W115*$G$55</f>
        <v/>
      </c>
      <c r="Y116">
        <f>IF(Y115&gt;1E-9,IF(Y115*(1+$G$51)-MAX($B$9,0.01*Y115+Y115*$G$51)&gt;1E-9,Y115*(1+$G$51)-MAX($B$9,0.01*Y115+Y115*$G$51),0),0)</f>
        <v/>
      </c>
      <c r="Z116">
        <f>Y115*$G$51</f>
        <v/>
      </c>
      <c r="AA116">
        <f>IF(AA115&gt;1E-9,IF(AA115*(1+$G$52)-MAX($B$9,0.01*AA115+AA115*$G$52)&gt;1E-9,AA115*(1+$G$52)-MAX($B$9,0.01*AA115+AA115*$G$52),0),0)</f>
        <v/>
      </c>
      <c r="AB116">
        <f>AA115*$G$52</f>
        <v/>
      </c>
      <c r="AC116">
        <f>IF(AC115&gt;1E-9,IF(AC115*(1+$G$53)-MAX($B$9,0.01*AC115+AC115*$G$53)&gt;1E-9,AC115*(1+$G$53)-MAX($B$9,0.01*AC115+AC115*$G$53),0),0)</f>
        <v/>
      </c>
      <c r="AD116">
        <f>AC115*$G$53</f>
        <v/>
      </c>
      <c r="AE116">
        <f>IF(AE115&gt;1E-9,IF(AE115*(1+$G$54)-MAX($B$9,0.01*AE115+AE115*$G$54)&gt;1E-9,AE115*(1+$G$54)-MAX($B$9,0.01*AE115+AE115*$G$54),0),0)</f>
        <v/>
      </c>
      <c r="AF116">
        <f>AE115*$G$54</f>
        <v/>
      </c>
      <c r="AG116">
        <f>IF(AG115&gt;1E-9,IF(AG115*(1+$G$55)-MAX($B$9,0.01*AG115+AG115*$G$55)&gt;1E-9,AG115*(1+$G$55)-MAX($B$9,0.01*AG115+AG115*$G$55),0),0)</f>
        <v/>
      </c>
      <c r="AH116">
        <f>AG115*$G$55</f>
        <v/>
      </c>
      <c r="AI116">
        <f>G116+K116+O116+S116+W116</f>
        <v/>
      </c>
      <c r="AJ116">
        <f>AI115+AK116-AI116</f>
        <v/>
      </c>
      <c r="AK116">
        <f>H116+L116+P116+T116+X116</f>
        <v/>
      </c>
      <c r="AL116">
        <f>TEXT(EDATE($B$5,D116-1),"mmm yyyy")</f>
        <v/>
      </c>
      <c r="AM116">
        <f>AI116</f>
        <v/>
      </c>
    </row>
    <row r="117">
      <c r="D117" t="n">
        <v>56</v>
      </c>
      <c r="E117">
        <f>IF(G116&gt;0,MAX(0,G116*(1+$G$51)-$H$51),0)</f>
        <v/>
      </c>
      <c r="F117">
        <f>$B$6+IF($D117=$B$8,$B$7,0)</f>
        <v/>
      </c>
      <c r="G117">
        <f>IF(E117-F117&gt;1E-9,E117-F117,0)</f>
        <v/>
      </c>
      <c r="H117">
        <f>G116*$G$51</f>
        <v/>
      </c>
      <c r="I117">
        <f>IF(K116&gt;0,MAX(0,K116*(1+$G$52)-$H$52),0)</f>
        <v/>
      </c>
      <c r="J117">
        <f>MAX(0,F117-E117)</f>
        <v/>
      </c>
      <c r="K117">
        <f>IF(I117-J117&gt;1E-9,I117-J117,0)</f>
        <v/>
      </c>
      <c r="L117">
        <f>K116*$G$52</f>
        <v/>
      </c>
      <c r="M117">
        <f>IF(O116&gt;0,MAX(0,O116*(1+$G$53)-$H$53),0)</f>
        <v/>
      </c>
      <c r="N117">
        <f>MAX(0,J117-I117)</f>
        <v/>
      </c>
      <c r="O117">
        <f>IF(M117-N117&gt;1E-9,M117-N117,0)</f>
        <v/>
      </c>
      <c r="P117">
        <f>O116*$G$53</f>
        <v/>
      </c>
      <c r="Q117">
        <f>IF(S116&gt;0,MAX(0,S116*(1+$G$54)-$H$54),0)</f>
        <v/>
      </c>
      <c r="R117">
        <f>MAX(0,N117-M117)</f>
        <v/>
      </c>
      <c r="S117">
        <f>IF(Q117-R117&gt;1E-9,Q117-R117,0)</f>
        <v/>
      </c>
      <c r="T117">
        <f>S116*$G$54</f>
        <v/>
      </c>
      <c r="U117">
        <f>IF(W116&gt;0,MAX(0,W116*(1+$G$55)-$H$55),0)</f>
        <v/>
      </c>
      <c r="V117">
        <f>MAX(0,R117-Q117)</f>
        <v/>
      </c>
      <c r="W117">
        <f>IF(U117-V117&gt;1E-9,U117-V117,0)</f>
        <v/>
      </c>
      <c r="X117">
        <f>W116*$G$55</f>
        <v/>
      </c>
      <c r="Y117">
        <f>IF(Y116&gt;1E-9,IF(Y116*(1+$G$51)-MAX($B$9,0.01*Y116+Y116*$G$51)&gt;1E-9,Y116*(1+$G$51)-MAX($B$9,0.01*Y116+Y116*$G$51),0),0)</f>
        <v/>
      </c>
      <c r="Z117">
        <f>Y116*$G$51</f>
        <v/>
      </c>
      <c r="AA117">
        <f>IF(AA116&gt;1E-9,IF(AA116*(1+$G$52)-MAX($B$9,0.01*AA116+AA116*$G$52)&gt;1E-9,AA116*(1+$G$52)-MAX($B$9,0.01*AA116+AA116*$G$52),0),0)</f>
        <v/>
      </c>
      <c r="AB117">
        <f>AA116*$G$52</f>
        <v/>
      </c>
      <c r="AC117">
        <f>IF(AC116&gt;1E-9,IF(AC116*(1+$G$53)-MAX($B$9,0.01*AC116+AC116*$G$53)&gt;1E-9,AC116*(1+$G$53)-MAX($B$9,0.01*AC116+AC116*$G$53),0),0)</f>
        <v/>
      </c>
      <c r="AD117">
        <f>AC116*$G$53</f>
        <v/>
      </c>
      <c r="AE117">
        <f>IF(AE116&gt;1E-9,IF(AE116*(1+$G$54)-MAX($B$9,0.01*AE116+AE116*$G$54)&gt;1E-9,AE116*(1+$G$54)-MAX($B$9,0.01*AE116+AE116*$G$54),0),0)</f>
        <v/>
      </c>
      <c r="AF117">
        <f>AE116*$G$54</f>
        <v/>
      </c>
      <c r="AG117">
        <f>IF(AG116&gt;1E-9,IF(AG116*(1+$G$55)-MAX($B$9,0.01*AG116+AG116*$G$55)&gt;1E-9,AG116*(1+$G$55)-MAX($B$9,0.01*AG116+AG116*$G$55),0),0)</f>
        <v/>
      </c>
      <c r="AH117">
        <f>AG116*$G$55</f>
        <v/>
      </c>
      <c r="AI117">
        <f>G117+K117+O117+S117+W117</f>
        <v/>
      </c>
      <c r="AJ117">
        <f>AI116+AK117-AI117</f>
        <v/>
      </c>
      <c r="AK117">
        <f>H117+L117+P117+T117+X117</f>
        <v/>
      </c>
      <c r="AL117">
        <f>TEXT(EDATE($B$5,D117-1),"mmm yyyy")</f>
        <v/>
      </c>
      <c r="AM117">
        <f>AI117</f>
        <v/>
      </c>
    </row>
    <row r="118">
      <c r="D118" t="n">
        <v>57</v>
      </c>
      <c r="E118">
        <f>IF(G117&gt;0,MAX(0,G117*(1+$G$51)-$H$51),0)</f>
        <v/>
      </c>
      <c r="F118">
        <f>$B$6+IF($D118=$B$8,$B$7,0)</f>
        <v/>
      </c>
      <c r="G118">
        <f>IF(E118-F118&gt;1E-9,E118-F118,0)</f>
        <v/>
      </c>
      <c r="H118">
        <f>G117*$G$51</f>
        <v/>
      </c>
      <c r="I118">
        <f>IF(K117&gt;0,MAX(0,K117*(1+$G$52)-$H$52),0)</f>
        <v/>
      </c>
      <c r="J118">
        <f>MAX(0,F118-E118)</f>
        <v/>
      </c>
      <c r="K118">
        <f>IF(I118-J118&gt;1E-9,I118-J118,0)</f>
        <v/>
      </c>
      <c r="L118">
        <f>K117*$G$52</f>
        <v/>
      </c>
      <c r="M118">
        <f>IF(O117&gt;0,MAX(0,O117*(1+$G$53)-$H$53),0)</f>
        <v/>
      </c>
      <c r="N118">
        <f>MAX(0,J118-I118)</f>
        <v/>
      </c>
      <c r="O118">
        <f>IF(M118-N118&gt;1E-9,M118-N118,0)</f>
        <v/>
      </c>
      <c r="P118">
        <f>O117*$G$53</f>
        <v/>
      </c>
      <c r="Q118">
        <f>IF(S117&gt;0,MAX(0,S117*(1+$G$54)-$H$54),0)</f>
        <v/>
      </c>
      <c r="R118">
        <f>MAX(0,N118-M118)</f>
        <v/>
      </c>
      <c r="S118">
        <f>IF(Q118-R118&gt;1E-9,Q118-R118,0)</f>
        <v/>
      </c>
      <c r="T118">
        <f>S117*$G$54</f>
        <v/>
      </c>
      <c r="U118">
        <f>IF(W117&gt;0,MAX(0,W117*(1+$G$55)-$H$55),0)</f>
        <v/>
      </c>
      <c r="V118">
        <f>MAX(0,R118-Q118)</f>
        <v/>
      </c>
      <c r="W118">
        <f>IF(U118-V118&gt;1E-9,U118-V118,0)</f>
        <v/>
      </c>
      <c r="X118">
        <f>W117*$G$55</f>
        <v/>
      </c>
      <c r="Y118">
        <f>IF(Y117&gt;1E-9,IF(Y117*(1+$G$51)-MAX($B$9,0.01*Y117+Y117*$G$51)&gt;1E-9,Y117*(1+$G$51)-MAX($B$9,0.01*Y117+Y117*$G$51),0),0)</f>
        <v/>
      </c>
      <c r="Z118">
        <f>Y117*$G$51</f>
        <v/>
      </c>
      <c r="AA118">
        <f>IF(AA117&gt;1E-9,IF(AA117*(1+$G$52)-MAX($B$9,0.01*AA117+AA117*$G$52)&gt;1E-9,AA117*(1+$G$52)-MAX($B$9,0.01*AA117+AA117*$G$52),0),0)</f>
        <v/>
      </c>
      <c r="AB118">
        <f>AA117*$G$52</f>
        <v/>
      </c>
      <c r="AC118">
        <f>IF(AC117&gt;1E-9,IF(AC117*(1+$G$53)-MAX($B$9,0.01*AC117+AC117*$G$53)&gt;1E-9,AC117*(1+$G$53)-MAX($B$9,0.01*AC117+AC117*$G$53),0),0)</f>
        <v/>
      </c>
      <c r="AD118">
        <f>AC117*$G$53</f>
        <v/>
      </c>
      <c r="AE118">
        <f>IF(AE117&gt;1E-9,IF(AE117*(1+$G$54)-MAX($B$9,0.01*AE117+AE117*$G$54)&gt;1E-9,AE117*(1+$G$54)-MAX($B$9,0.01*AE117+AE117*$G$54),0),0)</f>
        <v/>
      </c>
      <c r="AF118">
        <f>AE117*$G$54</f>
        <v/>
      </c>
      <c r="AG118">
        <f>IF(AG117&gt;1E-9,IF(AG117*(1+$G$55)-MAX($B$9,0.01*AG117+AG117*$G$55)&gt;1E-9,AG117*(1+$G$55)-MAX($B$9,0.01*AG117+AG117*$G$55),0),0)</f>
        <v/>
      </c>
      <c r="AH118">
        <f>AG117*$G$55</f>
        <v/>
      </c>
      <c r="AI118">
        <f>G118+K118+O118+S118+W118</f>
        <v/>
      </c>
      <c r="AJ118">
        <f>AI117+AK118-AI118</f>
        <v/>
      </c>
      <c r="AK118">
        <f>H118+L118+P118+T118+X118</f>
        <v/>
      </c>
      <c r="AL118">
        <f>TEXT(EDATE($B$5,D118-1),"mmm yyyy")</f>
        <v/>
      </c>
      <c r="AM118">
        <f>AI118</f>
        <v/>
      </c>
    </row>
    <row r="119">
      <c r="D119" t="n">
        <v>58</v>
      </c>
      <c r="E119">
        <f>IF(G118&gt;0,MAX(0,G118*(1+$G$51)-$H$51),0)</f>
        <v/>
      </c>
      <c r="F119">
        <f>$B$6+IF($D119=$B$8,$B$7,0)</f>
        <v/>
      </c>
      <c r="G119">
        <f>IF(E119-F119&gt;1E-9,E119-F119,0)</f>
        <v/>
      </c>
      <c r="H119">
        <f>G118*$G$51</f>
        <v/>
      </c>
      <c r="I119">
        <f>IF(K118&gt;0,MAX(0,K118*(1+$G$52)-$H$52),0)</f>
        <v/>
      </c>
      <c r="J119">
        <f>MAX(0,F119-E119)</f>
        <v/>
      </c>
      <c r="K119">
        <f>IF(I119-J119&gt;1E-9,I119-J119,0)</f>
        <v/>
      </c>
      <c r="L119">
        <f>K118*$G$52</f>
        <v/>
      </c>
      <c r="M119">
        <f>IF(O118&gt;0,MAX(0,O118*(1+$G$53)-$H$53),0)</f>
        <v/>
      </c>
      <c r="N119">
        <f>MAX(0,J119-I119)</f>
        <v/>
      </c>
      <c r="O119">
        <f>IF(M119-N119&gt;1E-9,M119-N119,0)</f>
        <v/>
      </c>
      <c r="P119">
        <f>O118*$G$53</f>
        <v/>
      </c>
      <c r="Q119">
        <f>IF(S118&gt;0,MAX(0,S118*(1+$G$54)-$H$54),0)</f>
        <v/>
      </c>
      <c r="R119">
        <f>MAX(0,N119-M119)</f>
        <v/>
      </c>
      <c r="S119">
        <f>IF(Q119-R119&gt;1E-9,Q119-R119,0)</f>
        <v/>
      </c>
      <c r="T119">
        <f>S118*$G$54</f>
        <v/>
      </c>
      <c r="U119">
        <f>IF(W118&gt;0,MAX(0,W118*(1+$G$55)-$H$55),0)</f>
        <v/>
      </c>
      <c r="V119">
        <f>MAX(0,R119-Q119)</f>
        <v/>
      </c>
      <c r="W119">
        <f>IF(U119-V119&gt;1E-9,U119-V119,0)</f>
        <v/>
      </c>
      <c r="X119">
        <f>W118*$G$55</f>
        <v/>
      </c>
      <c r="Y119">
        <f>IF(Y118&gt;1E-9,IF(Y118*(1+$G$51)-MAX($B$9,0.01*Y118+Y118*$G$51)&gt;1E-9,Y118*(1+$G$51)-MAX($B$9,0.01*Y118+Y118*$G$51),0),0)</f>
        <v/>
      </c>
      <c r="Z119">
        <f>Y118*$G$51</f>
        <v/>
      </c>
      <c r="AA119">
        <f>IF(AA118&gt;1E-9,IF(AA118*(1+$G$52)-MAX($B$9,0.01*AA118+AA118*$G$52)&gt;1E-9,AA118*(1+$G$52)-MAX($B$9,0.01*AA118+AA118*$G$52),0),0)</f>
        <v/>
      </c>
      <c r="AB119">
        <f>AA118*$G$52</f>
        <v/>
      </c>
      <c r="AC119">
        <f>IF(AC118&gt;1E-9,IF(AC118*(1+$G$53)-MAX($B$9,0.01*AC118+AC118*$G$53)&gt;1E-9,AC118*(1+$G$53)-MAX($B$9,0.01*AC118+AC118*$G$53),0),0)</f>
        <v/>
      </c>
      <c r="AD119">
        <f>AC118*$G$53</f>
        <v/>
      </c>
      <c r="AE119">
        <f>IF(AE118&gt;1E-9,IF(AE118*(1+$G$54)-MAX($B$9,0.01*AE118+AE118*$G$54)&gt;1E-9,AE118*(1+$G$54)-MAX($B$9,0.01*AE118+AE118*$G$54),0),0)</f>
        <v/>
      </c>
      <c r="AF119">
        <f>AE118*$G$54</f>
        <v/>
      </c>
      <c r="AG119">
        <f>IF(AG118&gt;1E-9,IF(AG118*(1+$G$55)-MAX($B$9,0.01*AG118+AG118*$G$55)&gt;1E-9,AG118*(1+$G$55)-MAX($B$9,0.01*AG118+AG118*$G$55),0),0)</f>
        <v/>
      </c>
      <c r="AH119">
        <f>AG118*$G$55</f>
        <v/>
      </c>
      <c r="AI119">
        <f>G119+K119+O119+S119+W119</f>
        <v/>
      </c>
      <c r="AJ119">
        <f>AI118+AK119-AI119</f>
        <v/>
      </c>
      <c r="AK119">
        <f>H119+L119+P119+T119+X119</f>
        <v/>
      </c>
      <c r="AL119">
        <f>TEXT(EDATE($B$5,D119-1),"mmm yyyy")</f>
        <v/>
      </c>
      <c r="AM119">
        <f>AI119</f>
        <v/>
      </c>
    </row>
    <row r="120">
      <c r="D120" t="n">
        <v>59</v>
      </c>
      <c r="E120">
        <f>IF(G119&gt;0,MAX(0,G119*(1+$G$51)-$H$51),0)</f>
        <v/>
      </c>
      <c r="F120">
        <f>$B$6+IF($D120=$B$8,$B$7,0)</f>
        <v/>
      </c>
      <c r="G120">
        <f>IF(E120-F120&gt;1E-9,E120-F120,0)</f>
        <v/>
      </c>
      <c r="H120">
        <f>G119*$G$51</f>
        <v/>
      </c>
      <c r="I120">
        <f>IF(K119&gt;0,MAX(0,K119*(1+$G$52)-$H$52),0)</f>
        <v/>
      </c>
      <c r="J120">
        <f>MAX(0,F120-E120)</f>
        <v/>
      </c>
      <c r="K120">
        <f>IF(I120-J120&gt;1E-9,I120-J120,0)</f>
        <v/>
      </c>
      <c r="L120">
        <f>K119*$G$52</f>
        <v/>
      </c>
      <c r="M120">
        <f>IF(O119&gt;0,MAX(0,O119*(1+$G$53)-$H$53),0)</f>
        <v/>
      </c>
      <c r="N120">
        <f>MAX(0,J120-I120)</f>
        <v/>
      </c>
      <c r="O120">
        <f>IF(M120-N120&gt;1E-9,M120-N120,0)</f>
        <v/>
      </c>
      <c r="P120">
        <f>O119*$G$53</f>
        <v/>
      </c>
      <c r="Q120">
        <f>IF(S119&gt;0,MAX(0,S119*(1+$G$54)-$H$54),0)</f>
        <v/>
      </c>
      <c r="R120">
        <f>MAX(0,N120-M120)</f>
        <v/>
      </c>
      <c r="S120">
        <f>IF(Q120-R120&gt;1E-9,Q120-R120,0)</f>
        <v/>
      </c>
      <c r="T120">
        <f>S119*$G$54</f>
        <v/>
      </c>
      <c r="U120">
        <f>IF(W119&gt;0,MAX(0,W119*(1+$G$55)-$H$55),0)</f>
        <v/>
      </c>
      <c r="V120">
        <f>MAX(0,R120-Q120)</f>
        <v/>
      </c>
      <c r="W120">
        <f>IF(U120-V120&gt;1E-9,U120-V120,0)</f>
        <v/>
      </c>
      <c r="X120">
        <f>W119*$G$55</f>
        <v/>
      </c>
      <c r="Y120">
        <f>IF(Y119&gt;1E-9,IF(Y119*(1+$G$51)-MAX($B$9,0.01*Y119+Y119*$G$51)&gt;1E-9,Y119*(1+$G$51)-MAX($B$9,0.01*Y119+Y119*$G$51),0),0)</f>
        <v/>
      </c>
      <c r="Z120">
        <f>Y119*$G$51</f>
        <v/>
      </c>
      <c r="AA120">
        <f>IF(AA119&gt;1E-9,IF(AA119*(1+$G$52)-MAX($B$9,0.01*AA119+AA119*$G$52)&gt;1E-9,AA119*(1+$G$52)-MAX($B$9,0.01*AA119+AA119*$G$52),0),0)</f>
        <v/>
      </c>
      <c r="AB120">
        <f>AA119*$G$52</f>
        <v/>
      </c>
      <c r="AC120">
        <f>IF(AC119&gt;1E-9,IF(AC119*(1+$G$53)-MAX($B$9,0.01*AC119+AC119*$G$53)&gt;1E-9,AC119*(1+$G$53)-MAX($B$9,0.01*AC119+AC119*$G$53),0),0)</f>
        <v/>
      </c>
      <c r="AD120">
        <f>AC119*$G$53</f>
        <v/>
      </c>
      <c r="AE120">
        <f>IF(AE119&gt;1E-9,IF(AE119*(1+$G$54)-MAX($B$9,0.01*AE119+AE119*$G$54)&gt;1E-9,AE119*(1+$G$54)-MAX($B$9,0.01*AE119+AE119*$G$54),0),0)</f>
        <v/>
      </c>
      <c r="AF120">
        <f>AE119*$G$54</f>
        <v/>
      </c>
      <c r="AG120">
        <f>IF(AG119&gt;1E-9,IF(AG119*(1+$G$55)-MAX($B$9,0.01*AG119+AG119*$G$55)&gt;1E-9,AG119*(1+$G$55)-MAX($B$9,0.01*AG119+AG119*$G$55),0),0)</f>
        <v/>
      </c>
      <c r="AH120">
        <f>AG119*$G$55</f>
        <v/>
      </c>
      <c r="AI120">
        <f>G120+K120+O120+S120+W120</f>
        <v/>
      </c>
      <c r="AJ120">
        <f>AI119+AK120-AI120</f>
        <v/>
      </c>
      <c r="AK120">
        <f>H120+L120+P120+T120+X120</f>
        <v/>
      </c>
      <c r="AL120">
        <f>TEXT(EDATE($B$5,D120-1),"mmm yyyy")</f>
        <v/>
      </c>
      <c r="AM120">
        <f>AI120</f>
        <v/>
      </c>
    </row>
    <row r="121">
      <c r="D121" t="n">
        <v>60</v>
      </c>
      <c r="E121">
        <f>IF(G120&gt;0,MAX(0,G120*(1+$G$51)-$H$51),0)</f>
        <v/>
      </c>
      <c r="F121">
        <f>$B$6+IF($D121=$B$8,$B$7,0)</f>
        <v/>
      </c>
      <c r="G121">
        <f>IF(E121-F121&gt;1E-9,E121-F121,0)</f>
        <v/>
      </c>
      <c r="H121">
        <f>G120*$G$51</f>
        <v/>
      </c>
      <c r="I121">
        <f>IF(K120&gt;0,MAX(0,K120*(1+$G$52)-$H$52),0)</f>
        <v/>
      </c>
      <c r="J121">
        <f>MAX(0,F121-E121)</f>
        <v/>
      </c>
      <c r="K121">
        <f>IF(I121-J121&gt;1E-9,I121-J121,0)</f>
        <v/>
      </c>
      <c r="L121">
        <f>K120*$G$52</f>
        <v/>
      </c>
      <c r="M121">
        <f>IF(O120&gt;0,MAX(0,O120*(1+$G$53)-$H$53),0)</f>
        <v/>
      </c>
      <c r="N121">
        <f>MAX(0,J121-I121)</f>
        <v/>
      </c>
      <c r="O121">
        <f>IF(M121-N121&gt;1E-9,M121-N121,0)</f>
        <v/>
      </c>
      <c r="P121">
        <f>O120*$G$53</f>
        <v/>
      </c>
      <c r="Q121">
        <f>IF(S120&gt;0,MAX(0,S120*(1+$G$54)-$H$54),0)</f>
        <v/>
      </c>
      <c r="R121">
        <f>MAX(0,N121-M121)</f>
        <v/>
      </c>
      <c r="S121">
        <f>IF(Q121-R121&gt;1E-9,Q121-R121,0)</f>
        <v/>
      </c>
      <c r="T121">
        <f>S120*$G$54</f>
        <v/>
      </c>
      <c r="U121">
        <f>IF(W120&gt;0,MAX(0,W120*(1+$G$55)-$H$55),0)</f>
        <v/>
      </c>
      <c r="V121">
        <f>MAX(0,R121-Q121)</f>
        <v/>
      </c>
      <c r="W121">
        <f>IF(U121-V121&gt;1E-9,U121-V121,0)</f>
        <v/>
      </c>
      <c r="X121">
        <f>W120*$G$55</f>
        <v/>
      </c>
      <c r="Y121">
        <f>IF(Y120&gt;1E-9,IF(Y120*(1+$G$51)-MAX($B$9,0.01*Y120+Y120*$G$51)&gt;1E-9,Y120*(1+$G$51)-MAX($B$9,0.01*Y120+Y120*$G$51),0),0)</f>
        <v/>
      </c>
      <c r="Z121">
        <f>Y120*$G$51</f>
        <v/>
      </c>
      <c r="AA121">
        <f>IF(AA120&gt;1E-9,IF(AA120*(1+$G$52)-MAX($B$9,0.01*AA120+AA120*$G$52)&gt;1E-9,AA120*(1+$G$52)-MAX($B$9,0.01*AA120+AA120*$G$52),0),0)</f>
        <v/>
      </c>
      <c r="AB121">
        <f>AA120*$G$52</f>
        <v/>
      </c>
      <c r="AC121">
        <f>IF(AC120&gt;1E-9,IF(AC120*(1+$G$53)-MAX($B$9,0.01*AC120+AC120*$G$53)&gt;1E-9,AC120*(1+$G$53)-MAX($B$9,0.01*AC120+AC120*$G$53),0),0)</f>
        <v/>
      </c>
      <c r="AD121">
        <f>AC120*$G$53</f>
        <v/>
      </c>
      <c r="AE121">
        <f>IF(AE120&gt;1E-9,IF(AE120*(1+$G$54)-MAX($B$9,0.01*AE120+AE120*$G$54)&gt;1E-9,AE120*(1+$G$54)-MAX($B$9,0.01*AE120+AE120*$G$54),0),0)</f>
        <v/>
      </c>
      <c r="AF121">
        <f>AE120*$G$54</f>
        <v/>
      </c>
      <c r="AG121">
        <f>IF(AG120&gt;1E-9,IF(AG120*(1+$G$55)-MAX($B$9,0.01*AG120+AG120*$G$55)&gt;1E-9,AG120*(1+$G$55)-MAX($B$9,0.01*AG120+AG120*$G$55),0),0)</f>
        <v/>
      </c>
      <c r="AH121">
        <f>AG120*$G$55</f>
        <v/>
      </c>
      <c r="AI121">
        <f>G121+K121+O121+S121+W121</f>
        <v/>
      </c>
      <c r="AJ121">
        <f>AI120+AK121-AI121</f>
        <v/>
      </c>
      <c r="AK121">
        <f>H121+L121+P121+T121+X121</f>
        <v/>
      </c>
      <c r="AL121">
        <f>TEXT(EDATE($B$5,D121-1),"mmm yyyy")</f>
        <v/>
      </c>
      <c r="AM121">
        <f>AI121</f>
        <v/>
      </c>
    </row>
    <row r="122">
      <c r="D122" t="n">
        <v>61</v>
      </c>
      <c r="E122">
        <f>IF(G121&gt;0,MAX(0,G121*(1+$G$51)-$H$51),0)</f>
        <v/>
      </c>
      <c r="F122">
        <f>$B$6+IF($D122=$B$8,$B$7,0)</f>
        <v/>
      </c>
      <c r="G122">
        <f>IF(E122-F122&gt;1E-9,E122-F122,0)</f>
        <v/>
      </c>
      <c r="H122">
        <f>G121*$G$51</f>
        <v/>
      </c>
      <c r="I122">
        <f>IF(K121&gt;0,MAX(0,K121*(1+$G$52)-$H$52),0)</f>
        <v/>
      </c>
      <c r="J122">
        <f>MAX(0,F122-E122)</f>
        <v/>
      </c>
      <c r="K122">
        <f>IF(I122-J122&gt;1E-9,I122-J122,0)</f>
        <v/>
      </c>
      <c r="L122">
        <f>K121*$G$52</f>
        <v/>
      </c>
      <c r="M122">
        <f>IF(O121&gt;0,MAX(0,O121*(1+$G$53)-$H$53),0)</f>
        <v/>
      </c>
      <c r="N122">
        <f>MAX(0,J122-I122)</f>
        <v/>
      </c>
      <c r="O122">
        <f>IF(M122-N122&gt;1E-9,M122-N122,0)</f>
        <v/>
      </c>
      <c r="P122">
        <f>O121*$G$53</f>
        <v/>
      </c>
      <c r="Q122">
        <f>IF(S121&gt;0,MAX(0,S121*(1+$G$54)-$H$54),0)</f>
        <v/>
      </c>
      <c r="R122">
        <f>MAX(0,N122-M122)</f>
        <v/>
      </c>
      <c r="S122">
        <f>IF(Q122-R122&gt;1E-9,Q122-R122,0)</f>
        <v/>
      </c>
      <c r="T122">
        <f>S121*$G$54</f>
        <v/>
      </c>
      <c r="U122">
        <f>IF(W121&gt;0,MAX(0,W121*(1+$G$55)-$H$55),0)</f>
        <v/>
      </c>
      <c r="V122">
        <f>MAX(0,R122-Q122)</f>
        <v/>
      </c>
      <c r="W122">
        <f>IF(U122-V122&gt;1E-9,U122-V122,0)</f>
        <v/>
      </c>
      <c r="X122">
        <f>W121*$G$55</f>
        <v/>
      </c>
      <c r="Y122">
        <f>IF(Y121&gt;1E-9,IF(Y121*(1+$G$51)-MAX($B$9,0.01*Y121+Y121*$G$51)&gt;1E-9,Y121*(1+$G$51)-MAX($B$9,0.01*Y121+Y121*$G$51),0),0)</f>
        <v/>
      </c>
      <c r="Z122">
        <f>Y121*$G$51</f>
        <v/>
      </c>
      <c r="AA122">
        <f>IF(AA121&gt;1E-9,IF(AA121*(1+$G$52)-MAX($B$9,0.01*AA121+AA121*$G$52)&gt;1E-9,AA121*(1+$G$52)-MAX($B$9,0.01*AA121+AA121*$G$52),0),0)</f>
        <v/>
      </c>
      <c r="AB122">
        <f>AA121*$G$52</f>
        <v/>
      </c>
      <c r="AC122">
        <f>IF(AC121&gt;1E-9,IF(AC121*(1+$G$53)-MAX($B$9,0.01*AC121+AC121*$G$53)&gt;1E-9,AC121*(1+$G$53)-MAX($B$9,0.01*AC121+AC121*$G$53),0),0)</f>
        <v/>
      </c>
      <c r="AD122">
        <f>AC121*$G$53</f>
        <v/>
      </c>
      <c r="AE122">
        <f>IF(AE121&gt;1E-9,IF(AE121*(1+$G$54)-MAX($B$9,0.01*AE121+AE121*$G$54)&gt;1E-9,AE121*(1+$G$54)-MAX($B$9,0.01*AE121+AE121*$G$54),0),0)</f>
        <v/>
      </c>
      <c r="AF122">
        <f>AE121*$G$54</f>
        <v/>
      </c>
      <c r="AG122">
        <f>IF(AG121&gt;1E-9,IF(AG121*(1+$G$55)-MAX($B$9,0.01*AG121+AG121*$G$55)&gt;1E-9,AG121*(1+$G$55)-MAX($B$9,0.01*AG121+AG121*$G$55),0),0)</f>
        <v/>
      </c>
      <c r="AH122">
        <f>AG121*$G$55</f>
        <v/>
      </c>
      <c r="AI122">
        <f>G122+K122+O122+S122+W122</f>
        <v/>
      </c>
      <c r="AJ122">
        <f>AI121+AK122-AI122</f>
        <v/>
      </c>
      <c r="AK122">
        <f>H122+L122+P122+T122+X122</f>
        <v/>
      </c>
      <c r="AL122">
        <f>TEXT(EDATE($B$5,D122-1),"mmm yyyy")</f>
        <v/>
      </c>
      <c r="AM122">
        <f>AI122</f>
        <v/>
      </c>
    </row>
    <row r="123">
      <c r="D123" t="n">
        <v>62</v>
      </c>
      <c r="E123">
        <f>IF(G122&gt;0,MAX(0,G122*(1+$G$51)-$H$51),0)</f>
        <v/>
      </c>
      <c r="F123">
        <f>$B$6+IF($D123=$B$8,$B$7,0)</f>
        <v/>
      </c>
      <c r="G123">
        <f>IF(E123-F123&gt;1E-9,E123-F123,0)</f>
        <v/>
      </c>
      <c r="H123">
        <f>G122*$G$51</f>
        <v/>
      </c>
      <c r="I123">
        <f>IF(K122&gt;0,MAX(0,K122*(1+$G$52)-$H$52),0)</f>
        <v/>
      </c>
      <c r="J123">
        <f>MAX(0,F123-E123)</f>
        <v/>
      </c>
      <c r="K123">
        <f>IF(I123-J123&gt;1E-9,I123-J123,0)</f>
        <v/>
      </c>
      <c r="L123">
        <f>K122*$G$52</f>
        <v/>
      </c>
      <c r="M123">
        <f>IF(O122&gt;0,MAX(0,O122*(1+$G$53)-$H$53),0)</f>
        <v/>
      </c>
      <c r="N123">
        <f>MAX(0,J123-I123)</f>
        <v/>
      </c>
      <c r="O123">
        <f>IF(M123-N123&gt;1E-9,M123-N123,0)</f>
        <v/>
      </c>
      <c r="P123">
        <f>O122*$G$53</f>
        <v/>
      </c>
      <c r="Q123">
        <f>IF(S122&gt;0,MAX(0,S122*(1+$G$54)-$H$54),0)</f>
        <v/>
      </c>
      <c r="R123">
        <f>MAX(0,N123-M123)</f>
        <v/>
      </c>
      <c r="S123">
        <f>IF(Q123-R123&gt;1E-9,Q123-R123,0)</f>
        <v/>
      </c>
      <c r="T123">
        <f>S122*$G$54</f>
        <v/>
      </c>
      <c r="U123">
        <f>IF(W122&gt;0,MAX(0,W122*(1+$G$55)-$H$55),0)</f>
        <v/>
      </c>
      <c r="V123">
        <f>MAX(0,R123-Q123)</f>
        <v/>
      </c>
      <c r="W123">
        <f>IF(U123-V123&gt;1E-9,U123-V123,0)</f>
        <v/>
      </c>
      <c r="X123">
        <f>W122*$G$55</f>
        <v/>
      </c>
      <c r="Y123">
        <f>IF(Y122&gt;1E-9,IF(Y122*(1+$G$51)-MAX($B$9,0.01*Y122+Y122*$G$51)&gt;1E-9,Y122*(1+$G$51)-MAX($B$9,0.01*Y122+Y122*$G$51),0),0)</f>
        <v/>
      </c>
      <c r="Z123">
        <f>Y122*$G$51</f>
        <v/>
      </c>
      <c r="AA123">
        <f>IF(AA122&gt;1E-9,IF(AA122*(1+$G$52)-MAX($B$9,0.01*AA122+AA122*$G$52)&gt;1E-9,AA122*(1+$G$52)-MAX($B$9,0.01*AA122+AA122*$G$52),0),0)</f>
        <v/>
      </c>
      <c r="AB123">
        <f>AA122*$G$52</f>
        <v/>
      </c>
      <c r="AC123">
        <f>IF(AC122&gt;1E-9,IF(AC122*(1+$G$53)-MAX($B$9,0.01*AC122+AC122*$G$53)&gt;1E-9,AC122*(1+$G$53)-MAX($B$9,0.01*AC122+AC122*$G$53),0),0)</f>
        <v/>
      </c>
      <c r="AD123">
        <f>AC122*$G$53</f>
        <v/>
      </c>
      <c r="AE123">
        <f>IF(AE122&gt;1E-9,IF(AE122*(1+$G$54)-MAX($B$9,0.01*AE122+AE122*$G$54)&gt;1E-9,AE122*(1+$G$54)-MAX($B$9,0.01*AE122+AE122*$G$54),0),0)</f>
        <v/>
      </c>
      <c r="AF123">
        <f>AE122*$G$54</f>
        <v/>
      </c>
      <c r="AG123">
        <f>IF(AG122&gt;1E-9,IF(AG122*(1+$G$55)-MAX($B$9,0.01*AG122+AG122*$G$55)&gt;1E-9,AG122*(1+$G$55)-MAX($B$9,0.01*AG122+AG122*$G$55),0),0)</f>
        <v/>
      </c>
      <c r="AH123">
        <f>AG122*$G$55</f>
        <v/>
      </c>
      <c r="AI123">
        <f>G123+K123+O123+S123+W123</f>
        <v/>
      </c>
      <c r="AJ123">
        <f>AI122+AK123-AI123</f>
        <v/>
      </c>
      <c r="AK123">
        <f>H123+L123+P123+T123+X123</f>
        <v/>
      </c>
      <c r="AL123">
        <f>TEXT(EDATE($B$5,D123-1),"mmm yyyy")</f>
        <v/>
      </c>
      <c r="AM123">
        <f>AI123</f>
        <v/>
      </c>
    </row>
    <row r="124">
      <c r="D124" t="n">
        <v>63</v>
      </c>
      <c r="E124">
        <f>IF(G123&gt;0,MAX(0,G123*(1+$G$51)-$H$51),0)</f>
        <v/>
      </c>
      <c r="F124">
        <f>$B$6+IF($D124=$B$8,$B$7,0)</f>
        <v/>
      </c>
      <c r="G124">
        <f>IF(E124-F124&gt;1E-9,E124-F124,0)</f>
        <v/>
      </c>
      <c r="H124">
        <f>G123*$G$51</f>
        <v/>
      </c>
      <c r="I124">
        <f>IF(K123&gt;0,MAX(0,K123*(1+$G$52)-$H$52),0)</f>
        <v/>
      </c>
      <c r="J124">
        <f>MAX(0,F124-E124)</f>
        <v/>
      </c>
      <c r="K124">
        <f>IF(I124-J124&gt;1E-9,I124-J124,0)</f>
        <v/>
      </c>
      <c r="L124">
        <f>K123*$G$52</f>
        <v/>
      </c>
      <c r="M124">
        <f>IF(O123&gt;0,MAX(0,O123*(1+$G$53)-$H$53),0)</f>
        <v/>
      </c>
      <c r="N124">
        <f>MAX(0,J124-I124)</f>
        <v/>
      </c>
      <c r="O124">
        <f>IF(M124-N124&gt;1E-9,M124-N124,0)</f>
        <v/>
      </c>
      <c r="P124">
        <f>O123*$G$53</f>
        <v/>
      </c>
      <c r="Q124">
        <f>IF(S123&gt;0,MAX(0,S123*(1+$G$54)-$H$54),0)</f>
        <v/>
      </c>
      <c r="R124">
        <f>MAX(0,N124-M124)</f>
        <v/>
      </c>
      <c r="S124">
        <f>IF(Q124-R124&gt;1E-9,Q124-R124,0)</f>
        <v/>
      </c>
      <c r="T124">
        <f>S123*$G$54</f>
        <v/>
      </c>
      <c r="U124">
        <f>IF(W123&gt;0,MAX(0,W123*(1+$G$55)-$H$55),0)</f>
        <v/>
      </c>
      <c r="V124">
        <f>MAX(0,R124-Q124)</f>
        <v/>
      </c>
      <c r="W124">
        <f>IF(U124-V124&gt;1E-9,U124-V124,0)</f>
        <v/>
      </c>
      <c r="X124">
        <f>W123*$G$55</f>
        <v/>
      </c>
      <c r="Y124">
        <f>IF(Y123&gt;1E-9,IF(Y123*(1+$G$51)-MAX($B$9,0.01*Y123+Y123*$G$51)&gt;1E-9,Y123*(1+$G$51)-MAX($B$9,0.01*Y123+Y123*$G$51),0),0)</f>
        <v/>
      </c>
      <c r="Z124">
        <f>Y123*$G$51</f>
        <v/>
      </c>
      <c r="AA124">
        <f>IF(AA123&gt;1E-9,IF(AA123*(1+$G$52)-MAX($B$9,0.01*AA123+AA123*$G$52)&gt;1E-9,AA123*(1+$G$52)-MAX($B$9,0.01*AA123+AA123*$G$52),0),0)</f>
        <v/>
      </c>
      <c r="AB124">
        <f>AA123*$G$52</f>
        <v/>
      </c>
      <c r="AC124">
        <f>IF(AC123&gt;1E-9,IF(AC123*(1+$G$53)-MAX($B$9,0.01*AC123+AC123*$G$53)&gt;1E-9,AC123*(1+$G$53)-MAX($B$9,0.01*AC123+AC123*$G$53),0),0)</f>
        <v/>
      </c>
      <c r="AD124">
        <f>AC123*$G$53</f>
        <v/>
      </c>
      <c r="AE124">
        <f>IF(AE123&gt;1E-9,IF(AE123*(1+$G$54)-MAX($B$9,0.01*AE123+AE123*$G$54)&gt;1E-9,AE123*(1+$G$54)-MAX($B$9,0.01*AE123+AE123*$G$54),0),0)</f>
        <v/>
      </c>
      <c r="AF124">
        <f>AE123*$G$54</f>
        <v/>
      </c>
      <c r="AG124">
        <f>IF(AG123&gt;1E-9,IF(AG123*(1+$G$55)-MAX($B$9,0.01*AG123+AG123*$G$55)&gt;1E-9,AG123*(1+$G$55)-MAX($B$9,0.01*AG123+AG123*$G$55),0),0)</f>
        <v/>
      </c>
      <c r="AH124">
        <f>AG123*$G$55</f>
        <v/>
      </c>
      <c r="AI124">
        <f>G124+K124+O124+S124+W124</f>
        <v/>
      </c>
      <c r="AJ124">
        <f>AI123+AK124-AI124</f>
        <v/>
      </c>
      <c r="AK124">
        <f>H124+L124+P124+T124+X124</f>
        <v/>
      </c>
      <c r="AL124">
        <f>TEXT(EDATE($B$5,D124-1),"mmm yyyy")</f>
        <v/>
      </c>
      <c r="AM124">
        <f>AI124</f>
        <v/>
      </c>
    </row>
    <row r="125">
      <c r="D125" t="n">
        <v>64</v>
      </c>
      <c r="E125">
        <f>IF(G124&gt;0,MAX(0,G124*(1+$G$51)-$H$51),0)</f>
        <v/>
      </c>
      <c r="F125">
        <f>$B$6+IF($D125=$B$8,$B$7,0)</f>
        <v/>
      </c>
      <c r="G125">
        <f>IF(E125-F125&gt;1E-9,E125-F125,0)</f>
        <v/>
      </c>
      <c r="H125">
        <f>G124*$G$51</f>
        <v/>
      </c>
      <c r="I125">
        <f>IF(K124&gt;0,MAX(0,K124*(1+$G$52)-$H$52),0)</f>
        <v/>
      </c>
      <c r="J125">
        <f>MAX(0,F125-E125)</f>
        <v/>
      </c>
      <c r="K125">
        <f>IF(I125-J125&gt;1E-9,I125-J125,0)</f>
        <v/>
      </c>
      <c r="L125">
        <f>K124*$G$52</f>
        <v/>
      </c>
      <c r="M125">
        <f>IF(O124&gt;0,MAX(0,O124*(1+$G$53)-$H$53),0)</f>
        <v/>
      </c>
      <c r="N125">
        <f>MAX(0,J125-I125)</f>
        <v/>
      </c>
      <c r="O125">
        <f>IF(M125-N125&gt;1E-9,M125-N125,0)</f>
        <v/>
      </c>
      <c r="P125">
        <f>O124*$G$53</f>
        <v/>
      </c>
      <c r="Q125">
        <f>IF(S124&gt;0,MAX(0,S124*(1+$G$54)-$H$54),0)</f>
        <v/>
      </c>
      <c r="R125">
        <f>MAX(0,N125-M125)</f>
        <v/>
      </c>
      <c r="S125">
        <f>IF(Q125-R125&gt;1E-9,Q125-R125,0)</f>
        <v/>
      </c>
      <c r="T125">
        <f>S124*$G$54</f>
        <v/>
      </c>
      <c r="U125">
        <f>IF(W124&gt;0,MAX(0,W124*(1+$G$55)-$H$55),0)</f>
        <v/>
      </c>
      <c r="V125">
        <f>MAX(0,R125-Q125)</f>
        <v/>
      </c>
      <c r="W125">
        <f>IF(U125-V125&gt;1E-9,U125-V125,0)</f>
        <v/>
      </c>
      <c r="X125">
        <f>W124*$G$55</f>
        <v/>
      </c>
      <c r="Y125">
        <f>IF(Y124&gt;1E-9,IF(Y124*(1+$G$51)-MAX($B$9,0.01*Y124+Y124*$G$51)&gt;1E-9,Y124*(1+$G$51)-MAX($B$9,0.01*Y124+Y124*$G$51),0),0)</f>
        <v/>
      </c>
      <c r="Z125">
        <f>Y124*$G$51</f>
        <v/>
      </c>
      <c r="AA125">
        <f>IF(AA124&gt;1E-9,IF(AA124*(1+$G$52)-MAX($B$9,0.01*AA124+AA124*$G$52)&gt;1E-9,AA124*(1+$G$52)-MAX($B$9,0.01*AA124+AA124*$G$52),0),0)</f>
        <v/>
      </c>
      <c r="AB125">
        <f>AA124*$G$52</f>
        <v/>
      </c>
      <c r="AC125">
        <f>IF(AC124&gt;1E-9,IF(AC124*(1+$G$53)-MAX($B$9,0.01*AC124+AC124*$G$53)&gt;1E-9,AC124*(1+$G$53)-MAX($B$9,0.01*AC124+AC124*$G$53),0),0)</f>
        <v/>
      </c>
      <c r="AD125">
        <f>AC124*$G$53</f>
        <v/>
      </c>
      <c r="AE125">
        <f>IF(AE124&gt;1E-9,IF(AE124*(1+$G$54)-MAX($B$9,0.01*AE124+AE124*$G$54)&gt;1E-9,AE124*(1+$G$54)-MAX($B$9,0.01*AE124+AE124*$G$54),0),0)</f>
        <v/>
      </c>
      <c r="AF125">
        <f>AE124*$G$54</f>
        <v/>
      </c>
      <c r="AG125">
        <f>IF(AG124&gt;1E-9,IF(AG124*(1+$G$55)-MAX($B$9,0.01*AG124+AG124*$G$55)&gt;1E-9,AG124*(1+$G$55)-MAX($B$9,0.01*AG124+AG124*$G$55),0),0)</f>
        <v/>
      </c>
      <c r="AH125">
        <f>AG124*$G$55</f>
        <v/>
      </c>
      <c r="AI125">
        <f>G125+K125+O125+S125+W125</f>
        <v/>
      </c>
      <c r="AJ125">
        <f>AI124+AK125-AI125</f>
        <v/>
      </c>
      <c r="AK125">
        <f>H125+L125+P125+T125+X125</f>
        <v/>
      </c>
      <c r="AL125">
        <f>TEXT(EDATE($B$5,D125-1),"mmm yyyy")</f>
        <v/>
      </c>
      <c r="AM125">
        <f>AI125</f>
        <v/>
      </c>
    </row>
    <row r="126">
      <c r="D126" t="n">
        <v>65</v>
      </c>
      <c r="E126">
        <f>IF(G125&gt;0,MAX(0,G125*(1+$G$51)-$H$51),0)</f>
        <v/>
      </c>
      <c r="F126">
        <f>$B$6+IF($D126=$B$8,$B$7,0)</f>
        <v/>
      </c>
      <c r="G126">
        <f>IF(E126-F126&gt;1E-9,E126-F126,0)</f>
        <v/>
      </c>
      <c r="H126">
        <f>G125*$G$51</f>
        <v/>
      </c>
      <c r="I126">
        <f>IF(K125&gt;0,MAX(0,K125*(1+$G$52)-$H$52),0)</f>
        <v/>
      </c>
      <c r="J126">
        <f>MAX(0,F126-E126)</f>
        <v/>
      </c>
      <c r="K126">
        <f>IF(I126-J126&gt;1E-9,I126-J126,0)</f>
        <v/>
      </c>
      <c r="L126">
        <f>K125*$G$52</f>
        <v/>
      </c>
      <c r="M126">
        <f>IF(O125&gt;0,MAX(0,O125*(1+$G$53)-$H$53),0)</f>
        <v/>
      </c>
      <c r="N126">
        <f>MAX(0,J126-I126)</f>
        <v/>
      </c>
      <c r="O126">
        <f>IF(M126-N126&gt;1E-9,M126-N126,0)</f>
        <v/>
      </c>
      <c r="P126">
        <f>O125*$G$53</f>
        <v/>
      </c>
      <c r="Q126">
        <f>IF(S125&gt;0,MAX(0,S125*(1+$G$54)-$H$54),0)</f>
        <v/>
      </c>
      <c r="R126">
        <f>MAX(0,N126-M126)</f>
        <v/>
      </c>
      <c r="S126">
        <f>IF(Q126-R126&gt;1E-9,Q126-R126,0)</f>
        <v/>
      </c>
      <c r="T126">
        <f>S125*$G$54</f>
        <v/>
      </c>
      <c r="U126">
        <f>IF(W125&gt;0,MAX(0,W125*(1+$G$55)-$H$55),0)</f>
        <v/>
      </c>
      <c r="V126">
        <f>MAX(0,R126-Q126)</f>
        <v/>
      </c>
      <c r="W126">
        <f>IF(U126-V126&gt;1E-9,U126-V126,0)</f>
        <v/>
      </c>
      <c r="X126">
        <f>W125*$G$55</f>
        <v/>
      </c>
      <c r="Y126">
        <f>IF(Y125&gt;1E-9,IF(Y125*(1+$G$51)-MAX($B$9,0.01*Y125+Y125*$G$51)&gt;1E-9,Y125*(1+$G$51)-MAX($B$9,0.01*Y125+Y125*$G$51),0),0)</f>
        <v/>
      </c>
      <c r="Z126">
        <f>Y125*$G$51</f>
        <v/>
      </c>
      <c r="AA126">
        <f>IF(AA125&gt;1E-9,IF(AA125*(1+$G$52)-MAX($B$9,0.01*AA125+AA125*$G$52)&gt;1E-9,AA125*(1+$G$52)-MAX($B$9,0.01*AA125+AA125*$G$52),0),0)</f>
        <v/>
      </c>
      <c r="AB126">
        <f>AA125*$G$52</f>
        <v/>
      </c>
      <c r="AC126">
        <f>IF(AC125&gt;1E-9,IF(AC125*(1+$G$53)-MAX($B$9,0.01*AC125+AC125*$G$53)&gt;1E-9,AC125*(1+$G$53)-MAX($B$9,0.01*AC125+AC125*$G$53),0),0)</f>
        <v/>
      </c>
      <c r="AD126">
        <f>AC125*$G$53</f>
        <v/>
      </c>
      <c r="AE126">
        <f>IF(AE125&gt;1E-9,IF(AE125*(1+$G$54)-MAX($B$9,0.01*AE125+AE125*$G$54)&gt;1E-9,AE125*(1+$G$54)-MAX($B$9,0.01*AE125+AE125*$G$54),0),0)</f>
        <v/>
      </c>
      <c r="AF126">
        <f>AE125*$G$54</f>
        <v/>
      </c>
      <c r="AG126">
        <f>IF(AG125&gt;1E-9,IF(AG125*(1+$G$55)-MAX($B$9,0.01*AG125+AG125*$G$55)&gt;1E-9,AG125*(1+$G$55)-MAX($B$9,0.01*AG125+AG125*$G$55),0),0)</f>
        <v/>
      </c>
      <c r="AH126">
        <f>AG125*$G$55</f>
        <v/>
      </c>
      <c r="AI126">
        <f>G126+K126+O126+S126+W126</f>
        <v/>
      </c>
      <c r="AJ126">
        <f>AI125+AK126-AI126</f>
        <v/>
      </c>
      <c r="AK126">
        <f>H126+L126+P126+T126+X126</f>
        <v/>
      </c>
      <c r="AL126">
        <f>TEXT(EDATE($B$5,D126-1),"mmm yyyy")</f>
        <v/>
      </c>
      <c r="AM126">
        <f>AI126</f>
        <v/>
      </c>
    </row>
    <row r="127">
      <c r="D127" t="n">
        <v>66</v>
      </c>
      <c r="E127">
        <f>IF(G126&gt;0,MAX(0,G126*(1+$G$51)-$H$51),0)</f>
        <v/>
      </c>
      <c r="F127">
        <f>$B$6+IF($D127=$B$8,$B$7,0)</f>
        <v/>
      </c>
      <c r="G127">
        <f>IF(E127-F127&gt;1E-9,E127-F127,0)</f>
        <v/>
      </c>
      <c r="H127">
        <f>G126*$G$51</f>
        <v/>
      </c>
      <c r="I127">
        <f>IF(K126&gt;0,MAX(0,K126*(1+$G$52)-$H$52),0)</f>
        <v/>
      </c>
      <c r="J127">
        <f>MAX(0,F127-E127)</f>
        <v/>
      </c>
      <c r="K127">
        <f>IF(I127-J127&gt;1E-9,I127-J127,0)</f>
        <v/>
      </c>
      <c r="L127">
        <f>K126*$G$52</f>
        <v/>
      </c>
      <c r="M127">
        <f>IF(O126&gt;0,MAX(0,O126*(1+$G$53)-$H$53),0)</f>
        <v/>
      </c>
      <c r="N127">
        <f>MAX(0,J127-I127)</f>
        <v/>
      </c>
      <c r="O127">
        <f>IF(M127-N127&gt;1E-9,M127-N127,0)</f>
        <v/>
      </c>
      <c r="P127">
        <f>O126*$G$53</f>
        <v/>
      </c>
      <c r="Q127">
        <f>IF(S126&gt;0,MAX(0,S126*(1+$G$54)-$H$54),0)</f>
        <v/>
      </c>
      <c r="R127">
        <f>MAX(0,N127-M127)</f>
        <v/>
      </c>
      <c r="S127">
        <f>IF(Q127-R127&gt;1E-9,Q127-R127,0)</f>
        <v/>
      </c>
      <c r="T127">
        <f>S126*$G$54</f>
        <v/>
      </c>
      <c r="U127">
        <f>IF(W126&gt;0,MAX(0,W126*(1+$G$55)-$H$55),0)</f>
        <v/>
      </c>
      <c r="V127">
        <f>MAX(0,R127-Q127)</f>
        <v/>
      </c>
      <c r="W127">
        <f>IF(U127-V127&gt;1E-9,U127-V127,0)</f>
        <v/>
      </c>
      <c r="X127">
        <f>W126*$G$55</f>
        <v/>
      </c>
      <c r="Y127">
        <f>IF(Y126&gt;1E-9,IF(Y126*(1+$G$51)-MAX($B$9,0.01*Y126+Y126*$G$51)&gt;1E-9,Y126*(1+$G$51)-MAX($B$9,0.01*Y126+Y126*$G$51),0),0)</f>
        <v/>
      </c>
      <c r="Z127">
        <f>Y126*$G$51</f>
        <v/>
      </c>
      <c r="AA127">
        <f>IF(AA126&gt;1E-9,IF(AA126*(1+$G$52)-MAX($B$9,0.01*AA126+AA126*$G$52)&gt;1E-9,AA126*(1+$G$52)-MAX($B$9,0.01*AA126+AA126*$G$52),0),0)</f>
        <v/>
      </c>
      <c r="AB127">
        <f>AA126*$G$52</f>
        <v/>
      </c>
      <c r="AC127">
        <f>IF(AC126&gt;1E-9,IF(AC126*(1+$G$53)-MAX($B$9,0.01*AC126+AC126*$G$53)&gt;1E-9,AC126*(1+$G$53)-MAX($B$9,0.01*AC126+AC126*$G$53),0),0)</f>
        <v/>
      </c>
      <c r="AD127">
        <f>AC126*$G$53</f>
        <v/>
      </c>
      <c r="AE127">
        <f>IF(AE126&gt;1E-9,IF(AE126*(1+$G$54)-MAX($B$9,0.01*AE126+AE126*$G$54)&gt;1E-9,AE126*(1+$G$54)-MAX($B$9,0.01*AE126+AE126*$G$54),0),0)</f>
        <v/>
      </c>
      <c r="AF127">
        <f>AE126*$G$54</f>
        <v/>
      </c>
      <c r="AG127">
        <f>IF(AG126&gt;1E-9,IF(AG126*(1+$G$55)-MAX($B$9,0.01*AG126+AG126*$G$55)&gt;1E-9,AG126*(1+$G$55)-MAX($B$9,0.01*AG126+AG126*$G$55),0),0)</f>
        <v/>
      </c>
      <c r="AH127">
        <f>AG126*$G$55</f>
        <v/>
      </c>
      <c r="AI127">
        <f>G127+K127+O127+S127+W127</f>
        <v/>
      </c>
      <c r="AJ127">
        <f>AI126+AK127-AI127</f>
        <v/>
      </c>
      <c r="AK127">
        <f>H127+L127+P127+T127+X127</f>
        <v/>
      </c>
      <c r="AL127">
        <f>TEXT(EDATE($B$5,D127-1),"mmm yyyy")</f>
        <v/>
      </c>
      <c r="AM127">
        <f>AI127</f>
        <v/>
      </c>
    </row>
    <row r="128">
      <c r="D128" t="n">
        <v>67</v>
      </c>
      <c r="E128">
        <f>IF(G127&gt;0,MAX(0,G127*(1+$G$51)-$H$51),0)</f>
        <v/>
      </c>
      <c r="F128">
        <f>$B$6+IF($D128=$B$8,$B$7,0)</f>
        <v/>
      </c>
      <c r="G128">
        <f>IF(E128-F128&gt;1E-9,E128-F128,0)</f>
        <v/>
      </c>
      <c r="H128">
        <f>G127*$G$51</f>
        <v/>
      </c>
      <c r="I128">
        <f>IF(K127&gt;0,MAX(0,K127*(1+$G$52)-$H$52),0)</f>
        <v/>
      </c>
      <c r="J128">
        <f>MAX(0,F128-E128)</f>
        <v/>
      </c>
      <c r="K128">
        <f>IF(I128-J128&gt;1E-9,I128-J128,0)</f>
        <v/>
      </c>
      <c r="L128">
        <f>K127*$G$52</f>
        <v/>
      </c>
      <c r="M128">
        <f>IF(O127&gt;0,MAX(0,O127*(1+$G$53)-$H$53),0)</f>
        <v/>
      </c>
      <c r="N128">
        <f>MAX(0,J128-I128)</f>
        <v/>
      </c>
      <c r="O128">
        <f>IF(M128-N128&gt;1E-9,M128-N128,0)</f>
        <v/>
      </c>
      <c r="P128">
        <f>O127*$G$53</f>
        <v/>
      </c>
      <c r="Q128">
        <f>IF(S127&gt;0,MAX(0,S127*(1+$G$54)-$H$54),0)</f>
        <v/>
      </c>
      <c r="R128">
        <f>MAX(0,N128-M128)</f>
        <v/>
      </c>
      <c r="S128">
        <f>IF(Q128-R128&gt;1E-9,Q128-R128,0)</f>
        <v/>
      </c>
      <c r="T128">
        <f>S127*$G$54</f>
        <v/>
      </c>
      <c r="U128">
        <f>IF(W127&gt;0,MAX(0,W127*(1+$G$55)-$H$55),0)</f>
        <v/>
      </c>
      <c r="V128">
        <f>MAX(0,R128-Q128)</f>
        <v/>
      </c>
      <c r="W128">
        <f>IF(U128-V128&gt;1E-9,U128-V128,0)</f>
        <v/>
      </c>
      <c r="X128">
        <f>W127*$G$55</f>
        <v/>
      </c>
      <c r="Y128">
        <f>IF(Y127&gt;1E-9,IF(Y127*(1+$G$51)-MAX($B$9,0.01*Y127+Y127*$G$51)&gt;1E-9,Y127*(1+$G$51)-MAX($B$9,0.01*Y127+Y127*$G$51),0),0)</f>
        <v/>
      </c>
      <c r="Z128">
        <f>Y127*$G$51</f>
        <v/>
      </c>
      <c r="AA128">
        <f>IF(AA127&gt;1E-9,IF(AA127*(1+$G$52)-MAX($B$9,0.01*AA127+AA127*$G$52)&gt;1E-9,AA127*(1+$G$52)-MAX($B$9,0.01*AA127+AA127*$G$52),0),0)</f>
        <v/>
      </c>
      <c r="AB128">
        <f>AA127*$G$52</f>
        <v/>
      </c>
      <c r="AC128">
        <f>IF(AC127&gt;1E-9,IF(AC127*(1+$G$53)-MAX($B$9,0.01*AC127+AC127*$G$53)&gt;1E-9,AC127*(1+$G$53)-MAX($B$9,0.01*AC127+AC127*$G$53),0),0)</f>
        <v/>
      </c>
      <c r="AD128">
        <f>AC127*$G$53</f>
        <v/>
      </c>
      <c r="AE128">
        <f>IF(AE127&gt;1E-9,IF(AE127*(1+$G$54)-MAX($B$9,0.01*AE127+AE127*$G$54)&gt;1E-9,AE127*(1+$G$54)-MAX($B$9,0.01*AE127+AE127*$G$54),0),0)</f>
        <v/>
      </c>
      <c r="AF128">
        <f>AE127*$G$54</f>
        <v/>
      </c>
      <c r="AG128">
        <f>IF(AG127&gt;1E-9,IF(AG127*(1+$G$55)-MAX($B$9,0.01*AG127+AG127*$G$55)&gt;1E-9,AG127*(1+$G$55)-MAX($B$9,0.01*AG127+AG127*$G$55),0),0)</f>
        <v/>
      </c>
      <c r="AH128">
        <f>AG127*$G$55</f>
        <v/>
      </c>
      <c r="AI128">
        <f>G128+K128+O128+S128+W128</f>
        <v/>
      </c>
      <c r="AJ128">
        <f>AI127+AK128-AI128</f>
        <v/>
      </c>
      <c r="AK128">
        <f>H128+L128+P128+T128+X128</f>
        <v/>
      </c>
      <c r="AL128">
        <f>TEXT(EDATE($B$5,D128-1),"mmm yyyy")</f>
        <v/>
      </c>
      <c r="AM128">
        <f>AI128</f>
        <v/>
      </c>
    </row>
    <row r="129">
      <c r="D129" t="n">
        <v>68</v>
      </c>
      <c r="E129">
        <f>IF(G128&gt;0,MAX(0,G128*(1+$G$51)-$H$51),0)</f>
        <v/>
      </c>
      <c r="F129">
        <f>$B$6+IF($D129=$B$8,$B$7,0)</f>
        <v/>
      </c>
      <c r="G129">
        <f>IF(E129-F129&gt;1E-9,E129-F129,0)</f>
        <v/>
      </c>
      <c r="H129">
        <f>G128*$G$51</f>
        <v/>
      </c>
      <c r="I129">
        <f>IF(K128&gt;0,MAX(0,K128*(1+$G$52)-$H$52),0)</f>
        <v/>
      </c>
      <c r="J129">
        <f>MAX(0,F129-E129)</f>
        <v/>
      </c>
      <c r="K129">
        <f>IF(I129-J129&gt;1E-9,I129-J129,0)</f>
        <v/>
      </c>
      <c r="L129">
        <f>K128*$G$52</f>
        <v/>
      </c>
      <c r="M129">
        <f>IF(O128&gt;0,MAX(0,O128*(1+$G$53)-$H$53),0)</f>
        <v/>
      </c>
      <c r="N129">
        <f>MAX(0,J129-I129)</f>
        <v/>
      </c>
      <c r="O129">
        <f>IF(M129-N129&gt;1E-9,M129-N129,0)</f>
        <v/>
      </c>
      <c r="P129">
        <f>O128*$G$53</f>
        <v/>
      </c>
      <c r="Q129">
        <f>IF(S128&gt;0,MAX(0,S128*(1+$G$54)-$H$54),0)</f>
        <v/>
      </c>
      <c r="R129">
        <f>MAX(0,N129-M129)</f>
        <v/>
      </c>
      <c r="S129">
        <f>IF(Q129-R129&gt;1E-9,Q129-R129,0)</f>
        <v/>
      </c>
      <c r="T129">
        <f>S128*$G$54</f>
        <v/>
      </c>
      <c r="U129">
        <f>IF(W128&gt;0,MAX(0,W128*(1+$G$55)-$H$55),0)</f>
        <v/>
      </c>
      <c r="V129">
        <f>MAX(0,R129-Q129)</f>
        <v/>
      </c>
      <c r="W129">
        <f>IF(U129-V129&gt;1E-9,U129-V129,0)</f>
        <v/>
      </c>
      <c r="X129">
        <f>W128*$G$55</f>
        <v/>
      </c>
      <c r="Y129">
        <f>IF(Y128&gt;1E-9,IF(Y128*(1+$G$51)-MAX($B$9,0.01*Y128+Y128*$G$51)&gt;1E-9,Y128*(1+$G$51)-MAX($B$9,0.01*Y128+Y128*$G$51),0),0)</f>
        <v/>
      </c>
      <c r="Z129">
        <f>Y128*$G$51</f>
        <v/>
      </c>
      <c r="AA129">
        <f>IF(AA128&gt;1E-9,IF(AA128*(1+$G$52)-MAX($B$9,0.01*AA128+AA128*$G$52)&gt;1E-9,AA128*(1+$G$52)-MAX($B$9,0.01*AA128+AA128*$G$52),0),0)</f>
        <v/>
      </c>
      <c r="AB129">
        <f>AA128*$G$52</f>
        <v/>
      </c>
      <c r="AC129">
        <f>IF(AC128&gt;1E-9,IF(AC128*(1+$G$53)-MAX($B$9,0.01*AC128+AC128*$G$53)&gt;1E-9,AC128*(1+$G$53)-MAX($B$9,0.01*AC128+AC128*$G$53),0),0)</f>
        <v/>
      </c>
      <c r="AD129">
        <f>AC128*$G$53</f>
        <v/>
      </c>
      <c r="AE129">
        <f>IF(AE128&gt;1E-9,IF(AE128*(1+$G$54)-MAX($B$9,0.01*AE128+AE128*$G$54)&gt;1E-9,AE128*(1+$G$54)-MAX($B$9,0.01*AE128+AE128*$G$54),0),0)</f>
        <v/>
      </c>
      <c r="AF129">
        <f>AE128*$G$54</f>
        <v/>
      </c>
      <c r="AG129">
        <f>IF(AG128&gt;1E-9,IF(AG128*(1+$G$55)-MAX($B$9,0.01*AG128+AG128*$G$55)&gt;1E-9,AG128*(1+$G$55)-MAX($B$9,0.01*AG128+AG128*$G$55),0),0)</f>
        <v/>
      </c>
      <c r="AH129">
        <f>AG128*$G$55</f>
        <v/>
      </c>
      <c r="AI129">
        <f>G129+K129+O129+S129+W129</f>
        <v/>
      </c>
      <c r="AJ129">
        <f>AI128+AK129-AI129</f>
        <v/>
      </c>
      <c r="AK129">
        <f>H129+L129+P129+T129+X129</f>
        <v/>
      </c>
      <c r="AL129">
        <f>TEXT(EDATE($B$5,D129-1),"mmm yyyy")</f>
        <v/>
      </c>
      <c r="AM129">
        <f>AI129</f>
        <v/>
      </c>
    </row>
    <row r="130">
      <c r="D130" t="n">
        <v>69</v>
      </c>
      <c r="E130">
        <f>IF(G129&gt;0,MAX(0,G129*(1+$G$51)-$H$51),0)</f>
        <v/>
      </c>
      <c r="F130">
        <f>$B$6+IF($D130=$B$8,$B$7,0)</f>
        <v/>
      </c>
      <c r="G130">
        <f>IF(E130-F130&gt;1E-9,E130-F130,0)</f>
        <v/>
      </c>
      <c r="H130">
        <f>G129*$G$51</f>
        <v/>
      </c>
      <c r="I130">
        <f>IF(K129&gt;0,MAX(0,K129*(1+$G$52)-$H$52),0)</f>
        <v/>
      </c>
      <c r="J130">
        <f>MAX(0,F130-E130)</f>
        <v/>
      </c>
      <c r="K130">
        <f>IF(I130-J130&gt;1E-9,I130-J130,0)</f>
        <v/>
      </c>
      <c r="L130">
        <f>K129*$G$52</f>
        <v/>
      </c>
      <c r="M130">
        <f>IF(O129&gt;0,MAX(0,O129*(1+$G$53)-$H$53),0)</f>
        <v/>
      </c>
      <c r="N130">
        <f>MAX(0,J130-I130)</f>
        <v/>
      </c>
      <c r="O130">
        <f>IF(M130-N130&gt;1E-9,M130-N130,0)</f>
        <v/>
      </c>
      <c r="P130">
        <f>O129*$G$53</f>
        <v/>
      </c>
      <c r="Q130">
        <f>IF(S129&gt;0,MAX(0,S129*(1+$G$54)-$H$54),0)</f>
        <v/>
      </c>
      <c r="R130">
        <f>MAX(0,N130-M130)</f>
        <v/>
      </c>
      <c r="S130">
        <f>IF(Q130-R130&gt;1E-9,Q130-R130,0)</f>
        <v/>
      </c>
      <c r="T130">
        <f>S129*$G$54</f>
        <v/>
      </c>
      <c r="U130">
        <f>IF(W129&gt;0,MAX(0,W129*(1+$G$55)-$H$55),0)</f>
        <v/>
      </c>
      <c r="V130">
        <f>MAX(0,R130-Q130)</f>
        <v/>
      </c>
      <c r="W130">
        <f>IF(U130-V130&gt;1E-9,U130-V130,0)</f>
        <v/>
      </c>
      <c r="X130">
        <f>W129*$G$55</f>
        <v/>
      </c>
      <c r="Y130">
        <f>IF(Y129&gt;1E-9,IF(Y129*(1+$G$51)-MAX($B$9,0.01*Y129+Y129*$G$51)&gt;1E-9,Y129*(1+$G$51)-MAX($B$9,0.01*Y129+Y129*$G$51),0),0)</f>
        <v/>
      </c>
      <c r="Z130">
        <f>Y129*$G$51</f>
        <v/>
      </c>
      <c r="AA130">
        <f>IF(AA129&gt;1E-9,IF(AA129*(1+$G$52)-MAX($B$9,0.01*AA129+AA129*$G$52)&gt;1E-9,AA129*(1+$G$52)-MAX($B$9,0.01*AA129+AA129*$G$52),0),0)</f>
        <v/>
      </c>
      <c r="AB130">
        <f>AA129*$G$52</f>
        <v/>
      </c>
      <c r="AC130">
        <f>IF(AC129&gt;1E-9,IF(AC129*(1+$G$53)-MAX($B$9,0.01*AC129+AC129*$G$53)&gt;1E-9,AC129*(1+$G$53)-MAX($B$9,0.01*AC129+AC129*$G$53),0),0)</f>
        <v/>
      </c>
      <c r="AD130">
        <f>AC129*$G$53</f>
        <v/>
      </c>
      <c r="AE130">
        <f>IF(AE129&gt;1E-9,IF(AE129*(1+$G$54)-MAX($B$9,0.01*AE129+AE129*$G$54)&gt;1E-9,AE129*(1+$G$54)-MAX($B$9,0.01*AE129+AE129*$G$54),0),0)</f>
        <v/>
      </c>
      <c r="AF130">
        <f>AE129*$G$54</f>
        <v/>
      </c>
      <c r="AG130">
        <f>IF(AG129&gt;1E-9,IF(AG129*(1+$G$55)-MAX($B$9,0.01*AG129+AG129*$G$55)&gt;1E-9,AG129*(1+$G$55)-MAX($B$9,0.01*AG129+AG129*$G$55),0),0)</f>
        <v/>
      </c>
      <c r="AH130">
        <f>AG129*$G$55</f>
        <v/>
      </c>
      <c r="AI130">
        <f>G130+K130+O130+S130+W130</f>
        <v/>
      </c>
      <c r="AJ130">
        <f>AI129+AK130-AI130</f>
        <v/>
      </c>
      <c r="AK130">
        <f>H130+L130+P130+T130+X130</f>
        <v/>
      </c>
      <c r="AL130">
        <f>TEXT(EDATE($B$5,D130-1),"mmm yyyy")</f>
        <v/>
      </c>
      <c r="AM130">
        <f>AI130</f>
        <v/>
      </c>
    </row>
    <row r="131">
      <c r="D131" t="n">
        <v>70</v>
      </c>
      <c r="E131">
        <f>IF(G130&gt;0,MAX(0,G130*(1+$G$51)-$H$51),0)</f>
        <v/>
      </c>
      <c r="F131">
        <f>$B$6+IF($D131=$B$8,$B$7,0)</f>
        <v/>
      </c>
      <c r="G131">
        <f>IF(E131-F131&gt;1E-9,E131-F131,0)</f>
        <v/>
      </c>
      <c r="H131">
        <f>G130*$G$51</f>
        <v/>
      </c>
      <c r="I131">
        <f>IF(K130&gt;0,MAX(0,K130*(1+$G$52)-$H$52),0)</f>
        <v/>
      </c>
      <c r="J131">
        <f>MAX(0,F131-E131)</f>
        <v/>
      </c>
      <c r="K131">
        <f>IF(I131-J131&gt;1E-9,I131-J131,0)</f>
        <v/>
      </c>
      <c r="L131">
        <f>K130*$G$52</f>
        <v/>
      </c>
      <c r="M131">
        <f>IF(O130&gt;0,MAX(0,O130*(1+$G$53)-$H$53),0)</f>
        <v/>
      </c>
      <c r="N131">
        <f>MAX(0,J131-I131)</f>
        <v/>
      </c>
      <c r="O131">
        <f>IF(M131-N131&gt;1E-9,M131-N131,0)</f>
        <v/>
      </c>
      <c r="P131">
        <f>O130*$G$53</f>
        <v/>
      </c>
      <c r="Q131">
        <f>IF(S130&gt;0,MAX(0,S130*(1+$G$54)-$H$54),0)</f>
        <v/>
      </c>
      <c r="R131">
        <f>MAX(0,N131-M131)</f>
        <v/>
      </c>
      <c r="S131">
        <f>IF(Q131-R131&gt;1E-9,Q131-R131,0)</f>
        <v/>
      </c>
      <c r="T131">
        <f>S130*$G$54</f>
        <v/>
      </c>
      <c r="U131">
        <f>IF(W130&gt;0,MAX(0,W130*(1+$G$55)-$H$55),0)</f>
        <v/>
      </c>
      <c r="V131">
        <f>MAX(0,R131-Q131)</f>
        <v/>
      </c>
      <c r="W131">
        <f>IF(U131-V131&gt;1E-9,U131-V131,0)</f>
        <v/>
      </c>
      <c r="X131">
        <f>W130*$G$55</f>
        <v/>
      </c>
      <c r="Y131">
        <f>IF(Y130&gt;1E-9,IF(Y130*(1+$G$51)-MAX($B$9,0.01*Y130+Y130*$G$51)&gt;1E-9,Y130*(1+$G$51)-MAX($B$9,0.01*Y130+Y130*$G$51),0),0)</f>
        <v/>
      </c>
      <c r="Z131">
        <f>Y130*$G$51</f>
        <v/>
      </c>
      <c r="AA131">
        <f>IF(AA130&gt;1E-9,IF(AA130*(1+$G$52)-MAX($B$9,0.01*AA130+AA130*$G$52)&gt;1E-9,AA130*(1+$G$52)-MAX($B$9,0.01*AA130+AA130*$G$52),0),0)</f>
        <v/>
      </c>
      <c r="AB131">
        <f>AA130*$G$52</f>
        <v/>
      </c>
      <c r="AC131">
        <f>IF(AC130&gt;1E-9,IF(AC130*(1+$G$53)-MAX($B$9,0.01*AC130+AC130*$G$53)&gt;1E-9,AC130*(1+$G$53)-MAX($B$9,0.01*AC130+AC130*$G$53),0),0)</f>
        <v/>
      </c>
      <c r="AD131">
        <f>AC130*$G$53</f>
        <v/>
      </c>
      <c r="AE131">
        <f>IF(AE130&gt;1E-9,IF(AE130*(1+$G$54)-MAX($B$9,0.01*AE130+AE130*$G$54)&gt;1E-9,AE130*(1+$G$54)-MAX($B$9,0.01*AE130+AE130*$G$54),0),0)</f>
        <v/>
      </c>
      <c r="AF131">
        <f>AE130*$G$54</f>
        <v/>
      </c>
      <c r="AG131">
        <f>IF(AG130&gt;1E-9,IF(AG130*(1+$G$55)-MAX($B$9,0.01*AG130+AG130*$G$55)&gt;1E-9,AG130*(1+$G$55)-MAX($B$9,0.01*AG130+AG130*$G$55),0),0)</f>
        <v/>
      </c>
      <c r="AH131">
        <f>AG130*$G$55</f>
        <v/>
      </c>
      <c r="AI131">
        <f>G131+K131+O131+S131+W131</f>
        <v/>
      </c>
      <c r="AJ131">
        <f>AI130+AK131-AI131</f>
        <v/>
      </c>
      <c r="AK131">
        <f>H131+L131+P131+T131+X131</f>
        <v/>
      </c>
      <c r="AL131">
        <f>TEXT(EDATE($B$5,D131-1),"mmm yyyy")</f>
        <v/>
      </c>
      <c r="AM131">
        <f>AI131</f>
        <v/>
      </c>
    </row>
    <row r="132">
      <c r="D132" t="n">
        <v>71</v>
      </c>
      <c r="E132">
        <f>IF(G131&gt;0,MAX(0,G131*(1+$G$51)-$H$51),0)</f>
        <v/>
      </c>
      <c r="F132">
        <f>$B$6+IF($D132=$B$8,$B$7,0)</f>
        <v/>
      </c>
      <c r="G132">
        <f>IF(E132-F132&gt;1E-9,E132-F132,0)</f>
        <v/>
      </c>
      <c r="H132">
        <f>G131*$G$51</f>
        <v/>
      </c>
      <c r="I132">
        <f>IF(K131&gt;0,MAX(0,K131*(1+$G$52)-$H$52),0)</f>
        <v/>
      </c>
      <c r="J132">
        <f>MAX(0,F132-E132)</f>
        <v/>
      </c>
      <c r="K132">
        <f>IF(I132-J132&gt;1E-9,I132-J132,0)</f>
        <v/>
      </c>
      <c r="L132">
        <f>K131*$G$52</f>
        <v/>
      </c>
      <c r="M132">
        <f>IF(O131&gt;0,MAX(0,O131*(1+$G$53)-$H$53),0)</f>
        <v/>
      </c>
      <c r="N132">
        <f>MAX(0,J132-I132)</f>
        <v/>
      </c>
      <c r="O132">
        <f>IF(M132-N132&gt;1E-9,M132-N132,0)</f>
        <v/>
      </c>
      <c r="P132">
        <f>O131*$G$53</f>
        <v/>
      </c>
      <c r="Q132">
        <f>IF(S131&gt;0,MAX(0,S131*(1+$G$54)-$H$54),0)</f>
        <v/>
      </c>
      <c r="R132">
        <f>MAX(0,N132-M132)</f>
        <v/>
      </c>
      <c r="S132">
        <f>IF(Q132-R132&gt;1E-9,Q132-R132,0)</f>
        <v/>
      </c>
      <c r="T132">
        <f>S131*$G$54</f>
        <v/>
      </c>
      <c r="U132">
        <f>IF(W131&gt;0,MAX(0,W131*(1+$G$55)-$H$55),0)</f>
        <v/>
      </c>
      <c r="V132">
        <f>MAX(0,R132-Q132)</f>
        <v/>
      </c>
      <c r="W132">
        <f>IF(U132-V132&gt;1E-9,U132-V132,0)</f>
        <v/>
      </c>
      <c r="X132">
        <f>W131*$G$55</f>
        <v/>
      </c>
      <c r="Y132">
        <f>IF(Y131&gt;1E-9,IF(Y131*(1+$G$51)-MAX($B$9,0.01*Y131+Y131*$G$51)&gt;1E-9,Y131*(1+$G$51)-MAX($B$9,0.01*Y131+Y131*$G$51),0),0)</f>
        <v/>
      </c>
      <c r="Z132">
        <f>Y131*$G$51</f>
        <v/>
      </c>
      <c r="AA132">
        <f>IF(AA131&gt;1E-9,IF(AA131*(1+$G$52)-MAX($B$9,0.01*AA131+AA131*$G$52)&gt;1E-9,AA131*(1+$G$52)-MAX($B$9,0.01*AA131+AA131*$G$52),0),0)</f>
        <v/>
      </c>
      <c r="AB132">
        <f>AA131*$G$52</f>
        <v/>
      </c>
      <c r="AC132">
        <f>IF(AC131&gt;1E-9,IF(AC131*(1+$G$53)-MAX($B$9,0.01*AC131+AC131*$G$53)&gt;1E-9,AC131*(1+$G$53)-MAX($B$9,0.01*AC131+AC131*$G$53),0),0)</f>
        <v/>
      </c>
      <c r="AD132">
        <f>AC131*$G$53</f>
        <v/>
      </c>
      <c r="AE132">
        <f>IF(AE131&gt;1E-9,IF(AE131*(1+$G$54)-MAX($B$9,0.01*AE131+AE131*$G$54)&gt;1E-9,AE131*(1+$G$54)-MAX($B$9,0.01*AE131+AE131*$G$54),0),0)</f>
        <v/>
      </c>
      <c r="AF132">
        <f>AE131*$G$54</f>
        <v/>
      </c>
      <c r="AG132">
        <f>IF(AG131&gt;1E-9,IF(AG131*(1+$G$55)-MAX($B$9,0.01*AG131+AG131*$G$55)&gt;1E-9,AG131*(1+$G$55)-MAX($B$9,0.01*AG131+AG131*$G$55),0),0)</f>
        <v/>
      </c>
      <c r="AH132">
        <f>AG131*$G$55</f>
        <v/>
      </c>
      <c r="AI132">
        <f>G132+K132+O132+S132+W132</f>
        <v/>
      </c>
      <c r="AJ132">
        <f>AI131+AK132-AI132</f>
        <v/>
      </c>
      <c r="AK132">
        <f>H132+L132+P132+T132+X132</f>
        <v/>
      </c>
      <c r="AL132">
        <f>TEXT(EDATE($B$5,D132-1),"mmm yyyy")</f>
        <v/>
      </c>
      <c r="AM132">
        <f>AI132</f>
        <v/>
      </c>
    </row>
    <row r="133">
      <c r="D133" t="n">
        <v>72</v>
      </c>
      <c r="E133">
        <f>IF(G132&gt;0,MAX(0,G132*(1+$G$51)-$H$51),0)</f>
        <v/>
      </c>
      <c r="F133">
        <f>$B$6+IF($D133=$B$8,$B$7,0)</f>
        <v/>
      </c>
      <c r="G133">
        <f>IF(E133-F133&gt;1E-9,E133-F133,0)</f>
        <v/>
      </c>
      <c r="H133">
        <f>G132*$G$51</f>
        <v/>
      </c>
      <c r="I133">
        <f>IF(K132&gt;0,MAX(0,K132*(1+$G$52)-$H$52),0)</f>
        <v/>
      </c>
      <c r="J133">
        <f>MAX(0,F133-E133)</f>
        <v/>
      </c>
      <c r="K133">
        <f>IF(I133-J133&gt;1E-9,I133-J133,0)</f>
        <v/>
      </c>
      <c r="L133">
        <f>K132*$G$52</f>
        <v/>
      </c>
      <c r="M133">
        <f>IF(O132&gt;0,MAX(0,O132*(1+$G$53)-$H$53),0)</f>
        <v/>
      </c>
      <c r="N133">
        <f>MAX(0,J133-I133)</f>
        <v/>
      </c>
      <c r="O133">
        <f>IF(M133-N133&gt;1E-9,M133-N133,0)</f>
        <v/>
      </c>
      <c r="P133">
        <f>O132*$G$53</f>
        <v/>
      </c>
      <c r="Q133">
        <f>IF(S132&gt;0,MAX(0,S132*(1+$G$54)-$H$54),0)</f>
        <v/>
      </c>
      <c r="R133">
        <f>MAX(0,N133-M133)</f>
        <v/>
      </c>
      <c r="S133">
        <f>IF(Q133-R133&gt;1E-9,Q133-R133,0)</f>
        <v/>
      </c>
      <c r="T133">
        <f>S132*$G$54</f>
        <v/>
      </c>
      <c r="U133">
        <f>IF(W132&gt;0,MAX(0,W132*(1+$G$55)-$H$55),0)</f>
        <v/>
      </c>
      <c r="V133">
        <f>MAX(0,R133-Q133)</f>
        <v/>
      </c>
      <c r="W133">
        <f>IF(U133-V133&gt;1E-9,U133-V133,0)</f>
        <v/>
      </c>
      <c r="X133">
        <f>W132*$G$55</f>
        <v/>
      </c>
      <c r="Y133">
        <f>IF(Y132&gt;1E-9,IF(Y132*(1+$G$51)-MAX($B$9,0.01*Y132+Y132*$G$51)&gt;1E-9,Y132*(1+$G$51)-MAX($B$9,0.01*Y132+Y132*$G$51),0),0)</f>
        <v/>
      </c>
      <c r="Z133">
        <f>Y132*$G$51</f>
        <v/>
      </c>
      <c r="AA133">
        <f>IF(AA132&gt;1E-9,IF(AA132*(1+$G$52)-MAX($B$9,0.01*AA132+AA132*$G$52)&gt;1E-9,AA132*(1+$G$52)-MAX($B$9,0.01*AA132+AA132*$G$52),0),0)</f>
        <v/>
      </c>
      <c r="AB133">
        <f>AA132*$G$52</f>
        <v/>
      </c>
      <c r="AC133">
        <f>IF(AC132&gt;1E-9,IF(AC132*(1+$G$53)-MAX($B$9,0.01*AC132+AC132*$G$53)&gt;1E-9,AC132*(1+$G$53)-MAX($B$9,0.01*AC132+AC132*$G$53),0),0)</f>
        <v/>
      </c>
      <c r="AD133">
        <f>AC132*$G$53</f>
        <v/>
      </c>
      <c r="AE133">
        <f>IF(AE132&gt;1E-9,IF(AE132*(1+$G$54)-MAX($B$9,0.01*AE132+AE132*$G$54)&gt;1E-9,AE132*(1+$G$54)-MAX($B$9,0.01*AE132+AE132*$G$54),0),0)</f>
        <v/>
      </c>
      <c r="AF133">
        <f>AE132*$G$54</f>
        <v/>
      </c>
      <c r="AG133">
        <f>IF(AG132&gt;1E-9,IF(AG132*(1+$G$55)-MAX($B$9,0.01*AG132+AG132*$G$55)&gt;1E-9,AG132*(1+$G$55)-MAX($B$9,0.01*AG132+AG132*$G$55),0),0)</f>
        <v/>
      </c>
      <c r="AH133">
        <f>AG132*$G$55</f>
        <v/>
      </c>
      <c r="AI133">
        <f>G133+K133+O133+S133+W133</f>
        <v/>
      </c>
      <c r="AJ133">
        <f>AI132+AK133-AI133</f>
        <v/>
      </c>
      <c r="AK133">
        <f>H133+L133+P133+T133+X133</f>
        <v/>
      </c>
      <c r="AL133">
        <f>TEXT(EDATE($B$5,D133-1),"mmm yyyy")</f>
        <v/>
      </c>
      <c r="AM133">
        <f>AI133</f>
        <v/>
      </c>
    </row>
    <row r="134">
      <c r="D134" t="n">
        <v>73</v>
      </c>
      <c r="E134">
        <f>IF(G133&gt;0,MAX(0,G133*(1+$G$51)-$H$51),0)</f>
        <v/>
      </c>
      <c r="F134">
        <f>$B$6+IF($D134=$B$8,$B$7,0)</f>
        <v/>
      </c>
      <c r="G134">
        <f>IF(E134-F134&gt;1E-9,E134-F134,0)</f>
        <v/>
      </c>
      <c r="H134">
        <f>G133*$G$51</f>
        <v/>
      </c>
      <c r="I134">
        <f>IF(K133&gt;0,MAX(0,K133*(1+$G$52)-$H$52),0)</f>
        <v/>
      </c>
      <c r="J134">
        <f>MAX(0,F134-E134)</f>
        <v/>
      </c>
      <c r="K134">
        <f>IF(I134-J134&gt;1E-9,I134-J134,0)</f>
        <v/>
      </c>
      <c r="L134">
        <f>K133*$G$52</f>
        <v/>
      </c>
      <c r="M134">
        <f>IF(O133&gt;0,MAX(0,O133*(1+$G$53)-$H$53),0)</f>
        <v/>
      </c>
      <c r="N134">
        <f>MAX(0,J134-I134)</f>
        <v/>
      </c>
      <c r="O134">
        <f>IF(M134-N134&gt;1E-9,M134-N134,0)</f>
        <v/>
      </c>
      <c r="P134">
        <f>O133*$G$53</f>
        <v/>
      </c>
      <c r="Q134">
        <f>IF(S133&gt;0,MAX(0,S133*(1+$G$54)-$H$54),0)</f>
        <v/>
      </c>
      <c r="R134">
        <f>MAX(0,N134-M134)</f>
        <v/>
      </c>
      <c r="S134">
        <f>IF(Q134-R134&gt;1E-9,Q134-R134,0)</f>
        <v/>
      </c>
      <c r="T134">
        <f>S133*$G$54</f>
        <v/>
      </c>
      <c r="U134">
        <f>IF(W133&gt;0,MAX(0,W133*(1+$G$55)-$H$55),0)</f>
        <v/>
      </c>
      <c r="V134">
        <f>MAX(0,R134-Q134)</f>
        <v/>
      </c>
      <c r="W134">
        <f>IF(U134-V134&gt;1E-9,U134-V134,0)</f>
        <v/>
      </c>
      <c r="X134">
        <f>W133*$G$55</f>
        <v/>
      </c>
      <c r="Y134">
        <f>IF(Y133&gt;1E-9,IF(Y133*(1+$G$51)-MAX($B$9,0.01*Y133+Y133*$G$51)&gt;1E-9,Y133*(1+$G$51)-MAX($B$9,0.01*Y133+Y133*$G$51),0),0)</f>
        <v/>
      </c>
      <c r="Z134">
        <f>Y133*$G$51</f>
        <v/>
      </c>
      <c r="AA134">
        <f>IF(AA133&gt;1E-9,IF(AA133*(1+$G$52)-MAX($B$9,0.01*AA133+AA133*$G$52)&gt;1E-9,AA133*(1+$G$52)-MAX($B$9,0.01*AA133+AA133*$G$52),0),0)</f>
        <v/>
      </c>
      <c r="AB134">
        <f>AA133*$G$52</f>
        <v/>
      </c>
      <c r="AC134">
        <f>IF(AC133&gt;1E-9,IF(AC133*(1+$G$53)-MAX($B$9,0.01*AC133+AC133*$G$53)&gt;1E-9,AC133*(1+$G$53)-MAX($B$9,0.01*AC133+AC133*$G$53),0),0)</f>
        <v/>
      </c>
      <c r="AD134">
        <f>AC133*$G$53</f>
        <v/>
      </c>
      <c r="AE134">
        <f>IF(AE133&gt;1E-9,IF(AE133*(1+$G$54)-MAX($B$9,0.01*AE133+AE133*$G$54)&gt;1E-9,AE133*(1+$G$54)-MAX($B$9,0.01*AE133+AE133*$G$54),0),0)</f>
        <v/>
      </c>
      <c r="AF134">
        <f>AE133*$G$54</f>
        <v/>
      </c>
      <c r="AG134">
        <f>IF(AG133&gt;1E-9,IF(AG133*(1+$G$55)-MAX($B$9,0.01*AG133+AG133*$G$55)&gt;1E-9,AG133*(1+$G$55)-MAX($B$9,0.01*AG133+AG133*$G$55),0),0)</f>
        <v/>
      </c>
      <c r="AH134">
        <f>AG133*$G$55</f>
        <v/>
      </c>
      <c r="AI134">
        <f>G134+K134+O134+S134+W134</f>
        <v/>
      </c>
      <c r="AJ134">
        <f>AI133+AK134-AI134</f>
        <v/>
      </c>
      <c r="AK134">
        <f>H134+L134+P134+T134+X134</f>
        <v/>
      </c>
      <c r="AL134">
        <f>TEXT(EDATE($B$5,D134-1),"mmm yyyy")</f>
        <v/>
      </c>
      <c r="AM134">
        <f>AI134</f>
        <v/>
      </c>
    </row>
    <row r="135">
      <c r="D135" t="n">
        <v>74</v>
      </c>
      <c r="E135">
        <f>IF(G134&gt;0,MAX(0,G134*(1+$G$51)-$H$51),0)</f>
        <v/>
      </c>
      <c r="F135">
        <f>$B$6+IF($D135=$B$8,$B$7,0)</f>
        <v/>
      </c>
      <c r="G135">
        <f>IF(E135-F135&gt;1E-9,E135-F135,0)</f>
        <v/>
      </c>
      <c r="H135">
        <f>G134*$G$51</f>
        <v/>
      </c>
      <c r="I135">
        <f>IF(K134&gt;0,MAX(0,K134*(1+$G$52)-$H$52),0)</f>
        <v/>
      </c>
      <c r="J135">
        <f>MAX(0,F135-E135)</f>
        <v/>
      </c>
      <c r="K135">
        <f>IF(I135-J135&gt;1E-9,I135-J135,0)</f>
        <v/>
      </c>
      <c r="L135">
        <f>K134*$G$52</f>
        <v/>
      </c>
      <c r="M135">
        <f>IF(O134&gt;0,MAX(0,O134*(1+$G$53)-$H$53),0)</f>
        <v/>
      </c>
      <c r="N135">
        <f>MAX(0,J135-I135)</f>
        <v/>
      </c>
      <c r="O135">
        <f>IF(M135-N135&gt;1E-9,M135-N135,0)</f>
        <v/>
      </c>
      <c r="P135">
        <f>O134*$G$53</f>
        <v/>
      </c>
      <c r="Q135">
        <f>IF(S134&gt;0,MAX(0,S134*(1+$G$54)-$H$54),0)</f>
        <v/>
      </c>
      <c r="R135">
        <f>MAX(0,N135-M135)</f>
        <v/>
      </c>
      <c r="S135">
        <f>IF(Q135-R135&gt;1E-9,Q135-R135,0)</f>
        <v/>
      </c>
      <c r="T135">
        <f>S134*$G$54</f>
        <v/>
      </c>
      <c r="U135">
        <f>IF(W134&gt;0,MAX(0,W134*(1+$G$55)-$H$55),0)</f>
        <v/>
      </c>
      <c r="V135">
        <f>MAX(0,R135-Q135)</f>
        <v/>
      </c>
      <c r="W135">
        <f>IF(U135-V135&gt;1E-9,U135-V135,0)</f>
        <v/>
      </c>
      <c r="X135">
        <f>W134*$G$55</f>
        <v/>
      </c>
      <c r="Y135">
        <f>IF(Y134&gt;1E-9,IF(Y134*(1+$G$51)-MAX($B$9,0.01*Y134+Y134*$G$51)&gt;1E-9,Y134*(1+$G$51)-MAX($B$9,0.01*Y134+Y134*$G$51),0),0)</f>
        <v/>
      </c>
      <c r="Z135">
        <f>Y134*$G$51</f>
        <v/>
      </c>
      <c r="AA135">
        <f>IF(AA134&gt;1E-9,IF(AA134*(1+$G$52)-MAX($B$9,0.01*AA134+AA134*$G$52)&gt;1E-9,AA134*(1+$G$52)-MAX($B$9,0.01*AA134+AA134*$G$52),0),0)</f>
        <v/>
      </c>
      <c r="AB135">
        <f>AA134*$G$52</f>
        <v/>
      </c>
      <c r="AC135">
        <f>IF(AC134&gt;1E-9,IF(AC134*(1+$G$53)-MAX($B$9,0.01*AC134+AC134*$G$53)&gt;1E-9,AC134*(1+$G$53)-MAX($B$9,0.01*AC134+AC134*$G$53),0),0)</f>
        <v/>
      </c>
      <c r="AD135">
        <f>AC134*$G$53</f>
        <v/>
      </c>
      <c r="AE135">
        <f>IF(AE134&gt;1E-9,IF(AE134*(1+$G$54)-MAX($B$9,0.01*AE134+AE134*$G$54)&gt;1E-9,AE134*(1+$G$54)-MAX($B$9,0.01*AE134+AE134*$G$54),0),0)</f>
        <v/>
      </c>
      <c r="AF135">
        <f>AE134*$G$54</f>
        <v/>
      </c>
      <c r="AG135">
        <f>IF(AG134&gt;1E-9,IF(AG134*(1+$G$55)-MAX($B$9,0.01*AG134+AG134*$G$55)&gt;1E-9,AG134*(1+$G$55)-MAX($B$9,0.01*AG134+AG134*$G$55),0),0)</f>
        <v/>
      </c>
      <c r="AH135">
        <f>AG134*$G$55</f>
        <v/>
      </c>
      <c r="AI135">
        <f>G135+K135+O135+S135+W135</f>
        <v/>
      </c>
      <c r="AJ135">
        <f>AI134+AK135-AI135</f>
        <v/>
      </c>
      <c r="AK135">
        <f>H135+L135+P135+T135+X135</f>
        <v/>
      </c>
      <c r="AL135">
        <f>TEXT(EDATE($B$5,D135-1),"mmm yyyy")</f>
        <v/>
      </c>
      <c r="AM135">
        <f>AI135</f>
        <v/>
      </c>
    </row>
    <row r="136">
      <c r="D136" t="n">
        <v>75</v>
      </c>
      <c r="E136">
        <f>IF(G135&gt;0,MAX(0,G135*(1+$G$51)-$H$51),0)</f>
        <v/>
      </c>
      <c r="F136">
        <f>$B$6+IF($D136=$B$8,$B$7,0)</f>
        <v/>
      </c>
      <c r="G136">
        <f>IF(E136-F136&gt;1E-9,E136-F136,0)</f>
        <v/>
      </c>
      <c r="H136">
        <f>G135*$G$51</f>
        <v/>
      </c>
      <c r="I136">
        <f>IF(K135&gt;0,MAX(0,K135*(1+$G$52)-$H$52),0)</f>
        <v/>
      </c>
      <c r="J136">
        <f>MAX(0,F136-E136)</f>
        <v/>
      </c>
      <c r="K136">
        <f>IF(I136-J136&gt;1E-9,I136-J136,0)</f>
        <v/>
      </c>
      <c r="L136">
        <f>K135*$G$52</f>
        <v/>
      </c>
      <c r="M136">
        <f>IF(O135&gt;0,MAX(0,O135*(1+$G$53)-$H$53),0)</f>
        <v/>
      </c>
      <c r="N136">
        <f>MAX(0,J136-I136)</f>
        <v/>
      </c>
      <c r="O136">
        <f>IF(M136-N136&gt;1E-9,M136-N136,0)</f>
        <v/>
      </c>
      <c r="P136">
        <f>O135*$G$53</f>
        <v/>
      </c>
      <c r="Q136">
        <f>IF(S135&gt;0,MAX(0,S135*(1+$G$54)-$H$54),0)</f>
        <v/>
      </c>
      <c r="R136">
        <f>MAX(0,N136-M136)</f>
        <v/>
      </c>
      <c r="S136">
        <f>IF(Q136-R136&gt;1E-9,Q136-R136,0)</f>
        <v/>
      </c>
      <c r="T136">
        <f>S135*$G$54</f>
        <v/>
      </c>
      <c r="U136">
        <f>IF(W135&gt;0,MAX(0,W135*(1+$G$55)-$H$55),0)</f>
        <v/>
      </c>
      <c r="V136">
        <f>MAX(0,R136-Q136)</f>
        <v/>
      </c>
      <c r="W136">
        <f>IF(U136-V136&gt;1E-9,U136-V136,0)</f>
        <v/>
      </c>
      <c r="X136">
        <f>W135*$G$55</f>
        <v/>
      </c>
      <c r="Y136">
        <f>IF(Y135&gt;1E-9,IF(Y135*(1+$G$51)-MAX($B$9,0.01*Y135+Y135*$G$51)&gt;1E-9,Y135*(1+$G$51)-MAX($B$9,0.01*Y135+Y135*$G$51),0),0)</f>
        <v/>
      </c>
      <c r="Z136">
        <f>Y135*$G$51</f>
        <v/>
      </c>
      <c r="AA136">
        <f>IF(AA135&gt;1E-9,IF(AA135*(1+$G$52)-MAX($B$9,0.01*AA135+AA135*$G$52)&gt;1E-9,AA135*(1+$G$52)-MAX($B$9,0.01*AA135+AA135*$G$52),0),0)</f>
        <v/>
      </c>
      <c r="AB136">
        <f>AA135*$G$52</f>
        <v/>
      </c>
      <c r="AC136">
        <f>IF(AC135&gt;1E-9,IF(AC135*(1+$G$53)-MAX($B$9,0.01*AC135+AC135*$G$53)&gt;1E-9,AC135*(1+$G$53)-MAX($B$9,0.01*AC135+AC135*$G$53),0),0)</f>
        <v/>
      </c>
      <c r="AD136">
        <f>AC135*$G$53</f>
        <v/>
      </c>
      <c r="AE136">
        <f>IF(AE135&gt;1E-9,IF(AE135*(1+$G$54)-MAX($B$9,0.01*AE135+AE135*$G$54)&gt;1E-9,AE135*(1+$G$54)-MAX($B$9,0.01*AE135+AE135*$G$54),0),0)</f>
        <v/>
      </c>
      <c r="AF136">
        <f>AE135*$G$54</f>
        <v/>
      </c>
      <c r="AG136">
        <f>IF(AG135&gt;1E-9,IF(AG135*(1+$G$55)-MAX($B$9,0.01*AG135+AG135*$G$55)&gt;1E-9,AG135*(1+$G$55)-MAX($B$9,0.01*AG135+AG135*$G$55),0),0)</f>
        <v/>
      </c>
      <c r="AH136">
        <f>AG135*$G$55</f>
        <v/>
      </c>
      <c r="AI136">
        <f>G136+K136+O136+S136+W136</f>
        <v/>
      </c>
      <c r="AJ136">
        <f>AI135+AK136-AI136</f>
        <v/>
      </c>
      <c r="AK136">
        <f>H136+L136+P136+T136+X136</f>
        <v/>
      </c>
      <c r="AL136">
        <f>TEXT(EDATE($B$5,D136-1),"mmm yyyy")</f>
        <v/>
      </c>
      <c r="AM136">
        <f>AI136</f>
        <v/>
      </c>
    </row>
    <row r="137">
      <c r="D137" t="n">
        <v>76</v>
      </c>
      <c r="E137">
        <f>IF(G136&gt;0,MAX(0,G136*(1+$G$51)-$H$51),0)</f>
        <v/>
      </c>
      <c r="F137">
        <f>$B$6+IF($D137=$B$8,$B$7,0)</f>
        <v/>
      </c>
      <c r="G137">
        <f>IF(E137-F137&gt;1E-9,E137-F137,0)</f>
        <v/>
      </c>
      <c r="H137">
        <f>G136*$G$51</f>
        <v/>
      </c>
      <c r="I137">
        <f>IF(K136&gt;0,MAX(0,K136*(1+$G$52)-$H$52),0)</f>
        <v/>
      </c>
      <c r="J137">
        <f>MAX(0,F137-E137)</f>
        <v/>
      </c>
      <c r="K137">
        <f>IF(I137-J137&gt;1E-9,I137-J137,0)</f>
        <v/>
      </c>
      <c r="L137">
        <f>K136*$G$52</f>
        <v/>
      </c>
      <c r="M137">
        <f>IF(O136&gt;0,MAX(0,O136*(1+$G$53)-$H$53),0)</f>
        <v/>
      </c>
      <c r="N137">
        <f>MAX(0,J137-I137)</f>
        <v/>
      </c>
      <c r="O137">
        <f>IF(M137-N137&gt;1E-9,M137-N137,0)</f>
        <v/>
      </c>
      <c r="P137">
        <f>O136*$G$53</f>
        <v/>
      </c>
      <c r="Q137">
        <f>IF(S136&gt;0,MAX(0,S136*(1+$G$54)-$H$54),0)</f>
        <v/>
      </c>
      <c r="R137">
        <f>MAX(0,N137-M137)</f>
        <v/>
      </c>
      <c r="S137">
        <f>IF(Q137-R137&gt;1E-9,Q137-R137,0)</f>
        <v/>
      </c>
      <c r="T137">
        <f>S136*$G$54</f>
        <v/>
      </c>
      <c r="U137">
        <f>IF(W136&gt;0,MAX(0,W136*(1+$G$55)-$H$55),0)</f>
        <v/>
      </c>
      <c r="V137">
        <f>MAX(0,R137-Q137)</f>
        <v/>
      </c>
      <c r="W137">
        <f>IF(U137-V137&gt;1E-9,U137-V137,0)</f>
        <v/>
      </c>
      <c r="X137">
        <f>W136*$G$55</f>
        <v/>
      </c>
      <c r="Y137">
        <f>IF(Y136&gt;1E-9,IF(Y136*(1+$G$51)-MAX($B$9,0.01*Y136+Y136*$G$51)&gt;1E-9,Y136*(1+$G$51)-MAX($B$9,0.01*Y136+Y136*$G$51),0),0)</f>
        <v/>
      </c>
      <c r="Z137">
        <f>Y136*$G$51</f>
        <v/>
      </c>
      <c r="AA137">
        <f>IF(AA136&gt;1E-9,IF(AA136*(1+$G$52)-MAX($B$9,0.01*AA136+AA136*$G$52)&gt;1E-9,AA136*(1+$G$52)-MAX($B$9,0.01*AA136+AA136*$G$52),0),0)</f>
        <v/>
      </c>
      <c r="AB137">
        <f>AA136*$G$52</f>
        <v/>
      </c>
      <c r="AC137">
        <f>IF(AC136&gt;1E-9,IF(AC136*(1+$G$53)-MAX($B$9,0.01*AC136+AC136*$G$53)&gt;1E-9,AC136*(1+$G$53)-MAX($B$9,0.01*AC136+AC136*$G$53),0),0)</f>
        <v/>
      </c>
      <c r="AD137">
        <f>AC136*$G$53</f>
        <v/>
      </c>
      <c r="AE137">
        <f>IF(AE136&gt;1E-9,IF(AE136*(1+$G$54)-MAX($B$9,0.01*AE136+AE136*$G$54)&gt;1E-9,AE136*(1+$G$54)-MAX($B$9,0.01*AE136+AE136*$G$54),0),0)</f>
        <v/>
      </c>
      <c r="AF137">
        <f>AE136*$G$54</f>
        <v/>
      </c>
      <c r="AG137">
        <f>IF(AG136&gt;1E-9,IF(AG136*(1+$G$55)-MAX($B$9,0.01*AG136+AG136*$G$55)&gt;1E-9,AG136*(1+$G$55)-MAX($B$9,0.01*AG136+AG136*$G$55),0),0)</f>
        <v/>
      </c>
      <c r="AH137">
        <f>AG136*$G$55</f>
        <v/>
      </c>
      <c r="AI137">
        <f>G137+K137+O137+S137+W137</f>
        <v/>
      </c>
      <c r="AJ137">
        <f>AI136+AK137-AI137</f>
        <v/>
      </c>
      <c r="AK137">
        <f>H137+L137+P137+T137+X137</f>
        <v/>
      </c>
      <c r="AL137">
        <f>TEXT(EDATE($B$5,D137-1),"mmm yyyy")</f>
        <v/>
      </c>
      <c r="AM137">
        <f>AI137</f>
        <v/>
      </c>
    </row>
    <row r="138">
      <c r="D138" t="n">
        <v>77</v>
      </c>
      <c r="E138">
        <f>IF(G137&gt;0,MAX(0,G137*(1+$G$51)-$H$51),0)</f>
        <v/>
      </c>
      <c r="F138">
        <f>$B$6+IF($D138=$B$8,$B$7,0)</f>
        <v/>
      </c>
      <c r="G138">
        <f>IF(E138-F138&gt;1E-9,E138-F138,0)</f>
        <v/>
      </c>
      <c r="H138">
        <f>G137*$G$51</f>
        <v/>
      </c>
      <c r="I138">
        <f>IF(K137&gt;0,MAX(0,K137*(1+$G$52)-$H$52),0)</f>
        <v/>
      </c>
      <c r="J138">
        <f>MAX(0,F138-E138)</f>
        <v/>
      </c>
      <c r="K138">
        <f>IF(I138-J138&gt;1E-9,I138-J138,0)</f>
        <v/>
      </c>
      <c r="L138">
        <f>K137*$G$52</f>
        <v/>
      </c>
      <c r="M138">
        <f>IF(O137&gt;0,MAX(0,O137*(1+$G$53)-$H$53),0)</f>
        <v/>
      </c>
      <c r="N138">
        <f>MAX(0,J138-I138)</f>
        <v/>
      </c>
      <c r="O138">
        <f>IF(M138-N138&gt;1E-9,M138-N138,0)</f>
        <v/>
      </c>
      <c r="P138">
        <f>O137*$G$53</f>
        <v/>
      </c>
      <c r="Q138">
        <f>IF(S137&gt;0,MAX(0,S137*(1+$G$54)-$H$54),0)</f>
        <v/>
      </c>
      <c r="R138">
        <f>MAX(0,N138-M138)</f>
        <v/>
      </c>
      <c r="S138">
        <f>IF(Q138-R138&gt;1E-9,Q138-R138,0)</f>
        <v/>
      </c>
      <c r="T138">
        <f>S137*$G$54</f>
        <v/>
      </c>
      <c r="U138">
        <f>IF(W137&gt;0,MAX(0,W137*(1+$G$55)-$H$55),0)</f>
        <v/>
      </c>
      <c r="V138">
        <f>MAX(0,R138-Q138)</f>
        <v/>
      </c>
      <c r="W138">
        <f>IF(U138-V138&gt;1E-9,U138-V138,0)</f>
        <v/>
      </c>
      <c r="X138">
        <f>W137*$G$55</f>
        <v/>
      </c>
      <c r="Y138">
        <f>IF(Y137&gt;1E-9,IF(Y137*(1+$G$51)-MAX($B$9,0.01*Y137+Y137*$G$51)&gt;1E-9,Y137*(1+$G$51)-MAX($B$9,0.01*Y137+Y137*$G$51),0),0)</f>
        <v/>
      </c>
      <c r="Z138">
        <f>Y137*$G$51</f>
        <v/>
      </c>
      <c r="AA138">
        <f>IF(AA137&gt;1E-9,IF(AA137*(1+$G$52)-MAX($B$9,0.01*AA137+AA137*$G$52)&gt;1E-9,AA137*(1+$G$52)-MAX($B$9,0.01*AA137+AA137*$G$52),0),0)</f>
        <v/>
      </c>
      <c r="AB138">
        <f>AA137*$G$52</f>
        <v/>
      </c>
      <c r="AC138">
        <f>IF(AC137&gt;1E-9,IF(AC137*(1+$G$53)-MAX($B$9,0.01*AC137+AC137*$G$53)&gt;1E-9,AC137*(1+$G$53)-MAX($B$9,0.01*AC137+AC137*$G$53),0),0)</f>
        <v/>
      </c>
      <c r="AD138">
        <f>AC137*$G$53</f>
        <v/>
      </c>
      <c r="AE138">
        <f>IF(AE137&gt;1E-9,IF(AE137*(1+$G$54)-MAX($B$9,0.01*AE137+AE137*$G$54)&gt;1E-9,AE137*(1+$G$54)-MAX($B$9,0.01*AE137+AE137*$G$54),0),0)</f>
        <v/>
      </c>
      <c r="AF138">
        <f>AE137*$G$54</f>
        <v/>
      </c>
      <c r="AG138">
        <f>IF(AG137&gt;1E-9,IF(AG137*(1+$G$55)-MAX($B$9,0.01*AG137+AG137*$G$55)&gt;1E-9,AG137*(1+$G$55)-MAX($B$9,0.01*AG137+AG137*$G$55),0),0)</f>
        <v/>
      </c>
      <c r="AH138">
        <f>AG137*$G$55</f>
        <v/>
      </c>
      <c r="AI138">
        <f>G138+K138+O138+S138+W138</f>
        <v/>
      </c>
      <c r="AJ138">
        <f>AI137+AK138-AI138</f>
        <v/>
      </c>
      <c r="AK138">
        <f>H138+L138+P138+T138+X138</f>
        <v/>
      </c>
      <c r="AL138">
        <f>TEXT(EDATE($B$5,D138-1),"mmm yyyy")</f>
        <v/>
      </c>
      <c r="AM138">
        <f>AI138</f>
        <v/>
      </c>
    </row>
    <row r="139">
      <c r="D139" t="n">
        <v>78</v>
      </c>
      <c r="E139">
        <f>IF(G138&gt;0,MAX(0,G138*(1+$G$51)-$H$51),0)</f>
        <v/>
      </c>
      <c r="F139">
        <f>$B$6+IF($D139=$B$8,$B$7,0)</f>
        <v/>
      </c>
      <c r="G139">
        <f>IF(E139-F139&gt;1E-9,E139-F139,0)</f>
        <v/>
      </c>
      <c r="H139">
        <f>G138*$G$51</f>
        <v/>
      </c>
      <c r="I139">
        <f>IF(K138&gt;0,MAX(0,K138*(1+$G$52)-$H$52),0)</f>
        <v/>
      </c>
      <c r="J139">
        <f>MAX(0,F139-E139)</f>
        <v/>
      </c>
      <c r="K139">
        <f>IF(I139-J139&gt;1E-9,I139-J139,0)</f>
        <v/>
      </c>
      <c r="L139">
        <f>K138*$G$52</f>
        <v/>
      </c>
      <c r="M139">
        <f>IF(O138&gt;0,MAX(0,O138*(1+$G$53)-$H$53),0)</f>
        <v/>
      </c>
      <c r="N139">
        <f>MAX(0,J139-I139)</f>
        <v/>
      </c>
      <c r="O139">
        <f>IF(M139-N139&gt;1E-9,M139-N139,0)</f>
        <v/>
      </c>
      <c r="P139">
        <f>O138*$G$53</f>
        <v/>
      </c>
      <c r="Q139">
        <f>IF(S138&gt;0,MAX(0,S138*(1+$G$54)-$H$54),0)</f>
        <v/>
      </c>
      <c r="R139">
        <f>MAX(0,N139-M139)</f>
        <v/>
      </c>
      <c r="S139">
        <f>IF(Q139-R139&gt;1E-9,Q139-R139,0)</f>
        <v/>
      </c>
      <c r="T139">
        <f>S138*$G$54</f>
        <v/>
      </c>
      <c r="U139">
        <f>IF(W138&gt;0,MAX(0,W138*(1+$G$55)-$H$55),0)</f>
        <v/>
      </c>
      <c r="V139">
        <f>MAX(0,R139-Q139)</f>
        <v/>
      </c>
      <c r="W139">
        <f>IF(U139-V139&gt;1E-9,U139-V139,0)</f>
        <v/>
      </c>
      <c r="X139">
        <f>W138*$G$55</f>
        <v/>
      </c>
      <c r="Y139">
        <f>IF(Y138&gt;1E-9,IF(Y138*(1+$G$51)-MAX($B$9,0.01*Y138+Y138*$G$51)&gt;1E-9,Y138*(1+$G$51)-MAX($B$9,0.01*Y138+Y138*$G$51),0),0)</f>
        <v/>
      </c>
      <c r="Z139">
        <f>Y138*$G$51</f>
        <v/>
      </c>
      <c r="AA139">
        <f>IF(AA138&gt;1E-9,IF(AA138*(1+$G$52)-MAX($B$9,0.01*AA138+AA138*$G$52)&gt;1E-9,AA138*(1+$G$52)-MAX($B$9,0.01*AA138+AA138*$G$52),0),0)</f>
        <v/>
      </c>
      <c r="AB139">
        <f>AA138*$G$52</f>
        <v/>
      </c>
      <c r="AC139">
        <f>IF(AC138&gt;1E-9,IF(AC138*(1+$G$53)-MAX($B$9,0.01*AC138+AC138*$G$53)&gt;1E-9,AC138*(1+$G$53)-MAX($B$9,0.01*AC138+AC138*$G$53),0),0)</f>
        <v/>
      </c>
      <c r="AD139">
        <f>AC138*$G$53</f>
        <v/>
      </c>
      <c r="AE139">
        <f>IF(AE138&gt;1E-9,IF(AE138*(1+$G$54)-MAX($B$9,0.01*AE138+AE138*$G$54)&gt;1E-9,AE138*(1+$G$54)-MAX($B$9,0.01*AE138+AE138*$G$54),0),0)</f>
        <v/>
      </c>
      <c r="AF139">
        <f>AE138*$G$54</f>
        <v/>
      </c>
      <c r="AG139">
        <f>IF(AG138&gt;1E-9,IF(AG138*(1+$G$55)-MAX($B$9,0.01*AG138+AG138*$G$55)&gt;1E-9,AG138*(1+$G$55)-MAX($B$9,0.01*AG138+AG138*$G$55),0),0)</f>
        <v/>
      </c>
      <c r="AH139">
        <f>AG138*$G$55</f>
        <v/>
      </c>
      <c r="AI139">
        <f>G139+K139+O139+S139+W139</f>
        <v/>
      </c>
      <c r="AJ139">
        <f>AI138+AK139-AI139</f>
        <v/>
      </c>
      <c r="AK139">
        <f>H139+L139+P139+T139+X139</f>
        <v/>
      </c>
      <c r="AL139">
        <f>TEXT(EDATE($B$5,D139-1),"mmm yyyy")</f>
        <v/>
      </c>
      <c r="AM139">
        <f>AI139</f>
        <v/>
      </c>
    </row>
    <row r="140">
      <c r="D140" t="n">
        <v>79</v>
      </c>
      <c r="E140">
        <f>IF(G139&gt;0,MAX(0,G139*(1+$G$51)-$H$51),0)</f>
        <v/>
      </c>
      <c r="F140">
        <f>$B$6+IF($D140=$B$8,$B$7,0)</f>
        <v/>
      </c>
      <c r="G140">
        <f>IF(E140-F140&gt;1E-9,E140-F140,0)</f>
        <v/>
      </c>
      <c r="H140">
        <f>G139*$G$51</f>
        <v/>
      </c>
      <c r="I140">
        <f>IF(K139&gt;0,MAX(0,K139*(1+$G$52)-$H$52),0)</f>
        <v/>
      </c>
      <c r="J140">
        <f>MAX(0,F140-E140)</f>
        <v/>
      </c>
      <c r="K140">
        <f>IF(I140-J140&gt;1E-9,I140-J140,0)</f>
        <v/>
      </c>
      <c r="L140">
        <f>K139*$G$52</f>
        <v/>
      </c>
      <c r="M140">
        <f>IF(O139&gt;0,MAX(0,O139*(1+$G$53)-$H$53),0)</f>
        <v/>
      </c>
      <c r="N140">
        <f>MAX(0,J140-I140)</f>
        <v/>
      </c>
      <c r="O140">
        <f>IF(M140-N140&gt;1E-9,M140-N140,0)</f>
        <v/>
      </c>
      <c r="P140">
        <f>O139*$G$53</f>
        <v/>
      </c>
      <c r="Q140">
        <f>IF(S139&gt;0,MAX(0,S139*(1+$G$54)-$H$54),0)</f>
        <v/>
      </c>
      <c r="R140">
        <f>MAX(0,N140-M140)</f>
        <v/>
      </c>
      <c r="S140">
        <f>IF(Q140-R140&gt;1E-9,Q140-R140,0)</f>
        <v/>
      </c>
      <c r="T140">
        <f>S139*$G$54</f>
        <v/>
      </c>
      <c r="U140">
        <f>IF(W139&gt;0,MAX(0,W139*(1+$G$55)-$H$55),0)</f>
        <v/>
      </c>
      <c r="V140">
        <f>MAX(0,R140-Q140)</f>
        <v/>
      </c>
      <c r="W140">
        <f>IF(U140-V140&gt;1E-9,U140-V140,0)</f>
        <v/>
      </c>
      <c r="X140">
        <f>W139*$G$55</f>
        <v/>
      </c>
      <c r="Y140">
        <f>IF(Y139&gt;1E-9,IF(Y139*(1+$G$51)-MAX($B$9,0.01*Y139+Y139*$G$51)&gt;1E-9,Y139*(1+$G$51)-MAX($B$9,0.01*Y139+Y139*$G$51),0),0)</f>
        <v/>
      </c>
      <c r="Z140">
        <f>Y139*$G$51</f>
        <v/>
      </c>
      <c r="AA140">
        <f>IF(AA139&gt;1E-9,IF(AA139*(1+$G$52)-MAX($B$9,0.01*AA139+AA139*$G$52)&gt;1E-9,AA139*(1+$G$52)-MAX($B$9,0.01*AA139+AA139*$G$52),0),0)</f>
        <v/>
      </c>
      <c r="AB140">
        <f>AA139*$G$52</f>
        <v/>
      </c>
      <c r="AC140">
        <f>IF(AC139&gt;1E-9,IF(AC139*(1+$G$53)-MAX($B$9,0.01*AC139+AC139*$G$53)&gt;1E-9,AC139*(1+$G$53)-MAX($B$9,0.01*AC139+AC139*$G$53),0),0)</f>
        <v/>
      </c>
      <c r="AD140">
        <f>AC139*$G$53</f>
        <v/>
      </c>
      <c r="AE140">
        <f>IF(AE139&gt;1E-9,IF(AE139*(1+$G$54)-MAX($B$9,0.01*AE139+AE139*$G$54)&gt;1E-9,AE139*(1+$G$54)-MAX($B$9,0.01*AE139+AE139*$G$54),0),0)</f>
        <v/>
      </c>
      <c r="AF140">
        <f>AE139*$G$54</f>
        <v/>
      </c>
      <c r="AG140">
        <f>IF(AG139&gt;1E-9,IF(AG139*(1+$G$55)-MAX($B$9,0.01*AG139+AG139*$G$55)&gt;1E-9,AG139*(1+$G$55)-MAX($B$9,0.01*AG139+AG139*$G$55),0),0)</f>
        <v/>
      </c>
      <c r="AH140">
        <f>AG139*$G$55</f>
        <v/>
      </c>
      <c r="AI140">
        <f>G140+K140+O140+S140+W140</f>
        <v/>
      </c>
      <c r="AJ140">
        <f>AI139+AK140-AI140</f>
        <v/>
      </c>
      <c r="AK140">
        <f>H140+L140+P140+T140+X140</f>
        <v/>
      </c>
      <c r="AL140">
        <f>TEXT(EDATE($B$5,D140-1),"mmm yyyy")</f>
        <v/>
      </c>
      <c r="AM140">
        <f>AI140</f>
        <v/>
      </c>
    </row>
    <row r="141">
      <c r="D141" t="n">
        <v>80</v>
      </c>
      <c r="E141">
        <f>IF(G140&gt;0,MAX(0,G140*(1+$G$51)-$H$51),0)</f>
        <v/>
      </c>
      <c r="F141">
        <f>$B$6+IF($D141=$B$8,$B$7,0)</f>
        <v/>
      </c>
      <c r="G141">
        <f>IF(E141-F141&gt;1E-9,E141-F141,0)</f>
        <v/>
      </c>
      <c r="H141">
        <f>G140*$G$51</f>
        <v/>
      </c>
      <c r="I141">
        <f>IF(K140&gt;0,MAX(0,K140*(1+$G$52)-$H$52),0)</f>
        <v/>
      </c>
      <c r="J141">
        <f>MAX(0,F141-E141)</f>
        <v/>
      </c>
      <c r="K141">
        <f>IF(I141-J141&gt;1E-9,I141-J141,0)</f>
        <v/>
      </c>
      <c r="L141">
        <f>K140*$G$52</f>
        <v/>
      </c>
      <c r="M141">
        <f>IF(O140&gt;0,MAX(0,O140*(1+$G$53)-$H$53),0)</f>
        <v/>
      </c>
      <c r="N141">
        <f>MAX(0,J141-I141)</f>
        <v/>
      </c>
      <c r="O141">
        <f>IF(M141-N141&gt;1E-9,M141-N141,0)</f>
        <v/>
      </c>
      <c r="P141">
        <f>O140*$G$53</f>
        <v/>
      </c>
      <c r="Q141">
        <f>IF(S140&gt;0,MAX(0,S140*(1+$G$54)-$H$54),0)</f>
        <v/>
      </c>
      <c r="R141">
        <f>MAX(0,N141-M141)</f>
        <v/>
      </c>
      <c r="S141">
        <f>IF(Q141-R141&gt;1E-9,Q141-R141,0)</f>
        <v/>
      </c>
      <c r="T141">
        <f>S140*$G$54</f>
        <v/>
      </c>
      <c r="U141">
        <f>IF(W140&gt;0,MAX(0,W140*(1+$G$55)-$H$55),0)</f>
        <v/>
      </c>
      <c r="V141">
        <f>MAX(0,R141-Q141)</f>
        <v/>
      </c>
      <c r="W141">
        <f>IF(U141-V141&gt;1E-9,U141-V141,0)</f>
        <v/>
      </c>
      <c r="X141">
        <f>W140*$G$55</f>
        <v/>
      </c>
      <c r="Y141">
        <f>IF(Y140&gt;1E-9,IF(Y140*(1+$G$51)-MAX($B$9,0.01*Y140+Y140*$G$51)&gt;1E-9,Y140*(1+$G$51)-MAX($B$9,0.01*Y140+Y140*$G$51),0),0)</f>
        <v/>
      </c>
      <c r="Z141">
        <f>Y140*$G$51</f>
        <v/>
      </c>
      <c r="AA141">
        <f>IF(AA140&gt;1E-9,IF(AA140*(1+$G$52)-MAX($B$9,0.01*AA140+AA140*$G$52)&gt;1E-9,AA140*(1+$G$52)-MAX($B$9,0.01*AA140+AA140*$G$52),0),0)</f>
        <v/>
      </c>
      <c r="AB141">
        <f>AA140*$G$52</f>
        <v/>
      </c>
      <c r="AC141">
        <f>IF(AC140&gt;1E-9,IF(AC140*(1+$G$53)-MAX($B$9,0.01*AC140+AC140*$G$53)&gt;1E-9,AC140*(1+$G$53)-MAX($B$9,0.01*AC140+AC140*$G$53),0),0)</f>
        <v/>
      </c>
      <c r="AD141">
        <f>AC140*$G$53</f>
        <v/>
      </c>
      <c r="AE141">
        <f>IF(AE140&gt;1E-9,IF(AE140*(1+$G$54)-MAX($B$9,0.01*AE140+AE140*$G$54)&gt;1E-9,AE140*(1+$G$54)-MAX($B$9,0.01*AE140+AE140*$G$54),0),0)</f>
        <v/>
      </c>
      <c r="AF141">
        <f>AE140*$G$54</f>
        <v/>
      </c>
      <c r="AG141">
        <f>IF(AG140&gt;1E-9,IF(AG140*(1+$G$55)-MAX($B$9,0.01*AG140+AG140*$G$55)&gt;1E-9,AG140*(1+$G$55)-MAX($B$9,0.01*AG140+AG140*$G$55),0),0)</f>
        <v/>
      </c>
      <c r="AH141">
        <f>AG140*$G$55</f>
        <v/>
      </c>
      <c r="AI141">
        <f>G141+K141+O141+S141+W141</f>
        <v/>
      </c>
      <c r="AJ141">
        <f>AI140+AK141-AI141</f>
        <v/>
      </c>
      <c r="AK141">
        <f>H141+L141+P141+T141+X141</f>
        <v/>
      </c>
      <c r="AL141">
        <f>TEXT(EDATE($B$5,D141-1),"mmm yyyy")</f>
        <v/>
      </c>
      <c r="AM141">
        <f>AI141</f>
        <v/>
      </c>
    </row>
    <row r="142">
      <c r="D142" t="n">
        <v>81</v>
      </c>
      <c r="E142">
        <f>IF(G141&gt;0,MAX(0,G141*(1+$G$51)-$H$51),0)</f>
        <v/>
      </c>
      <c r="F142">
        <f>$B$6+IF($D142=$B$8,$B$7,0)</f>
        <v/>
      </c>
      <c r="G142">
        <f>IF(E142-F142&gt;1E-9,E142-F142,0)</f>
        <v/>
      </c>
      <c r="H142">
        <f>G141*$G$51</f>
        <v/>
      </c>
      <c r="I142">
        <f>IF(K141&gt;0,MAX(0,K141*(1+$G$52)-$H$52),0)</f>
        <v/>
      </c>
      <c r="J142">
        <f>MAX(0,F142-E142)</f>
        <v/>
      </c>
      <c r="K142">
        <f>IF(I142-J142&gt;1E-9,I142-J142,0)</f>
        <v/>
      </c>
      <c r="L142">
        <f>K141*$G$52</f>
        <v/>
      </c>
      <c r="M142">
        <f>IF(O141&gt;0,MAX(0,O141*(1+$G$53)-$H$53),0)</f>
        <v/>
      </c>
      <c r="N142">
        <f>MAX(0,J142-I142)</f>
        <v/>
      </c>
      <c r="O142">
        <f>IF(M142-N142&gt;1E-9,M142-N142,0)</f>
        <v/>
      </c>
      <c r="P142">
        <f>O141*$G$53</f>
        <v/>
      </c>
      <c r="Q142">
        <f>IF(S141&gt;0,MAX(0,S141*(1+$G$54)-$H$54),0)</f>
        <v/>
      </c>
      <c r="R142">
        <f>MAX(0,N142-M142)</f>
        <v/>
      </c>
      <c r="S142">
        <f>IF(Q142-R142&gt;1E-9,Q142-R142,0)</f>
        <v/>
      </c>
      <c r="T142">
        <f>S141*$G$54</f>
        <v/>
      </c>
      <c r="U142">
        <f>IF(W141&gt;0,MAX(0,W141*(1+$G$55)-$H$55),0)</f>
        <v/>
      </c>
      <c r="V142">
        <f>MAX(0,R142-Q142)</f>
        <v/>
      </c>
      <c r="W142">
        <f>IF(U142-V142&gt;1E-9,U142-V142,0)</f>
        <v/>
      </c>
      <c r="X142">
        <f>W141*$G$55</f>
        <v/>
      </c>
      <c r="Y142">
        <f>IF(Y141&gt;1E-9,IF(Y141*(1+$G$51)-MAX($B$9,0.01*Y141+Y141*$G$51)&gt;1E-9,Y141*(1+$G$51)-MAX($B$9,0.01*Y141+Y141*$G$51),0),0)</f>
        <v/>
      </c>
      <c r="Z142">
        <f>Y141*$G$51</f>
        <v/>
      </c>
      <c r="AA142">
        <f>IF(AA141&gt;1E-9,IF(AA141*(1+$G$52)-MAX($B$9,0.01*AA141+AA141*$G$52)&gt;1E-9,AA141*(1+$G$52)-MAX($B$9,0.01*AA141+AA141*$G$52),0),0)</f>
        <v/>
      </c>
      <c r="AB142">
        <f>AA141*$G$52</f>
        <v/>
      </c>
      <c r="AC142">
        <f>IF(AC141&gt;1E-9,IF(AC141*(1+$G$53)-MAX($B$9,0.01*AC141+AC141*$G$53)&gt;1E-9,AC141*(1+$G$53)-MAX($B$9,0.01*AC141+AC141*$G$53),0),0)</f>
        <v/>
      </c>
      <c r="AD142">
        <f>AC141*$G$53</f>
        <v/>
      </c>
      <c r="AE142">
        <f>IF(AE141&gt;1E-9,IF(AE141*(1+$G$54)-MAX($B$9,0.01*AE141+AE141*$G$54)&gt;1E-9,AE141*(1+$G$54)-MAX($B$9,0.01*AE141+AE141*$G$54),0),0)</f>
        <v/>
      </c>
      <c r="AF142">
        <f>AE141*$G$54</f>
        <v/>
      </c>
      <c r="AG142">
        <f>IF(AG141&gt;1E-9,IF(AG141*(1+$G$55)-MAX($B$9,0.01*AG141+AG141*$G$55)&gt;1E-9,AG141*(1+$G$55)-MAX($B$9,0.01*AG141+AG141*$G$55),0),0)</f>
        <v/>
      </c>
      <c r="AH142">
        <f>AG141*$G$55</f>
        <v/>
      </c>
      <c r="AI142">
        <f>G142+K142+O142+S142+W142</f>
        <v/>
      </c>
      <c r="AJ142">
        <f>AI141+AK142-AI142</f>
        <v/>
      </c>
      <c r="AK142">
        <f>H142+L142+P142+T142+X142</f>
        <v/>
      </c>
      <c r="AL142">
        <f>TEXT(EDATE($B$5,D142-1),"mmm yyyy")</f>
        <v/>
      </c>
      <c r="AM142">
        <f>AI142</f>
        <v/>
      </c>
    </row>
    <row r="143">
      <c r="D143" t="n">
        <v>82</v>
      </c>
      <c r="E143">
        <f>IF(G142&gt;0,MAX(0,G142*(1+$G$51)-$H$51),0)</f>
        <v/>
      </c>
      <c r="F143">
        <f>$B$6+IF($D143=$B$8,$B$7,0)</f>
        <v/>
      </c>
      <c r="G143">
        <f>IF(E143-F143&gt;1E-9,E143-F143,0)</f>
        <v/>
      </c>
      <c r="H143">
        <f>G142*$G$51</f>
        <v/>
      </c>
      <c r="I143">
        <f>IF(K142&gt;0,MAX(0,K142*(1+$G$52)-$H$52),0)</f>
        <v/>
      </c>
      <c r="J143">
        <f>MAX(0,F143-E143)</f>
        <v/>
      </c>
      <c r="K143">
        <f>IF(I143-J143&gt;1E-9,I143-J143,0)</f>
        <v/>
      </c>
      <c r="L143">
        <f>K142*$G$52</f>
        <v/>
      </c>
      <c r="M143">
        <f>IF(O142&gt;0,MAX(0,O142*(1+$G$53)-$H$53),0)</f>
        <v/>
      </c>
      <c r="N143">
        <f>MAX(0,J143-I143)</f>
        <v/>
      </c>
      <c r="O143">
        <f>IF(M143-N143&gt;1E-9,M143-N143,0)</f>
        <v/>
      </c>
      <c r="P143">
        <f>O142*$G$53</f>
        <v/>
      </c>
      <c r="Q143">
        <f>IF(S142&gt;0,MAX(0,S142*(1+$G$54)-$H$54),0)</f>
        <v/>
      </c>
      <c r="R143">
        <f>MAX(0,N143-M143)</f>
        <v/>
      </c>
      <c r="S143">
        <f>IF(Q143-R143&gt;1E-9,Q143-R143,0)</f>
        <v/>
      </c>
      <c r="T143">
        <f>S142*$G$54</f>
        <v/>
      </c>
      <c r="U143">
        <f>IF(W142&gt;0,MAX(0,W142*(1+$G$55)-$H$55),0)</f>
        <v/>
      </c>
      <c r="V143">
        <f>MAX(0,R143-Q143)</f>
        <v/>
      </c>
      <c r="W143">
        <f>IF(U143-V143&gt;1E-9,U143-V143,0)</f>
        <v/>
      </c>
      <c r="X143">
        <f>W142*$G$55</f>
        <v/>
      </c>
      <c r="Y143">
        <f>IF(Y142&gt;1E-9,IF(Y142*(1+$G$51)-MAX($B$9,0.01*Y142+Y142*$G$51)&gt;1E-9,Y142*(1+$G$51)-MAX($B$9,0.01*Y142+Y142*$G$51),0),0)</f>
        <v/>
      </c>
      <c r="Z143">
        <f>Y142*$G$51</f>
        <v/>
      </c>
      <c r="AA143">
        <f>IF(AA142&gt;1E-9,IF(AA142*(1+$G$52)-MAX($B$9,0.01*AA142+AA142*$G$52)&gt;1E-9,AA142*(1+$G$52)-MAX($B$9,0.01*AA142+AA142*$G$52),0),0)</f>
        <v/>
      </c>
      <c r="AB143">
        <f>AA142*$G$52</f>
        <v/>
      </c>
      <c r="AC143">
        <f>IF(AC142&gt;1E-9,IF(AC142*(1+$G$53)-MAX($B$9,0.01*AC142+AC142*$G$53)&gt;1E-9,AC142*(1+$G$53)-MAX($B$9,0.01*AC142+AC142*$G$53),0),0)</f>
        <v/>
      </c>
      <c r="AD143">
        <f>AC142*$G$53</f>
        <v/>
      </c>
      <c r="AE143">
        <f>IF(AE142&gt;1E-9,IF(AE142*(1+$G$54)-MAX($B$9,0.01*AE142+AE142*$G$54)&gt;1E-9,AE142*(1+$G$54)-MAX($B$9,0.01*AE142+AE142*$G$54),0),0)</f>
        <v/>
      </c>
      <c r="AF143">
        <f>AE142*$G$54</f>
        <v/>
      </c>
      <c r="AG143">
        <f>IF(AG142&gt;1E-9,IF(AG142*(1+$G$55)-MAX($B$9,0.01*AG142+AG142*$G$55)&gt;1E-9,AG142*(1+$G$55)-MAX($B$9,0.01*AG142+AG142*$G$55),0),0)</f>
        <v/>
      </c>
      <c r="AH143">
        <f>AG142*$G$55</f>
        <v/>
      </c>
      <c r="AI143">
        <f>G143+K143+O143+S143+W143</f>
        <v/>
      </c>
      <c r="AJ143">
        <f>AI142+AK143-AI143</f>
        <v/>
      </c>
      <c r="AK143">
        <f>H143+L143+P143+T143+X143</f>
        <v/>
      </c>
      <c r="AL143">
        <f>TEXT(EDATE($B$5,D143-1),"mmm yyyy")</f>
        <v/>
      </c>
      <c r="AM143">
        <f>AI143</f>
        <v/>
      </c>
    </row>
    <row r="144">
      <c r="D144" t="n">
        <v>83</v>
      </c>
      <c r="E144">
        <f>IF(G143&gt;0,MAX(0,G143*(1+$G$51)-$H$51),0)</f>
        <v/>
      </c>
      <c r="F144">
        <f>$B$6+IF($D144=$B$8,$B$7,0)</f>
        <v/>
      </c>
      <c r="G144">
        <f>IF(E144-F144&gt;1E-9,E144-F144,0)</f>
        <v/>
      </c>
      <c r="H144">
        <f>G143*$G$51</f>
        <v/>
      </c>
      <c r="I144">
        <f>IF(K143&gt;0,MAX(0,K143*(1+$G$52)-$H$52),0)</f>
        <v/>
      </c>
      <c r="J144">
        <f>MAX(0,F144-E144)</f>
        <v/>
      </c>
      <c r="K144">
        <f>IF(I144-J144&gt;1E-9,I144-J144,0)</f>
        <v/>
      </c>
      <c r="L144">
        <f>K143*$G$52</f>
        <v/>
      </c>
      <c r="M144">
        <f>IF(O143&gt;0,MAX(0,O143*(1+$G$53)-$H$53),0)</f>
        <v/>
      </c>
      <c r="N144">
        <f>MAX(0,J144-I144)</f>
        <v/>
      </c>
      <c r="O144">
        <f>IF(M144-N144&gt;1E-9,M144-N144,0)</f>
        <v/>
      </c>
      <c r="P144">
        <f>O143*$G$53</f>
        <v/>
      </c>
      <c r="Q144">
        <f>IF(S143&gt;0,MAX(0,S143*(1+$G$54)-$H$54),0)</f>
        <v/>
      </c>
      <c r="R144">
        <f>MAX(0,N144-M144)</f>
        <v/>
      </c>
      <c r="S144">
        <f>IF(Q144-R144&gt;1E-9,Q144-R144,0)</f>
        <v/>
      </c>
      <c r="T144">
        <f>S143*$G$54</f>
        <v/>
      </c>
      <c r="U144">
        <f>IF(W143&gt;0,MAX(0,W143*(1+$G$55)-$H$55),0)</f>
        <v/>
      </c>
      <c r="V144">
        <f>MAX(0,R144-Q144)</f>
        <v/>
      </c>
      <c r="W144">
        <f>IF(U144-V144&gt;1E-9,U144-V144,0)</f>
        <v/>
      </c>
      <c r="X144">
        <f>W143*$G$55</f>
        <v/>
      </c>
      <c r="Y144">
        <f>IF(Y143&gt;1E-9,IF(Y143*(1+$G$51)-MAX($B$9,0.01*Y143+Y143*$G$51)&gt;1E-9,Y143*(1+$G$51)-MAX($B$9,0.01*Y143+Y143*$G$51),0),0)</f>
        <v/>
      </c>
      <c r="Z144">
        <f>Y143*$G$51</f>
        <v/>
      </c>
      <c r="AA144">
        <f>IF(AA143&gt;1E-9,IF(AA143*(1+$G$52)-MAX($B$9,0.01*AA143+AA143*$G$52)&gt;1E-9,AA143*(1+$G$52)-MAX($B$9,0.01*AA143+AA143*$G$52),0),0)</f>
        <v/>
      </c>
      <c r="AB144">
        <f>AA143*$G$52</f>
        <v/>
      </c>
      <c r="AC144">
        <f>IF(AC143&gt;1E-9,IF(AC143*(1+$G$53)-MAX($B$9,0.01*AC143+AC143*$G$53)&gt;1E-9,AC143*(1+$G$53)-MAX($B$9,0.01*AC143+AC143*$G$53),0),0)</f>
        <v/>
      </c>
      <c r="AD144">
        <f>AC143*$G$53</f>
        <v/>
      </c>
      <c r="AE144">
        <f>IF(AE143&gt;1E-9,IF(AE143*(1+$G$54)-MAX($B$9,0.01*AE143+AE143*$G$54)&gt;1E-9,AE143*(1+$G$54)-MAX($B$9,0.01*AE143+AE143*$G$54),0),0)</f>
        <v/>
      </c>
      <c r="AF144">
        <f>AE143*$G$54</f>
        <v/>
      </c>
      <c r="AG144">
        <f>IF(AG143&gt;1E-9,IF(AG143*(1+$G$55)-MAX($B$9,0.01*AG143+AG143*$G$55)&gt;1E-9,AG143*(1+$G$55)-MAX($B$9,0.01*AG143+AG143*$G$55),0),0)</f>
        <v/>
      </c>
      <c r="AH144">
        <f>AG143*$G$55</f>
        <v/>
      </c>
      <c r="AI144">
        <f>G144+K144+O144+S144+W144</f>
        <v/>
      </c>
      <c r="AJ144">
        <f>AI143+AK144-AI144</f>
        <v/>
      </c>
      <c r="AK144">
        <f>H144+L144+P144+T144+X144</f>
        <v/>
      </c>
      <c r="AL144">
        <f>TEXT(EDATE($B$5,D144-1),"mmm yyyy")</f>
        <v/>
      </c>
      <c r="AM144">
        <f>AI144</f>
        <v/>
      </c>
    </row>
    <row r="145">
      <c r="D145" t="n">
        <v>84</v>
      </c>
      <c r="E145">
        <f>IF(G144&gt;0,MAX(0,G144*(1+$G$51)-$H$51),0)</f>
        <v/>
      </c>
      <c r="F145">
        <f>$B$6+IF($D145=$B$8,$B$7,0)</f>
        <v/>
      </c>
      <c r="G145">
        <f>IF(E145-F145&gt;1E-9,E145-F145,0)</f>
        <v/>
      </c>
      <c r="H145">
        <f>G144*$G$51</f>
        <v/>
      </c>
      <c r="I145">
        <f>IF(K144&gt;0,MAX(0,K144*(1+$G$52)-$H$52),0)</f>
        <v/>
      </c>
      <c r="J145">
        <f>MAX(0,F145-E145)</f>
        <v/>
      </c>
      <c r="K145">
        <f>IF(I145-J145&gt;1E-9,I145-J145,0)</f>
        <v/>
      </c>
      <c r="L145">
        <f>K144*$G$52</f>
        <v/>
      </c>
      <c r="M145">
        <f>IF(O144&gt;0,MAX(0,O144*(1+$G$53)-$H$53),0)</f>
        <v/>
      </c>
      <c r="N145">
        <f>MAX(0,J145-I145)</f>
        <v/>
      </c>
      <c r="O145">
        <f>IF(M145-N145&gt;1E-9,M145-N145,0)</f>
        <v/>
      </c>
      <c r="P145">
        <f>O144*$G$53</f>
        <v/>
      </c>
      <c r="Q145">
        <f>IF(S144&gt;0,MAX(0,S144*(1+$G$54)-$H$54),0)</f>
        <v/>
      </c>
      <c r="R145">
        <f>MAX(0,N145-M145)</f>
        <v/>
      </c>
      <c r="S145">
        <f>IF(Q145-R145&gt;1E-9,Q145-R145,0)</f>
        <v/>
      </c>
      <c r="T145">
        <f>S144*$G$54</f>
        <v/>
      </c>
      <c r="U145">
        <f>IF(W144&gt;0,MAX(0,W144*(1+$G$55)-$H$55),0)</f>
        <v/>
      </c>
      <c r="V145">
        <f>MAX(0,R145-Q145)</f>
        <v/>
      </c>
      <c r="W145">
        <f>IF(U145-V145&gt;1E-9,U145-V145,0)</f>
        <v/>
      </c>
      <c r="X145">
        <f>W144*$G$55</f>
        <v/>
      </c>
      <c r="Y145">
        <f>IF(Y144&gt;1E-9,IF(Y144*(1+$G$51)-MAX($B$9,0.01*Y144+Y144*$G$51)&gt;1E-9,Y144*(1+$G$51)-MAX($B$9,0.01*Y144+Y144*$G$51),0),0)</f>
        <v/>
      </c>
      <c r="Z145">
        <f>Y144*$G$51</f>
        <v/>
      </c>
      <c r="AA145">
        <f>IF(AA144&gt;1E-9,IF(AA144*(1+$G$52)-MAX($B$9,0.01*AA144+AA144*$G$52)&gt;1E-9,AA144*(1+$G$52)-MAX($B$9,0.01*AA144+AA144*$G$52),0),0)</f>
        <v/>
      </c>
      <c r="AB145">
        <f>AA144*$G$52</f>
        <v/>
      </c>
      <c r="AC145">
        <f>IF(AC144&gt;1E-9,IF(AC144*(1+$G$53)-MAX($B$9,0.01*AC144+AC144*$G$53)&gt;1E-9,AC144*(1+$G$53)-MAX($B$9,0.01*AC144+AC144*$G$53),0),0)</f>
        <v/>
      </c>
      <c r="AD145">
        <f>AC144*$G$53</f>
        <v/>
      </c>
      <c r="AE145">
        <f>IF(AE144&gt;1E-9,IF(AE144*(1+$G$54)-MAX($B$9,0.01*AE144+AE144*$G$54)&gt;1E-9,AE144*(1+$G$54)-MAX($B$9,0.01*AE144+AE144*$G$54),0),0)</f>
        <v/>
      </c>
      <c r="AF145">
        <f>AE144*$G$54</f>
        <v/>
      </c>
      <c r="AG145">
        <f>IF(AG144&gt;1E-9,IF(AG144*(1+$G$55)-MAX($B$9,0.01*AG144+AG144*$G$55)&gt;1E-9,AG144*(1+$G$55)-MAX($B$9,0.01*AG144+AG144*$G$55),0),0)</f>
        <v/>
      </c>
      <c r="AH145">
        <f>AG144*$G$55</f>
        <v/>
      </c>
      <c r="AI145">
        <f>G145+K145+O145+S145+W145</f>
        <v/>
      </c>
      <c r="AJ145">
        <f>AI144+AK145-AI145</f>
        <v/>
      </c>
      <c r="AK145">
        <f>H145+L145+P145+T145+X145</f>
        <v/>
      </c>
      <c r="AL145">
        <f>TEXT(EDATE($B$5,D145-1),"mmm yyyy")</f>
        <v/>
      </c>
      <c r="AM145">
        <f>AI145</f>
        <v/>
      </c>
    </row>
    <row r="146">
      <c r="D146" t="n">
        <v>85</v>
      </c>
      <c r="E146">
        <f>IF(G145&gt;0,MAX(0,G145*(1+$G$51)-$H$51),0)</f>
        <v/>
      </c>
      <c r="F146">
        <f>$B$6+IF($D146=$B$8,$B$7,0)</f>
        <v/>
      </c>
      <c r="G146">
        <f>IF(E146-F146&gt;1E-9,E146-F146,0)</f>
        <v/>
      </c>
      <c r="H146">
        <f>G145*$G$51</f>
        <v/>
      </c>
      <c r="I146">
        <f>IF(K145&gt;0,MAX(0,K145*(1+$G$52)-$H$52),0)</f>
        <v/>
      </c>
      <c r="J146">
        <f>MAX(0,F146-E146)</f>
        <v/>
      </c>
      <c r="K146">
        <f>IF(I146-J146&gt;1E-9,I146-J146,0)</f>
        <v/>
      </c>
      <c r="L146">
        <f>K145*$G$52</f>
        <v/>
      </c>
      <c r="M146">
        <f>IF(O145&gt;0,MAX(0,O145*(1+$G$53)-$H$53),0)</f>
        <v/>
      </c>
      <c r="N146">
        <f>MAX(0,J146-I146)</f>
        <v/>
      </c>
      <c r="O146">
        <f>IF(M146-N146&gt;1E-9,M146-N146,0)</f>
        <v/>
      </c>
      <c r="P146">
        <f>O145*$G$53</f>
        <v/>
      </c>
      <c r="Q146">
        <f>IF(S145&gt;0,MAX(0,S145*(1+$G$54)-$H$54),0)</f>
        <v/>
      </c>
      <c r="R146">
        <f>MAX(0,N146-M146)</f>
        <v/>
      </c>
      <c r="S146">
        <f>IF(Q146-R146&gt;1E-9,Q146-R146,0)</f>
        <v/>
      </c>
      <c r="T146">
        <f>S145*$G$54</f>
        <v/>
      </c>
      <c r="U146">
        <f>IF(W145&gt;0,MAX(0,W145*(1+$G$55)-$H$55),0)</f>
        <v/>
      </c>
      <c r="V146">
        <f>MAX(0,R146-Q146)</f>
        <v/>
      </c>
      <c r="W146">
        <f>IF(U146-V146&gt;1E-9,U146-V146,0)</f>
        <v/>
      </c>
      <c r="X146">
        <f>W145*$G$55</f>
        <v/>
      </c>
      <c r="Y146">
        <f>IF(Y145&gt;1E-9,IF(Y145*(1+$G$51)-MAX($B$9,0.01*Y145+Y145*$G$51)&gt;1E-9,Y145*(1+$G$51)-MAX($B$9,0.01*Y145+Y145*$G$51),0),0)</f>
        <v/>
      </c>
      <c r="Z146">
        <f>Y145*$G$51</f>
        <v/>
      </c>
      <c r="AA146">
        <f>IF(AA145&gt;1E-9,IF(AA145*(1+$G$52)-MAX($B$9,0.01*AA145+AA145*$G$52)&gt;1E-9,AA145*(1+$G$52)-MAX($B$9,0.01*AA145+AA145*$G$52),0),0)</f>
        <v/>
      </c>
      <c r="AB146">
        <f>AA145*$G$52</f>
        <v/>
      </c>
      <c r="AC146">
        <f>IF(AC145&gt;1E-9,IF(AC145*(1+$G$53)-MAX($B$9,0.01*AC145+AC145*$G$53)&gt;1E-9,AC145*(1+$G$53)-MAX($B$9,0.01*AC145+AC145*$G$53),0),0)</f>
        <v/>
      </c>
      <c r="AD146">
        <f>AC145*$G$53</f>
        <v/>
      </c>
      <c r="AE146">
        <f>IF(AE145&gt;1E-9,IF(AE145*(1+$G$54)-MAX($B$9,0.01*AE145+AE145*$G$54)&gt;1E-9,AE145*(1+$G$54)-MAX($B$9,0.01*AE145+AE145*$G$54),0),0)</f>
        <v/>
      </c>
      <c r="AF146">
        <f>AE145*$G$54</f>
        <v/>
      </c>
      <c r="AG146">
        <f>IF(AG145&gt;1E-9,IF(AG145*(1+$G$55)-MAX($B$9,0.01*AG145+AG145*$G$55)&gt;1E-9,AG145*(1+$G$55)-MAX($B$9,0.01*AG145+AG145*$G$55),0),0)</f>
        <v/>
      </c>
      <c r="AH146">
        <f>AG145*$G$55</f>
        <v/>
      </c>
      <c r="AI146">
        <f>G146+K146+O146+S146+W146</f>
        <v/>
      </c>
      <c r="AJ146">
        <f>AI145+AK146-AI146</f>
        <v/>
      </c>
      <c r="AK146">
        <f>H146+L146+P146+T146+X146</f>
        <v/>
      </c>
      <c r="AL146">
        <f>TEXT(EDATE($B$5,D146-1),"mmm yyyy")</f>
        <v/>
      </c>
      <c r="AM146">
        <f>AI146</f>
        <v/>
      </c>
    </row>
    <row r="147">
      <c r="D147" t="n">
        <v>86</v>
      </c>
      <c r="E147">
        <f>IF(G146&gt;0,MAX(0,G146*(1+$G$51)-$H$51),0)</f>
        <v/>
      </c>
      <c r="F147">
        <f>$B$6+IF($D147=$B$8,$B$7,0)</f>
        <v/>
      </c>
      <c r="G147">
        <f>IF(E147-F147&gt;1E-9,E147-F147,0)</f>
        <v/>
      </c>
      <c r="H147">
        <f>G146*$G$51</f>
        <v/>
      </c>
      <c r="I147">
        <f>IF(K146&gt;0,MAX(0,K146*(1+$G$52)-$H$52),0)</f>
        <v/>
      </c>
      <c r="J147">
        <f>MAX(0,F147-E147)</f>
        <v/>
      </c>
      <c r="K147">
        <f>IF(I147-J147&gt;1E-9,I147-J147,0)</f>
        <v/>
      </c>
      <c r="L147">
        <f>K146*$G$52</f>
        <v/>
      </c>
      <c r="M147">
        <f>IF(O146&gt;0,MAX(0,O146*(1+$G$53)-$H$53),0)</f>
        <v/>
      </c>
      <c r="N147">
        <f>MAX(0,J147-I147)</f>
        <v/>
      </c>
      <c r="O147">
        <f>IF(M147-N147&gt;1E-9,M147-N147,0)</f>
        <v/>
      </c>
      <c r="P147">
        <f>O146*$G$53</f>
        <v/>
      </c>
      <c r="Q147">
        <f>IF(S146&gt;0,MAX(0,S146*(1+$G$54)-$H$54),0)</f>
        <v/>
      </c>
      <c r="R147">
        <f>MAX(0,N147-M147)</f>
        <v/>
      </c>
      <c r="S147">
        <f>IF(Q147-R147&gt;1E-9,Q147-R147,0)</f>
        <v/>
      </c>
      <c r="T147">
        <f>S146*$G$54</f>
        <v/>
      </c>
      <c r="U147">
        <f>IF(W146&gt;0,MAX(0,W146*(1+$G$55)-$H$55),0)</f>
        <v/>
      </c>
      <c r="V147">
        <f>MAX(0,R147-Q147)</f>
        <v/>
      </c>
      <c r="W147">
        <f>IF(U147-V147&gt;1E-9,U147-V147,0)</f>
        <v/>
      </c>
      <c r="X147">
        <f>W146*$G$55</f>
        <v/>
      </c>
      <c r="Y147">
        <f>IF(Y146&gt;1E-9,IF(Y146*(1+$G$51)-MAX($B$9,0.01*Y146+Y146*$G$51)&gt;1E-9,Y146*(1+$G$51)-MAX($B$9,0.01*Y146+Y146*$G$51),0),0)</f>
        <v/>
      </c>
      <c r="Z147">
        <f>Y146*$G$51</f>
        <v/>
      </c>
      <c r="AA147">
        <f>IF(AA146&gt;1E-9,IF(AA146*(1+$G$52)-MAX($B$9,0.01*AA146+AA146*$G$52)&gt;1E-9,AA146*(1+$G$52)-MAX($B$9,0.01*AA146+AA146*$G$52),0),0)</f>
        <v/>
      </c>
      <c r="AB147">
        <f>AA146*$G$52</f>
        <v/>
      </c>
      <c r="AC147">
        <f>IF(AC146&gt;1E-9,IF(AC146*(1+$G$53)-MAX($B$9,0.01*AC146+AC146*$G$53)&gt;1E-9,AC146*(1+$G$53)-MAX($B$9,0.01*AC146+AC146*$G$53),0),0)</f>
        <v/>
      </c>
      <c r="AD147">
        <f>AC146*$G$53</f>
        <v/>
      </c>
      <c r="AE147">
        <f>IF(AE146&gt;1E-9,IF(AE146*(1+$G$54)-MAX($B$9,0.01*AE146+AE146*$G$54)&gt;1E-9,AE146*(1+$G$54)-MAX($B$9,0.01*AE146+AE146*$G$54),0),0)</f>
        <v/>
      </c>
      <c r="AF147">
        <f>AE146*$G$54</f>
        <v/>
      </c>
      <c r="AG147">
        <f>IF(AG146&gt;1E-9,IF(AG146*(1+$G$55)-MAX($B$9,0.01*AG146+AG146*$G$55)&gt;1E-9,AG146*(1+$G$55)-MAX($B$9,0.01*AG146+AG146*$G$55),0),0)</f>
        <v/>
      </c>
      <c r="AH147">
        <f>AG146*$G$55</f>
        <v/>
      </c>
      <c r="AI147">
        <f>G147+K147+O147+S147+W147</f>
        <v/>
      </c>
      <c r="AJ147">
        <f>AI146+AK147-AI147</f>
        <v/>
      </c>
      <c r="AK147">
        <f>H147+L147+P147+T147+X147</f>
        <v/>
      </c>
      <c r="AL147">
        <f>TEXT(EDATE($B$5,D147-1),"mmm yyyy")</f>
        <v/>
      </c>
      <c r="AM147">
        <f>AI147</f>
        <v/>
      </c>
    </row>
    <row r="148">
      <c r="D148" t="n">
        <v>87</v>
      </c>
      <c r="E148">
        <f>IF(G147&gt;0,MAX(0,G147*(1+$G$51)-$H$51),0)</f>
        <v/>
      </c>
      <c r="F148">
        <f>$B$6+IF($D148=$B$8,$B$7,0)</f>
        <v/>
      </c>
      <c r="G148">
        <f>IF(E148-F148&gt;1E-9,E148-F148,0)</f>
        <v/>
      </c>
      <c r="H148">
        <f>G147*$G$51</f>
        <v/>
      </c>
      <c r="I148">
        <f>IF(K147&gt;0,MAX(0,K147*(1+$G$52)-$H$52),0)</f>
        <v/>
      </c>
      <c r="J148">
        <f>MAX(0,F148-E148)</f>
        <v/>
      </c>
      <c r="K148">
        <f>IF(I148-J148&gt;1E-9,I148-J148,0)</f>
        <v/>
      </c>
      <c r="L148">
        <f>K147*$G$52</f>
        <v/>
      </c>
      <c r="M148">
        <f>IF(O147&gt;0,MAX(0,O147*(1+$G$53)-$H$53),0)</f>
        <v/>
      </c>
      <c r="N148">
        <f>MAX(0,J148-I148)</f>
        <v/>
      </c>
      <c r="O148">
        <f>IF(M148-N148&gt;1E-9,M148-N148,0)</f>
        <v/>
      </c>
      <c r="P148">
        <f>O147*$G$53</f>
        <v/>
      </c>
      <c r="Q148">
        <f>IF(S147&gt;0,MAX(0,S147*(1+$G$54)-$H$54),0)</f>
        <v/>
      </c>
      <c r="R148">
        <f>MAX(0,N148-M148)</f>
        <v/>
      </c>
      <c r="S148">
        <f>IF(Q148-R148&gt;1E-9,Q148-R148,0)</f>
        <v/>
      </c>
      <c r="T148">
        <f>S147*$G$54</f>
        <v/>
      </c>
      <c r="U148">
        <f>IF(W147&gt;0,MAX(0,W147*(1+$G$55)-$H$55),0)</f>
        <v/>
      </c>
      <c r="V148">
        <f>MAX(0,R148-Q148)</f>
        <v/>
      </c>
      <c r="W148">
        <f>IF(U148-V148&gt;1E-9,U148-V148,0)</f>
        <v/>
      </c>
      <c r="X148">
        <f>W147*$G$55</f>
        <v/>
      </c>
      <c r="Y148">
        <f>IF(Y147&gt;1E-9,IF(Y147*(1+$G$51)-MAX($B$9,0.01*Y147+Y147*$G$51)&gt;1E-9,Y147*(1+$G$51)-MAX($B$9,0.01*Y147+Y147*$G$51),0),0)</f>
        <v/>
      </c>
      <c r="Z148">
        <f>Y147*$G$51</f>
        <v/>
      </c>
      <c r="AA148">
        <f>IF(AA147&gt;1E-9,IF(AA147*(1+$G$52)-MAX($B$9,0.01*AA147+AA147*$G$52)&gt;1E-9,AA147*(1+$G$52)-MAX($B$9,0.01*AA147+AA147*$G$52),0),0)</f>
        <v/>
      </c>
      <c r="AB148">
        <f>AA147*$G$52</f>
        <v/>
      </c>
      <c r="AC148">
        <f>IF(AC147&gt;1E-9,IF(AC147*(1+$G$53)-MAX($B$9,0.01*AC147+AC147*$G$53)&gt;1E-9,AC147*(1+$G$53)-MAX($B$9,0.01*AC147+AC147*$G$53),0),0)</f>
        <v/>
      </c>
      <c r="AD148">
        <f>AC147*$G$53</f>
        <v/>
      </c>
      <c r="AE148">
        <f>IF(AE147&gt;1E-9,IF(AE147*(1+$G$54)-MAX($B$9,0.01*AE147+AE147*$G$54)&gt;1E-9,AE147*(1+$G$54)-MAX($B$9,0.01*AE147+AE147*$G$54),0),0)</f>
        <v/>
      </c>
      <c r="AF148">
        <f>AE147*$G$54</f>
        <v/>
      </c>
      <c r="AG148">
        <f>IF(AG147&gt;1E-9,IF(AG147*(1+$G$55)-MAX($B$9,0.01*AG147+AG147*$G$55)&gt;1E-9,AG147*(1+$G$55)-MAX($B$9,0.01*AG147+AG147*$G$55),0),0)</f>
        <v/>
      </c>
      <c r="AH148">
        <f>AG147*$G$55</f>
        <v/>
      </c>
      <c r="AI148">
        <f>G148+K148+O148+S148+W148</f>
        <v/>
      </c>
      <c r="AJ148">
        <f>AI147+AK148-AI148</f>
        <v/>
      </c>
      <c r="AK148">
        <f>H148+L148+P148+T148+X148</f>
        <v/>
      </c>
      <c r="AL148">
        <f>TEXT(EDATE($B$5,D148-1),"mmm yyyy")</f>
        <v/>
      </c>
      <c r="AM148">
        <f>AI148</f>
        <v/>
      </c>
    </row>
    <row r="149">
      <c r="D149" t="n">
        <v>88</v>
      </c>
      <c r="E149">
        <f>IF(G148&gt;0,MAX(0,G148*(1+$G$51)-$H$51),0)</f>
        <v/>
      </c>
      <c r="F149">
        <f>$B$6+IF($D149=$B$8,$B$7,0)</f>
        <v/>
      </c>
      <c r="G149">
        <f>IF(E149-F149&gt;1E-9,E149-F149,0)</f>
        <v/>
      </c>
      <c r="H149">
        <f>G148*$G$51</f>
        <v/>
      </c>
      <c r="I149">
        <f>IF(K148&gt;0,MAX(0,K148*(1+$G$52)-$H$52),0)</f>
        <v/>
      </c>
      <c r="J149">
        <f>MAX(0,F149-E149)</f>
        <v/>
      </c>
      <c r="K149">
        <f>IF(I149-J149&gt;1E-9,I149-J149,0)</f>
        <v/>
      </c>
      <c r="L149">
        <f>K148*$G$52</f>
        <v/>
      </c>
      <c r="M149">
        <f>IF(O148&gt;0,MAX(0,O148*(1+$G$53)-$H$53),0)</f>
        <v/>
      </c>
      <c r="N149">
        <f>MAX(0,J149-I149)</f>
        <v/>
      </c>
      <c r="O149">
        <f>IF(M149-N149&gt;1E-9,M149-N149,0)</f>
        <v/>
      </c>
      <c r="P149">
        <f>O148*$G$53</f>
        <v/>
      </c>
      <c r="Q149">
        <f>IF(S148&gt;0,MAX(0,S148*(1+$G$54)-$H$54),0)</f>
        <v/>
      </c>
      <c r="R149">
        <f>MAX(0,N149-M149)</f>
        <v/>
      </c>
      <c r="S149">
        <f>IF(Q149-R149&gt;1E-9,Q149-R149,0)</f>
        <v/>
      </c>
      <c r="T149">
        <f>S148*$G$54</f>
        <v/>
      </c>
      <c r="U149">
        <f>IF(W148&gt;0,MAX(0,W148*(1+$G$55)-$H$55),0)</f>
        <v/>
      </c>
      <c r="V149">
        <f>MAX(0,R149-Q149)</f>
        <v/>
      </c>
      <c r="W149">
        <f>IF(U149-V149&gt;1E-9,U149-V149,0)</f>
        <v/>
      </c>
      <c r="X149">
        <f>W148*$G$55</f>
        <v/>
      </c>
      <c r="Y149">
        <f>IF(Y148&gt;1E-9,IF(Y148*(1+$G$51)-MAX($B$9,0.01*Y148+Y148*$G$51)&gt;1E-9,Y148*(1+$G$51)-MAX($B$9,0.01*Y148+Y148*$G$51),0),0)</f>
        <v/>
      </c>
      <c r="Z149">
        <f>Y148*$G$51</f>
        <v/>
      </c>
      <c r="AA149">
        <f>IF(AA148&gt;1E-9,IF(AA148*(1+$G$52)-MAX($B$9,0.01*AA148+AA148*$G$52)&gt;1E-9,AA148*(1+$G$52)-MAX($B$9,0.01*AA148+AA148*$G$52),0),0)</f>
        <v/>
      </c>
      <c r="AB149">
        <f>AA148*$G$52</f>
        <v/>
      </c>
      <c r="AC149">
        <f>IF(AC148&gt;1E-9,IF(AC148*(1+$G$53)-MAX($B$9,0.01*AC148+AC148*$G$53)&gt;1E-9,AC148*(1+$G$53)-MAX($B$9,0.01*AC148+AC148*$G$53),0),0)</f>
        <v/>
      </c>
      <c r="AD149">
        <f>AC148*$G$53</f>
        <v/>
      </c>
      <c r="AE149">
        <f>IF(AE148&gt;1E-9,IF(AE148*(1+$G$54)-MAX($B$9,0.01*AE148+AE148*$G$54)&gt;1E-9,AE148*(1+$G$54)-MAX($B$9,0.01*AE148+AE148*$G$54),0),0)</f>
        <v/>
      </c>
      <c r="AF149">
        <f>AE148*$G$54</f>
        <v/>
      </c>
      <c r="AG149">
        <f>IF(AG148&gt;1E-9,IF(AG148*(1+$G$55)-MAX($B$9,0.01*AG148+AG148*$G$55)&gt;1E-9,AG148*(1+$G$55)-MAX($B$9,0.01*AG148+AG148*$G$55),0),0)</f>
        <v/>
      </c>
      <c r="AH149">
        <f>AG148*$G$55</f>
        <v/>
      </c>
      <c r="AI149">
        <f>G149+K149+O149+S149+W149</f>
        <v/>
      </c>
      <c r="AJ149">
        <f>AI148+AK149-AI149</f>
        <v/>
      </c>
      <c r="AK149">
        <f>H149+L149+P149+T149+X149</f>
        <v/>
      </c>
      <c r="AL149">
        <f>TEXT(EDATE($B$5,D149-1),"mmm yyyy")</f>
        <v/>
      </c>
      <c r="AM149">
        <f>AI149</f>
        <v/>
      </c>
    </row>
    <row r="150">
      <c r="D150" t="n">
        <v>89</v>
      </c>
      <c r="E150">
        <f>IF(G149&gt;0,MAX(0,G149*(1+$G$51)-$H$51),0)</f>
        <v/>
      </c>
      <c r="F150">
        <f>$B$6+IF($D150=$B$8,$B$7,0)</f>
        <v/>
      </c>
      <c r="G150">
        <f>IF(E150-F150&gt;1E-9,E150-F150,0)</f>
        <v/>
      </c>
      <c r="H150">
        <f>G149*$G$51</f>
        <v/>
      </c>
      <c r="I150">
        <f>IF(K149&gt;0,MAX(0,K149*(1+$G$52)-$H$52),0)</f>
        <v/>
      </c>
      <c r="J150">
        <f>MAX(0,F150-E150)</f>
        <v/>
      </c>
      <c r="K150">
        <f>IF(I150-J150&gt;1E-9,I150-J150,0)</f>
        <v/>
      </c>
      <c r="L150">
        <f>K149*$G$52</f>
        <v/>
      </c>
      <c r="M150">
        <f>IF(O149&gt;0,MAX(0,O149*(1+$G$53)-$H$53),0)</f>
        <v/>
      </c>
      <c r="N150">
        <f>MAX(0,J150-I150)</f>
        <v/>
      </c>
      <c r="O150">
        <f>IF(M150-N150&gt;1E-9,M150-N150,0)</f>
        <v/>
      </c>
      <c r="P150">
        <f>O149*$G$53</f>
        <v/>
      </c>
      <c r="Q150">
        <f>IF(S149&gt;0,MAX(0,S149*(1+$G$54)-$H$54),0)</f>
        <v/>
      </c>
      <c r="R150">
        <f>MAX(0,N150-M150)</f>
        <v/>
      </c>
      <c r="S150">
        <f>IF(Q150-R150&gt;1E-9,Q150-R150,0)</f>
        <v/>
      </c>
      <c r="T150">
        <f>S149*$G$54</f>
        <v/>
      </c>
      <c r="U150">
        <f>IF(W149&gt;0,MAX(0,W149*(1+$G$55)-$H$55),0)</f>
        <v/>
      </c>
      <c r="V150">
        <f>MAX(0,R150-Q150)</f>
        <v/>
      </c>
      <c r="W150">
        <f>IF(U150-V150&gt;1E-9,U150-V150,0)</f>
        <v/>
      </c>
      <c r="X150">
        <f>W149*$G$55</f>
        <v/>
      </c>
      <c r="Y150">
        <f>IF(Y149&gt;1E-9,IF(Y149*(1+$G$51)-MAX($B$9,0.01*Y149+Y149*$G$51)&gt;1E-9,Y149*(1+$G$51)-MAX($B$9,0.01*Y149+Y149*$G$51),0),0)</f>
        <v/>
      </c>
      <c r="Z150">
        <f>Y149*$G$51</f>
        <v/>
      </c>
      <c r="AA150">
        <f>IF(AA149&gt;1E-9,IF(AA149*(1+$G$52)-MAX($B$9,0.01*AA149+AA149*$G$52)&gt;1E-9,AA149*(1+$G$52)-MAX($B$9,0.01*AA149+AA149*$G$52),0),0)</f>
        <v/>
      </c>
      <c r="AB150">
        <f>AA149*$G$52</f>
        <v/>
      </c>
      <c r="AC150">
        <f>IF(AC149&gt;1E-9,IF(AC149*(1+$G$53)-MAX($B$9,0.01*AC149+AC149*$G$53)&gt;1E-9,AC149*(1+$G$53)-MAX($B$9,0.01*AC149+AC149*$G$53),0),0)</f>
        <v/>
      </c>
      <c r="AD150">
        <f>AC149*$G$53</f>
        <v/>
      </c>
      <c r="AE150">
        <f>IF(AE149&gt;1E-9,IF(AE149*(1+$G$54)-MAX($B$9,0.01*AE149+AE149*$G$54)&gt;1E-9,AE149*(1+$G$54)-MAX($B$9,0.01*AE149+AE149*$G$54),0),0)</f>
        <v/>
      </c>
      <c r="AF150">
        <f>AE149*$G$54</f>
        <v/>
      </c>
      <c r="AG150">
        <f>IF(AG149&gt;1E-9,IF(AG149*(1+$G$55)-MAX($B$9,0.01*AG149+AG149*$G$55)&gt;1E-9,AG149*(1+$G$55)-MAX($B$9,0.01*AG149+AG149*$G$55),0),0)</f>
        <v/>
      </c>
      <c r="AH150">
        <f>AG149*$G$55</f>
        <v/>
      </c>
      <c r="AI150">
        <f>G150+K150+O150+S150+W150</f>
        <v/>
      </c>
      <c r="AJ150">
        <f>AI149+AK150-AI150</f>
        <v/>
      </c>
      <c r="AK150">
        <f>H150+L150+P150+T150+X150</f>
        <v/>
      </c>
      <c r="AL150">
        <f>TEXT(EDATE($B$5,D150-1),"mmm yyyy")</f>
        <v/>
      </c>
      <c r="AM150">
        <f>AI150</f>
        <v/>
      </c>
    </row>
    <row r="151">
      <c r="D151" t="n">
        <v>90</v>
      </c>
      <c r="E151">
        <f>IF(G150&gt;0,MAX(0,G150*(1+$G$51)-$H$51),0)</f>
        <v/>
      </c>
      <c r="F151">
        <f>$B$6+IF($D151=$B$8,$B$7,0)</f>
        <v/>
      </c>
      <c r="G151">
        <f>IF(E151-F151&gt;1E-9,E151-F151,0)</f>
        <v/>
      </c>
      <c r="H151">
        <f>G150*$G$51</f>
        <v/>
      </c>
      <c r="I151">
        <f>IF(K150&gt;0,MAX(0,K150*(1+$G$52)-$H$52),0)</f>
        <v/>
      </c>
      <c r="J151">
        <f>MAX(0,F151-E151)</f>
        <v/>
      </c>
      <c r="K151">
        <f>IF(I151-J151&gt;1E-9,I151-J151,0)</f>
        <v/>
      </c>
      <c r="L151">
        <f>K150*$G$52</f>
        <v/>
      </c>
      <c r="M151">
        <f>IF(O150&gt;0,MAX(0,O150*(1+$G$53)-$H$53),0)</f>
        <v/>
      </c>
      <c r="N151">
        <f>MAX(0,J151-I151)</f>
        <v/>
      </c>
      <c r="O151">
        <f>IF(M151-N151&gt;1E-9,M151-N151,0)</f>
        <v/>
      </c>
      <c r="P151">
        <f>O150*$G$53</f>
        <v/>
      </c>
      <c r="Q151">
        <f>IF(S150&gt;0,MAX(0,S150*(1+$G$54)-$H$54),0)</f>
        <v/>
      </c>
      <c r="R151">
        <f>MAX(0,N151-M151)</f>
        <v/>
      </c>
      <c r="S151">
        <f>IF(Q151-R151&gt;1E-9,Q151-R151,0)</f>
        <v/>
      </c>
      <c r="T151">
        <f>S150*$G$54</f>
        <v/>
      </c>
      <c r="U151">
        <f>IF(W150&gt;0,MAX(0,W150*(1+$G$55)-$H$55),0)</f>
        <v/>
      </c>
      <c r="V151">
        <f>MAX(0,R151-Q151)</f>
        <v/>
      </c>
      <c r="W151">
        <f>IF(U151-V151&gt;1E-9,U151-V151,0)</f>
        <v/>
      </c>
      <c r="X151">
        <f>W150*$G$55</f>
        <v/>
      </c>
      <c r="Y151">
        <f>IF(Y150&gt;1E-9,IF(Y150*(1+$G$51)-MAX($B$9,0.01*Y150+Y150*$G$51)&gt;1E-9,Y150*(1+$G$51)-MAX($B$9,0.01*Y150+Y150*$G$51),0),0)</f>
        <v/>
      </c>
      <c r="Z151">
        <f>Y150*$G$51</f>
        <v/>
      </c>
      <c r="AA151">
        <f>IF(AA150&gt;1E-9,IF(AA150*(1+$G$52)-MAX($B$9,0.01*AA150+AA150*$G$52)&gt;1E-9,AA150*(1+$G$52)-MAX($B$9,0.01*AA150+AA150*$G$52),0),0)</f>
        <v/>
      </c>
      <c r="AB151">
        <f>AA150*$G$52</f>
        <v/>
      </c>
      <c r="AC151">
        <f>IF(AC150&gt;1E-9,IF(AC150*(1+$G$53)-MAX($B$9,0.01*AC150+AC150*$G$53)&gt;1E-9,AC150*(1+$G$53)-MAX($B$9,0.01*AC150+AC150*$G$53),0),0)</f>
        <v/>
      </c>
      <c r="AD151">
        <f>AC150*$G$53</f>
        <v/>
      </c>
      <c r="AE151">
        <f>IF(AE150&gt;1E-9,IF(AE150*(1+$G$54)-MAX($B$9,0.01*AE150+AE150*$G$54)&gt;1E-9,AE150*(1+$G$54)-MAX($B$9,0.01*AE150+AE150*$G$54),0),0)</f>
        <v/>
      </c>
      <c r="AF151">
        <f>AE150*$G$54</f>
        <v/>
      </c>
      <c r="AG151">
        <f>IF(AG150&gt;1E-9,IF(AG150*(1+$G$55)-MAX($B$9,0.01*AG150+AG150*$G$55)&gt;1E-9,AG150*(1+$G$55)-MAX($B$9,0.01*AG150+AG150*$G$55),0),0)</f>
        <v/>
      </c>
      <c r="AH151">
        <f>AG150*$G$55</f>
        <v/>
      </c>
      <c r="AI151">
        <f>G151+K151+O151+S151+W151</f>
        <v/>
      </c>
      <c r="AJ151">
        <f>AI150+AK151-AI151</f>
        <v/>
      </c>
      <c r="AK151">
        <f>H151+L151+P151+T151+X151</f>
        <v/>
      </c>
      <c r="AL151">
        <f>TEXT(EDATE($B$5,D151-1),"mmm yyyy")</f>
        <v/>
      </c>
      <c r="AM151">
        <f>AI151</f>
        <v/>
      </c>
    </row>
    <row r="152">
      <c r="D152" t="n">
        <v>91</v>
      </c>
      <c r="E152">
        <f>IF(G151&gt;0,MAX(0,G151*(1+$G$51)-$H$51),0)</f>
        <v/>
      </c>
      <c r="F152">
        <f>$B$6+IF($D152=$B$8,$B$7,0)</f>
        <v/>
      </c>
      <c r="G152">
        <f>IF(E152-F152&gt;1E-9,E152-F152,0)</f>
        <v/>
      </c>
      <c r="H152">
        <f>G151*$G$51</f>
        <v/>
      </c>
      <c r="I152">
        <f>IF(K151&gt;0,MAX(0,K151*(1+$G$52)-$H$52),0)</f>
        <v/>
      </c>
      <c r="J152">
        <f>MAX(0,F152-E152)</f>
        <v/>
      </c>
      <c r="K152">
        <f>IF(I152-J152&gt;1E-9,I152-J152,0)</f>
        <v/>
      </c>
      <c r="L152">
        <f>K151*$G$52</f>
        <v/>
      </c>
      <c r="M152">
        <f>IF(O151&gt;0,MAX(0,O151*(1+$G$53)-$H$53),0)</f>
        <v/>
      </c>
      <c r="N152">
        <f>MAX(0,J152-I152)</f>
        <v/>
      </c>
      <c r="O152">
        <f>IF(M152-N152&gt;1E-9,M152-N152,0)</f>
        <v/>
      </c>
      <c r="P152">
        <f>O151*$G$53</f>
        <v/>
      </c>
      <c r="Q152">
        <f>IF(S151&gt;0,MAX(0,S151*(1+$G$54)-$H$54),0)</f>
        <v/>
      </c>
      <c r="R152">
        <f>MAX(0,N152-M152)</f>
        <v/>
      </c>
      <c r="S152">
        <f>IF(Q152-R152&gt;1E-9,Q152-R152,0)</f>
        <v/>
      </c>
      <c r="T152">
        <f>S151*$G$54</f>
        <v/>
      </c>
      <c r="U152">
        <f>IF(W151&gt;0,MAX(0,W151*(1+$G$55)-$H$55),0)</f>
        <v/>
      </c>
      <c r="V152">
        <f>MAX(0,R152-Q152)</f>
        <v/>
      </c>
      <c r="W152">
        <f>IF(U152-V152&gt;1E-9,U152-V152,0)</f>
        <v/>
      </c>
      <c r="X152">
        <f>W151*$G$55</f>
        <v/>
      </c>
      <c r="Y152">
        <f>IF(Y151&gt;1E-9,IF(Y151*(1+$G$51)-MAX($B$9,0.01*Y151+Y151*$G$51)&gt;1E-9,Y151*(1+$G$51)-MAX($B$9,0.01*Y151+Y151*$G$51),0),0)</f>
        <v/>
      </c>
      <c r="Z152">
        <f>Y151*$G$51</f>
        <v/>
      </c>
      <c r="AA152">
        <f>IF(AA151&gt;1E-9,IF(AA151*(1+$G$52)-MAX($B$9,0.01*AA151+AA151*$G$52)&gt;1E-9,AA151*(1+$G$52)-MAX($B$9,0.01*AA151+AA151*$G$52),0),0)</f>
        <v/>
      </c>
      <c r="AB152">
        <f>AA151*$G$52</f>
        <v/>
      </c>
      <c r="AC152">
        <f>IF(AC151&gt;1E-9,IF(AC151*(1+$G$53)-MAX($B$9,0.01*AC151+AC151*$G$53)&gt;1E-9,AC151*(1+$G$53)-MAX($B$9,0.01*AC151+AC151*$G$53),0),0)</f>
        <v/>
      </c>
      <c r="AD152">
        <f>AC151*$G$53</f>
        <v/>
      </c>
      <c r="AE152">
        <f>IF(AE151&gt;1E-9,IF(AE151*(1+$G$54)-MAX($B$9,0.01*AE151+AE151*$G$54)&gt;1E-9,AE151*(1+$G$54)-MAX($B$9,0.01*AE151+AE151*$G$54),0),0)</f>
        <v/>
      </c>
      <c r="AF152">
        <f>AE151*$G$54</f>
        <v/>
      </c>
      <c r="AG152">
        <f>IF(AG151&gt;1E-9,IF(AG151*(1+$G$55)-MAX($B$9,0.01*AG151+AG151*$G$55)&gt;1E-9,AG151*(1+$G$55)-MAX($B$9,0.01*AG151+AG151*$G$55),0),0)</f>
        <v/>
      </c>
      <c r="AH152">
        <f>AG151*$G$55</f>
        <v/>
      </c>
      <c r="AI152">
        <f>G152+K152+O152+S152+W152</f>
        <v/>
      </c>
      <c r="AJ152">
        <f>AI151+AK152-AI152</f>
        <v/>
      </c>
      <c r="AK152">
        <f>H152+L152+P152+T152+X152</f>
        <v/>
      </c>
      <c r="AL152">
        <f>TEXT(EDATE($B$5,D152-1),"mmm yyyy")</f>
        <v/>
      </c>
      <c r="AM152">
        <f>AI152</f>
        <v/>
      </c>
    </row>
    <row r="153">
      <c r="D153" t="n">
        <v>92</v>
      </c>
      <c r="E153">
        <f>IF(G152&gt;0,MAX(0,G152*(1+$G$51)-$H$51),0)</f>
        <v/>
      </c>
      <c r="F153">
        <f>$B$6+IF($D153=$B$8,$B$7,0)</f>
        <v/>
      </c>
      <c r="G153">
        <f>IF(E153-F153&gt;1E-9,E153-F153,0)</f>
        <v/>
      </c>
      <c r="H153">
        <f>G152*$G$51</f>
        <v/>
      </c>
      <c r="I153">
        <f>IF(K152&gt;0,MAX(0,K152*(1+$G$52)-$H$52),0)</f>
        <v/>
      </c>
      <c r="J153">
        <f>MAX(0,F153-E153)</f>
        <v/>
      </c>
      <c r="K153">
        <f>IF(I153-J153&gt;1E-9,I153-J153,0)</f>
        <v/>
      </c>
      <c r="L153">
        <f>K152*$G$52</f>
        <v/>
      </c>
      <c r="M153">
        <f>IF(O152&gt;0,MAX(0,O152*(1+$G$53)-$H$53),0)</f>
        <v/>
      </c>
      <c r="N153">
        <f>MAX(0,J153-I153)</f>
        <v/>
      </c>
      <c r="O153">
        <f>IF(M153-N153&gt;1E-9,M153-N153,0)</f>
        <v/>
      </c>
      <c r="P153">
        <f>O152*$G$53</f>
        <v/>
      </c>
      <c r="Q153">
        <f>IF(S152&gt;0,MAX(0,S152*(1+$G$54)-$H$54),0)</f>
        <v/>
      </c>
      <c r="R153">
        <f>MAX(0,N153-M153)</f>
        <v/>
      </c>
      <c r="S153">
        <f>IF(Q153-R153&gt;1E-9,Q153-R153,0)</f>
        <v/>
      </c>
      <c r="T153">
        <f>S152*$G$54</f>
        <v/>
      </c>
      <c r="U153">
        <f>IF(W152&gt;0,MAX(0,W152*(1+$G$55)-$H$55),0)</f>
        <v/>
      </c>
      <c r="V153">
        <f>MAX(0,R153-Q153)</f>
        <v/>
      </c>
      <c r="W153">
        <f>IF(U153-V153&gt;1E-9,U153-V153,0)</f>
        <v/>
      </c>
      <c r="X153">
        <f>W152*$G$55</f>
        <v/>
      </c>
      <c r="Y153">
        <f>IF(Y152&gt;1E-9,IF(Y152*(1+$G$51)-MAX($B$9,0.01*Y152+Y152*$G$51)&gt;1E-9,Y152*(1+$G$51)-MAX($B$9,0.01*Y152+Y152*$G$51),0),0)</f>
        <v/>
      </c>
      <c r="Z153">
        <f>Y152*$G$51</f>
        <v/>
      </c>
      <c r="AA153">
        <f>IF(AA152&gt;1E-9,IF(AA152*(1+$G$52)-MAX($B$9,0.01*AA152+AA152*$G$52)&gt;1E-9,AA152*(1+$G$52)-MAX($B$9,0.01*AA152+AA152*$G$52),0),0)</f>
        <v/>
      </c>
      <c r="AB153">
        <f>AA152*$G$52</f>
        <v/>
      </c>
      <c r="AC153">
        <f>IF(AC152&gt;1E-9,IF(AC152*(1+$G$53)-MAX($B$9,0.01*AC152+AC152*$G$53)&gt;1E-9,AC152*(1+$G$53)-MAX($B$9,0.01*AC152+AC152*$G$53),0),0)</f>
        <v/>
      </c>
      <c r="AD153">
        <f>AC152*$G$53</f>
        <v/>
      </c>
      <c r="AE153">
        <f>IF(AE152&gt;1E-9,IF(AE152*(1+$G$54)-MAX($B$9,0.01*AE152+AE152*$G$54)&gt;1E-9,AE152*(1+$G$54)-MAX($B$9,0.01*AE152+AE152*$G$54),0),0)</f>
        <v/>
      </c>
      <c r="AF153">
        <f>AE152*$G$54</f>
        <v/>
      </c>
      <c r="AG153">
        <f>IF(AG152&gt;1E-9,IF(AG152*(1+$G$55)-MAX($B$9,0.01*AG152+AG152*$G$55)&gt;1E-9,AG152*(1+$G$55)-MAX($B$9,0.01*AG152+AG152*$G$55),0),0)</f>
        <v/>
      </c>
      <c r="AH153">
        <f>AG152*$G$55</f>
        <v/>
      </c>
      <c r="AI153">
        <f>G153+K153+O153+S153+W153</f>
        <v/>
      </c>
      <c r="AJ153">
        <f>AI152+AK153-AI153</f>
        <v/>
      </c>
      <c r="AK153">
        <f>H153+L153+P153+T153+X153</f>
        <v/>
      </c>
      <c r="AL153">
        <f>TEXT(EDATE($B$5,D153-1),"mmm yyyy")</f>
        <v/>
      </c>
      <c r="AM153">
        <f>AI153</f>
        <v/>
      </c>
    </row>
    <row r="154">
      <c r="D154" t="n">
        <v>93</v>
      </c>
      <c r="E154">
        <f>IF(G153&gt;0,MAX(0,G153*(1+$G$51)-$H$51),0)</f>
        <v/>
      </c>
      <c r="F154">
        <f>$B$6+IF($D154=$B$8,$B$7,0)</f>
        <v/>
      </c>
      <c r="G154">
        <f>IF(E154-F154&gt;1E-9,E154-F154,0)</f>
        <v/>
      </c>
      <c r="H154">
        <f>G153*$G$51</f>
        <v/>
      </c>
      <c r="I154">
        <f>IF(K153&gt;0,MAX(0,K153*(1+$G$52)-$H$52),0)</f>
        <v/>
      </c>
      <c r="J154">
        <f>MAX(0,F154-E154)</f>
        <v/>
      </c>
      <c r="K154">
        <f>IF(I154-J154&gt;1E-9,I154-J154,0)</f>
        <v/>
      </c>
      <c r="L154">
        <f>K153*$G$52</f>
        <v/>
      </c>
      <c r="M154">
        <f>IF(O153&gt;0,MAX(0,O153*(1+$G$53)-$H$53),0)</f>
        <v/>
      </c>
      <c r="N154">
        <f>MAX(0,J154-I154)</f>
        <v/>
      </c>
      <c r="O154">
        <f>IF(M154-N154&gt;1E-9,M154-N154,0)</f>
        <v/>
      </c>
      <c r="P154">
        <f>O153*$G$53</f>
        <v/>
      </c>
      <c r="Q154">
        <f>IF(S153&gt;0,MAX(0,S153*(1+$G$54)-$H$54),0)</f>
        <v/>
      </c>
      <c r="R154">
        <f>MAX(0,N154-M154)</f>
        <v/>
      </c>
      <c r="S154">
        <f>IF(Q154-R154&gt;1E-9,Q154-R154,0)</f>
        <v/>
      </c>
      <c r="T154">
        <f>S153*$G$54</f>
        <v/>
      </c>
      <c r="U154">
        <f>IF(W153&gt;0,MAX(0,W153*(1+$G$55)-$H$55),0)</f>
        <v/>
      </c>
      <c r="V154">
        <f>MAX(0,R154-Q154)</f>
        <v/>
      </c>
      <c r="W154">
        <f>IF(U154-V154&gt;1E-9,U154-V154,0)</f>
        <v/>
      </c>
      <c r="X154">
        <f>W153*$G$55</f>
        <v/>
      </c>
      <c r="Y154">
        <f>IF(Y153&gt;1E-9,IF(Y153*(1+$G$51)-MAX($B$9,0.01*Y153+Y153*$G$51)&gt;1E-9,Y153*(1+$G$51)-MAX($B$9,0.01*Y153+Y153*$G$51),0),0)</f>
        <v/>
      </c>
      <c r="Z154">
        <f>Y153*$G$51</f>
        <v/>
      </c>
      <c r="AA154">
        <f>IF(AA153&gt;1E-9,IF(AA153*(1+$G$52)-MAX($B$9,0.01*AA153+AA153*$G$52)&gt;1E-9,AA153*(1+$G$52)-MAX($B$9,0.01*AA153+AA153*$G$52),0),0)</f>
        <v/>
      </c>
      <c r="AB154">
        <f>AA153*$G$52</f>
        <v/>
      </c>
      <c r="AC154">
        <f>IF(AC153&gt;1E-9,IF(AC153*(1+$G$53)-MAX($B$9,0.01*AC153+AC153*$G$53)&gt;1E-9,AC153*(1+$G$53)-MAX($B$9,0.01*AC153+AC153*$G$53),0),0)</f>
        <v/>
      </c>
      <c r="AD154">
        <f>AC153*$G$53</f>
        <v/>
      </c>
      <c r="AE154">
        <f>IF(AE153&gt;1E-9,IF(AE153*(1+$G$54)-MAX($B$9,0.01*AE153+AE153*$G$54)&gt;1E-9,AE153*(1+$G$54)-MAX($B$9,0.01*AE153+AE153*$G$54),0),0)</f>
        <v/>
      </c>
      <c r="AF154">
        <f>AE153*$G$54</f>
        <v/>
      </c>
      <c r="AG154">
        <f>IF(AG153&gt;1E-9,IF(AG153*(1+$G$55)-MAX($B$9,0.01*AG153+AG153*$G$55)&gt;1E-9,AG153*(1+$G$55)-MAX($B$9,0.01*AG153+AG153*$G$55),0),0)</f>
        <v/>
      </c>
      <c r="AH154">
        <f>AG153*$G$55</f>
        <v/>
      </c>
      <c r="AI154">
        <f>G154+K154+O154+S154+W154</f>
        <v/>
      </c>
      <c r="AJ154">
        <f>AI153+AK154-AI154</f>
        <v/>
      </c>
      <c r="AK154">
        <f>H154+L154+P154+T154+X154</f>
        <v/>
      </c>
      <c r="AL154">
        <f>TEXT(EDATE($B$5,D154-1),"mmm yyyy")</f>
        <v/>
      </c>
      <c r="AM154">
        <f>AI154</f>
        <v/>
      </c>
    </row>
    <row r="155">
      <c r="D155" t="n">
        <v>94</v>
      </c>
      <c r="E155">
        <f>IF(G154&gt;0,MAX(0,G154*(1+$G$51)-$H$51),0)</f>
        <v/>
      </c>
      <c r="F155">
        <f>$B$6+IF($D155=$B$8,$B$7,0)</f>
        <v/>
      </c>
      <c r="G155">
        <f>IF(E155-F155&gt;1E-9,E155-F155,0)</f>
        <v/>
      </c>
      <c r="H155">
        <f>G154*$G$51</f>
        <v/>
      </c>
      <c r="I155">
        <f>IF(K154&gt;0,MAX(0,K154*(1+$G$52)-$H$52),0)</f>
        <v/>
      </c>
      <c r="J155">
        <f>MAX(0,F155-E155)</f>
        <v/>
      </c>
      <c r="K155">
        <f>IF(I155-J155&gt;1E-9,I155-J155,0)</f>
        <v/>
      </c>
      <c r="L155">
        <f>K154*$G$52</f>
        <v/>
      </c>
      <c r="M155">
        <f>IF(O154&gt;0,MAX(0,O154*(1+$G$53)-$H$53),0)</f>
        <v/>
      </c>
      <c r="N155">
        <f>MAX(0,J155-I155)</f>
        <v/>
      </c>
      <c r="O155">
        <f>IF(M155-N155&gt;1E-9,M155-N155,0)</f>
        <v/>
      </c>
      <c r="P155">
        <f>O154*$G$53</f>
        <v/>
      </c>
      <c r="Q155">
        <f>IF(S154&gt;0,MAX(0,S154*(1+$G$54)-$H$54),0)</f>
        <v/>
      </c>
      <c r="R155">
        <f>MAX(0,N155-M155)</f>
        <v/>
      </c>
      <c r="S155">
        <f>IF(Q155-R155&gt;1E-9,Q155-R155,0)</f>
        <v/>
      </c>
      <c r="T155">
        <f>S154*$G$54</f>
        <v/>
      </c>
      <c r="U155">
        <f>IF(W154&gt;0,MAX(0,W154*(1+$G$55)-$H$55),0)</f>
        <v/>
      </c>
      <c r="V155">
        <f>MAX(0,R155-Q155)</f>
        <v/>
      </c>
      <c r="W155">
        <f>IF(U155-V155&gt;1E-9,U155-V155,0)</f>
        <v/>
      </c>
      <c r="X155">
        <f>W154*$G$55</f>
        <v/>
      </c>
      <c r="Y155">
        <f>IF(Y154&gt;1E-9,IF(Y154*(1+$G$51)-MAX($B$9,0.01*Y154+Y154*$G$51)&gt;1E-9,Y154*(1+$G$51)-MAX($B$9,0.01*Y154+Y154*$G$51),0),0)</f>
        <v/>
      </c>
      <c r="Z155">
        <f>Y154*$G$51</f>
        <v/>
      </c>
      <c r="AA155">
        <f>IF(AA154&gt;1E-9,IF(AA154*(1+$G$52)-MAX($B$9,0.01*AA154+AA154*$G$52)&gt;1E-9,AA154*(1+$G$52)-MAX($B$9,0.01*AA154+AA154*$G$52),0),0)</f>
        <v/>
      </c>
      <c r="AB155">
        <f>AA154*$G$52</f>
        <v/>
      </c>
      <c r="AC155">
        <f>IF(AC154&gt;1E-9,IF(AC154*(1+$G$53)-MAX($B$9,0.01*AC154+AC154*$G$53)&gt;1E-9,AC154*(1+$G$53)-MAX($B$9,0.01*AC154+AC154*$G$53),0),0)</f>
        <v/>
      </c>
      <c r="AD155">
        <f>AC154*$G$53</f>
        <v/>
      </c>
      <c r="AE155">
        <f>IF(AE154&gt;1E-9,IF(AE154*(1+$G$54)-MAX($B$9,0.01*AE154+AE154*$G$54)&gt;1E-9,AE154*(1+$G$54)-MAX($B$9,0.01*AE154+AE154*$G$54),0),0)</f>
        <v/>
      </c>
      <c r="AF155">
        <f>AE154*$G$54</f>
        <v/>
      </c>
      <c r="AG155">
        <f>IF(AG154&gt;1E-9,IF(AG154*(1+$G$55)-MAX($B$9,0.01*AG154+AG154*$G$55)&gt;1E-9,AG154*(1+$G$55)-MAX($B$9,0.01*AG154+AG154*$G$55),0),0)</f>
        <v/>
      </c>
      <c r="AH155">
        <f>AG154*$G$55</f>
        <v/>
      </c>
      <c r="AI155">
        <f>G155+K155+O155+S155+W155</f>
        <v/>
      </c>
      <c r="AJ155">
        <f>AI154+AK155-AI155</f>
        <v/>
      </c>
      <c r="AK155">
        <f>H155+L155+P155+T155+X155</f>
        <v/>
      </c>
      <c r="AL155">
        <f>TEXT(EDATE($B$5,D155-1),"mmm yyyy")</f>
        <v/>
      </c>
      <c r="AM155">
        <f>AI155</f>
        <v/>
      </c>
    </row>
    <row r="156">
      <c r="D156" t="n">
        <v>95</v>
      </c>
      <c r="E156">
        <f>IF(G155&gt;0,MAX(0,G155*(1+$G$51)-$H$51),0)</f>
        <v/>
      </c>
      <c r="F156">
        <f>$B$6+IF($D156=$B$8,$B$7,0)</f>
        <v/>
      </c>
      <c r="G156">
        <f>IF(E156-F156&gt;1E-9,E156-F156,0)</f>
        <v/>
      </c>
      <c r="H156">
        <f>G155*$G$51</f>
        <v/>
      </c>
      <c r="I156">
        <f>IF(K155&gt;0,MAX(0,K155*(1+$G$52)-$H$52),0)</f>
        <v/>
      </c>
      <c r="J156">
        <f>MAX(0,F156-E156)</f>
        <v/>
      </c>
      <c r="K156">
        <f>IF(I156-J156&gt;1E-9,I156-J156,0)</f>
        <v/>
      </c>
      <c r="L156">
        <f>K155*$G$52</f>
        <v/>
      </c>
      <c r="M156">
        <f>IF(O155&gt;0,MAX(0,O155*(1+$G$53)-$H$53),0)</f>
        <v/>
      </c>
      <c r="N156">
        <f>MAX(0,J156-I156)</f>
        <v/>
      </c>
      <c r="O156">
        <f>IF(M156-N156&gt;1E-9,M156-N156,0)</f>
        <v/>
      </c>
      <c r="P156">
        <f>O155*$G$53</f>
        <v/>
      </c>
      <c r="Q156">
        <f>IF(S155&gt;0,MAX(0,S155*(1+$G$54)-$H$54),0)</f>
        <v/>
      </c>
      <c r="R156">
        <f>MAX(0,N156-M156)</f>
        <v/>
      </c>
      <c r="S156">
        <f>IF(Q156-R156&gt;1E-9,Q156-R156,0)</f>
        <v/>
      </c>
      <c r="T156">
        <f>S155*$G$54</f>
        <v/>
      </c>
      <c r="U156">
        <f>IF(W155&gt;0,MAX(0,W155*(1+$G$55)-$H$55),0)</f>
        <v/>
      </c>
      <c r="V156">
        <f>MAX(0,R156-Q156)</f>
        <v/>
      </c>
      <c r="W156">
        <f>IF(U156-V156&gt;1E-9,U156-V156,0)</f>
        <v/>
      </c>
      <c r="X156">
        <f>W155*$G$55</f>
        <v/>
      </c>
      <c r="Y156">
        <f>IF(Y155&gt;1E-9,IF(Y155*(1+$G$51)-MAX($B$9,0.01*Y155+Y155*$G$51)&gt;1E-9,Y155*(1+$G$51)-MAX($B$9,0.01*Y155+Y155*$G$51),0),0)</f>
        <v/>
      </c>
      <c r="Z156">
        <f>Y155*$G$51</f>
        <v/>
      </c>
      <c r="AA156">
        <f>IF(AA155&gt;1E-9,IF(AA155*(1+$G$52)-MAX($B$9,0.01*AA155+AA155*$G$52)&gt;1E-9,AA155*(1+$G$52)-MAX($B$9,0.01*AA155+AA155*$G$52),0),0)</f>
        <v/>
      </c>
      <c r="AB156">
        <f>AA155*$G$52</f>
        <v/>
      </c>
      <c r="AC156">
        <f>IF(AC155&gt;1E-9,IF(AC155*(1+$G$53)-MAX($B$9,0.01*AC155+AC155*$G$53)&gt;1E-9,AC155*(1+$G$53)-MAX($B$9,0.01*AC155+AC155*$G$53),0),0)</f>
        <v/>
      </c>
      <c r="AD156">
        <f>AC155*$G$53</f>
        <v/>
      </c>
      <c r="AE156">
        <f>IF(AE155&gt;1E-9,IF(AE155*(1+$G$54)-MAX($B$9,0.01*AE155+AE155*$G$54)&gt;1E-9,AE155*(1+$G$54)-MAX($B$9,0.01*AE155+AE155*$G$54),0),0)</f>
        <v/>
      </c>
      <c r="AF156">
        <f>AE155*$G$54</f>
        <v/>
      </c>
      <c r="AG156">
        <f>IF(AG155&gt;1E-9,IF(AG155*(1+$G$55)-MAX($B$9,0.01*AG155+AG155*$G$55)&gt;1E-9,AG155*(1+$G$55)-MAX($B$9,0.01*AG155+AG155*$G$55),0),0)</f>
        <v/>
      </c>
      <c r="AH156">
        <f>AG155*$G$55</f>
        <v/>
      </c>
      <c r="AI156">
        <f>G156+K156+O156+S156+W156</f>
        <v/>
      </c>
      <c r="AJ156">
        <f>AI155+AK156-AI156</f>
        <v/>
      </c>
      <c r="AK156">
        <f>H156+L156+P156+T156+X156</f>
        <v/>
      </c>
      <c r="AL156">
        <f>TEXT(EDATE($B$5,D156-1),"mmm yyyy")</f>
        <v/>
      </c>
      <c r="AM156">
        <f>AI156</f>
        <v/>
      </c>
    </row>
    <row r="157">
      <c r="D157" t="n">
        <v>96</v>
      </c>
      <c r="E157">
        <f>IF(G156&gt;0,MAX(0,G156*(1+$G$51)-$H$51),0)</f>
        <v/>
      </c>
      <c r="F157">
        <f>$B$6+IF($D157=$B$8,$B$7,0)</f>
        <v/>
      </c>
      <c r="G157">
        <f>IF(E157-F157&gt;1E-9,E157-F157,0)</f>
        <v/>
      </c>
      <c r="H157">
        <f>G156*$G$51</f>
        <v/>
      </c>
      <c r="I157">
        <f>IF(K156&gt;0,MAX(0,K156*(1+$G$52)-$H$52),0)</f>
        <v/>
      </c>
      <c r="J157">
        <f>MAX(0,F157-E157)</f>
        <v/>
      </c>
      <c r="K157">
        <f>IF(I157-J157&gt;1E-9,I157-J157,0)</f>
        <v/>
      </c>
      <c r="L157">
        <f>K156*$G$52</f>
        <v/>
      </c>
      <c r="M157">
        <f>IF(O156&gt;0,MAX(0,O156*(1+$G$53)-$H$53),0)</f>
        <v/>
      </c>
      <c r="N157">
        <f>MAX(0,J157-I157)</f>
        <v/>
      </c>
      <c r="O157">
        <f>IF(M157-N157&gt;1E-9,M157-N157,0)</f>
        <v/>
      </c>
      <c r="P157">
        <f>O156*$G$53</f>
        <v/>
      </c>
      <c r="Q157">
        <f>IF(S156&gt;0,MAX(0,S156*(1+$G$54)-$H$54),0)</f>
        <v/>
      </c>
      <c r="R157">
        <f>MAX(0,N157-M157)</f>
        <v/>
      </c>
      <c r="S157">
        <f>IF(Q157-R157&gt;1E-9,Q157-R157,0)</f>
        <v/>
      </c>
      <c r="T157">
        <f>S156*$G$54</f>
        <v/>
      </c>
      <c r="U157">
        <f>IF(W156&gt;0,MAX(0,W156*(1+$G$55)-$H$55),0)</f>
        <v/>
      </c>
      <c r="V157">
        <f>MAX(0,R157-Q157)</f>
        <v/>
      </c>
      <c r="W157">
        <f>IF(U157-V157&gt;1E-9,U157-V157,0)</f>
        <v/>
      </c>
      <c r="X157">
        <f>W156*$G$55</f>
        <v/>
      </c>
      <c r="Y157">
        <f>IF(Y156&gt;1E-9,IF(Y156*(1+$G$51)-MAX($B$9,0.01*Y156+Y156*$G$51)&gt;1E-9,Y156*(1+$G$51)-MAX($B$9,0.01*Y156+Y156*$G$51),0),0)</f>
        <v/>
      </c>
      <c r="Z157">
        <f>Y156*$G$51</f>
        <v/>
      </c>
      <c r="AA157">
        <f>IF(AA156&gt;1E-9,IF(AA156*(1+$G$52)-MAX($B$9,0.01*AA156+AA156*$G$52)&gt;1E-9,AA156*(1+$G$52)-MAX($B$9,0.01*AA156+AA156*$G$52),0),0)</f>
        <v/>
      </c>
      <c r="AB157">
        <f>AA156*$G$52</f>
        <v/>
      </c>
      <c r="AC157">
        <f>IF(AC156&gt;1E-9,IF(AC156*(1+$G$53)-MAX($B$9,0.01*AC156+AC156*$G$53)&gt;1E-9,AC156*(1+$G$53)-MAX($B$9,0.01*AC156+AC156*$G$53),0),0)</f>
        <v/>
      </c>
      <c r="AD157">
        <f>AC156*$G$53</f>
        <v/>
      </c>
      <c r="AE157">
        <f>IF(AE156&gt;1E-9,IF(AE156*(1+$G$54)-MAX($B$9,0.01*AE156+AE156*$G$54)&gt;1E-9,AE156*(1+$G$54)-MAX($B$9,0.01*AE156+AE156*$G$54),0),0)</f>
        <v/>
      </c>
      <c r="AF157">
        <f>AE156*$G$54</f>
        <v/>
      </c>
      <c r="AG157">
        <f>IF(AG156&gt;1E-9,IF(AG156*(1+$G$55)-MAX($B$9,0.01*AG156+AG156*$G$55)&gt;1E-9,AG156*(1+$G$55)-MAX($B$9,0.01*AG156+AG156*$G$55),0),0)</f>
        <v/>
      </c>
      <c r="AH157">
        <f>AG156*$G$55</f>
        <v/>
      </c>
      <c r="AI157">
        <f>G157+K157+O157+S157+W157</f>
        <v/>
      </c>
      <c r="AJ157">
        <f>AI156+AK157-AI157</f>
        <v/>
      </c>
      <c r="AK157">
        <f>H157+L157+P157+T157+X157</f>
        <v/>
      </c>
      <c r="AL157">
        <f>TEXT(EDATE($B$5,D157-1),"mmm yyyy")</f>
        <v/>
      </c>
      <c r="AM157">
        <f>AI157</f>
        <v/>
      </c>
    </row>
    <row r="158">
      <c r="D158" t="n">
        <v>97</v>
      </c>
      <c r="E158">
        <f>IF(G157&gt;0,MAX(0,G157*(1+$G$51)-$H$51),0)</f>
        <v/>
      </c>
      <c r="F158">
        <f>$B$6+IF($D158=$B$8,$B$7,0)</f>
        <v/>
      </c>
      <c r="G158">
        <f>IF(E158-F158&gt;1E-9,E158-F158,0)</f>
        <v/>
      </c>
      <c r="H158">
        <f>G157*$G$51</f>
        <v/>
      </c>
      <c r="I158">
        <f>IF(K157&gt;0,MAX(0,K157*(1+$G$52)-$H$52),0)</f>
        <v/>
      </c>
      <c r="J158">
        <f>MAX(0,F158-E158)</f>
        <v/>
      </c>
      <c r="K158">
        <f>IF(I158-J158&gt;1E-9,I158-J158,0)</f>
        <v/>
      </c>
      <c r="L158">
        <f>K157*$G$52</f>
        <v/>
      </c>
      <c r="M158">
        <f>IF(O157&gt;0,MAX(0,O157*(1+$G$53)-$H$53),0)</f>
        <v/>
      </c>
      <c r="N158">
        <f>MAX(0,J158-I158)</f>
        <v/>
      </c>
      <c r="O158">
        <f>IF(M158-N158&gt;1E-9,M158-N158,0)</f>
        <v/>
      </c>
      <c r="P158">
        <f>O157*$G$53</f>
        <v/>
      </c>
      <c r="Q158">
        <f>IF(S157&gt;0,MAX(0,S157*(1+$G$54)-$H$54),0)</f>
        <v/>
      </c>
      <c r="R158">
        <f>MAX(0,N158-M158)</f>
        <v/>
      </c>
      <c r="S158">
        <f>IF(Q158-R158&gt;1E-9,Q158-R158,0)</f>
        <v/>
      </c>
      <c r="T158">
        <f>S157*$G$54</f>
        <v/>
      </c>
      <c r="U158">
        <f>IF(W157&gt;0,MAX(0,W157*(1+$G$55)-$H$55),0)</f>
        <v/>
      </c>
      <c r="V158">
        <f>MAX(0,R158-Q158)</f>
        <v/>
      </c>
      <c r="W158">
        <f>IF(U158-V158&gt;1E-9,U158-V158,0)</f>
        <v/>
      </c>
      <c r="X158">
        <f>W157*$G$55</f>
        <v/>
      </c>
      <c r="Y158">
        <f>IF(Y157&gt;1E-9,IF(Y157*(1+$G$51)-MAX($B$9,0.01*Y157+Y157*$G$51)&gt;1E-9,Y157*(1+$G$51)-MAX($B$9,0.01*Y157+Y157*$G$51),0),0)</f>
        <v/>
      </c>
      <c r="Z158">
        <f>Y157*$G$51</f>
        <v/>
      </c>
      <c r="AA158">
        <f>IF(AA157&gt;1E-9,IF(AA157*(1+$G$52)-MAX($B$9,0.01*AA157+AA157*$G$52)&gt;1E-9,AA157*(1+$G$52)-MAX($B$9,0.01*AA157+AA157*$G$52),0),0)</f>
        <v/>
      </c>
      <c r="AB158">
        <f>AA157*$G$52</f>
        <v/>
      </c>
      <c r="AC158">
        <f>IF(AC157&gt;1E-9,IF(AC157*(1+$G$53)-MAX($B$9,0.01*AC157+AC157*$G$53)&gt;1E-9,AC157*(1+$G$53)-MAX($B$9,0.01*AC157+AC157*$G$53),0),0)</f>
        <v/>
      </c>
      <c r="AD158">
        <f>AC157*$G$53</f>
        <v/>
      </c>
      <c r="AE158">
        <f>IF(AE157&gt;1E-9,IF(AE157*(1+$G$54)-MAX($B$9,0.01*AE157+AE157*$G$54)&gt;1E-9,AE157*(1+$G$54)-MAX($B$9,0.01*AE157+AE157*$G$54),0),0)</f>
        <v/>
      </c>
      <c r="AF158">
        <f>AE157*$G$54</f>
        <v/>
      </c>
      <c r="AG158">
        <f>IF(AG157&gt;1E-9,IF(AG157*(1+$G$55)-MAX($B$9,0.01*AG157+AG157*$G$55)&gt;1E-9,AG157*(1+$G$55)-MAX($B$9,0.01*AG157+AG157*$G$55),0),0)</f>
        <v/>
      </c>
      <c r="AH158">
        <f>AG157*$G$55</f>
        <v/>
      </c>
      <c r="AI158">
        <f>G158+K158+O158+S158+W158</f>
        <v/>
      </c>
      <c r="AJ158">
        <f>AI157+AK158-AI158</f>
        <v/>
      </c>
      <c r="AK158">
        <f>H158+L158+P158+T158+X158</f>
        <v/>
      </c>
      <c r="AL158">
        <f>TEXT(EDATE($B$5,D158-1),"mmm yyyy")</f>
        <v/>
      </c>
      <c r="AM158">
        <f>AI158</f>
        <v/>
      </c>
    </row>
    <row r="159">
      <c r="D159" t="n">
        <v>98</v>
      </c>
      <c r="E159">
        <f>IF(G158&gt;0,MAX(0,G158*(1+$G$51)-$H$51),0)</f>
        <v/>
      </c>
      <c r="F159">
        <f>$B$6+IF($D159=$B$8,$B$7,0)</f>
        <v/>
      </c>
      <c r="G159">
        <f>IF(E159-F159&gt;1E-9,E159-F159,0)</f>
        <v/>
      </c>
      <c r="H159">
        <f>G158*$G$51</f>
        <v/>
      </c>
      <c r="I159">
        <f>IF(K158&gt;0,MAX(0,K158*(1+$G$52)-$H$52),0)</f>
        <v/>
      </c>
      <c r="J159">
        <f>MAX(0,F159-E159)</f>
        <v/>
      </c>
      <c r="K159">
        <f>IF(I159-J159&gt;1E-9,I159-J159,0)</f>
        <v/>
      </c>
      <c r="L159">
        <f>K158*$G$52</f>
        <v/>
      </c>
      <c r="M159">
        <f>IF(O158&gt;0,MAX(0,O158*(1+$G$53)-$H$53),0)</f>
        <v/>
      </c>
      <c r="N159">
        <f>MAX(0,J159-I159)</f>
        <v/>
      </c>
      <c r="O159">
        <f>IF(M159-N159&gt;1E-9,M159-N159,0)</f>
        <v/>
      </c>
      <c r="P159">
        <f>O158*$G$53</f>
        <v/>
      </c>
      <c r="Q159">
        <f>IF(S158&gt;0,MAX(0,S158*(1+$G$54)-$H$54),0)</f>
        <v/>
      </c>
      <c r="R159">
        <f>MAX(0,N159-M159)</f>
        <v/>
      </c>
      <c r="S159">
        <f>IF(Q159-R159&gt;1E-9,Q159-R159,0)</f>
        <v/>
      </c>
      <c r="T159">
        <f>S158*$G$54</f>
        <v/>
      </c>
      <c r="U159">
        <f>IF(W158&gt;0,MAX(0,W158*(1+$G$55)-$H$55),0)</f>
        <v/>
      </c>
      <c r="V159">
        <f>MAX(0,R159-Q159)</f>
        <v/>
      </c>
      <c r="W159">
        <f>IF(U159-V159&gt;1E-9,U159-V159,0)</f>
        <v/>
      </c>
      <c r="X159">
        <f>W158*$G$55</f>
        <v/>
      </c>
      <c r="Y159">
        <f>IF(Y158&gt;1E-9,IF(Y158*(1+$G$51)-MAX($B$9,0.01*Y158+Y158*$G$51)&gt;1E-9,Y158*(1+$G$51)-MAX($B$9,0.01*Y158+Y158*$G$51),0),0)</f>
        <v/>
      </c>
      <c r="Z159">
        <f>Y158*$G$51</f>
        <v/>
      </c>
      <c r="AA159">
        <f>IF(AA158&gt;1E-9,IF(AA158*(1+$G$52)-MAX($B$9,0.01*AA158+AA158*$G$52)&gt;1E-9,AA158*(1+$G$52)-MAX($B$9,0.01*AA158+AA158*$G$52),0),0)</f>
        <v/>
      </c>
      <c r="AB159">
        <f>AA158*$G$52</f>
        <v/>
      </c>
      <c r="AC159">
        <f>IF(AC158&gt;1E-9,IF(AC158*(1+$G$53)-MAX($B$9,0.01*AC158+AC158*$G$53)&gt;1E-9,AC158*(1+$G$53)-MAX($B$9,0.01*AC158+AC158*$G$53),0),0)</f>
        <v/>
      </c>
      <c r="AD159">
        <f>AC158*$G$53</f>
        <v/>
      </c>
      <c r="AE159">
        <f>IF(AE158&gt;1E-9,IF(AE158*(1+$G$54)-MAX($B$9,0.01*AE158+AE158*$G$54)&gt;1E-9,AE158*(1+$G$54)-MAX($B$9,0.01*AE158+AE158*$G$54),0),0)</f>
        <v/>
      </c>
      <c r="AF159">
        <f>AE158*$G$54</f>
        <v/>
      </c>
      <c r="AG159">
        <f>IF(AG158&gt;1E-9,IF(AG158*(1+$G$55)-MAX($B$9,0.01*AG158+AG158*$G$55)&gt;1E-9,AG158*(1+$G$55)-MAX($B$9,0.01*AG158+AG158*$G$55),0),0)</f>
        <v/>
      </c>
      <c r="AH159">
        <f>AG158*$G$55</f>
        <v/>
      </c>
      <c r="AI159">
        <f>G159+K159+O159+S159+W159</f>
        <v/>
      </c>
      <c r="AJ159">
        <f>AI158+AK159-AI159</f>
        <v/>
      </c>
      <c r="AK159">
        <f>H159+L159+P159+T159+X159</f>
        <v/>
      </c>
      <c r="AL159">
        <f>TEXT(EDATE($B$5,D159-1),"mmm yyyy")</f>
        <v/>
      </c>
      <c r="AM159">
        <f>AI159</f>
        <v/>
      </c>
    </row>
    <row r="160">
      <c r="D160" t="n">
        <v>99</v>
      </c>
      <c r="E160">
        <f>IF(G159&gt;0,MAX(0,G159*(1+$G$51)-$H$51),0)</f>
        <v/>
      </c>
      <c r="F160">
        <f>$B$6+IF($D160=$B$8,$B$7,0)</f>
        <v/>
      </c>
      <c r="G160">
        <f>IF(E160-F160&gt;1E-9,E160-F160,0)</f>
        <v/>
      </c>
      <c r="H160">
        <f>G159*$G$51</f>
        <v/>
      </c>
      <c r="I160">
        <f>IF(K159&gt;0,MAX(0,K159*(1+$G$52)-$H$52),0)</f>
        <v/>
      </c>
      <c r="J160">
        <f>MAX(0,F160-E160)</f>
        <v/>
      </c>
      <c r="K160">
        <f>IF(I160-J160&gt;1E-9,I160-J160,0)</f>
        <v/>
      </c>
      <c r="L160">
        <f>K159*$G$52</f>
        <v/>
      </c>
      <c r="M160">
        <f>IF(O159&gt;0,MAX(0,O159*(1+$G$53)-$H$53),0)</f>
        <v/>
      </c>
      <c r="N160">
        <f>MAX(0,J160-I160)</f>
        <v/>
      </c>
      <c r="O160">
        <f>IF(M160-N160&gt;1E-9,M160-N160,0)</f>
        <v/>
      </c>
      <c r="P160">
        <f>O159*$G$53</f>
        <v/>
      </c>
      <c r="Q160">
        <f>IF(S159&gt;0,MAX(0,S159*(1+$G$54)-$H$54),0)</f>
        <v/>
      </c>
      <c r="R160">
        <f>MAX(0,N160-M160)</f>
        <v/>
      </c>
      <c r="S160">
        <f>IF(Q160-R160&gt;1E-9,Q160-R160,0)</f>
        <v/>
      </c>
      <c r="T160">
        <f>S159*$G$54</f>
        <v/>
      </c>
      <c r="U160">
        <f>IF(W159&gt;0,MAX(0,W159*(1+$G$55)-$H$55),0)</f>
        <v/>
      </c>
      <c r="V160">
        <f>MAX(0,R160-Q160)</f>
        <v/>
      </c>
      <c r="W160">
        <f>IF(U160-V160&gt;1E-9,U160-V160,0)</f>
        <v/>
      </c>
      <c r="X160">
        <f>W159*$G$55</f>
        <v/>
      </c>
      <c r="Y160">
        <f>IF(Y159&gt;1E-9,IF(Y159*(1+$G$51)-MAX($B$9,0.01*Y159+Y159*$G$51)&gt;1E-9,Y159*(1+$G$51)-MAX($B$9,0.01*Y159+Y159*$G$51),0),0)</f>
        <v/>
      </c>
      <c r="Z160">
        <f>Y159*$G$51</f>
        <v/>
      </c>
      <c r="AA160">
        <f>IF(AA159&gt;1E-9,IF(AA159*(1+$G$52)-MAX($B$9,0.01*AA159+AA159*$G$52)&gt;1E-9,AA159*(1+$G$52)-MAX($B$9,0.01*AA159+AA159*$G$52),0),0)</f>
        <v/>
      </c>
      <c r="AB160">
        <f>AA159*$G$52</f>
        <v/>
      </c>
      <c r="AC160">
        <f>IF(AC159&gt;1E-9,IF(AC159*(1+$G$53)-MAX($B$9,0.01*AC159+AC159*$G$53)&gt;1E-9,AC159*(1+$G$53)-MAX($B$9,0.01*AC159+AC159*$G$53),0),0)</f>
        <v/>
      </c>
      <c r="AD160">
        <f>AC159*$G$53</f>
        <v/>
      </c>
      <c r="AE160">
        <f>IF(AE159&gt;1E-9,IF(AE159*(1+$G$54)-MAX($B$9,0.01*AE159+AE159*$G$54)&gt;1E-9,AE159*(1+$G$54)-MAX($B$9,0.01*AE159+AE159*$G$54),0),0)</f>
        <v/>
      </c>
      <c r="AF160">
        <f>AE159*$G$54</f>
        <v/>
      </c>
      <c r="AG160">
        <f>IF(AG159&gt;1E-9,IF(AG159*(1+$G$55)-MAX($B$9,0.01*AG159+AG159*$G$55)&gt;1E-9,AG159*(1+$G$55)-MAX($B$9,0.01*AG159+AG159*$G$55),0),0)</f>
        <v/>
      </c>
      <c r="AH160">
        <f>AG159*$G$55</f>
        <v/>
      </c>
      <c r="AI160">
        <f>G160+K160+O160+S160+W160</f>
        <v/>
      </c>
      <c r="AJ160">
        <f>AI159+AK160-AI160</f>
        <v/>
      </c>
      <c r="AK160">
        <f>H160+L160+P160+T160+X160</f>
        <v/>
      </c>
      <c r="AL160">
        <f>TEXT(EDATE($B$5,D160-1),"mmm yyyy")</f>
        <v/>
      </c>
      <c r="AM160">
        <f>AI160</f>
        <v/>
      </c>
    </row>
    <row r="161">
      <c r="D161" t="n">
        <v>100</v>
      </c>
      <c r="E161">
        <f>IF(G160&gt;0,MAX(0,G160*(1+$G$51)-$H$51),0)</f>
        <v/>
      </c>
      <c r="F161">
        <f>$B$6+IF($D161=$B$8,$B$7,0)</f>
        <v/>
      </c>
      <c r="G161">
        <f>IF(E161-F161&gt;1E-9,E161-F161,0)</f>
        <v/>
      </c>
      <c r="H161">
        <f>G160*$G$51</f>
        <v/>
      </c>
      <c r="I161">
        <f>IF(K160&gt;0,MAX(0,K160*(1+$G$52)-$H$52),0)</f>
        <v/>
      </c>
      <c r="J161">
        <f>MAX(0,F161-E161)</f>
        <v/>
      </c>
      <c r="K161">
        <f>IF(I161-J161&gt;1E-9,I161-J161,0)</f>
        <v/>
      </c>
      <c r="L161">
        <f>K160*$G$52</f>
        <v/>
      </c>
      <c r="M161">
        <f>IF(O160&gt;0,MAX(0,O160*(1+$G$53)-$H$53),0)</f>
        <v/>
      </c>
      <c r="N161">
        <f>MAX(0,J161-I161)</f>
        <v/>
      </c>
      <c r="O161">
        <f>IF(M161-N161&gt;1E-9,M161-N161,0)</f>
        <v/>
      </c>
      <c r="P161">
        <f>O160*$G$53</f>
        <v/>
      </c>
      <c r="Q161">
        <f>IF(S160&gt;0,MAX(0,S160*(1+$G$54)-$H$54),0)</f>
        <v/>
      </c>
      <c r="R161">
        <f>MAX(0,N161-M161)</f>
        <v/>
      </c>
      <c r="S161">
        <f>IF(Q161-R161&gt;1E-9,Q161-R161,0)</f>
        <v/>
      </c>
      <c r="T161">
        <f>S160*$G$54</f>
        <v/>
      </c>
      <c r="U161">
        <f>IF(W160&gt;0,MAX(0,W160*(1+$G$55)-$H$55),0)</f>
        <v/>
      </c>
      <c r="V161">
        <f>MAX(0,R161-Q161)</f>
        <v/>
      </c>
      <c r="W161">
        <f>IF(U161-V161&gt;1E-9,U161-V161,0)</f>
        <v/>
      </c>
      <c r="X161">
        <f>W160*$G$55</f>
        <v/>
      </c>
      <c r="Y161">
        <f>IF(Y160&gt;1E-9,IF(Y160*(1+$G$51)-MAX($B$9,0.01*Y160+Y160*$G$51)&gt;1E-9,Y160*(1+$G$51)-MAX($B$9,0.01*Y160+Y160*$G$51),0),0)</f>
        <v/>
      </c>
      <c r="Z161">
        <f>Y160*$G$51</f>
        <v/>
      </c>
      <c r="AA161">
        <f>IF(AA160&gt;1E-9,IF(AA160*(1+$G$52)-MAX($B$9,0.01*AA160+AA160*$G$52)&gt;1E-9,AA160*(1+$G$52)-MAX($B$9,0.01*AA160+AA160*$G$52),0),0)</f>
        <v/>
      </c>
      <c r="AB161">
        <f>AA160*$G$52</f>
        <v/>
      </c>
      <c r="AC161">
        <f>IF(AC160&gt;1E-9,IF(AC160*(1+$G$53)-MAX($B$9,0.01*AC160+AC160*$G$53)&gt;1E-9,AC160*(1+$G$53)-MAX($B$9,0.01*AC160+AC160*$G$53),0),0)</f>
        <v/>
      </c>
      <c r="AD161">
        <f>AC160*$G$53</f>
        <v/>
      </c>
      <c r="AE161">
        <f>IF(AE160&gt;1E-9,IF(AE160*(1+$G$54)-MAX($B$9,0.01*AE160+AE160*$G$54)&gt;1E-9,AE160*(1+$G$54)-MAX($B$9,0.01*AE160+AE160*$G$54),0),0)</f>
        <v/>
      </c>
      <c r="AF161">
        <f>AE160*$G$54</f>
        <v/>
      </c>
      <c r="AG161">
        <f>IF(AG160&gt;1E-9,IF(AG160*(1+$G$55)-MAX($B$9,0.01*AG160+AG160*$G$55)&gt;1E-9,AG160*(1+$G$55)-MAX($B$9,0.01*AG160+AG160*$G$55),0),0)</f>
        <v/>
      </c>
      <c r="AH161">
        <f>AG160*$G$55</f>
        <v/>
      </c>
      <c r="AI161">
        <f>G161+K161+O161+S161+W161</f>
        <v/>
      </c>
      <c r="AJ161">
        <f>AI160+AK161-AI161</f>
        <v/>
      </c>
      <c r="AK161">
        <f>H161+L161+P161+T161+X161</f>
        <v/>
      </c>
      <c r="AL161">
        <f>TEXT(EDATE($B$5,D161-1),"mmm yyyy")</f>
        <v/>
      </c>
      <c r="AM161">
        <f>AI161</f>
        <v/>
      </c>
    </row>
    <row r="162">
      <c r="D162" t="n">
        <v>101</v>
      </c>
      <c r="E162">
        <f>IF(G161&gt;0,MAX(0,G161*(1+$G$51)-$H$51),0)</f>
        <v/>
      </c>
      <c r="F162">
        <f>$B$6+IF($D162=$B$8,$B$7,0)</f>
        <v/>
      </c>
      <c r="G162">
        <f>IF(E162-F162&gt;1E-9,E162-F162,0)</f>
        <v/>
      </c>
      <c r="H162">
        <f>G161*$G$51</f>
        <v/>
      </c>
      <c r="I162">
        <f>IF(K161&gt;0,MAX(0,K161*(1+$G$52)-$H$52),0)</f>
        <v/>
      </c>
      <c r="J162">
        <f>MAX(0,F162-E162)</f>
        <v/>
      </c>
      <c r="K162">
        <f>IF(I162-J162&gt;1E-9,I162-J162,0)</f>
        <v/>
      </c>
      <c r="L162">
        <f>K161*$G$52</f>
        <v/>
      </c>
      <c r="M162">
        <f>IF(O161&gt;0,MAX(0,O161*(1+$G$53)-$H$53),0)</f>
        <v/>
      </c>
      <c r="N162">
        <f>MAX(0,J162-I162)</f>
        <v/>
      </c>
      <c r="O162">
        <f>IF(M162-N162&gt;1E-9,M162-N162,0)</f>
        <v/>
      </c>
      <c r="P162">
        <f>O161*$G$53</f>
        <v/>
      </c>
      <c r="Q162">
        <f>IF(S161&gt;0,MAX(0,S161*(1+$G$54)-$H$54),0)</f>
        <v/>
      </c>
      <c r="R162">
        <f>MAX(0,N162-M162)</f>
        <v/>
      </c>
      <c r="S162">
        <f>IF(Q162-R162&gt;1E-9,Q162-R162,0)</f>
        <v/>
      </c>
      <c r="T162">
        <f>S161*$G$54</f>
        <v/>
      </c>
      <c r="U162">
        <f>IF(W161&gt;0,MAX(0,W161*(1+$G$55)-$H$55),0)</f>
        <v/>
      </c>
      <c r="V162">
        <f>MAX(0,R162-Q162)</f>
        <v/>
      </c>
      <c r="W162">
        <f>IF(U162-V162&gt;1E-9,U162-V162,0)</f>
        <v/>
      </c>
      <c r="X162">
        <f>W161*$G$55</f>
        <v/>
      </c>
      <c r="Y162">
        <f>IF(Y161&gt;1E-9,IF(Y161*(1+$G$51)-MAX($B$9,0.01*Y161+Y161*$G$51)&gt;1E-9,Y161*(1+$G$51)-MAX($B$9,0.01*Y161+Y161*$G$51),0),0)</f>
        <v/>
      </c>
      <c r="Z162">
        <f>Y161*$G$51</f>
        <v/>
      </c>
      <c r="AA162">
        <f>IF(AA161&gt;1E-9,IF(AA161*(1+$G$52)-MAX($B$9,0.01*AA161+AA161*$G$52)&gt;1E-9,AA161*(1+$G$52)-MAX($B$9,0.01*AA161+AA161*$G$52),0),0)</f>
        <v/>
      </c>
      <c r="AB162">
        <f>AA161*$G$52</f>
        <v/>
      </c>
      <c r="AC162">
        <f>IF(AC161&gt;1E-9,IF(AC161*(1+$G$53)-MAX($B$9,0.01*AC161+AC161*$G$53)&gt;1E-9,AC161*(1+$G$53)-MAX($B$9,0.01*AC161+AC161*$G$53),0),0)</f>
        <v/>
      </c>
      <c r="AD162">
        <f>AC161*$G$53</f>
        <v/>
      </c>
      <c r="AE162">
        <f>IF(AE161&gt;1E-9,IF(AE161*(1+$G$54)-MAX($B$9,0.01*AE161+AE161*$G$54)&gt;1E-9,AE161*(1+$G$54)-MAX($B$9,0.01*AE161+AE161*$G$54),0),0)</f>
        <v/>
      </c>
      <c r="AF162">
        <f>AE161*$G$54</f>
        <v/>
      </c>
      <c r="AG162">
        <f>IF(AG161&gt;1E-9,IF(AG161*(1+$G$55)-MAX($B$9,0.01*AG161+AG161*$G$55)&gt;1E-9,AG161*(1+$G$55)-MAX($B$9,0.01*AG161+AG161*$G$55),0),0)</f>
        <v/>
      </c>
      <c r="AH162">
        <f>AG161*$G$55</f>
        <v/>
      </c>
      <c r="AI162">
        <f>G162+K162+O162+S162+W162</f>
        <v/>
      </c>
      <c r="AJ162">
        <f>AI161+AK162-AI162</f>
        <v/>
      </c>
      <c r="AK162">
        <f>H162+L162+P162+T162+X162</f>
        <v/>
      </c>
      <c r="AL162">
        <f>TEXT(EDATE($B$5,D162-1),"mmm yyyy")</f>
        <v/>
      </c>
      <c r="AM162">
        <f>AI162</f>
        <v/>
      </c>
    </row>
    <row r="163">
      <c r="D163" t="n">
        <v>102</v>
      </c>
      <c r="E163">
        <f>IF(G162&gt;0,MAX(0,G162*(1+$G$51)-$H$51),0)</f>
        <v/>
      </c>
      <c r="F163">
        <f>$B$6+IF($D163=$B$8,$B$7,0)</f>
        <v/>
      </c>
      <c r="G163">
        <f>IF(E163-F163&gt;1E-9,E163-F163,0)</f>
        <v/>
      </c>
      <c r="H163">
        <f>G162*$G$51</f>
        <v/>
      </c>
      <c r="I163">
        <f>IF(K162&gt;0,MAX(0,K162*(1+$G$52)-$H$52),0)</f>
        <v/>
      </c>
      <c r="J163">
        <f>MAX(0,F163-E163)</f>
        <v/>
      </c>
      <c r="K163">
        <f>IF(I163-J163&gt;1E-9,I163-J163,0)</f>
        <v/>
      </c>
      <c r="L163">
        <f>K162*$G$52</f>
        <v/>
      </c>
      <c r="M163">
        <f>IF(O162&gt;0,MAX(0,O162*(1+$G$53)-$H$53),0)</f>
        <v/>
      </c>
      <c r="N163">
        <f>MAX(0,J163-I163)</f>
        <v/>
      </c>
      <c r="O163">
        <f>IF(M163-N163&gt;1E-9,M163-N163,0)</f>
        <v/>
      </c>
      <c r="P163">
        <f>O162*$G$53</f>
        <v/>
      </c>
      <c r="Q163">
        <f>IF(S162&gt;0,MAX(0,S162*(1+$G$54)-$H$54),0)</f>
        <v/>
      </c>
      <c r="R163">
        <f>MAX(0,N163-M163)</f>
        <v/>
      </c>
      <c r="S163">
        <f>IF(Q163-R163&gt;1E-9,Q163-R163,0)</f>
        <v/>
      </c>
      <c r="T163">
        <f>S162*$G$54</f>
        <v/>
      </c>
      <c r="U163">
        <f>IF(W162&gt;0,MAX(0,W162*(1+$G$55)-$H$55),0)</f>
        <v/>
      </c>
      <c r="V163">
        <f>MAX(0,R163-Q163)</f>
        <v/>
      </c>
      <c r="W163">
        <f>IF(U163-V163&gt;1E-9,U163-V163,0)</f>
        <v/>
      </c>
      <c r="X163">
        <f>W162*$G$55</f>
        <v/>
      </c>
      <c r="Y163">
        <f>IF(Y162&gt;1E-9,IF(Y162*(1+$G$51)-MAX($B$9,0.01*Y162+Y162*$G$51)&gt;1E-9,Y162*(1+$G$51)-MAX($B$9,0.01*Y162+Y162*$G$51),0),0)</f>
        <v/>
      </c>
      <c r="Z163">
        <f>Y162*$G$51</f>
        <v/>
      </c>
      <c r="AA163">
        <f>IF(AA162&gt;1E-9,IF(AA162*(1+$G$52)-MAX($B$9,0.01*AA162+AA162*$G$52)&gt;1E-9,AA162*(1+$G$52)-MAX($B$9,0.01*AA162+AA162*$G$52),0),0)</f>
        <v/>
      </c>
      <c r="AB163">
        <f>AA162*$G$52</f>
        <v/>
      </c>
      <c r="AC163">
        <f>IF(AC162&gt;1E-9,IF(AC162*(1+$G$53)-MAX($B$9,0.01*AC162+AC162*$G$53)&gt;1E-9,AC162*(1+$G$53)-MAX($B$9,0.01*AC162+AC162*$G$53),0),0)</f>
        <v/>
      </c>
      <c r="AD163">
        <f>AC162*$G$53</f>
        <v/>
      </c>
      <c r="AE163">
        <f>IF(AE162&gt;1E-9,IF(AE162*(1+$G$54)-MAX($B$9,0.01*AE162+AE162*$G$54)&gt;1E-9,AE162*(1+$G$54)-MAX($B$9,0.01*AE162+AE162*$G$54),0),0)</f>
        <v/>
      </c>
      <c r="AF163">
        <f>AE162*$G$54</f>
        <v/>
      </c>
      <c r="AG163">
        <f>IF(AG162&gt;1E-9,IF(AG162*(1+$G$55)-MAX($B$9,0.01*AG162+AG162*$G$55)&gt;1E-9,AG162*(1+$G$55)-MAX($B$9,0.01*AG162+AG162*$G$55),0),0)</f>
        <v/>
      </c>
      <c r="AH163">
        <f>AG162*$G$55</f>
        <v/>
      </c>
      <c r="AI163">
        <f>G163+K163+O163+S163+W163</f>
        <v/>
      </c>
      <c r="AJ163">
        <f>AI162+AK163-AI163</f>
        <v/>
      </c>
      <c r="AK163">
        <f>H163+L163+P163+T163+X163</f>
        <v/>
      </c>
      <c r="AL163">
        <f>TEXT(EDATE($B$5,D163-1),"mmm yyyy")</f>
        <v/>
      </c>
      <c r="AM163">
        <f>AI163</f>
        <v/>
      </c>
    </row>
    <row r="164">
      <c r="D164" t="n">
        <v>103</v>
      </c>
      <c r="E164">
        <f>IF(G163&gt;0,MAX(0,G163*(1+$G$51)-$H$51),0)</f>
        <v/>
      </c>
      <c r="F164">
        <f>$B$6+IF($D164=$B$8,$B$7,0)</f>
        <v/>
      </c>
      <c r="G164">
        <f>IF(E164-F164&gt;1E-9,E164-F164,0)</f>
        <v/>
      </c>
      <c r="H164">
        <f>G163*$G$51</f>
        <v/>
      </c>
      <c r="I164">
        <f>IF(K163&gt;0,MAX(0,K163*(1+$G$52)-$H$52),0)</f>
        <v/>
      </c>
      <c r="J164">
        <f>MAX(0,F164-E164)</f>
        <v/>
      </c>
      <c r="K164">
        <f>IF(I164-J164&gt;1E-9,I164-J164,0)</f>
        <v/>
      </c>
      <c r="L164">
        <f>K163*$G$52</f>
        <v/>
      </c>
      <c r="M164">
        <f>IF(O163&gt;0,MAX(0,O163*(1+$G$53)-$H$53),0)</f>
        <v/>
      </c>
      <c r="N164">
        <f>MAX(0,J164-I164)</f>
        <v/>
      </c>
      <c r="O164">
        <f>IF(M164-N164&gt;1E-9,M164-N164,0)</f>
        <v/>
      </c>
      <c r="P164">
        <f>O163*$G$53</f>
        <v/>
      </c>
      <c r="Q164">
        <f>IF(S163&gt;0,MAX(0,S163*(1+$G$54)-$H$54),0)</f>
        <v/>
      </c>
      <c r="R164">
        <f>MAX(0,N164-M164)</f>
        <v/>
      </c>
      <c r="S164">
        <f>IF(Q164-R164&gt;1E-9,Q164-R164,0)</f>
        <v/>
      </c>
      <c r="T164">
        <f>S163*$G$54</f>
        <v/>
      </c>
      <c r="U164">
        <f>IF(W163&gt;0,MAX(0,W163*(1+$G$55)-$H$55),0)</f>
        <v/>
      </c>
      <c r="V164">
        <f>MAX(0,R164-Q164)</f>
        <v/>
      </c>
      <c r="W164">
        <f>IF(U164-V164&gt;1E-9,U164-V164,0)</f>
        <v/>
      </c>
      <c r="X164">
        <f>W163*$G$55</f>
        <v/>
      </c>
      <c r="Y164">
        <f>IF(Y163&gt;1E-9,IF(Y163*(1+$G$51)-MAX($B$9,0.01*Y163+Y163*$G$51)&gt;1E-9,Y163*(1+$G$51)-MAX($B$9,0.01*Y163+Y163*$G$51),0),0)</f>
        <v/>
      </c>
      <c r="Z164">
        <f>Y163*$G$51</f>
        <v/>
      </c>
      <c r="AA164">
        <f>IF(AA163&gt;1E-9,IF(AA163*(1+$G$52)-MAX($B$9,0.01*AA163+AA163*$G$52)&gt;1E-9,AA163*(1+$G$52)-MAX($B$9,0.01*AA163+AA163*$G$52),0),0)</f>
        <v/>
      </c>
      <c r="AB164">
        <f>AA163*$G$52</f>
        <v/>
      </c>
      <c r="AC164">
        <f>IF(AC163&gt;1E-9,IF(AC163*(1+$G$53)-MAX($B$9,0.01*AC163+AC163*$G$53)&gt;1E-9,AC163*(1+$G$53)-MAX($B$9,0.01*AC163+AC163*$G$53),0),0)</f>
        <v/>
      </c>
      <c r="AD164">
        <f>AC163*$G$53</f>
        <v/>
      </c>
      <c r="AE164">
        <f>IF(AE163&gt;1E-9,IF(AE163*(1+$G$54)-MAX($B$9,0.01*AE163+AE163*$G$54)&gt;1E-9,AE163*(1+$G$54)-MAX($B$9,0.01*AE163+AE163*$G$54),0),0)</f>
        <v/>
      </c>
      <c r="AF164">
        <f>AE163*$G$54</f>
        <v/>
      </c>
      <c r="AG164">
        <f>IF(AG163&gt;1E-9,IF(AG163*(1+$G$55)-MAX($B$9,0.01*AG163+AG163*$G$55)&gt;1E-9,AG163*(1+$G$55)-MAX($B$9,0.01*AG163+AG163*$G$55),0),0)</f>
        <v/>
      </c>
      <c r="AH164">
        <f>AG163*$G$55</f>
        <v/>
      </c>
      <c r="AI164">
        <f>G164+K164+O164+S164+W164</f>
        <v/>
      </c>
      <c r="AJ164">
        <f>AI163+AK164-AI164</f>
        <v/>
      </c>
      <c r="AK164">
        <f>H164+L164+P164+T164+X164</f>
        <v/>
      </c>
      <c r="AL164">
        <f>TEXT(EDATE($B$5,D164-1),"mmm yyyy")</f>
        <v/>
      </c>
      <c r="AM164">
        <f>AI164</f>
        <v/>
      </c>
    </row>
    <row r="165">
      <c r="D165" t="n">
        <v>104</v>
      </c>
      <c r="E165">
        <f>IF(G164&gt;0,MAX(0,G164*(1+$G$51)-$H$51),0)</f>
        <v/>
      </c>
      <c r="F165">
        <f>$B$6+IF($D165=$B$8,$B$7,0)</f>
        <v/>
      </c>
      <c r="G165">
        <f>IF(E165-F165&gt;1E-9,E165-F165,0)</f>
        <v/>
      </c>
      <c r="H165">
        <f>G164*$G$51</f>
        <v/>
      </c>
      <c r="I165">
        <f>IF(K164&gt;0,MAX(0,K164*(1+$G$52)-$H$52),0)</f>
        <v/>
      </c>
      <c r="J165">
        <f>MAX(0,F165-E165)</f>
        <v/>
      </c>
      <c r="K165">
        <f>IF(I165-J165&gt;1E-9,I165-J165,0)</f>
        <v/>
      </c>
      <c r="L165">
        <f>K164*$G$52</f>
        <v/>
      </c>
      <c r="M165">
        <f>IF(O164&gt;0,MAX(0,O164*(1+$G$53)-$H$53),0)</f>
        <v/>
      </c>
      <c r="N165">
        <f>MAX(0,J165-I165)</f>
        <v/>
      </c>
      <c r="O165">
        <f>IF(M165-N165&gt;1E-9,M165-N165,0)</f>
        <v/>
      </c>
      <c r="P165">
        <f>O164*$G$53</f>
        <v/>
      </c>
      <c r="Q165">
        <f>IF(S164&gt;0,MAX(0,S164*(1+$G$54)-$H$54),0)</f>
        <v/>
      </c>
      <c r="R165">
        <f>MAX(0,N165-M165)</f>
        <v/>
      </c>
      <c r="S165">
        <f>IF(Q165-R165&gt;1E-9,Q165-R165,0)</f>
        <v/>
      </c>
      <c r="T165">
        <f>S164*$G$54</f>
        <v/>
      </c>
      <c r="U165">
        <f>IF(W164&gt;0,MAX(0,W164*(1+$G$55)-$H$55),0)</f>
        <v/>
      </c>
      <c r="V165">
        <f>MAX(0,R165-Q165)</f>
        <v/>
      </c>
      <c r="W165">
        <f>IF(U165-V165&gt;1E-9,U165-V165,0)</f>
        <v/>
      </c>
      <c r="X165">
        <f>W164*$G$55</f>
        <v/>
      </c>
      <c r="Y165">
        <f>IF(Y164&gt;1E-9,IF(Y164*(1+$G$51)-MAX($B$9,0.01*Y164+Y164*$G$51)&gt;1E-9,Y164*(1+$G$51)-MAX($B$9,0.01*Y164+Y164*$G$51),0),0)</f>
        <v/>
      </c>
      <c r="Z165">
        <f>Y164*$G$51</f>
        <v/>
      </c>
      <c r="AA165">
        <f>IF(AA164&gt;1E-9,IF(AA164*(1+$G$52)-MAX($B$9,0.01*AA164+AA164*$G$52)&gt;1E-9,AA164*(1+$G$52)-MAX($B$9,0.01*AA164+AA164*$G$52),0),0)</f>
        <v/>
      </c>
      <c r="AB165">
        <f>AA164*$G$52</f>
        <v/>
      </c>
      <c r="AC165">
        <f>IF(AC164&gt;1E-9,IF(AC164*(1+$G$53)-MAX($B$9,0.01*AC164+AC164*$G$53)&gt;1E-9,AC164*(1+$G$53)-MAX($B$9,0.01*AC164+AC164*$G$53),0),0)</f>
        <v/>
      </c>
      <c r="AD165">
        <f>AC164*$G$53</f>
        <v/>
      </c>
      <c r="AE165">
        <f>IF(AE164&gt;1E-9,IF(AE164*(1+$G$54)-MAX($B$9,0.01*AE164+AE164*$G$54)&gt;1E-9,AE164*(1+$G$54)-MAX($B$9,0.01*AE164+AE164*$G$54),0),0)</f>
        <v/>
      </c>
      <c r="AF165">
        <f>AE164*$G$54</f>
        <v/>
      </c>
      <c r="AG165">
        <f>IF(AG164&gt;1E-9,IF(AG164*(1+$G$55)-MAX($B$9,0.01*AG164+AG164*$G$55)&gt;1E-9,AG164*(1+$G$55)-MAX($B$9,0.01*AG164+AG164*$G$55),0),0)</f>
        <v/>
      </c>
      <c r="AH165">
        <f>AG164*$G$55</f>
        <v/>
      </c>
      <c r="AI165">
        <f>G165+K165+O165+S165+W165</f>
        <v/>
      </c>
      <c r="AJ165">
        <f>AI164+AK165-AI165</f>
        <v/>
      </c>
      <c r="AK165">
        <f>H165+L165+P165+T165+X165</f>
        <v/>
      </c>
      <c r="AL165">
        <f>TEXT(EDATE($B$5,D165-1),"mmm yyyy")</f>
        <v/>
      </c>
      <c r="AM165">
        <f>AI165</f>
        <v/>
      </c>
    </row>
    <row r="166">
      <c r="D166" t="n">
        <v>105</v>
      </c>
      <c r="E166">
        <f>IF(G165&gt;0,MAX(0,G165*(1+$G$51)-$H$51),0)</f>
        <v/>
      </c>
      <c r="F166">
        <f>$B$6+IF($D166=$B$8,$B$7,0)</f>
        <v/>
      </c>
      <c r="G166">
        <f>IF(E166-F166&gt;1E-9,E166-F166,0)</f>
        <v/>
      </c>
      <c r="H166">
        <f>G165*$G$51</f>
        <v/>
      </c>
      <c r="I166">
        <f>IF(K165&gt;0,MAX(0,K165*(1+$G$52)-$H$52),0)</f>
        <v/>
      </c>
      <c r="J166">
        <f>MAX(0,F166-E166)</f>
        <v/>
      </c>
      <c r="K166">
        <f>IF(I166-J166&gt;1E-9,I166-J166,0)</f>
        <v/>
      </c>
      <c r="L166">
        <f>K165*$G$52</f>
        <v/>
      </c>
      <c r="M166">
        <f>IF(O165&gt;0,MAX(0,O165*(1+$G$53)-$H$53),0)</f>
        <v/>
      </c>
      <c r="N166">
        <f>MAX(0,J166-I166)</f>
        <v/>
      </c>
      <c r="O166">
        <f>IF(M166-N166&gt;1E-9,M166-N166,0)</f>
        <v/>
      </c>
      <c r="P166">
        <f>O165*$G$53</f>
        <v/>
      </c>
      <c r="Q166">
        <f>IF(S165&gt;0,MAX(0,S165*(1+$G$54)-$H$54),0)</f>
        <v/>
      </c>
      <c r="R166">
        <f>MAX(0,N166-M166)</f>
        <v/>
      </c>
      <c r="S166">
        <f>IF(Q166-R166&gt;1E-9,Q166-R166,0)</f>
        <v/>
      </c>
      <c r="T166">
        <f>S165*$G$54</f>
        <v/>
      </c>
      <c r="U166">
        <f>IF(W165&gt;0,MAX(0,W165*(1+$G$55)-$H$55),0)</f>
        <v/>
      </c>
      <c r="V166">
        <f>MAX(0,R166-Q166)</f>
        <v/>
      </c>
      <c r="W166">
        <f>IF(U166-V166&gt;1E-9,U166-V166,0)</f>
        <v/>
      </c>
      <c r="X166">
        <f>W165*$G$55</f>
        <v/>
      </c>
      <c r="Y166">
        <f>IF(Y165&gt;1E-9,IF(Y165*(1+$G$51)-MAX($B$9,0.01*Y165+Y165*$G$51)&gt;1E-9,Y165*(1+$G$51)-MAX($B$9,0.01*Y165+Y165*$G$51),0),0)</f>
        <v/>
      </c>
      <c r="Z166">
        <f>Y165*$G$51</f>
        <v/>
      </c>
      <c r="AA166">
        <f>IF(AA165&gt;1E-9,IF(AA165*(1+$G$52)-MAX($B$9,0.01*AA165+AA165*$G$52)&gt;1E-9,AA165*(1+$G$52)-MAX($B$9,0.01*AA165+AA165*$G$52),0),0)</f>
        <v/>
      </c>
      <c r="AB166">
        <f>AA165*$G$52</f>
        <v/>
      </c>
      <c r="AC166">
        <f>IF(AC165&gt;1E-9,IF(AC165*(1+$G$53)-MAX($B$9,0.01*AC165+AC165*$G$53)&gt;1E-9,AC165*(1+$G$53)-MAX($B$9,0.01*AC165+AC165*$G$53),0),0)</f>
        <v/>
      </c>
      <c r="AD166">
        <f>AC165*$G$53</f>
        <v/>
      </c>
      <c r="AE166">
        <f>IF(AE165&gt;1E-9,IF(AE165*(1+$G$54)-MAX($B$9,0.01*AE165+AE165*$G$54)&gt;1E-9,AE165*(1+$G$54)-MAX($B$9,0.01*AE165+AE165*$G$54),0),0)</f>
        <v/>
      </c>
      <c r="AF166">
        <f>AE165*$G$54</f>
        <v/>
      </c>
      <c r="AG166">
        <f>IF(AG165&gt;1E-9,IF(AG165*(1+$G$55)-MAX($B$9,0.01*AG165+AG165*$G$55)&gt;1E-9,AG165*(1+$G$55)-MAX($B$9,0.01*AG165+AG165*$G$55),0),0)</f>
        <v/>
      </c>
      <c r="AH166">
        <f>AG165*$G$55</f>
        <v/>
      </c>
      <c r="AI166">
        <f>G166+K166+O166+S166+W166</f>
        <v/>
      </c>
      <c r="AJ166">
        <f>AI165+AK166-AI166</f>
        <v/>
      </c>
      <c r="AK166">
        <f>H166+L166+P166+T166+X166</f>
        <v/>
      </c>
      <c r="AL166">
        <f>TEXT(EDATE($B$5,D166-1),"mmm yyyy")</f>
        <v/>
      </c>
      <c r="AM166">
        <f>AI166</f>
        <v/>
      </c>
    </row>
    <row r="167">
      <c r="D167" t="n">
        <v>106</v>
      </c>
      <c r="E167">
        <f>IF(G166&gt;0,MAX(0,G166*(1+$G$51)-$H$51),0)</f>
        <v/>
      </c>
      <c r="F167">
        <f>$B$6+IF($D167=$B$8,$B$7,0)</f>
        <v/>
      </c>
      <c r="G167">
        <f>IF(E167-F167&gt;1E-9,E167-F167,0)</f>
        <v/>
      </c>
      <c r="H167">
        <f>G166*$G$51</f>
        <v/>
      </c>
      <c r="I167">
        <f>IF(K166&gt;0,MAX(0,K166*(1+$G$52)-$H$52),0)</f>
        <v/>
      </c>
      <c r="J167">
        <f>MAX(0,F167-E167)</f>
        <v/>
      </c>
      <c r="K167">
        <f>IF(I167-J167&gt;1E-9,I167-J167,0)</f>
        <v/>
      </c>
      <c r="L167">
        <f>K166*$G$52</f>
        <v/>
      </c>
      <c r="M167">
        <f>IF(O166&gt;0,MAX(0,O166*(1+$G$53)-$H$53),0)</f>
        <v/>
      </c>
      <c r="N167">
        <f>MAX(0,J167-I167)</f>
        <v/>
      </c>
      <c r="O167">
        <f>IF(M167-N167&gt;1E-9,M167-N167,0)</f>
        <v/>
      </c>
      <c r="P167">
        <f>O166*$G$53</f>
        <v/>
      </c>
      <c r="Q167">
        <f>IF(S166&gt;0,MAX(0,S166*(1+$G$54)-$H$54),0)</f>
        <v/>
      </c>
      <c r="R167">
        <f>MAX(0,N167-M167)</f>
        <v/>
      </c>
      <c r="S167">
        <f>IF(Q167-R167&gt;1E-9,Q167-R167,0)</f>
        <v/>
      </c>
      <c r="T167">
        <f>S166*$G$54</f>
        <v/>
      </c>
      <c r="U167">
        <f>IF(W166&gt;0,MAX(0,W166*(1+$G$55)-$H$55),0)</f>
        <v/>
      </c>
      <c r="V167">
        <f>MAX(0,R167-Q167)</f>
        <v/>
      </c>
      <c r="W167">
        <f>IF(U167-V167&gt;1E-9,U167-V167,0)</f>
        <v/>
      </c>
      <c r="X167">
        <f>W166*$G$55</f>
        <v/>
      </c>
      <c r="Y167">
        <f>IF(Y166&gt;1E-9,IF(Y166*(1+$G$51)-MAX($B$9,0.01*Y166+Y166*$G$51)&gt;1E-9,Y166*(1+$G$51)-MAX($B$9,0.01*Y166+Y166*$G$51),0),0)</f>
        <v/>
      </c>
      <c r="Z167">
        <f>Y166*$G$51</f>
        <v/>
      </c>
      <c r="AA167">
        <f>IF(AA166&gt;1E-9,IF(AA166*(1+$G$52)-MAX($B$9,0.01*AA166+AA166*$G$52)&gt;1E-9,AA166*(1+$G$52)-MAX($B$9,0.01*AA166+AA166*$G$52),0),0)</f>
        <v/>
      </c>
      <c r="AB167">
        <f>AA166*$G$52</f>
        <v/>
      </c>
      <c r="AC167">
        <f>IF(AC166&gt;1E-9,IF(AC166*(1+$G$53)-MAX($B$9,0.01*AC166+AC166*$G$53)&gt;1E-9,AC166*(1+$G$53)-MAX($B$9,0.01*AC166+AC166*$G$53),0),0)</f>
        <v/>
      </c>
      <c r="AD167">
        <f>AC166*$G$53</f>
        <v/>
      </c>
      <c r="AE167">
        <f>IF(AE166&gt;1E-9,IF(AE166*(1+$G$54)-MAX($B$9,0.01*AE166+AE166*$G$54)&gt;1E-9,AE166*(1+$G$54)-MAX($B$9,0.01*AE166+AE166*$G$54),0),0)</f>
        <v/>
      </c>
      <c r="AF167">
        <f>AE166*$G$54</f>
        <v/>
      </c>
      <c r="AG167">
        <f>IF(AG166&gt;1E-9,IF(AG166*(1+$G$55)-MAX($B$9,0.01*AG166+AG166*$G$55)&gt;1E-9,AG166*(1+$G$55)-MAX($B$9,0.01*AG166+AG166*$G$55),0),0)</f>
        <v/>
      </c>
      <c r="AH167">
        <f>AG166*$G$55</f>
        <v/>
      </c>
      <c r="AI167">
        <f>G167+K167+O167+S167+W167</f>
        <v/>
      </c>
      <c r="AJ167">
        <f>AI166+AK167-AI167</f>
        <v/>
      </c>
      <c r="AK167">
        <f>H167+L167+P167+T167+X167</f>
        <v/>
      </c>
      <c r="AL167">
        <f>TEXT(EDATE($B$5,D167-1),"mmm yyyy")</f>
        <v/>
      </c>
      <c r="AM167">
        <f>AI167</f>
        <v/>
      </c>
    </row>
    <row r="168">
      <c r="D168" t="n">
        <v>107</v>
      </c>
      <c r="E168">
        <f>IF(G167&gt;0,MAX(0,G167*(1+$G$51)-$H$51),0)</f>
        <v/>
      </c>
      <c r="F168">
        <f>$B$6+IF($D168=$B$8,$B$7,0)</f>
        <v/>
      </c>
      <c r="G168">
        <f>IF(E168-F168&gt;1E-9,E168-F168,0)</f>
        <v/>
      </c>
      <c r="H168">
        <f>G167*$G$51</f>
        <v/>
      </c>
      <c r="I168">
        <f>IF(K167&gt;0,MAX(0,K167*(1+$G$52)-$H$52),0)</f>
        <v/>
      </c>
      <c r="J168">
        <f>MAX(0,F168-E168)</f>
        <v/>
      </c>
      <c r="K168">
        <f>IF(I168-J168&gt;1E-9,I168-J168,0)</f>
        <v/>
      </c>
      <c r="L168">
        <f>K167*$G$52</f>
        <v/>
      </c>
      <c r="M168">
        <f>IF(O167&gt;0,MAX(0,O167*(1+$G$53)-$H$53),0)</f>
        <v/>
      </c>
      <c r="N168">
        <f>MAX(0,J168-I168)</f>
        <v/>
      </c>
      <c r="O168">
        <f>IF(M168-N168&gt;1E-9,M168-N168,0)</f>
        <v/>
      </c>
      <c r="P168">
        <f>O167*$G$53</f>
        <v/>
      </c>
      <c r="Q168">
        <f>IF(S167&gt;0,MAX(0,S167*(1+$G$54)-$H$54),0)</f>
        <v/>
      </c>
      <c r="R168">
        <f>MAX(0,N168-M168)</f>
        <v/>
      </c>
      <c r="S168">
        <f>IF(Q168-R168&gt;1E-9,Q168-R168,0)</f>
        <v/>
      </c>
      <c r="T168">
        <f>S167*$G$54</f>
        <v/>
      </c>
      <c r="U168">
        <f>IF(W167&gt;0,MAX(0,W167*(1+$G$55)-$H$55),0)</f>
        <v/>
      </c>
      <c r="V168">
        <f>MAX(0,R168-Q168)</f>
        <v/>
      </c>
      <c r="W168">
        <f>IF(U168-V168&gt;1E-9,U168-V168,0)</f>
        <v/>
      </c>
      <c r="X168">
        <f>W167*$G$55</f>
        <v/>
      </c>
      <c r="Y168">
        <f>IF(Y167&gt;1E-9,IF(Y167*(1+$G$51)-MAX($B$9,0.01*Y167+Y167*$G$51)&gt;1E-9,Y167*(1+$G$51)-MAX($B$9,0.01*Y167+Y167*$G$51),0),0)</f>
        <v/>
      </c>
      <c r="Z168">
        <f>Y167*$G$51</f>
        <v/>
      </c>
      <c r="AA168">
        <f>IF(AA167&gt;1E-9,IF(AA167*(1+$G$52)-MAX($B$9,0.01*AA167+AA167*$G$52)&gt;1E-9,AA167*(1+$G$52)-MAX($B$9,0.01*AA167+AA167*$G$52),0),0)</f>
        <v/>
      </c>
      <c r="AB168">
        <f>AA167*$G$52</f>
        <v/>
      </c>
      <c r="AC168">
        <f>IF(AC167&gt;1E-9,IF(AC167*(1+$G$53)-MAX($B$9,0.01*AC167+AC167*$G$53)&gt;1E-9,AC167*(1+$G$53)-MAX($B$9,0.01*AC167+AC167*$G$53),0),0)</f>
        <v/>
      </c>
      <c r="AD168">
        <f>AC167*$G$53</f>
        <v/>
      </c>
      <c r="AE168">
        <f>IF(AE167&gt;1E-9,IF(AE167*(1+$G$54)-MAX($B$9,0.01*AE167+AE167*$G$54)&gt;1E-9,AE167*(1+$G$54)-MAX($B$9,0.01*AE167+AE167*$G$54),0),0)</f>
        <v/>
      </c>
      <c r="AF168">
        <f>AE167*$G$54</f>
        <v/>
      </c>
      <c r="AG168">
        <f>IF(AG167&gt;1E-9,IF(AG167*(1+$G$55)-MAX($B$9,0.01*AG167+AG167*$G$55)&gt;1E-9,AG167*(1+$G$55)-MAX($B$9,0.01*AG167+AG167*$G$55),0),0)</f>
        <v/>
      </c>
      <c r="AH168">
        <f>AG167*$G$55</f>
        <v/>
      </c>
      <c r="AI168">
        <f>G168+K168+O168+S168+W168</f>
        <v/>
      </c>
      <c r="AJ168">
        <f>AI167+AK168-AI168</f>
        <v/>
      </c>
      <c r="AK168">
        <f>H168+L168+P168+T168+X168</f>
        <v/>
      </c>
      <c r="AL168">
        <f>TEXT(EDATE($B$5,D168-1),"mmm yyyy")</f>
        <v/>
      </c>
      <c r="AM168">
        <f>AI168</f>
        <v/>
      </c>
    </row>
    <row r="169">
      <c r="D169" t="n">
        <v>108</v>
      </c>
      <c r="E169">
        <f>IF(G168&gt;0,MAX(0,G168*(1+$G$51)-$H$51),0)</f>
        <v/>
      </c>
      <c r="F169">
        <f>$B$6+IF($D169=$B$8,$B$7,0)</f>
        <v/>
      </c>
      <c r="G169">
        <f>IF(E169-F169&gt;1E-9,E169-F169,0)</f>
        <v/>
      </c>
      <c r="H169">
        <f>G168*$G$51</f>
        <v/>
      </c>
      <c r="I169">
        <f>IF(K168&gt;0,MAX(0,K168*(1+$G$52)-$H$52),0)</f>
        <v/>
      </c>
      <c r="J169">
        <f>MAX(0,F169-E169)</f>
        <v/>
      </c>
      <c r="K169">
        <f>IF(I169-J169&gt;1E-9,I169-J169,0)</f>
        <v/>
      </c>
      <c r="L169">
        <f>K168*$G$52</f>
        <v/>
      </c>
      <c r="M169">
        <f>IF(O168&gt;0,MAX(0,O168*(1+$G$53)-$H$53),0)</f>
        <v/>
      </c>
      <c r="N169">
        <f>MAX(0,J169-I169)</f>
        <v/>
      </c>
      <c r="O169">
        <f>IF(M169-N169&gt;1E-9,M169-N169,0)</f>
        <v/>
      </c>
      <c r="P169">
        <f>O168*$G$53</f>
        <v/>
      </c>
      <c r="Q169">
        <f>IF(S168&gt;0,MAX(0,S168*(1+$G$54)-$H$54),0)</f>
        <v/>
      </c>
      <c r="R169">
        <f>MAX(0,N169-M169)</f>
        <v/>
      </c>
      <c r="S169">
        <f>IF(Q169-R169&gt;1E-9,Q169-R169,0)</f>
        <v/>
      </c>
      <c r="T169">
        <f>S168*$G$54</f>
        <v/>
      </c>
      <c r="U169">
        <f>IF(W168&gt;0,MAX(0,W168*(1+$G$55)-$H$55),0)</f>
        <v/>
      </c>
      <c r="V169">
        <f>MAX(0,R169-Q169)</f>
        <v/>
      </c>
      <c r="W169">
        <f>IF(U169-V169&gt;1E-9,U169-V169,0)</f>
        <v/>
      </c>
      <c r="X169">
        <f>W168*$G$55</f>
        <v/>
      </c>
      <c r="Y169">
        <f>IF(Y168&gt;1E-9,IF(Y168*(1+$G$51)-MAX($B$9,0.01*Y168+Y168*$G$51)&gt;1E-9,Y168*(1+$G$51)-MAX($B$9,0.01*Y168+Y168*$G$51),0),0)</f>
        <v/>
      </c>
      <c r="Z169">
        <f>Y168*$G$51</f>
        <v/>
      </c>
      <c r="AA169">
        <f>IF(AA168&gt;1E-9,IF(AA168*(1+$G$52)-MAX($B$9,0.01*AA168+AA168*$G$52)&gt;1E-9,AA168*(1+$G$52)-MAX($B$9,0.01*AA168+AA168*$G$52),0),0)</f>
        <v/>
      </c>
      <c r="AB169">
        <f>AA168*$G$52</f>
        <v/>
      </c>
      <c r="AC169">
        <f>IF(AC168&gt;1E-9,IF(AC168*(1+$G$53)-MAX($B$9,0.01*AC168+AC168*$G$53)&gt;1E-9,AC168*(1+$G$53)-MAX($B$9,0.01*AC168+AC168*$G$53),0),0)</f>
        <v/>
      </c>
      <c r="AD169">
        <f>AC168*$G$53</f>
        <v/>
      </c>
      <c r="AE169">
        <f>IF(AE168&gt;1E-9,IF(AE168*(1+$G$54)-MAX($B$9,0.01*AE168+AE168*$G$54)&gt;1E-9,AE168*(1+$G$54)-MAX($B$9,0.01*AE168+AE168*$G$54),0),0)</f>
        <v/>
      </c>
      <c r="AF169">
        <f>AE168*$G$54</f>
        <v/>
      </c>
      <c r="AG169">
        <f>IF(AG168&gt;1E-9,IF(AG168*(1+$G$55)-MAX($B$9,0.01*AG168+AG168*$G$55)&gt;1E-9,AG168*(1+$G$55)-MAX($B$9,0.01*AG168+AG168*$G$55),0),0)</f>
        <v/>
      </c>
      <c r="AH169">
        <f>AG168*$G$55</f>
        <v/>
      </c>
      <c r="AI169">
        <f>G169+K169+O169+S169+W169</f>
        <v/>
      </c>
      <c r="AJ169">
        <f>AI168+AK169-AI169</f>
        <v/>
      </c>
      <c r="AK169">
        <f>H169+L169+P169+T169+X169</f>
        <v/>
      </c>
      <c r="AL169">
        <f>TEXT(EDATE($B$5,D169-1),"mmm yyyy")</f>
        <v/>
      </c>
      <c r="AM169">
        <f>AI169</f>
        <v/>
      </c>
    </row>
    <row r="170">
      <c r="D170" t="n">
        <v>109</v>
      </c>
      <c r="E170">
        <f>IF(G169&gt;0,MAX(0,G169*(1+$G$51)-$H$51),0)</f>
        <v/>
      </c>
      <c r="F170">
        <f>$B$6+IF($D170=$B$8,$B$7,0)</f>
        <v/>
      </c>
      <c r="G170">
        <f>IF(E170-F170&gt;1E-9,E170-F170,0)</f>
        <v/>
      </c>
      <c r="H170">
        <f>G169*$G$51</f>
        <v/>
      </c>
      <c r="I170">
        <f>IF(K169&gt;0,MAX(0,K169*(1+$G$52)-$H$52),0)</f>
        <v/>
      </c>
      <c r="J170">
        <f>MAX(0,F170-E170)</f>
        <v/>
      </c>
      <c r="K170">
        <f>IF(I170-J170&gt;1E-9,I170-J170,0)</f>
        <v/>
      </c>
      <c r="L170">
        <f>K169*$G$52</f>
        <v/>
      </c>
      <c r="M170">
        <f>IF(O169&gt;0,MAX(0,O169*(1+$G$53)-$H$53),0)</f>
        <v/>
      </c>
      <c r="N170">
        <f>MAX(0,J170-I170)</f>
        <v/>
      </c>
      <c r="O170">
        <f>IF(M170-N170&gt;1E-9,M170-N170,0)</f>
        <v/>
      </c>
      <c r="P170">
        <f>O169*$G$53</f>
        <v/>
      </c>
      <c r="Q170">
        <f>IF(S169&gt;0,MAX(0,S169*(1+$G$54)-$H$54),0)</f>
        <v/>
      </c>
      <c r="R170">
        <f>MAX(0,N170-M170)</f>
        <v/>
      </c>
      <c r="S170">
        <f>IF(Q170-R170&gt;1E-9,Q170-R170,0)</f>
        <v/>
      </c>
      <c r="T170">
        <f>S169*$G$54</f>
        <v/>
      </c>
      <c r="U170">
        <f>IF(W169&gt;0,MAX(0,W169*(1+$G$55)-$H$55),0)</f>
        <v/>
      </c>
      <c r="V170">
        <f>MAX(0,R170-Q170)</f>
        <v/>
      </c>
      <c r="W170">
        <f>IF(U170-V170&gt;1E-9,U170-V170,0)</f>
        <v/>
      </c>
      <c r="X170">
        <f>W169*$G$55</f>
        <v/>
      </c>
      <c r="Y170">
        <f>IF(Y169&gt;1E-9,IF(Y169*(1+$G$51)-MAX($B$9,0.01*Y169+Y169*$G$51)&gt;1E-9,Y169*(1+$G$51)-MAX($B$9,0.01*Y169+Y169*$G$51),0),0)</f>
        <v/>
      </c>
      <c r="Z170">
        <f>Y169*$G$51</f>
        <v/>
      </c>
      <c r="AA170">
        <f>IF(AA169&gt;1E-9,IF(AA169*(1+$G$52)-MAX($B$9,0.01*AA169+AA169*$G$52)&gt;1E-9,AA169*(1+$G$52)-MAX($B$9,0.01*AA169+AA169*$G$52),0),0)</f>
        <v/>
      </c>
      <c r="AB170">
        <f>AA169*$G$52</f>
        <v/>
      </c>
      <c r="AC170">
        <f>IF(AC169&gt;1E-9,IF(AC169*(1+$G$53)-MAX($B$9,0.01*AC169+AC169*$G$53)&gt;1E-9,AC169*(1+$G$53)-MAX($B$9,0.01*AC169+AC169*$G$53),0),0)</f>
        <v/>
      </c>
      <c r="AD170">
        <f>AC169*$G$53</f>
        <v/>
      </c>
      <c r="AE170">
        <f>IF(AE169&gt;1E-9,IF(AE169*(1+$G$54)-MAX($B$9,0.01*AE169+AE169*$G$54)&gt;1E-9,AE169*(1+$G$54)-MAX($B$9,0.01*AE169+AE169*$G$54),0),0)</f>
        <v/>
      </c>
      <c r="AF170">
        <f>AE169*$G$54</f>
        <v/>
      </c>
      <c r="AG170">
        <f>IF(AG169&gt;1E-9,IF(AG169*(1+$G$55)-MAX($B$9,0.01*AG169+AG169*$G$55)&gt;1E-9,AG169*(1+$G$55)-MAX($B$9,0.01*AG169+AG169*$G$55),0),0)</f>
        <v/>
      </c>
      <c r="AH170">
        <f>AG169*$G$55</f>
        <v/>
      </c>
      <c r="AI170">
        <f>G170+K170+O170+S170+W170</f>
        <v/>
      </c>
      <c r="AJ170">
        <f>AI169+AK170-AI170</f>
        <v/>
      </c>
      <c r="AK170">
        <f>H170+L170+P170+T170+X170</f>
        <v/>
      </c>
      <c r="AL170">
        <f>TEXT(EDATE($B$5,D170-1),"mmm yyyy")</f>
        <v/>
      </c>
      <c r="AM170">
        <f>AI170</f>
        <v/>
      </c>
    </row>
    <row r="171">
      <c r="D171" t="n">
        <v>110</v>
      </c>
      <c r="E171">
        <f>IF(G170&gt;0,MAX(0,G170*(1+$G$51)-$H$51),0)</f>
        <v/>
      </c>
      <c r="F171">
        <f>$B$6+IF($D171=$B$8,$B$7,0)</f>
        <v/>
      </c>
      <c r="G171">
        <f>IF(E171-F171&gt;1E-9,E171-F171,0)</f>
        <v/>
      </c>
      <c r="H171">
        <f>G170*$G$51</f>
        <v/>
      </c>
      <c r="I171">
        <f>IF(K170&gt;0,MAX(0,K170*(1+$G$52)-$H$52),0)</f>
        <v/>
      </c>
      <c r="J171">
        <f>MAX(0,F171-E171)</f>
        <v/>
      </c>
      <c r="K171">
        <f>IF(I171-J171&gt;1E-9,I171-J171,0)</f>
        <v/>
      </c>
      <c r="L171">
        <f>K170*$G$52</f>
        <v/>
      </c>
      <c r="M171">
        <f>IF(O170&gt;0,MAX(0,O170*(1+$G$53)-$H$53),0)</f>
        <v/>
      </c>
      <c r="N171">
        <f>MAX(0,J171-I171)</f>
        <v/>
      </c>
      <c r="O171">
        <f>IF(M171-N171&gt;1E-9,M171-N171,0)</f>
        <v/>
      </c>
      <c r="P171">
        <f>O170*$G$53</f>
        <v/>
      </c>
      <c r="Q171">
        <f>IF(S170&gt;0,MAX(0,S170*(1+$G$54)-$H$54),0)</f>
        <v/>
      </c>
      <c r="R171">
        <f>MAX(0,N171-M171)</f>
        <v/>
      </c>
      <c r="S171">
        <f>IF(Q171-R171&gt;1E-9,Q171-R171,0)</f>
        <v/>
      </c>
      <c r="T171">
        <f>S170*$G$54</f>
        <v/>
      </c>
      <c r="U171">
        <f>IF(W170&gt;0,MAX(0,W170*(1+$G$55)-$H$55),0)</f>
        <v/>
      </c>
      <c r="V171">
        <f>MAX(0,R171-Q171)</f>
        <v/>
      </c>
      <c r="W171">
        <f>IF(U171-V171&gt;1E-9,U171-V171,0)</f>
        <v/>
      </c>
      <c r="X171">
        <f>W170*$G$55</f>
        <v/>
      </c>
      <c r="Y171">
        <f>IF(Y170&gt;1E-9,IF(Y170*(1+$G$51)-MAX($B$9,0.01*Y170+Y170*$G$51)&gt;1E-9,Y170*(1+$G$51)-MAX($B$9,0.01*Y170+Y170*$G$51),0),0)</f>
        <v/>
      </c>
      <c r="Z171">
        <f>Y170*$G$51</f>
        <v/>
      </c>
      <c r="AA171">
        <f>IF(AA170&gt;1E-9,IF(AA170*(1+$G$52)-MAX($B$9,0.01*AA170+AA170*$G$52)&gt;1E-9,AA170*(1+$G$52)-MAX($B$9,0.01*AA170+AA170*$G$52),0),0)</f>
        <v/>
      </c>
      <c r="AB171">
        <f>AA170*$G$52</f>
        <v/>
      </c>
      <c r="AC171">
        <f>IF(AC170&gt;1E-9,IF(AC170*(1+$G$53)-MAX($B$9,0.01*AC170+AC170*$G$53)&gt;1E-9,AC170*(1+$G$53)-MAX($B$9,0.01*AC170+AC170*$G$53),0),0)</f>
        <v/>
      </c>
      <c r="AD171">
        <f>AC170*$G$53</f>
        <v/>
      </c>
      <c r="AE171">
        <f>IF(AE170&gt;1E-9,IF(AE170*(1+$G$54)-MAX($B$9,0.01*AE170+AE170*$G$54)&gt;1E-9,AE170*(1+$G$54)-MAX($B$9,0.01*AE170+AE170*$G$54),0),0)</f>
        <v/>
      </c>
      <c r="AF171">
        <f>AE170*$G$54</f>
        <v/>
      </c>
      <c r="AG171">
        <f>IF(AG170&gt;1E-9,IF(AG170*(1+$G$55)-MAX($B$9,0.01*AG170+AG170*$G$55)&gt;1E-9,AG170*(1+$G$55)-MAX($B$9,0.01*AG170+AG170*$G$55),0),0)</f>
        <v/>
      </c>
      <c r="AH171">
        <f>AG170*$G$55</f>
        <v/>
      </c>
      <c r="AI171">
        <f>G171+K171+O171+S171+W171</f>
        <v/>
      </c>
      <c r="AJ171">
        <f>AI170+AK171-AI171</f>
        <v/>
      </c>
      <c r="AK171">
        <f>H171+L171+P171+T171+X171</f>
        <v/>
      </c>
      <c r="AL171">
        <f>TEXT(EDATE($B$5,D171-1),"mmm yyyy")</f>
        <v/>
      </c>
      <c r="AM171">
        <f>AI171</f>
        <v/>
      </c>
    </row>
    <row r="172">
      <c r="D172" t="n">
        <v>111</v>
      </c>
      <c r="E172">
        <f>IF(G171&gt;0,MAX(0,G171*(1+$G$51)-$H$51),0)</f>
        <v/>
      </c>
      <c r="F172">
        <f>$B$6+IF($D172=$B$8,$B$7,0)</f>
        <v/>
      </c>
      <c r="G172">
        <f>IF(E172-F172&gt;1E-9,E172-F172,0)</f>
        <v/>
      </c>
      <c r="H172">
        <f>G171*$G$51</f>
        <v/>
      </c>
      <c r="I172">
        <f>IF(K171&gt;0,MAX(0,K171*(1+$G$52)-$H$52),0)</f>
        <v/>
      </c>
      <c r="J172">
        <f>MAX(0,F172-E172)</f>
        <v/>
      </c>
      <c r="K172">
        <f>IF(I172-J172&gt;1E-9,I172-J172,0)</f>
        <v/>
      </c>
      <c r="L172">
        <f>K171*$G$52</f>
        <v/>
      </c>
      <c r="M172">
        <f>IF(O171&gt;0,MAX(0,O171*(1+$G$53)-$H$53),0)</f>
        <v/>
      </c>
      <c r="N172">
        <f>MAX(0,J172-I172)</f>
        <v/>
      </c>
      <c r="O172">
        <f>IF(M172-N172&gt;1E-9,M172-N172,0)</f>
        <v/>
      </c>
      <c r="P172">
        <f>O171*$G$53</f>
        <v/>
      </c>
      <c r="Q172">
        <f>IF(S171&gt;0,MAX(0,S171*(1+$G$54)-$H$54),0)</f>
        <v/>
      </c>
      <c r="R172">
        <f>MAX(0,N172-M172)</f>
        <v/>
      </c>
      <c r="S172">
        <f>IF(Q172-R172&gt;1E-9,Q172-R172,0)</f>
        <v/>
      </c>
      <c r="T172">
        <f>S171*$G$54</f>
        <v/>
      </c>
      <c r="U172">
        <f>IF(W171&gt;0,MAX(0,W171*(1+$G$55)-$H$55),0)</f>
        <v/>
      </c>
      <c r="V172">
        <f>MAX(0,R172-Q172)</f>
        <v/>
      </c>
      <c r="W172">
        <f>IF(U172-V172&gt;1E-9,U172-V172,0)</f>
        <v/>
      </c>
      <c r="X172">
        <f>W171*$G$55</f>
        <v/>
      </c>
      <c r="Y172">
        <f>IF(Y171&gt;1E-9,IF(Y171*(1+$G$51)-MAX($B$9,0.01*Y171+Y171*$G$51)&gt;1E-9,Y171*(1+$G$51)-MAX($B$9,0.01*Y171+Y171*$G$51),0),0)</f>
        <v/>
      </c>
      <c r="Z172">
        <f>Y171*$G$51</f>
        <v/>
      </c>
      <c r="AA172">
        <f>IF(AA171&gt;1E-9,IF(AA171*(1+$G$52)-MAX($B$9,0.01*AA171+AA171*$G$52)&gt;1E-9,AA171*(1+$G$52)-MAX($B$9,0.01*AA171+AA171*$G$52),0),0)</f>
        <v/>
      </c>
      <c r="AB172">
        <f>AA171*$G$52</f>
        <v/>
      </c>
      <c r="AC172">
        <f>IF(AC171&gt;1E-9,IF(AC171*(1+$G$53)-MAX($B$9,0.01*AC171+AC171*$G$53)&gt;1E-9,AC171*(1+$G$53)-MAX($B$9,0.01*AC171+AC171*$G$53),0),0)</f>
        <v/>
      </c>
      <c r="AD172">
        <f>AC171*$G$53</f>
        <v/>
      </c>
      <c r="AE172">
        <f>IF(AE171&gt;1E-9,IF(AE171*(1+$G$54)-MAX($B$9,0.01*AE171+AE171*$G$54)&gt;1E-9,AE171*(1+$G$54)-MAX($B$9,0.01*AE171+AE171*$G$54),0),0)</f>
        <v/>
      </c>
      <c r="AF172">
        <f>AE171*$G$54</f>
        <v/>
      </c>
      <c r="AG172">
        <f>IF(AG171&gt;1E-9,IF(AG171*(1+$G$55)-MAX($B$9,0.01*AG171+AG171*$G$55)&gt;1E-9,AG171*(1+$G$55)-MAX($B$9,0.01*AG171+AG171*$G$55),0),0)</f>
        <v/>
      </c>
      <c r="AH172">
        <f>AG171*$G$55</f>
        <v/>
      </c>
      <c r="AI172">
        <f>G172+K172+O172+S172+W172</f>
        <v/>
      </c>
      <c r="AJ172">
        <f>AI171+AK172-AI172</f>
        <v/>
      </c>
      <c r="AK172">
        <f>H172+L172+P172+T172+X172</f>
        <v/>
      </c>
      <c r="AL172">
        <f>TEXT(EDATE($B$5,D172-1),"mmm yyyy")</f>
        <v/>
      </c>
      <c r="AM172">
        <f>AI172</f>
        <v/>
      </c>
    </row>
    <row r="173">
      <c r="D173" t="n">
        <v>112</v>
      </c>
      <c r="E173">
        <f>IF(G172&gt;0,MAX(0,G172*(1+$G$51)-$H$51),0)</f>
        <v/>
      </c>
      <c r="F173">
        <f>$B$6+IF($D173=$B$8,$B$7,0)</f>
        <v/>
      </c>
      <c r="G173">
        <f>IF(E173-F173&gt;1E-9,E173-F173,0)</f>
        <v/>
      </c>
      <c r="H173">
        <f>G172*$G$51</f>
        <v/>
      </c>
      <c r="I173">
        <f>IF(K172&gt;0,MAX(0,K172*(1+$G$52)-$H$52),0)</f>
        <v/>
      </c>
      <c r="J173">
        <f>MAX(0,F173-E173)</f>
        <v/>
      </c>
      <c r="K173">
        <f>IF(I173-J173&gt;1E-9,I173-J173,0)</f>
        <v/>
      </c>
      <c r="L173">
        <f>K172*$G$52</f>
        <v/>
      </c>
      <c r="M173">
        <f>IF(O172&gt;0,MAX(0,O172*(1+$G$53)-$H$53),0)</f>
        <v/>
      </c>
      <c r="N173">
        <f>MAX(0,J173-I173)</f>
        <v/>
      </c>
      <c r="O173">
        <f>IF(M173-N173&gt;1E-9,M173-N173,0)</f>
        <v/>
      </c>
      <c r="P173">
        <f>O172*$G$53</f>
        <v/>
      </c>
      <c r="Q173">
        <f>IF(S172&gt;0,MAX(0,S172*(1+$G$54)-$H$54),0)</f>
        <v/>
      </c>
      <c r="R173">
        <f>MAX(0,N173-M173)</f>
        <v/>
      </c>
      <c r="S173">
        <f>IF(Q173-R173&gt;1E-9,Q173-R173,0)</f>
        <v/>
      </c>
      <c r="T173">
        <f>S172*$G$54</f>
        <v/>
      </c>
      <c r="U173">
        <f>IF(W172&gt;0,MAX(0,W172*(1+$G$55)-$H$55),0)</f>
        <v/>
      </c>
      <c r="V173">
        <f>MAX(0,R173-Q173)</f>
        <v/>
      </c>
      <c r="W173">
        <f>IF(U173-V173&gt;1E-9,U173-V173,0)</f>
        <v/>
      </c>
      <c r="X173">
        <f>W172*$G$55</f>
        <v/>
      </c>
      <c r="Y173">
        <f>IF(Y172&gt;1E-9,IF(Y172*(1+$G$51)-MAX($B$9,0.01*Y172+Y172*$G$51)&gt;1E-9,Y172*(1+$G$51)-MAX($B$9,0.01*Y172+Y172*$G$51),0),0)</f>
        <v/>
      </c>
      <c r="Z173">
        <f>Y172*$G$51</f>
        <v/>
      </c>
      <c r="AA173">
        <f>IF(AA172&gt;1E-9,IF(AA172*(1+$G$52)-MAX($B$9,0.01*AA172+AA172*$G$52)&gt;1E-9,AA172*(1+$G$52)-MAX($B$9,0.01*AA172+AA172*$G$52),0),0)</f>
        <v/>
      </c>
      <c r="AB173">
        <f>AA172*$G$52</f>
        <v/>
      </c>
      <c r="AC173">
        <f>IF(AC172&gt;1E-9,IF(AC172*(1+$G$53)-MAX($B$9,0.01*AC172+AC172*$G$53)&gt;1E-9,AC172*(1+$G$53)-MAX($B$9,0.01*AC172+AC172*$G$53),0),0)</f>
        <v/>
      </c>
      <c r="AD173">
        <f>AC172*$G$53</f>
        <v/>
      </c>
      <c r="AE173">
        <f>IF(AE172&gt;1E-9,IF(AE172*(1+$G$54)-MAX($B$9,0.01*AE172+AE172*$G$54)&gt;1E-9,AE172*(1+$G$54)-MAX($B$9,0.01*AE172+AE172*$G$54),0),0)</f>
        <v/>
      </c>
      <c r="AF173">
        <f>AE172*$G$54</f>
        <v/>
      </c>
      <c r="AG173">
        <f>IF(AG172&gt;1E-9,IF(AG172*(1+$G$55)-MAX($B$9,0.01*AG172+AG172*$G$55)&gt;1E-9,AG172*(1+$G$55)-MAX($B$9,0.01*AG172+AG172*$G$55),0),0)</f>
        <v/>
      </c>
      <c r="AH173">
        <f>AG172*$G$55</f>
        <v/>
      </c>
      <c r="AI173">
        <f>G173+K173+O173+S173+W173</f>
        <v/>
      </c>
      <c r="AJ173">
        <f>AI172+AK173-AI173</f>
        <v/>
      </c>
      <c r="AK173">
        <f>H173+L173+P173+T173+X173</f>
        <v/>
      </c>
      <c r="AL173">
        <f>TEXT(EDATE($B$5,D173-1),"mmm yyyy")</f>
        <v/>
      </c>
      <c r="AM173">
        <f>AI173</f>
        <v/>
      </c>
    </row>
    <row r="174">
      <c r="D174" t="n">
        <v>113</v>
      </c>
      <c r="E174">
        <f>IF(G173&gt;0,MAX(0,G173*(1+$G$51)-$H$51),0)</f>
        <v/>
      </c>
      <c r="F174">
        <f>$B$6+IF($D174=$B$8,$B$7,0)</f>
        <v/>
      </c>
      <c r="G174">
        <f>IF(E174-F174&gt;1E-9,E174-F174,0)</f>
        <v/>
      </c>
      <c r="H174">
        <f>G173*$G$51</f>
        <v/>
      </c>
      <c r="I174">
        <f>IF(K173&gt;0,MAX(0,K173*(1+$G$52)-$H$52),0)</f>
        <v/>
      </c>
      <c r="J174">
        <f>MAX(0,F174-E174)</f>
        <v/>
      </c>
      <c r="K174">
        <f>IF(I174-J174&gt;1E-9,I174-J174,0)</f>
        <v/>
      </c>
      <c r="L174">
        <f>K173*$G$52</f>
        <v/>
      </c>
      <c r="M174">
        <f>IF(O173&gt;0,MAX(0,O173*(1+$G$53)-$H$53),0)</f>
        <v/>
      </c>
      <c r="N174">
        <f>MAX(0,J174-I174)</f>
        <v/>
      </c>
      <c r="O174">
        <f>IF(M174-N174&gt;1E-9,M174-N174,0)</f>
        <v/>
      </c>
      <c r="P174">
        <f>O173*$G$53</f>
        <v/>
      </c>
      <c r="Q174">
        <f>IF(S173&gt;0,MAX(0,S173*(1+$G$54)-$H$54),0)</f>
        <v/>
      </c>
      <c r="R174">
        <f>MAX(0,N174-M174)</f>
        <v/>
      </c>
      <c r="S174">
        <f>IF(Q174-R174&gt;1E-9,Q174-R174,0)</f>
        <v/>
      </c>
      <c r="T174">
        <f>S173*$G$54</f>
        <v/>
      </c>
      <c r="U174">
        <f>IF(W173&gt;0,MAX(0,W173*(1+$G$55)-$H$55),0)</f>
        <v/>
      </c>
      <c r="V174">
        <f>MAX(0,R174-Q174)</f>
        <v/>
      </c>
      <c r="W174">
        <f>IF(U174-V174&gt;1E-9,U174-V174,0)</f>
        <v/>
      </c>
      <c r="X174">
        <f>W173*$G$55</f>
        <v/>
      </c>
      <c r="Y174">
        <f>IF(Y173&gt;1E-9,IF(Y173*(1+$G$51)-MAX($B$9,0.01*Y173+Y173*$G$51)&gt;1E-9,Y173*(1+$G$51)-MAX($B$9,0.01*Y173+Y173*$G$51),0),0)</f>
        <v/>
      </c>
      <c r="Z174">
        <f>Y173*$G$51</f>
        <v/>
      </c>
      <c r="AA174">
        <f>IF(AA173&gt;1E-9,IF(AA173*(1+$G$52)-MAX($B$9,0.01*AA173+AA173*$G$52)&gt;1E-9,AA173*(1+$G$52)-MAX($B$9,0.01*AA173+AA173*$G$52),0),0)</f>
        <v/>
      </c>
      <c r="AB174">
        <f>AA173*$G$52</f>
        <v/>
      </c>
      <c r="AC174">
        <f>IF(AC173&gt;1E-9,IF(AC173*(1+$G$53)-MAX($B$9,0.01*AC173+AC173*$G$53)&gt;1E-9,AC173*(1+$G$53)-MAX($B$9,0.01*AC173+AC173*$G$53),0),0)</f>
        <v/>
      </c>
      <c r="AD174">
        <f>AC173*$G$53</f>
        <v/>
      </c>
      <c r="AE174">
        <f>IF(AE173&gt;1E-9,IF(AE173*(1+$G$54)-MAX($B$9,0.01*AE173+AE173*$G$54)&gt;1E-9,AE173*(1+$G$54)-MAX($B$9,0.01*AE173+AE173*$G$54),0),0)</f>
        <v/>
      </c>
      <c r="AF174">
        <f>AE173*$G$54</f>
        <v/>
      </c>
      <c r="AG174">
        <f>IF(AG173&gt;1E-9,IF(AG173*(1+$G$55)-MAX($B$9,0.01*AG173+AG173*$G$55)&gt;1E-9,AG173*(1+$G$55)-MAX($B$9,0.01*AG173+AG173*$G$55),0),0)</f>
        <v/>
      </c>
      <c r="AH174">
        <f>AG173*$G$55</f>
        <v/>
      </c>
      <c r="AI174">
        <f>G174+K174+O174+S174+W174</f>
        <v/>
      </c>
      <c r="AJ174">
        <f>AI173+AK174-AI174</f>
        <v/>
      </c>
      <c r="AK174">
        <f>H174+L174+P174+T174+X174</f>
        <v/>
      </c>
      <c r="AL174">
        <f>TEXT(EDATE($B$5,D174-1),"mmm yyyy")</f>
        <v/>
      </c>
      <c r="AM174">
        <f>AI174</f>
        <v/>
      </c>
    </row>
    <row r="175">
      <c r="D175" t="n">
        <v>114</v>
      </c>
      <c r="E175">
        <f>IF(G174&gt;0,MAX(0,G174*(1+$G$51)-$H$51),0)</f>
        <v/>
      </c>
      <c r="F175">
        <f>$B$6+IF($D175=$B$8,$B$7,0)</f>
        <v/>
      </c>
      <c r="G175">
        <f>IF(E175-F175&gt;1E-9,E175-F175,0)</f>
        <v/>
      </c>
      <c r="H175">
        <f>G174*$G$51</f>
        <v/>
      </c>
      <c r="I175">
        <f>IF(K174&gt;0,MAX(0,K174*(1+$G$52)-$H$52),0)</f>
        <v/>
      </c>
      <c r="J175">
        <f>MAX(0,F175-E175)</f>
        <v/>
      </c>
      <c r="K175">
        <f>IF(I175-J175&gt;1E-9,I175-J175,0)</f>
        <v/>
      </c>
      <c r="L175">
        <f>K174*$G$52</f>
        <v/>
      </c>
      <c r="M175">
        <f>IF(O174&gt;0,MAX(0,O174*(1+$G$53)-$H$53),0)</f>
        <v/>
      </c>
      <c r="N175">
        <f>MAX(0,J175-I175)</f>
        <v/>
      </c>
      <c r="O175">
        <f>IF(M175-N175&gt;1E-9,M175-N175,0)</f>
        <v/>
      </c>
      <c r="P175">
        <f>O174*$G$53</f>
        <v/>
      </c>
      <c r="Q175">
        <f>IF(S174&gt;0,MAX(0,S174*(1+$G$54)-$H$54),0)</f>
        <v/>
      </c>
      <c r="R175">
        <f>MAX(0,N175-M175)</f>
        <v/>
      </c>
      <c r="S175">
        <f>IF(Q175-R175&gt;1E-9,Q175-R175,0)</f>
        <v/>
      </c>
      <c r="T175">
        <f>S174*$G$54</f>
        <v/>
      </c>
      <c r="U175">
        <f>IF(W174&gt;0,MAX(0,W174*(1+$G$55)-$H$55),0)</f>
        <v/>
      </c>
      <c r="V175">
        <f>MAX(0,R175-Q175)</f>
        <v/>
      </c>
      <c r="W175">
        <f>IF(U175-V175&gt;1E-9,U175-V175,0)</f>
        <v/>
      </c>
      <c r="X175">
        <f>W174*$G$55</f>
        <v/>
      </c>
      <c r="Y175">
        <f>IF(Y174&gt;1E-9,IF(Y174*(1+$G$51)-MAX($B$9,0.01*Y174+Y174*$G$51)&gt;1E-9,Y174*(1+$G$51)-MAX($B$9,0.01*Y174+Y174*$G$51),0),0)</f>
        <v/>
      </c>
      <c r="Z175">
        <f>Y174*$G$51</f>
        <v/>
      </c>
      <c r="AA175">
        <f>IF(AA174&gt;1E-9,IF(AA174*(1+$G$52)-MAX($B$9,0.01*AA174+AA174*$G$52)&gt;1E-9,AA174*(1+$G$52)-MAX($B$9,0.01*AA174+AA174*$G$52),0),0)</f>
        <v/>
      </c>
      <c r="AB175">
        <f>AA174*$G$52</f>
        <v/>
      </c>
      <c r="AC175">
        <f>IF(AC174&gt;1E-9,IF(AC174*(1+$G$53)-MAX($B$9,0.01*AC174+AC174*$G$53)&gt;1E-9,AC174*(1+$G$53)-MAX($B$9,0.01*AC174+AC174*$G$53),0),0)</f>
        <v/>
      </c>
      <c r="AD175">
        <f>AC174*$G$53</f>
        <v/>
      </c>
      <c r="AE175">
        <f>IF(AE174&gt;1E-9,IF(AE174*(1+$G$54)-MAX($B$9,0.01*AE174+AE174*$G$54)&gt;1E-9,AE174*(1+$G$54)-MAX($B$9,0.01*AE174+AE174*$G$54),0),0)</f>
        <v/>
      </c>
      <c r="AF175">
        <f>AE174*$G$54</f>
        <v/>
      </c>
      <c r="AG175">
        <f>IF(AG174&gt;1E-9,IF(AG174*(1+$G$55)-MAX($B$9,0.01*AG174+AG174*$G$55)&gt;1E-9,AG174*(1+$G$55)-MAX($B$9,0.01*AG174+AG174*$G$55),0),0)</f>
        <v/>
      </c>
      <c r="AH175">
        <f>AG174*$G$55</f>
        <v/>
      </c>
      <c r="AI175">
        <f>G175+K175+O175+S175+W175</f>
        <v/>
      </c>
      <c r="AJ175">
        <f>AI174+AK175-AI175</f>
        <v/>
      </c>
      <c r="AK175">
        <f>H175+L175+P175+T175+X175</f>
        <v/>
      </c>
      <c r="AL175">
        <f>TEXT(EDATE($B$5,D175-1),"mmm yyyy")</f>
        <v/>
      </c>
      <c r="AM175">
        <f>AI175</f>
        <v/>
      </c>
    </row>
    <row r="176">
      <c r="D176" t="n">
        <v>115</v>
      </c>
      <c r="E176">
        <f>IF(G175&gt;0,MAX(0,G175*(1+$G$51)-$H$51),0)</f>
        <v/>
      </c>
      <c r="F176">
        <f>$B$6+IF($D176=$B$8,$B$7,0)</f>
        <v/>
      </c>
      <c r="G176">
        <f>IF(E176-F176&gt;1E-9,E176-F176,0)</f>
        <v/>
      </c>
      <c r="H176">
        <f>G175*$G$51</f>
        <v/>
      </c>
      <c r="I176">
        <f>IF(K175&gt;0,MAX(0,K175*(1+$G$52)-$H$52),0)</f>
        <v/>
      </c>
      <c r="J176">
        <f>MAX(0,F176-E176)</f>
        <v/>
      </c>
      <c r="K176">
        <f>IF(I176-J176&gt;1E-9,I176-J176,0)</f>
        <v/>
      </c>
      <c r="L176">
        <f>K175*$G$52</f>
        <v/>
      </c>
      <c r="M176">
        <f>IF(O175&gt;0,MAX(0,O175*(1+$G$53)-$H$53),0)</f>
        <v/>
      </c>
      <c r="N176">
        <f>MAX(0,J176-I176)</f>
        <v/>
      </c>
      <c r="O176">
        <f>IF(M176-N176&gt;1E-9,M176-N176,0)</f>
        <v/>
      </c>
      <c r="P176">
        <f>O175*$G$53</f>
        <v/>
      </c>
      <c r="Q176">
        <f>IF(S175&gt;0,MAX(0,S175*(1+$G$54)-$H$54),0)</f>
        <v/>
      </c>
      <c r="R176">
        <f>MAX(0,N176-M176)</f>
        <v/>
      </c>
      <c r="S176">
        <f>IF(Q176-R176&gt;1E-9,Q176-R176,0)</f>
        <v/>
      </c>
      <c r="T176">
        <f>S175*$G$54</f>
        <v/>
      </c>
      <c r="U176">
        <f>IF(W175&gt;0,MAX(0,W175*(1+$G$55)-$H$55),0)</f>
        <v/>
      </c>
      <c r="V176">
        <f>MAX(0,R176-Q176)</f>
        <v/>
      </c>
      <c r="W176">
        <f>IF(U176-V176&gt;1E-9,U176-V176,0)</f>
        <v/>
      </c>
      <c r="X176">
        <f>W175*$G$55</f>
        <v/>
      </c>
      <c r="Y176">
        <f>IF(Y175&gt;1E-9,IF(Y175*(1+$G$51)-MAX($B$9,0.01*Y175+Y175*$G$51)&gt;1E-9,Y175*(1+$G$51)-MAX($B$9,0.01*Y175+Y175*$G$51),0),0)</f>
        <v/>
      </c>
      <c r="Z176">
        <f>Y175*$G$51</f>
        <v/>
      </c>
      <c r="AA176">
        <f>IF(AA175&gt;1E-9,IF(AA175*(1+$G$52)-MAX($B$9,0.01*AA175+AA175*$G$52)&gt;1E-9,AA175*(1+$G$52)-MAX($B$9,0.01*AA175+AA175*$G$52),0),0)</f>
        <v/>
      </c>
      <c r="AB176">
        <f>AA175*$G$52</f>
        <v/>
      </c>
      <c r="AC176">
        <f>IF(AC175&gt;1E-9,IF(AC175*(1+$G$53)-MAX($B$9,0.01*AC175+AC175*$G$53)&gt;1E-9,AC175*(1+$G$53)-MAX($B$9,0.01*AC175+AC175*$G$53),0),0)</f>
        <v/>
      </c>
      <c r="AD176">
        <f>AC175*$G$53</f>
        <v/>
      </c>
      <c r="AE176">
        <f>IF(AE175&gt;1E-9,IF(AE175*(1+$G$54)-MAX($B$9,0.01*AE175+AE175*$G$54)&gt;1E-9,AE175*(1+$G$54)-MAX($B$9,0.01*AE175+AE175*$G$54),0),0)</f>
        <v/>
      </c>
      <c r="AF176">
        <f>AE175*$G$54</f>
        <v/>
      </c>
      <c r="AG176">
        <f>IF(AG175&gt;1E-9,IF(AG175*(1+$G$55)-MAX($B$9,0.01*AG175+AG175*$G$55)&gt;1E-9,AG175*(1+$G$55)-MAX($B$9,0.01*AG175+AG175*$G$55),0),0)</f>
        <v/>
      </c>
      <c r="AH176">
        <f>AG175*$G$55</f>
        <v/>
      </c>
      <c r="AI176">
        <f>G176+K176+O176+S176+W176</f>
        <v/>
      </c>
      <c r="AJ176">
        <f>AI175+AK176-AI176</f>
        <v/>
      </c>
      <c r="AK176">
        <f>H176+L176+P176+T176+X176</f>
        <v/>
      </c>
      <c r="AL176">
        <f>TEXT(EDATE($B$5,D176-1),"mmm yyyy")</f>
        <v/>
      </c>
      <c r="AM176">
        <f>AI176</f>
        <v/>
      </c>
    </row>
    <row r="177">
      <c r="D177" t="n">
        <v>116</v>
      </c>
      <c r="E177">
        <f>IF(G176&gt;0,MAX(0,G176*(1+$G$51)-$H$51),0)</f>
        <v/>
      </c>
      <c r="F177">
        <f>$B$6+IF($D177=$B$8,$B$7,0)</f>
        <v/>
      </c>
      <c r="G177">
        <f>IF(E177-F177&gt;1E-9,E177-F177,0)</f>
        <v/>
      </c>
      <c r="H177">
        <f>G176*$G$51</f>
        <v/>
      </c>
      <c r="I177">
        <f>IF(K176&gt;0,MAX(0,K176*(1+$G$52)-$H$52),0)</f>
        <v/>
      </c>
      <c r="J177">
        <f>MAX(0,F177-E177)</f>
        <v/>
      </c>
      <c r="K177">
        <f>IF(I177-J177&gt;1E-9,I177-J177,0)</f>
        <v/>
      </c>
      <c r="L177">
        <f>K176*$G$52</f>
        <v/>
      </c>
      <c r="M177">
        <f>IF(O176&gt;0,MAX(0,O176*(1+$G$53)-$H$53),0)</f>
        <v/>
      </c>
      <c r="N177">
        <f>MAX(0,J177-I177)</f>
        <v/>
      </c>
      <c r="O177">
        <f>IF(M177-N177&gt;1E-9,M177-N177,0)</f>
        <v/>
      </c>
      <c r="P177">
        <f>O176*$G$53</f>
        <v/>
      </c>
      <c r="Q177">
        <f>IF(S176&gt;0,MAX(0,S176*(1+$G$54)-$H$54),0)</f>
        <v/>
      </c>
      <c r="R177">
        <f>MAX(0,N177-M177)</f>
        <v/>
      </c>
      <c r="S177">
        <f>IF(Q177-R177&gt;1E-9,Q177-R177,0)</f>
        <v/>
      </c>
      <c r="T177">
        <f>S176*$G$54</f>
        <v/>
      </c>
      <c r="U177">
        <f>IF(W176&gt;0,MAX(0,W176*(1+$G$55)-$H$55),0)</f>
        <v/>
      </c>
      <c r="V177">
        <f>MAX(0,R177-Q177)</f>
        <v/>
      </c>
      <c r="W177">
        <f>IF(U177-V177&gt;1E-9,U177-V177,0)</f>
        <v/>
      </c>
      <c r="X177">
        <f>W176*$G$55</f>
        <v/>
      </c>
      <c r="Y177">
        <f>IF(Y176&gt;1E-9,IF(Y176*(1+$G$51)-MAX($B$9,0.01*Y176+Y176*$G$51)&gt;1E-9,Y176*(1+$G$51)-MAX($B$9,0.01*Y176+Y176*$G$51),0),0)</f>
        <v/>
      </c>
      <c r="Z177">
        <f>Y176*$G$51</f>
        <v/>
      </c>
      <c r="AA177">
        <f>IF(AA176&gt;1E-9,IF(AA176*(1+$G$52)-MAX($B$9,0.01*AA176+AA176*$G$52)&gt;1E-9,AA176*(1+$G$52)-MAX($B$9,0.01*AA176+AA176*$G$52),0),0)</f>
        <v/>
      </c>
      <c r="AB177">
        <f>AA176*$G$52</f>
        <v/>
      </c>
      <c r="AC177">
        <f>IF(AC176&gt;1E-9,IF(AC176*(1+$G$53)-MAX($B$9,0.01*AC176+AC176*$G$53)&gt;1E-9,AC176*(1+$G$53)-MAX($B$9,0.01*AC176+AC176*$G$53),0),0)</f>
        <v/>
      </c>
      <c r="AD177">
        <f>AC176*$G$53</f>
        <v/>
      </c>
      <c r="AE177">
        <f>IF(AE176&gt;1E-9,IF(AE176*(1+$G$54)-MAX($B$9,0.01*AE176+AE176*$G$54)&gt;1E-9,AE176*(1+$G$54)-MAX($B$9,0.01*AE176+AE176*$G$54),0),0)</f>
        <v/>
      </c>
      <c r="AF177">
        <f>AE176*$G$54</f>
        <v/>
      </c>
      <c r="AG177">
        <f>IF(AG176&gt;1E-9,IF(AG176*(1+$G$55)-MAX($B$9,0.01*AG176+AG176*$G$55)&gt;1E-9,AG176*(1+$G$55)-MAX($B$9,0.01*AG176+AG176*$G$55),0),0)</f>
        <v/>
      </c>
      <c r="AH177">
        <f>AG176*$G$55</f>
        <v/>
      </c>
      <c r="AI177">
        <f>G177+K177+O177+S177+W177</f>
        <v/>
      </c>
      <c r="AJ177">
        <f>AI176+AK177-AI177</f>
        <v/>
      </c>
      <c r="AK177">
        <f>H177+L177+P177+T177+X177</f>
        <v/>
      </c>
      <c r="AL177">
        <f>TEXT(EDATE($B$5,D177-1),"mmm yyyy")</f>
        <v/>
      </c>
      <c r="AM177">
        <f>AI177</f>
        <v/>
      </c>
    </row>
    <row r="178">
      <c r="D178" t="n">
        <v>117</v>
      </c>
      <c r="E178">
        <f>IF(G177&gt;0,MAX(0,G177*(1+$G$51)-$H$51),0)</f>
        <v/>
      </c>
      <c r="F178">
        <f>$B$6+IF($D178=$B$8,$B$7,0)</f>
        <v/>
      </c>
      <c r="G178">
        <f>IF(E178-F178&gt;1E-9,E178-F178,0)</f>
        <v/>
      </c>
      <c r="H178">
        <f>G177*$G$51</f>
        <v/>
      </c>
      <c r="I178">
        <f>IF(K177&gt;0,MAX(0,K177*(1+$G$52)-$H$52),0)</f>
        <v/>
      </c>
      <c r="J178">
        <f>MAX(0,F178-E178)</f>
        <v/>
      </c>
      <c r="K178">
        <f>IF(I178-J178&gt;1E-9,I178-J178,0)</f>
        <v/>
      </c>
      <c r="L178">
        <f>K177*$G$52</f>
        <v/>
      </c>
      <c r="M178">
        <f>IF(O177&gt;0,MAX(0,O177*(1+$G$53)-$H$53),0)</f>
        <v/>
      </c>
      <c r="N178">
        <f>MAX(0,J178-I178)</f>
        <v/>
      </c>
      <c r="O178">
        <f>IF(M178-N178&gt;1E-9,M178-N178,0)</f>
        <v/>
      </c>
      <c r="P178">
        <f>O177*$G$53</f>
        <v/>
      </c>
      <c r="Q178">
        <f>IF(S177&gt;0,MAX(0,S177*(1+$G$54)-$H$54),0)</f>
        <v/>
      </c>
      <c r="R178">
        <f>MAX(0,N178-M178)</f>
        <v/>
      </c>
      <c r="S178">
        <f>IF(Q178-R178&gt;1E-9,Q178-R178,0)</f>
        <v/>
      </c>
      <c r="T178">
        <f>S177*$G$54</f>
        <v/>
      </c>
      <c r="U178">
        <f>IF(W177&gt;0,MAX(0,W177*(1+$G$55)-$H$55),0)</f>
        <v/>
      </c>
      <c r="V178">
        <f>MAX(0,R178-Q178)</f>
        <v/>
      </c>
      <c r="W178">
        <f>IF(U178-V178&gt;1E-9,U178-V178,0)</f>
        <v/>
      </c>
      <c r="X178">
        <f>W177*$G$55</f>
        <v/>
      </c>
      <c r="Y178">
        <f>IF(Y177&gt;1E-9,IF(Y177*(1+$G$51)-MAX($B$9,0.01*Y177+Y177*$G$51)&gt;1E-9,Y177*(1+$G$51)-MAX($B$9,0.01*Y177+Y177*$G$51),0),0)</f>
        <v/>
      </c>
      <c r="Z178">
        <f>Y177*$G$51</f>
        <v/>
      </c>
      <c r="AA178">
        <f>IF(AA177&gt;1E-9,IF(AA177*(1+$G$52)-MAX($B$9,0.01*AA177+AA177*$G$52)&gt;1E-9,AA177*(1+$G$52)-MAX($B$9,0.01*AA177+AA177*$G$52),0),0)</f>
        <v/>
      </c>
      <c r="AB178">
        <f>AA177*$G$52</f>
        <v/>
      </c>
      <c r="AC178">
        <f>IF(AC177&gt;1E-9,IF(AC177*(1+$G$53)-MAX($B$9,0.01*AC177+AC177*$G$53)&gt;1E-9,AC177*(1+$G$53)-MAX($B$9,0.01*AC177+AC177*$G$53),0),0)</f>
        <v/>
      </c>
      <c r="AD178">
        <f>AC177*$G$53</f>
        <v/>
      </c>
      <c r="AE178">
        <f>IF(AE177&gt;1E-9,IF(AE177*(1+$G$54)-MAX($B$9,0.01*AE177+AE177*$G$54)&gt;1E-9,AE177*(1+$G$54)-MAX($B$9,0.01*AE177+AE177*$G$54),0),0)</f>
        <v/>
      </c>
      <c r="AF178">
        <f>AE177*$G$54</f>
        <v/>
      </c>
      <c r="AG178">
        <f>IF(AG177&gt;1E-9,IF(AG177*(1+$G$55)-MAX($B$9,0.01*AG177+AG177*$G$55)&gt;1E-9,AG177*(1+$G$55)-MAX($B$9,0.01*AG177+AG177*$G$55),0),0)</f>
        <v/>
      </c>
      <c r="AH178">
        <f>AG177*$G$55</f>
        <v/>
      </c>
      <c r="AI178">
        <f>G178+K178+O178+S178+W178</f>
        <v/>
      </c>
      <c r="AJ178">
        <f>AI177+AK178-AI178</f>
        <v/>
      </c>
      <c r="AK178">
        <f>H178+L178+P178+T178+X178</f>
        <v/>
      </c>
      <c r="AL178">
        <f>TEXT(EDATE($B$5,D178-1),"mmm yyyy")</f>
        <v/>
      </c>
      <c r="AM178">
        <f>AI178</f>
        <v/>
      </c>
    </row>
    <row r="179">
      <c r="D179" t="n">
        <v>118</v>
      </c>
      <c r="E179">
        <f>IF(G178&gt;0,MAX(0,G178*(1+$G$51)-$H$51),0)</f>
        <v/>
      </c>
      <c r="F179">
        <f>$B$6+IF($D179=$B$8,$B$7,0)</f>
        <v/>
      </c>
      <c r="G179">
        <f>IF(E179-F179&gt;1E-9,E179-F179,0)</f>
        <v/>
      </c>
      <c r="H179">
        <f>G178*$G$51</f>
        <v/>
      </c>
      <c r="I179">
        <f>IF(K178&gt;0,MAX(0,K178*(1+$G$52)-$H$52),0)</f>
        <v/>
      </c>
      <c r="J179">
        <f>MAX(0,F179-E179)</f>
        <v/>
      </c>
      <c r="K179">
        <f>IF(I179-J179&gt;1E-9,I179-J179,0)</f>
        <v/>
      </c>
      <c r="L179">
        <f>K178*$G$52</f>
        <v/>
      </c>
      <c r="M179">
        <f>IF(O178&gt;0,MAX(0,O178*(1+$G$53)-$H$53),0)</f>
        <v/>
      </c>
      <c r="N179">
        <f>MAX(0,J179-I179)</f>
        <v/>
      </c>
      <c r="O179">
        <f>IF(M179-N179&gt;1E-9,M179-N179,0)</f>
        <v/>
      </c>
      <c r="P179">
        <f>O178*$G$53</f>
        <v/>
      </c>
      <c r="Q179">
        <f>IF(S178&gt;0,MAX(0,S178*(1+$G$54)-$H$54),0)</f>
        <v/>
      </c>
      <c r="R179">
        <f>MAX(0,N179-M179)</f>
        <v/>
      </c>
      <c r="S179">
        <f>IF(Q179-R179&gt;1E-9,Q179-R179,0)</f>
        <v/>
      </c>
      <c r="T179">
        <f>S178*$G$54</f>
        <v/>
      </c>
      <c r="U179">
        <f>IF(W178&gt;0,MAX(0,W178*(1+$G$55)-$H$55),0)</f>
        <v/>
      </c>
      <c r="V179">
        <f>MAX(0,R179-Q179)</f>
        <v/>
      </c>
      <c r="W179">
        <f>IF(U179-V179&gt;1E-9,U179-V179,0)</f>
        <v/>
      </c>
      <c r="X179">
        <f>W178*$G$55</f>
        <v/>
      </c>
      <c r="Y179">
        <f>IF(Y178&gt;1E-9,IF(Y178*(1+$G$51)-MAX($B$9,0.01*Y178+Y178*$G$51)&gt;1E-9,Y178*(1+$G$51)-MAX($B$9,0.01*Y178+Y178*$G$51),0),0)</f>
        <v/>
      </c>
      <c r="Z179">
        <f>Y178*$G$51</f>
        <v/>
      </c>
      <c r="AA179">
        <f>IF(AA178&gt;1E-9,IF(AA178*(1+$G$52)-MAX($B$9,0.01*AA178+AA178*$G$52)&gt;1E-9,AA178*(1+$G$52)-MAX($B$9,0.01*AA178+AA178*$G$52),0),0)</f>
        <v/>
      </c>
      <c r="AB179">
        <f>AA178*$G$52</f>
        <v/>
      </c>
      <c r="AC179">
        <f>IF(AC178&gt;1E-9,IF(AC178*(1+$G$53)-MAX($B$9,0.01*AC178+AC178*$G$53)&gt;1E-9,AC178*(1+$G$53)-MAX($B$9,0.01*AC178+AC178*$G$53),0),0)</f>
        <v/>
      </c>
      <c r="AD179">
        <f>AC178*$G$53</f>
        <v/>
      </c>
      <c r="AE179">
        <f>IF(AE178&gt;1E-9,IF(AE178*(1+$G$54)-MAX($B$9,0.01*AE178+AE178*$G$54)&gt;1E-9,AE178*(1+$G$54)-MAX($B$9,0.01*AE178+AE178*$G$54),0),0)</f>
        <v/>
      </c>
      <c r="AF179">
        <f>AE178*$G$54</f>
        <v/>
      </c>
      <c r="AG179">
        <f>IF(AG178&gt;1E-9,IF(AG178*(1+$G$55)-MAX($B$9,0.01*AG178+AG178*$G$55)&gt;1E-9,AG178*(1+$G$55)-MAX($B$9,0.01*AG178+AG178*$G$55),0),0)</f>
        <v/>
      </c>
      <c r="AH179">
        <f>AG178*$G$55</f>
        <v/>
      </c>
      <c r="AI179">
        <f>G179+K179+O179+S179+W179</f>
        <v/>
      </c>
      <c r="AJ179">
        <f>AI178+AK179-AI179</f>
        <v/>
      </c>
      <c r="AK179">
        <f>H179+L179+P179+T179+X179</f>
        <v/>
      </c>
      <c r="AL179">
        <f>TEXT(EDATE($B$5,D179-1),"mmm yyyy")</f>
        <v/>
      </c>
      <c r="AM179">
        <f>AI179</f>
        <v/>
      </c>
    </row>
    <row r="180">
      <c r="D180" t="n">
        <v>119</v>
      </c>
      <c r="E180">
        <f>IF(G179&gt;0,MAX(0,G179*(1+$G$51)-$H$51),0)</f>
        <v/>
      </c>
      <c r="F180">
        <f>$B$6+IF($D180=$B$8,$B$7,0)</f>
        <v/>
      </c>
      <c r="G180">
        <f>IF(E180-F180&gt;1E-9,E180-F180,0)</f>
        <v/>
      </c>
      <c r="H180">
        <f>G179*$G$51</f>
        <v/>
      </c>
      <c r="I180">
        <f>IF(K179&gt;0,MAX(0,K179*(1+$G$52)-$H$52),0)</f>
        <v/>
      </c>
      <c r="J180">
        <f>MAX(0,F180-E180)</f>
        <v/>
      </c>
      <c r="K180">
        <f>IF(I180-J180&gt;1E-9,I180-J180,0)</f>
        <v/>
      </c>
      <c r="L180">
        <f>K179*$G$52</f>
        <v/>
      </c>
      <c r="M180">
        <f>IF(O179&gt;0,MAX(0,O179*(1+$G$53)-$H$53),0)</f>
        <v/>
      </c>
      <c r="N180">
        <f>MAX(0,J180-I180)</f>
        <v/>
      </c>
      <c r="O180">
        <f>IF(M180-N180&gt;1E-9,M180-N180,0)</f>
        <v/>
      </c>
      <c r="P180">
        <f>O179*$G$53</f>
        <v/>
      </c>
      <c r="Q180">
        <f>IF(S179&gt;0,MAX(0,S179*(1+$G$54)-$H$54),0)</f>
        <v/>
      </c>
      <c r="R180">
        <f>MAX(0,N180-M180)</f>
        <v/>
      </c>
      <c r="S180">
        <f>IF(Q180-R180&gt;1E-9,Q180-R180,0)</f>
        <v/>
      </c>
      <c r="T180">
        <f>S179*$G$54</f>
        <v/>
      </c>
      <c r="U180">
        <f>IF(W179&gt;0,MAX(0,W179*(1+$G$55)-$H$55),0)</f>
        <v/>
      </c>
      <c r="V180">
        <f>MAX(0,R180-Q180)</f>
        <v/>
      </c>
      <c r="W180">
        <f>IF(U180-V180&gt;1E-9,U180-V180,0)</f>
        <v/>
      </c>
      <c r="X180">
        <f>W179*$G$55</f>
        <v/>
      </c>
      <c r="Y180">
        <f>IF(Y179&gt;1E-9,IF(Y179*(1+$G$51)-MAX($B$9,0.01*Y179+Y179*$G$51)&gt;1E-9,Y179*(1+$G$51)-MAX($B$9,0.01*Y179+Y179*$G$51),0),0)</f>
        <v/>
      </c>
      <c r="Z180">
        <f>Y179*$G$51</f>
        <v/>
      </c>
      <c r="AA180">
        <f>IF(AA179&gt;1E-9,IF(AA179*(1+$G$52)-MAX($B$9,0.01*AA179+AA179*$G$52)&gt;1E-9,AA179*(1+$G$52)-MAX($B$9,0.01*AA179+AA179*$G$52),0),0)</f>
        <v/>
      </c>
      <c r="AB180">
        <f>AA179*$G$52</f>
        <v/>
      </c>
      <c r="AC180">
        <f>IF(AC179&gt;1E-9,IF(AC179*(1+$G$53)-MAX($B$9,0.01*AC179+AC179*$G$53)&gt;1E-9,AC179*(1+$G$53)-MAX($B$9,0.01*AC179+AC179*$G$53),0),0)</f>
        <v/>
      </c>
      <c r="AD180">
        <f>AC179*$G$53</f>
        <v/>
      </c>
      <c r="AE180">
        <f>IF(AE179&gt;1E-9,IF(AE179*(1+$G$54)-MAX($B$9,0.01*AE179+AE179*$G$54)&gt;1E-9,AE179*(1+$G$54)-MAX($B$9,0.01*AE179+AE179*$G$54),0),0)</f>
        <v/>
      </c>
      <c r="AF180">
        <f>AE179*$G$54</f>
        <v/>
      </c>
      <c r="AG180">
        <f>IF(AG179&gt;1E-9,IF(AG179*(1+$G$55)-MAX($B$9,0.01*AG179+AG179*$G$55)&gt;1E-9,AG179*(1+$G$55)-MAX($B$9,0.01*AG179+AG179*$G$55),0),0)</f>
        <v/>
      </c>
      <c r="AH180">
        <f>AG179*$G$55</f>
        <v/>
      </c>
      <c r="AI180">
        <f>G180+K180+O180+S180+W180</f>
        <v/>
      </c>
      <c r="AJ180">
        <f>AI179+AK180-AI180</f>
        <v/>
      </c>
      <c r="AK180">
        <f>H180+L180+P180+T180+X180</f>
        <v/>
      </c>
      <c r="AL180">
        <f>TEXT(EDATE($B$5,D180-1),"mmm yyyy")</f>
        <v/>
      </c>
      <c r="AM180">
        <f>AI180</f>
        <v/>
      </c>
    </row>
    <row r="181">
      <c r="D181" t="n">
        <v>120</v>
      </c>
      <c r="E181">
        <f>IF(G180&gt;0,MAX(0,G180*(1+$G$51)-$H$51),0)</f>
        <v/>
      </c>
      <c r="F181">
        <f>$B$6+IF($D181=$B$8,$B$7,0)</f>
        <v/>
      </c>
      <c r="G181">
        <f>IF(E181-F181&gt;1E-9,E181-F181,0)</f>
        <v/>
      </c>
      <c r="H181">
        <f>G180*$G$51</f>
        <v/>
      </c>
      <c r="I181">
        <f>IF(K180&gt;0,MAX(0,K180*(1+$G$52)-$H$52),0)</f>
        <v/>
      </c>
      <c r="J181">
        <f>MAX(0,F181-E181)</f>
        <v/>
      </c>
      <c r="K181">
        <f>IF(I181-J181&gt;1E-9,I181-J181,0)</f>
        <v/>
      </c>
      <c r="L181">
        <f>K180*$G$52</f>
        <v/>
      </c>
      <c r="M181">
        <f>IF(O180&gt;0,MAX(0,O180*(1+$G$53)-$H$53),0)</f>
        <v/>
      </c>
      <c r="N181">
        <f>MAX(0,J181-I181)</f>
        <v/>
      </c>
      <c r="O181">
        <f>IF(M181-N181&gt;1E-9,M181-N181,0)</f>
        <v/>
      </c>
      <c r="P181">
        <f>O180*$G$53</f>
        <v/>
      </c>
      <c r="Q181">
        <f>IF(S180&gt;0,MAX(0,S180*(1+$G$54)-$H$54),0)</f>
        <v/>
      </c>
      <c r="R181">
        <f>MAX(0,N181-M181)</f>
        <v/>
      </c>
      <c r="S181">
        <f>IF(Q181-R181&gt;1E-9,Q181-R181,0)</f>
        <v/>
      </c>
      <c r="T181">
        <f>S180*$G$54</f>
        <v/>
      </c>
      <c r="U181">
        <f>IF(W180&gt;0,MAX(0,W180*(1+$G$55)-$H$55),0)</f>
        <v/>
      </c>
      <c r="V181">
        <f>MAX(0,R181-Q181)</f>
        <v/>
      </c>
      <c r="W181">
        <f>IF(U181-V181&gt;1E-9,U181-V181,0)</f>
        <v/>
      </c>
      <c r="X181">
        <f>W180*$G$55</f>
        <v/>
      </c>
      <c r="Y181">
        <f>IF(Y180&gt;1E-9,IF(Y180*(1+$G$51)-MAX($B$9,0.01*Y180+Y180*$G$51)&gt;1E-9,Y180*(1+$G$51)-MAX($B$9,0.01*Y180+Y180*$G$51),0),0)</f>
        <v/>
      </c>
      <c r="Z181">
        <f>Y180*$G$51</f>
        <v/>
      </c>
      <c r="AA181">
        <f>IF(AA180&gt;1E-9,IF(AA180*(1+$G$52)-MAX($B$9,0.01*AA180+AA180*$G$52)&gt;1E-9,AA180*(1+$G$52)-MAX($B$9,0.01*AA180+AA180*$G$52),0),0)</f>
        <v/>
      </c>
      <c r="AB181">
        <f>AA180*$G$52</f>
        <v/>
      </c>
      <c r="AC181">
        <f>IF(AC180&gt;1E-9,IF(AC180*(1+$G$53)-MAX($B$9,0.01*AC180+AC180*$G$53)&gt;1E-9,AC180*(1+$G$53)-MAX($B$9,0.01*AC180+AC180*$G$53),0),0)</f>
        <v/>
      </c>
      <c r="AD181">
        <f>AC180*$G$53</f>
        <v/>
      </c>
      <c r="AE181">
        <f>IF(AE180&gt;1E-9,IF(AE180*(1+$G$54)-MAX($B$9,0.01*AE180+AE180*$G$54)&gt;1E-9,AE180*(1+$G$54)-MAX($B$9,0.01*AE180+AE180*$G$54),0),0)</f>
        <v/>
      </c>
      <c r="AF181">
        <f>AE180*$G$54</f>
        <v/>
      </c>
      <c r="AG181">
        <f>IF(AG180&gt;1E-9,IF(AG180*(1+$G$55)-MAX($B$9,0.01*AG180+AG180*$G$55)&gt;1E-9,AG180*(1+$G$55)-MAX($B$9,0.01*AG180+AG180*$G$55),0),0)</f>
        <v/>
      </c>
      <c r="AH181">
        <f>AG180*$G$55</f>
        <v/>
      </c>
      <c r="AI181">
        <f>G181+K181+O181+S181+W181</f>
        <v/>
      </c>
      <c r="AJ181">
        <f>AI180+AK181-AI181</f>
        <v/>
      </c>
      <c r="AK181">
        <f>H181+L181+P181+T181+X181</f>
        <v/>
      </c>
      <c r="AL181">
        <f>TEXT(EDATE($B$5,D181-1),"mmm yyyy")</f>
        <v/>
      </c>
      <c r="AM181">
        <f>AI181</f>
        <v/>
      </c>
    </row>
    <row r="182">
      <c r="D182" t="n">
        <v>121</v>
      </c>
      <c r="E182">
        <f>IF(G181&gt;0,MAX(0,G181*(1+$G$51)-$H$51),0)</f>
        <v/>
      </c>
      <c r="F182">
        <f>$B$6+IF($D182=$B$8,$B$7,0)</f>
        <v/>
      </c>
      <c r="G182">
        <f>IF(E182-F182&gt;1E-9,E182-F182,0)</f>
        <v/>
      </c>
      <c r="H182">
        <f>G181*$G$51</f>
        <v/>
      </c>
      <c r="I182">
        <f>IF(K181&gt;0,MAX(0,K181*(1+$G$52)-$H$52),0)</f>
        <v/>
      </c>
      <c r="J182">
        <f>MAX(0,F182-E182)</f>
        <v/>
      </c>
      <c r="K182">
        <f>IF(I182-J182&gt;1E-9,I182-J182,0)</f>
        <v/>
      </c>
      <c r="L182">
        <f>K181*$G$52</f>
        <v/>
      </c>
      <c r="M182">
        <f>IF(O181&gt;0,MAX(0,O181*(1+$G$53)-$H$53),0)</f>
        <v/>
      </c>
      <c r="N182">
        <f>MAX(0,J182-I182)</f>
        <v/>
      </c>
      <c r="O182">
        <f>IF(M182-N182&gt;1E-9,M182-N182,0)</f>
        <v/>
      </c>
      <c r="P182">
        <f>O181*$G$53</f>
        <v/>
      </c>
      <c r="Q182">
        <f>IF(S181&gt;0,MAX(0,S181*(1+$G$54)-$H$54),0)</f>
        <v/>
      </c>
      <c r="R182">
        <f>MAX(0,N182-M182)</f>
        <v/>
      </c>
      <c r="S182">
        <f>IF(Q182-R182&gt;1E-9,Q182-R182,0)</f>
        <v/>
      </c>
      <c r="T182">
        <f>S181*$G$54</f>
        <v/>
      </c>
      <c r="U182">
        <f>IF(W181&gt;0,MAX(0,W181*(1+$G$55)-$H$55),0)</f>
        <v/>
      </c>
      <c r="V182">
        <f>MAX(0,R182-Q182)</f>
        <v/>
      </c>
      <c r="W182">
        <f>IF(U182-V182&gt;1E-9,U182-V182,0)</f>
        <v/>
      </c>
      <c r="X182">
        <f>W181*$G$55</f>
        <v/>
      </c>
      <c r="Y182">
        <f>IF(Y181&gt;1E-9,IF(Y181*(1+$G$51)-MAX($B$9,0.01*Y181+Y181*$G$51)&gt;1E-9,Y181*(1+$G$51)-MAX($B$9,0.01*Y181+Y181*$G$51),0),0)</f>
        <v/>
      </c>
      <c r="Z182">
        <f>Y181*$G$51</f>
        <v/>
      </c>
      <c r="AA182">
        <f>IF(AA181&gt;1E-9,IF(AA181*(1+$G$52)-MAX($B$9,0.01*AA181+AA181*$G$52)&gt;1E-9,AA181*(1+$G$52)-MAX($B$9,0.01*AA181+AA181*$G$52),0),0)</f>
        <v/>
      </c>
      <c r="AB182">
        <f>AA181*$G$52</f>
        <v/>
      </c>
      <c r="AC182">
        <f>IF(AC181&gt;1E-9,IF(AC181*(1+$G$53)-MAX($B$9,0.01*AC181+AC181*$G$53)&gt;1E-9,AC181*(1+$G$53)-MAX($B$9,0.01*AC181+AC181*$G$53),0),0)</f>
        <v/>
      </c>
      <c r="AD182">
        <f>AC181*$G$53</f>
        <v/>
      </c>
      <c r="AE182">
        <f>IF(AE181&gt;1E-9,IF(AE181*(1+$G$54)-MAX($B$9,0.01*AE181+AE181*$G$54)&gt;1E-9,AE181*(1+$G$54)-MAX($B$9,0.01*AE181+AE181*$G$54),0),0)</f>
        <v/>
      </c>
      <c r="AF182">
        <f>AE181*$G$54</f>
        <v/>
      </c>
      <c r="AG182">
        <f>IF(AG181&gt;1E-9,IF(AG181*(1+$G$55)-MAX($B$9,0.01*AG181+AG181*$G$55)&gt;1E-9,AG181*(1+$G$55)-MAX($B$9,0.01*AG181+AG181*$G$55),0),0)</f>
        <v/>
      </c>
      <c r="AH182">
        <f>AG181*$G$55</f>
        <v/>
      </c>
      <c r="AI182">
        <f>G182+K182+O182+S182+W182</f>
        <v/>
      </c>
      <c r="AJ182">
        <f>AI181+AK182-AI182</f>
        <v/>
      </c>
      <c r="AK182">
        <f>H182+L182+P182+T182+X182</f>
        <v/>
      </c>
      <c r="AL182">
        <f>TEXT(EDATE($B$5,D182-1),"mmm yyyy")</f>
        <v/>
      </c>
      <c r="AM182">
        <f>AI182</f>
        <v/>
      </c>
    </row>
    <row r="183">
      <c r="D183" t="n">
        <v>122</v>
      </c>
      <c r="E183">
        <f>IF(G182&gt;0,MAX(0,G182*(1+$G$51)-$H$51),0)</f>
        <v/>
      </c>
      <c r="F183">
        <f>$B$6+IF($D183=$B$8,$B$7,0)</f>
        <v/>
      </c>
      <c r="G183">
        <f>IF(E183-F183&gt;1E-9,E183-F183,0)</f>
        <v/>
      </c>
      <c r="H183">
        <f>G182*$G$51</f>
        <v/>
      </c>
      <c r="I183">
        <f>IF(K182&gt;0,MAX(0,K182*(1+$G$52)-$H$52),0)</f>
        <v/>
      </c>
      <c r="J183">
        <f>MAX(0,F183-E183)</f>
        <v/>
      </c>
      <c r="K183">
        <f>IF(I183-J183&gt;1E-9,I183-J183,0)</f>
        <v/>
      </c>
      <c r="L183">
        <f>K182*$G$52</f>
        <v/>
      </c>
      <c r="M183">
        <f>IF(O182&gt;0,MAX(0,O182*(1+$G$53)-$H$53),0)</f>
        <v/>
      </c>
      <c r="N183">
        <f>MAX(0,J183-I183)</f>
        <v/>
      </c>
      <c r="O183">
        <f>IF(M183-N183&gt;1E-9,M183-N183,0)</f>
        <v/>
      </c>
      <c r="P183">
        <f>O182*$G$53</f>
        <v/>
      </c>
      <c r="Q183">
        <f>IF(S182&gt;0,MAX(0,S182*(1+$G$54)-$H$54),0)</f>
        <v/>
      </c>
      <c r="R183">
        <f>MAX(0,N183-M183)</f>
        <v/>
      </c>
      <c r="S183">
        <f>IF(Q183-R183&gt;1E-9,Q183-R183,0)</f>
        <v/>
      </c>
      <c r="T183">
        <f>S182*$G$54</f>
        <v/>
      </c>
      <c r="U183">
        <f>IF(W182&gt;0,MAX(0,W182*(1+$G$55)-$H$55),0)</f>
        <v/>
      </c>
      <c r="V183">
        <f>MAX(0,R183-Q183)</f>
        <v/>
      </c>
      <c r="W183">
        <f>IF(U183-V183&gt;1E-9,U183-V183,0)</f>
        <v/>
      </c>
      <c r="X183">
        <f>W182*$G$55</f>
        <v/>
      </c>
      <c r="Y183">
        <f>IF(Y182&gt;1E-9,IF(Y182*(1+$G$51)-MAX($B$9,0.01*Y182+Y182*$G$51)&gt;1E-9,Y182*(1+$G$51)-MAX($B$9,0.01*Y182+Y182*$G$51),0),0)</f>
        <v/>
      </c>
      <c r="Z183">
        <f>Y182*$G$51</f>
        <v/>
      </c>
      <c r="AA183">
        <f>IF(AA182&gt;1E-9,IF(AA182*(1+$G$52)-MAX($B$9,0.01*AA182+AA182*$G$52)&gt;1E-9,AA182*(1+$G$52)-MAX($B$9,0.01*AA182+AA182*$G$52),0),0)</f>
        <v/>
      </c>
      <c r="AB183">
        <f>AA182*$G$52</f>
        <v/>
      </c>
      <c r="AC183">
        <f>IF(AC182&gt;1E-9,IF(AC182*(1+$G$53)-MAX($B$9,0.01*AC182+AC182*$G$53)&gt;1E-9,AC182*(1+$G$53)-MAX($B$9,0.01*AC182+AC182*$G$53),0),0)</f>
        <v/>
      </c>
      <c r="AD183">
        <f>AC182*$G$53</f>
        <v/>
      </c>
      <c r="AE183">
        <f>IF(AE182&gt;1E-9,IF(AE182*(1+$G$54)-MAX($B$9,0.01*AE182+AE182*$G$54)&gt;1E-9,AE182*(1+$G$54)-MAX($B$9,0.01*AE182+AE182*$G$54),0),0)</f>
        <v/>
      </c>
      <c r="AF183">
        <f>AE182*$G$54</f>
        <v/>
      </c>
      <c r="AG183">
        <f>IF(AG182&gt;1E-9,IF(AG182*(1+$G$55)-MAX($B$9,0.01*AG182+AG182*$G$55)&gt;1E-9,AG182*(1+$G$55)-MAX($B$9,0.01*AG182+AG182*$G$55),0),0)</f>
        <v/>
      </c>
      <c r="AH183">
        <f>AG182*$G$55</f>
        <v/>
      </c>
      <c r="AI183">
        <f>G183+K183+O183+S183+W183</f>
        <v/>
      </c>
      <c r="AJ183">
        <f>AI182+AK183-AI183</f>
        <v/>
      </c>
      <c r="AK183">
        <f>H183+L183+P183+T183+X183</f>
        <v/>
      </c>
      <c r="AL183">
        <f>TEXT(EDATE($B$5,D183-1),"mmm yyyy")</f>
        <v/>
      </c>
      <c r="AM183">
        <f>AI183</f>
        <v/>
      </c>
    </row>
    <row r="184">
      <c r="D184" t="n">
        <v>123</v>
      </c>
      <c r="E184">
        <f>IF(G183&gt;0,MAX(0,G183*(1+$G$51)-$H$51),0)</f>
        <v/>
      </c>
      <c r="F184">
        <f>$B$6+IF($D184=$B$8,$B$7,0)</f>
        <v/>
      </c>
      <c r="G184">
        <f>IF(E184-F184&gt;1E-9,E184-F184,0)</f>
        <v/>
      </c>
      <c r="H184">
        <f>G183*$G$51</f>
        <v/>
      </c>
      <c r="I184">
        <f>IF(K183&gt;0,MAX(0,K183*(1+$G$52)-$H$52),0)</f>
        <v/>
      </c>
      <c r="J184">
        <f>MAX(0,F184-E184)</f>
        <v/>
      </c>
      <c r="K184">
        <f>IF(I184-J184&gt;1E-9,I184-J184,0)</f>
        <v/>
      </c>
      <c r="L184">
        <f>K183*$G$52</f>
        <v/>
      </c>
      <c r="M184">
        <f>IF(O183&gt;0,MAX(0,O183*(1+$G$53)-$H$53),0)</f>
        <v/>
      </c>
      <c r="N184">
        <f>MAX(0,J184-I184)</f>
        <v/>
      </c>
      <c r="O184">
        <f>IF(M184-N184&gt;1E-9,M184-N184,0)</f>
        <v/>
      </c>
      <c r="P184">
        <f>O183*$G$53</f>
        <v/>
      </c>
      <c r="Q184">
        <f>IF(S183&gt;0,MAX(0,S183*(1+$G$54)-$H$54),0)</f>
        <v/>
      </c>
      <c r="R184">
        <f>MAX(0,N184-M184)</f>
        <v/>
      </c>
      <c r="S184">
        <f>IF(Q184-R184&gt;1E-9,Q184-R184,0)</f>
        <v/>
      </c>
      <c r="T184">
        <f>S183*$G$54</f>
        <v/>
      </c>
      <c r="U184">
        <f>IF(W183&gt;0,MAX(0,W183*(1+$G$55)-$H$55),0)</f>
        <v/>
      </c>
      <c r="V184">
        <f>MAX(0,R184-Q184)</f>
        <v/>
      </c>
      <c r="W184">
        <f>IF(U184-V184&gt;1E-9,U184-V184,0)</f>
        <v/>
      </c>
      <c r="X184">
        <f>W183*$G$55</f>
        <v/>
      </c>
      <c r="Y184">
        <f>IF(Y183&gt;1E-9,IF(Y183*(1+$G$51)-MAX($B$9,0.01*Y183+Y183*$G$51)&gt;1E-9,Y183*(1+$G$51)-MAX($B$9,0.01*Y183+Y183*$G$51),0),0)</f>
        <v/>
      </c>
      <c r="Z184">
        <f>Y183*$G$51</f>
        <v/>
      </c>
      <c r="AA184">
        <f>IF(AA183&gt;1E-9,IF(AA183*(1+$G$52)-MAX($B$9,0.01*AA183+AA183*$G$52)&gt;1E-9,AA183*(1+$G$52)-MAX($B$9,0.01*AA183+AA183*$G$52),0),0)</f>
        <v/>
      </c>
      <c r="AB184">
        <f>AA183*$G$52</f>
        <v/>
      </c>
      <c r="AC184">
        <f>IF(AC183&gt;1E-9,IF(AC183*(1+$G$53)-MAX($B$9,0.01*AC183+AC183*$G$53)&gt;1E-9,AC183*(1+$G$53)-MAX($B$9,0.01*AC183+AC183*$G$53),0),0)</f>
        <v/>
      </c>
      <c r="AD184">
        <f>AC183*$G$53</f>
        <v/>
      </c>
      <c r="AE184">
        <f>IF(AE183&gt;1E-9,IF(AE183*(1+$G$54)-MAX($B$9,0.01*AE183+AE183*$G$54)&gt;1E-9,AE183*(1+$G$54)-MAX($B$9,0.01*AE183+AE183*$G$54),0),0)</f>
        <v/>
      </c>
      <c r="AF184">
        <f>AE183*$G$54</f>
        <v/>
      </c>
      <c r="AG184">
        <f>IF(AG183&gt;1E-9,IF(AG183*(1+$G$55)-MAX($B$9,0.01*AG183+AG183*$G$55)&gt;1E-9,AG183*(1+$G$55)-MAX($B$9,0.01*AG183+AG183*$G$55),0),0)</f>
        <v/>
      </c>
      <c r="AH184">
        <f>AG183*$G$55</f>
        <v/>
      </c>
      <c r="AI184">
        <f>G184+K184+O184+S184+W184</f>
        <v/>
      </c>
      <c r="AJ184">
        <f>AI183+AK184-AI184</f>
        <v/>
      </c>
      <c r="AK184">
        <f>H184+L184+P184+T184+X184</f>
        <v/>
      </c>
      <c r="AL184">
        <f>TEXT(EDATE($B$5,D184-1),"mmm yyyy")</f>
        <v/>
      </c>
      <c r="AM184">
        <f>AI184</f>
        <v/>
      </c>
    </row>
    <row r="185">
      <c r="D185" t="n">
        <v>124</v>
      </c>
      <c r="E185">
        <f>IF(G184&gt;0,MAX(0,G184*(1+$G$51)-$H$51),0)</f>
        <v/>
      </c>
      <c r="F185">
        <f>$B$6+IF($D185=$B$8,$B$7,0)</f>
        <v/>
      </c>
      <c r="G185">
        <f>IF(E185-F185&gt;1E-9,E185-F185,0)</f>
        <v/>
      </c>
      <c r="H185">
        <f>G184*$G$51</f>
        <v/>
      </c>
      <c r="I185">
        <f>IF(K184&gt;0,MAX(0,K184*(1+$G$52)-$H$52),0)</f>
        <v/>
      </c>
      <c r="J185">
        <f>MAX(0,F185-E185)</f>
        <v/>
      </c>
      <c r="K185">
        <f>IF(I185-J185&gt;1E-9,I185-J185,0)</f>
        <v/>
      </c>
      <c r="L185">
        <f>K184*$G$52</f>
        <v/>
      </c>
      <c r="M185">
        <f>IF(O184&gt;0,MAX(0,O184*(1+$G$53)-$H$53),0)</f>
        <v/>
      </c>
      <c r="N185">
        <f>MAX(0,J185-I185)</f>
        <v/>
      </c>
      <c r="O185">
        <f>IF(M185-N185&gt;1E-9,M185-N185,0)</f>
        <v/>
      </c>
      <c r="P185">
        <f>O184*$G$53</f>
        <v/>
      </c>
      <c r="Q185">
        <f>IF(S184&gt;0,MAX(0,S184*(1+$G$54)-$H$54),0)</f>
        <v/>
      </c>
      <c r="R185">
        <f>MAX(0,N185-M185)</f>
        <v/>
      </c>
      <c r="S185">
        <f>IF(Q185-R185&gt;1E-9,Q185-R185,0)</f>
        <v/>
      </c>
      <c r="T185">
        <f>S184*$G$54</f>
        <v/>
      </c>
      <c r="U185">
        <f>IF(W184&gt;0,MAX(0,W184*(1+$G$55)-$H$55),0)</f>
        <v/>
      </c>
      <c r="V185">
        <f>MAX(0,R185-Q185)</f>
        <v/>
      </c>
      <c r="W185">
        <f>IF(U185-V185&gt;1E-9,U185-V185,0)</f>
        <v/>
      </c>
      <c r="X185">
        <f>W184*$G$55</f>
        <v/>
      </c>
      <c r="Y185">
        <f>IF(Y184&gt;1E-9,IF(Y184*(1+$G$51)-MAX($B$9,0.01*Y184+Y184*$G$51)&gt;1E-9,Y184*(1+$G$51)-MAX($B$9,0.01*Y184+Y184*$G$51),0),0)</f>
        <v/>
      </c>
      <c r="Z185">
        <f>Y184*$G$51</f>
        <v/>
      </c>
      <c r="AA185">
        <f>IF(AA184&gt;1E-9,IF(AA184*(1+$G$52)-MAX($B$9,0.01*AA184+AA184*$G$52)&gt;1E-9,AA184*(1+$G$52)-MAX($B$9,0.01*AA184+AA184*$G$52),0),0)</f>
        <v/>
      </c>
      <c r="AB185">
        <f>AA184*$G$52</f>
        <v/>
      </c>
      <c r="AC185">
        <f>IF(AC184&gt;1E-9,IF(AC184*(1+$G$53)-MAX($B$9,0.01*AC184+AC184*$G$53)&gt;1E-9,AC184*(1+$G$53)-MAX($B$9,0.01*AC184+AC184*$G$53),0),0)</f>
        <v/>
      </c>
      <c r="AD185">
        <f>AC184*$G$53</f>
        <v/>
      </c>
      <c r="AE185">
        <f>IF(AE184&gt;1E-9,IF(AE184*(1+$G$54)-MAX($B$9,0.01*AE184+AE184*$G$54)&gt;1E-9,AE184*(1+$G$54)-MAX($B$9,0.01*AE184+AE184*$G$54),0),0)</f>
        <v/>
      </c>
      <c r="AF185">
        <f>AE184*$G$54</f>
        <v/>
      </c>
      <c r="AG185">
        <f>IF(AG184&gt;1E-9,IF(AG184*(1+$G$55)-MAX($B$9,0.01*AG184+AG184*$G$55)&gt;1E-9,AG184*(1+$G$55)-MAX($B$9,0.01*AG184+AG184*$G$55),0),0)</f>
        <v/>
      </c>
      <c r="AH185">
        <f>AG184*$G$55</f>
        <v/>
      </c>
      <c r="AI185">
        <f>G185+K185+O185+S185+W185</f>
        <v/>
      </c>
      <c r="AJ185">
        <f>AI184+AK185-AI185</f>
        <v/>
      </c>
      <c r="AK185">
        <f>H185+L185+P185+T185+X185</f>
        <v/>
      </c>
      <c r="AL185">
        <f>TEXT(EDATE($B$5,D185-1),"mmm yyyy")</f>
        <v/>
      </c>
      <c r="AM185">
        <f>AI185</f>
        <v/>
      </c>
    </row>
    <row r="186">
      <c r="D186" t="n">
        <v>125</v>
      </c>
      <c r="E186">
        <f>IF(G185&gt;0,MAX(0,G185*(1+$G$51)-$H$51),0)</f>
        <v/>
      </c>
      <c r="F186">
        <f>$B$6+IF($D186=$B$8,$B$7,0)</f>
        <v/>
      </c>
      <c r="G186">
        <f>IF(E186-F186&gt;1E-9,E186-F186,0)</f>
        <v/>
      </c>
      <c r="H186">
        <f>G185*$G$51</f>
        <v/>
      </c>
      <c r="I186">
        <f>IF(K185&gt;0,MAX(0,K185*(1+$G$52)-$H$52),0)</f>
        <v/>
      </c>
      <c r="J186">
        <f>MAX(0,F186-E186)</f>
        <v/>
      </c>
      <c r="K186">
        <f>IF(I186-J186&gt;1E-9,I186-J186,0)</f>
        <v/>
      </c>
      <c r="L186">
        <f>K185*$G$52</f>
        <v/>
      </c>
      <c r="M186">
        <f>IF(O185&gt;0,MAX(0,O185*(1+$G$53)-$H$53),0)</f>
        <v/>
      </c>
      <c r="N186">
        <f>MAX(0,J186-I186)</f>
        <v/>
      </c>
      <c r="O186">
        <f>IF(M186-N186&gt;1E-9,M186-N186,0)</f>
        <v/>
      </c>
      <c r="P186">
        <f>O185*$G$53</f>
        <v/>
      </c>
      <c r="Q186">
        <f>IF(S185&gt;0,MAX(0,S185*(1+$G$54)-$H$54),0)</f>
        <v/>
      </c>
      <c r="R186">
        <f>MAX(0,N186-M186)</f>
        <v/>
      </c>
      <c r="S186">
        <f>IF(Q186-R186&gt;1E-9,Q186-R186,0)</f>
        <v/>
      </c>
      <c r="T186">
        <f>S185*$G$54</f>
        <v/>
      </c>
      <c r="U186">
        <f>IF(W185&gt;0,MAX(0,W185*(1+$G$55)-$H$55),0)</f>
        <v/>
      </c>
      <c r="V186">
        <f>MAX(0,R186-Q186)</f>
        <v/>
      </c>
      <c r="W186">
        <f>IF(U186-V186&gt;1E-9,U186-V186,0)</f>
        <v/>
      </c>
      <c r="X186">
        <f>W185*$G$55</f>
        <v/>
      </c>
      <c r="Y186">
        <f>IF(Y185&gt;1E-9,IF(Y185*(1+$G$51)-MAX($B$9,0.01*Y185+Y185*$G$51)&gt;1E-9,Y185*(1+$G$51)-MAX($B$9,0.01*Y185+Y185*$G$51),0),0)</f>
        <v/>
      </c>
      <c r="Z186">
        <f>Y185*$G$51</f>
        <v/>
      </c>
      <c r="AA186">
        <f>IF(AA185&gt;1E-9,IF(AA185*(1+$G$52)-MAX($B$9,0.01*AA185+AA185*$G$52)&gt;1E-9,AA185*(1+$G$52)-MAX($B$9,0.01*AA185+AA185*$G$52),0),0)</f>
        <v/>
      </c>
      <c r="AB186">
        <f>AA185*$G$52</f>
        <v/>
      </c>
      <c r="AC186">
        <f>IF(AC185&gt;1E-9,IF(AC185*(1+$G$53)-MAX($B$9,0.01*AC185+AC185*$G$53)&gt;1E-9,AC185*(1+$G$53)-MAX($B$9,0.01*AC185+AC185*$G$53),0),0)</f>
        <v/>
      </c>
      <c r="AD186">
        <f>AC185*$G$53</f>
        <v/>
      </c>
      <c r="AE186">
        <f>IF(AE185&gt;1E-9,IF(AE185*(1+$G$54)-MAX($B$9,0.01*AE185+AE185*$G$54)&gt;1E-9,AE185*(1+$G$54)-MAX($B$9,0.01*AE185+AE185*$G$54),0),0)</f>
        <v/>
      </c>
      <c r="AF186">
        <f>AE185*$G$54</f>
        <v/>
      </c>
      <c r="AG186">
        <f>IF(AG185&gt;1E-9,IF(AG185*(1+$G$55)-MAX($B$9,0.01*AG185+AG185*$G$55)&gt;1E-9,AG185*(1+$G$55)-MAX($B$9,0.01*AG185+AG185*$G$55),0),0)</f>
        <v/>
      </c>
      <c r="AH186">
        <f>AG185*$G$55</f>
        <v/>
      </c>
      <c r="AI186">
        <f>G186+K186+O186+S186+W186</f>
        <v/>
      </c>
      <c r="AJ186">
        <f>AI185+AK186-AI186</f>
        <v/>
      </c>
      <c r="AK186">
        <f>H186+L186+P186+T186+X186</f>
        <v/>
      </c>
      <c r="AL186">
        <f>TEXT(EDATE($B$5,D186-1),"mmm yyyy")</f>
        <v/>
      </c>
      <c r="AM186">
        <f>AI186</f>
        <v/>
      </c>
    </row>
    <row r="187">
      <c r="D187" t="n">
        <v>126</v>
      </c>
      <c r="E187">
        <f>IF(G186&gt;0,MAX(0,G186*(1+$G$51)-$H$51),0)</f>
        <v/>
      </c>
      <c r="F187">
        <f>$B$6+IF($D187=$B$8,$B$7,0)</f>
        <v/>
      </c>
      <c r="G187">
        <f>IF(E187-F187&gt;1E-9,E187-F187,0)</f>
        <v/>
      </c>
      <c r="H187">
        <f>G186*$G$51</f>
        <v/>
      </c>
      <c r="I187">
        <f>IF(K186&gt;0,MAX(0,K186*(1+$G$52)-$H$52),0)</f>
        <v/>
      </c>
      <c r="J187">
        <f>MAX(0,F187-E187)</f>
        <v/>
      </c>
      <c r="K187">
        <f>IF(I187-J187&gt;1E-9,I187-J187,0)</f>
        <v/>
      </c>
      <c r="L187">
        <f>K186*$G$52</f>
        <v/>
      </c>
      <c r="M187">
        <f>IF(O186&gt;0,MAX(0,O186*(1+$G$53)-$H$53),0)</f>
        <v/>
      </c>
      <c r="N187">
        <f>MAX(0,J187-I187)</f>
        <v/>
      </c>
      <c r="O187">
        <f>IF(M187-N187&gt;1E-9,M187-N187,0)</f>
        <v/>
      </c>
      <c r="P187">
        <f>O186*$G$53</f>
        <v/>
      </c>
      <c r="Q187">
        <f>IF(S186&gt;0,MAX(0,S186*(1+$G$54)-$H$54),0)</f>
        <v/>
      </c>
      <c r="R187">
        <f>MAX(0,N187-M187)</f>
        <v/>
      </c>
      <c r="S187">
        <f>IF(Q187-R187&gt;1E-9,Q187-R187,0)</f>
        <v/>
      </c>
      <c r="T187">
        <f>S186*$G$54</f>
        <v/>
      </c>
      <c r="U187">
        <f>IF(W186&gt;0,MAX(0,W186*(1+$G$55)-$H$55),0)</f>
        <v/>
      </c>
      <c r="V187">
        <f>MAX(0,R187-Q187)</f>
        <v/>
      </c>
      <c r="W187">
        <f>IF(U187-V187&gt;1E-9,U187-V187,0)</f>
        <v/>
      </c>
      <c r="X187">
        <f>W186*$G$55</f>
        <v/>
      </c>
      <c r="Y187">
        <f>IF(Y186&gt;1E-9,IF(Y186*(1+$G$51)-MAX($B$9,0.01*Y186+Y186*$G$51)&gt;1E-9,Y186*(1+$G$51)-MAX($B$9,0.01*Y186+Y186*$G$51),0),0)</f>
        <v/>
      </c>
      <c r="Z187">
        <f>Y186*$G$51</f>
        <v/>
      </c>
      <c r="AA187">
        <f>IF(AA186&gt;1E-9,IF(AA186*(1+$G$52)-MAX($B$9,0.01*AA186+AA186*$G$52)&gt;1E-9,AA186*(1+$G$52)-MAX($B$9,0.01*AA186+AA186*$G$52),0),0)</f>
        <v/>
      </c>
      <c r="AB187">
        <f>AA186*$G$52</f>
        <v/>
      </c>
      <c r="AC187">
        <f>IF(AC186&gt;1E-9,IF(AC186*(1+$G$53)-MAX($B$9,0.01*AC186+AC186*$G$53)&gt;1E-9,AC186*(1+$G$53)-MAX($B$9,0.01*AC186+AC186*$G$53),0),0)</f>
        <v/>
      </c>
      <c r="AD187">
        <f>AC186*$G$53</f>
        <v/>
      </c>
      <c r="AE187">
        <f>IF(AE186&gt;1E-9,IF(AE186*(1+$G$54)-MAX($B$9,0.01*AE186+AE186*$G$54)&gt;1E-9,AE186*(1+$G$54)-MAX($B$9,0.01*AE186+AE186*$G$54),0),0)</f>
        <v/>
      </c>
      <c r="AF187">
        <f>AE186*$G$54</f>
        <v/>
      </c>
      <c r="AG187">
        <f>IF(AG186&gt;1E-9,IF(AG186*(1+$G$55)-MAX($B$9,0.01*AG186+AG186*$G$55)&gt;1E-9,AG186*(1+$G$55)-MAX($B$9,0.01*AG186+AG186*$G$55),0),0)</f>
        <v/>
      </c>
      <c r="AH187">
        <f>AG186*$G$55</f>
        <v/>
      </c>
      <c r="AI187">
        <f>G187+K187+O187+S187+W187</f>
        <v/>
      </c>
      <c r="AJ187">
        <f>AI186+AK187-AI187</f>
        <v/>
      </c>
      <c r="AK187">
        <f>H187+L187+P187+T187+X187</f>
        <v/>
      </c>
      <c r="AL187">
        <f>TEXT(EDATE($B$5,D187-1),"mmm yyyy")</f>
        <v/>
      </c>
      <c r="AM187">
        <f>AI187</f>
        <v/>
      </c>
    </row>
    <row r="188">
      <c r="D188" t="n">
        <v>127</v>
      </c>
      <c r="E188">
        <f>IF(G187&gt;0,MAX(0,G187*(1+$G$51)-$H$51),0)</f>
        <v/>
      </c>
      <c r="F188">
        <f>$B$6+IF($D188=$B$8,$B$7,0)</f>
        <v/>
      </c>
      <c r="G188">
        <f>IF(E188-F188&gt;1E-9,E188-F188,0)</f>
        <v/>
      </c>
      <c r="H188">
        <f>G187*$G$51</f>
        <v/>
      </c>
      <c r="I188">
        <f>IF(K187&gt;0,MAX(0,K187*(1+$G$52)-$H$52),0)</f>
        <v/>
      </c>
      <c r="J188">
        <f>MAX(0,F188-E188)</f>
        <v/>
      </c>
      <c r="K188">
        <f>IF(I188-J188&gt;1E-9,I188-J188,0)</f>
        <v/>
      </c>
      <c r="L188">
        <f>K187*$G$52</f>
        <v/>
      </c>
      <c r="M188">
        <f>IF(O187&gt;0,MAX(0,O187*(1+$G$53)-$H$53),0)</f>
        <v/>
      </c>
      <c r="N188">
        <f>MAX(0,J188-I188)</f>
        <v/>
      </c>
      <c r="O188">
        <f>IF(M188-N188&gt;1E-9,M188-N188,0)</f>
        <v/>
      </c>
      <c r="P188">
        <f>O187*$G$53</f>
        <v/>
      </c>
      <c r="Q188">
        <f>IF(S187&gt;0,MAX(0,S187*(1+$G$54)-$H$54),0)</f>
        <v/>
      </c>
      <c r="R188">
        <f>MAX(0,N188-M188)</f>
        <v/>
      </c>
      <c r="S188">
        <f>IF(Q188-R188&gt;1E-9,Q188-R188,0)</f>
        <v/>
      </c>
      <c r="T188">
        <f>S187*$G$54</f>
        <v/>
      </c>
      <c r="U188">
        <f>IF(W187&gt;0,MAX(0,W187*(1+$G$55)-$H$55),0)</f>
        <v/>
      </c>
      <c r="V188">
        <f>MAX(0,R188-Q188)</f>
        <v/>
      </c>
      <c r="W188">
        <f>IF(U188-V188&gt;1E-9,U188-V188,0)</f>
        <v/>
      </c>
      <c r="X188">
        <f>W187*$G$55</f>
        <v/>
      </c>
      <c r="Y188">
        <f>IF(Y187&gt;1E-9,IF(Y187*(1+$G$51)-MAX($B$9,0.01*Y187+Y187*$G$51)&gt;1E-9,Y187*(1+$G$51)-MAX($B$9,0.01*Y187+Y187*$G$51),0),0)</f>
        <v/>
      </c>
      <c r="Z188">
        <f>Y187*$G$51</f>
        <v/>
      </c>
      <c r="AA188">
        <f>IF(AA187&gt;1E-9,IF(AA187*(1+$G$52)-MAX($B$9,0.01*AA187+AA187*$G$52)&gt;1E-9,AA187*(1+$G$52)-MAX($B$9,0.01*AA187+AA187*$G$52),0),0)</f>
        <v/>
      </c>
      <c r="AB188">
        <f>AA187*$G$52</f>
        <v/>
      </c>
      <c r="AC188">
        <f>IF(AC187&gt;1E-9,IF(AC187*(1+$G$53)-MAX($B$9,0.01*AC187+AC187*$G$53)&gt;1E-9,AC187*(1+$G$53)-MAX($B$9,0.01*AC187+AC187*$G$53),0),0)</f>
        <v/>
      </c>
      <c r="AD188">
        <f>AC187*$G$53</f>
        <v/>
      </c>
      <c r="AE188">
        <f>IF(AE187&gt;1E-9,IF(AE187*(1+$G$54)-MAX($B$9,0.01*AE187+AE187*$G$54)&gt;1E-9,AE187*(1+$G$54)-MAX($B$9,0.01*AE187+AE187*$G$54),0),0)</f>
        <v/>
      </c>
      <c r="AF188">
        <f>AE187*$G$54</f>
        <v/>
      </c>
      <c r="AG188">
        <f>IF(AG187&gt;1E-9,IF(AG187*(1+$G$55)-MAX($B$9,0.01*AG187+AG187*$G$55)&gt;1E-9,AG187*(1+$G$55)-MAX($B$9,0.01*AG187+AG187*$G$55),0),0)</f>
        <v/>
      </c>
      <c r="AH188">
        <f>AG187*$G$55</f>
        <v/>
      </c>
      <c r="AI188">
        <f>G188+K188+O188+S188+W188</f>
        <v/>
      </c>
      <c r="AJ188">
        <f>AI187+AK188-AI188</f>
        <v/>
      </c>
      <c r="AK188">
        <f>H188+L188+P188+T188+X188</f>
        <v/>
      </c>
      <c r="AL188">
        <f>TEXT(EDATE($B$5,D188-1),"mmm yyyy")</f>
        <v/>
      </c>
      <c r="AM188">
        <f>AI188</f>
        <v/>
      </c>
    </row>
    <row r="189">
      <c r="D189" t="n">
        <v>128</v>
      </c>
      <c r="E189">
        <f>IF(G188&gt;0,MAX(0,G188*(1+$G$51)-$H$51),0)</f>
        <v/>
      </c>
      <c r="F189">
        <f>$B$6+IF($D189=$B$8,$B$7,0)</f>
        <v/>
      </c>
      <c r="G189">
        <f>IF(E189-F189&gt;1E-9,E189-F189,0)</f>
        <v/>
      </c>
      <c r="H189">
        <f>G188*$G$51</f>
        <v/>
      </c>
      <c r="I189">
        <f>IF(K188&gt;0,MAX(0,K188*(1+$G$52)-$H$52),0)</f>
        <v/>
      </c>
      <c r="J189">
        <f>MAX(0,F189-E189)</f>
        <v/>
      </c>
      <c r="K189">
        <f>IF(I189-J189&gt;1E-9,I189-J189,0)</f>
        <v/>
      </c>
      <c r="L189">
        <f>K188*$G$52</f>
        <v/>
      </c>
      <c r="M189">
        <f>IF(O188&gt;0,MAX(0,O188*(1+$G$53)-$H$53),0)</f>
        <v/>
      </c>
      <c r="N189">
        <f>MAX(0,J189-I189)</f>
        <v/>
      </c>
      <c r="O189">
        <f>IF(M189-N189&gt;1E-9,M189-N189,0)</f>
        <v/>
      </c>
      <c r="P189">
        <f>O188*$G$53</f>
        <v/>
      </c>
      <c r="Q189">
        <f>IF(S188&gt;0,MAX(0,S188*(1+$G$54)-$H$54),0)</f>
        <v/>
      </c>
      <c r="R189">
        <f>MAX(0,N189-M189)</f>
        <v/>
      </c>
      <c r="S189">
        <f>IF(Q189-R189&gt;1E-9,Q189-R189,0)</f>
        <v/>
      </c>
      <c r="T189">
        <f>S188*$G$54</f>
        <v/>
      </c>
      <c r="U189">
        <f>IF(W188&gt;0,MAX(0,W188*(1+$G$55)-$H$55),0)</f>
        <v/>
      </c>
      <c r="V189">
        <f>MAX(0,R189-Q189)</f>
        <v/>
      </c>
      <c r="W189">
        <f>IF(U189-V189&gt;1E-9,U189-V189,0)</f>
        <v/>
      </c>
      <c r="X189">
        <f>W188*$G$55</f>
        <v/>
      </c>
      <c r="Y189">
        <f>IF(Y188&gt;1E-9,IF(Y188*(1+$G$51)-MAX($B$9,0.01*Y188+Y188*$G$51)&gt;1E-9,Y188*(1+$G$51)-MAX($B$9,0.01*Y188+Y188*$G$51),0),0)</f>
        <v/>
      </c>
      <c r="Z189">
        <f>Y188*$G$51</f>
        <v/>
      </c>
      <c r="AA189">
        <f>IF(AA188&gt;1E-9,IF(AA188*(1+$G$52)-MAX($B$9,0.01*AA188+AA188*$G$52)&gt;1E-9,AA188*(1+$G$52)-MAX($B$9,0.01*AA188+AA188*$G$52),0),0)</f>
        <v/>
      </c>
      <c r="AB189">
        <f>AA188*$G$52</f>
        <v/>
      </c>
      <c r="AC189">
        <f>IF(AC188&gt;1E-9,IF(AC188*(1+$G$53)-MAX($B$9,0.01*AC188+AC188*$G$53)&gt;1E-9,AC188*(1+$G$53)-MAX($B$9,0.01*AC188+AC188*$G$53),0),0)</f>
        <v/>
      </c>
      <c r="AD189">
        <f>AC188*$G$53</f>
        <v/>
      </c>
      <c r="AE189">
        <f>IF(AE188&gt;1E-9,IF(AE188*(1+$G$54)-MAX($B$9,0.01*AE188+AE188*$G$54)&gt;1E-9,AE188*(1+$G$54)-MAX($B$9,0.01*AE188+AE188*$G$54),0),0)</f>
        <v/>
      </c>
      <c r="AF189">
        <f>AE188*$G$54</f>
        <v/>
      </c>
      <c r="AG189">
        <f>IF(AG188&gt;1E-9,IF(AG188*(1+$G$55)-MAX($B$9,0.01*AG188+AG188*$G$55)&gt;1E-9,AG188*(1+$G$55)-MAX($B$9,0.01*AG188+AG188*$G$55),0),0)</f>
        <v/>
      </c>
      <c r="AH189">
        <f>AG188*$G$55</f>
        <v/>
      </c>
      <c r="AI189">
        <f>G189+K189+O189+S189+W189</f>
        <v/>
      </c>
      <c r="AJ189">
        <f>AI188+AK189-AI189</f>
        <v/>
      </c>
      <c r="AK189">
        <f>H189+L189+P189+T189+X189</f>
        <v/>
      </c>
      <c r="AL189">
        <f>TEXT(EDATE($B$5,D189-1),"mmm yyyy")</f>
        <v/>
      </c>
      <c r="AM189">
        <f>AI189</f>
        <v/>
      </c>
    </row>
    <row r="190">
      <c r="D190" t="n">
        <v>129</v>
      </c>
      <c r="E190">
        <f>IF(G189&gt;0,MAX(0,G189*(1+$G$51)-$H$51),0)</f>
        <v/>
      </c>
      <c r="F190">
        <f>$B$6+IF($D190=$B$8,$B$7,0)</f>
        <v/>
      </c>
      <c r="G190">
        <f>IF(E190-F190&gt;1E-9,E190-F190,0)</f>
        <v/>
      </c>
      <c r="H190">
        <f>G189*$G$51</f>
        <v/>
      </c>
      <c r="I190">
        <f>IF(K189&gt;0,MAX(0,K189*(1+$G$52)-$H$52),0)</f>
        <v/>
      </c>
      <c r="J190">
        <f>MAX(0,F190-E190)</f>
        <v/>
      </c>
      <c r="K190">
        <f>IF(I190-J190&gt;1E-9,I190-J190,0)</f>
        <v/>
      </c>
      <c r="L190">
        <f>K189*$G$52</f>
        <v/>
      </c>
      <c r="M190">
        <f>IF(O189&gt;0,MAX(0,O189*(1+$G$53)-$H$53),0)</f>
        <v/>
      </c>
      <c r="N190">
        <f>MAX(0,J190-I190)</f>
        <v/>
      </c>
      <c r="O190">
        <f>IF(M190-N190&gt;1E-9,M190-N190,0)</f>
        <v/>
      </c>
      <c r="P190">
        <f>O189*$G$53</f>
        <v/>
      </c>
      <c r="Q190">
        <f>IF(S189&gt;0,MAX(0,S189*(1+$G$54)-$H$54),0)</f>
        <v/>
      </c>
      <c r="R190">
        <f>MAX(0,N190-M190)</f>
        <v/>
      </c>
      <c r="S190">
        <f>IF(Q190-R190&gt;1E-9,Q190-R190,0)</f>
        <v/>
      </c>
      <c r="T190">
        <f>S189*$G$54</f>
        <v/>
      </c>
      <c r="U190">
        <f>IF(W189&gt;0,MAX(0,W189*(1+$G$55)-$H$55),0)</f>
        <v/>
      </c>
      <c r="V190">
        <f>MAX(0,R190-Q190)</f>
        <v/>
      </c>
      <c r="W190">
        <f>IF(U190-V190&gt;1E-9,U190-V190,0)</f>
        <v/>
      </c>
      <c r="X190">
        <f>W189*$G$55</f>
        <v/>
      </c>
      <c r="Y190">
        <f>IF(Y189&gt;1E-9,IF(Y189*(1+$G$51)-MAX($B$9,0.01*Y189+Y189*$G$51)&gt;1E-9,Y189*(1+$G$51)-MAX($B$9,0.01*Y189+Y189*$G$51),0),0)</f>
        <v/>
      </c>
      <c r="Z190">
        <f>Y189*$G$51</f>
        <v/>
      </c>
      <c r="AA190">
        <f>IF(AA189&gt;1E-9,IF(AA189*(1+$G$52)-MAX($B$9,0.01*AA189+AA189*$G$52)&gt;1E-9,AA189*(1+$G$52)-MAX($B$9,0.01*AA189+AA189*$G$52),0),0)</f>
        <v/>
      </c>
      <c r="AB190">
        <f>AA189*$G$52</f>
        <v/>
      </c>
      <c r="AC190">
        <f>IF(AC189&gt;1E-9,IF(AC189*(1+$G$53)-MAX($B$9,0.01*AC189+AC189*$G$53)&gt;1E-9,AC189*(1+$G$53)-MAX($B$9,0.01*AC189+AC189*$G$53),0),0)</f>
        <v/>
      </c>
      <c r="AD190">
        <f>AC189*$G$53</f>
        <v/>
      </c>
      <c r="AE190">
        <f>IF(AE189&gt;1E-9,IF(AE189*(1+$G$54)-MAX($B$9,0.01*AE189+AE189*$G$54)&gt;1E-9,AE189*(1+$G$54)-MAX($B$9,0.01*AE189+AE189*$G$54),0),0)</f>
        <v/>
      </c>
      <c r="AF190">
        <f>AE189*$G$54</f>
        <v/>
      </c>
      <c r="AG190">
        <f>IF(AG189&gt;1E-9,IF(AG189*(1+$G$55)-MAX($B$9,0.01*AG189+AG189*$G$55)&gt;1E-9,AG189*(1+$G$55)-MAX($B$9,0.01*AG189+AG189*$G$55),0),0)</f>
        <v/>
      </c>
      <c r="AH190">
        <f>AG189*$G$55</f>
        <v/>
      </c>
      <c r="AI190">
        <f>G190+K190+O190+S190+W190</f>
        <v/>
      </c>
      <c r="AJ190">
        <f>AI189+AK190-AI190</f>
        <v/>
      </c>
      <c r="AK190">
        <f>H190+L190+P190+T190+X190</f>
        <v/>
      </c>
      <c r="AL190">
        <f>TEXT(EDATE($B$5,D190-1),"mmm yyyy")</f>
        <v/>
      </c>
      <c r="AM190">
        <f>AI190</f>
        <v/>
      </c>
    </row>
    <row r="191">
      <c r="D191" t="n">
        <v>130</v>
      </c>
      <c r="E191">
        <f>IF(G190&gt;0,MAX(0,G190*(1+$G$51)-$H$51),0)</f>
        <v/>
      </c>
      <c r="F191">
        <f>$B$6+IF($D191=$B$8,$B$7,0)</f>
        <v/>
      </c>
      <c r="G191">
        <f>IF(E191-F191&gt;1E-9,E191-F191,0)</f>
        <v/>
      </c>
      <c r="H191">
        <f>G190*$G$51</f>
        <v/>
      </c>
      <c r="I191">
        <f>IF(K190&gt;0,MAX(0,K190*(1+$G$52)-$H$52),0)</f>
        <v/>
      </c>
      <c r="J191">
        <f>MAX(0,F191-E191)</f>
        <v/>
      </c>
      <c r="K191">
        <f>IF(I191-J191&gt;1E-9,I191-J191,0)</f>
        <v/>
      </c>
      <c r="L191">
        <f>K190*$G$52</f>
        <v/>
      </c>
      <c r="M191">
        <f>IF(O190&gt;0,MAX(0,O190*(1+$G$53)-$H$53),0)</f>
        <v/>
      </c>
      <c r="N191">
        <f>MAX(0,J191-I191)</f>
        <v/>
      </c>
      <c r="O191">
        <f>IF(M191-N191&gt;1E-9,M191-N191,0)</f>
        <v/>
      </c>
      <c r="P191">
        <f>O190*$G$53</f>
        <v/>
      </c>
      <c r="Q191">
        <f>IF(S190&gt;0,MAX(0,S190*(1+$G$54)-$H$54),0)</f>
        <v/>
      </c>
      <c r="R191">
        <f>MAX(0,N191-M191)</f>
        <v/>
      </c>
      <c r="S191">
        <f>IF(Q191-R191&gt;1E-9,Q191-R191,0)</f>
        <v/>
      </c>
      <c r="T191">
        <f>S190*$G$54</f>
        <v/>
      </c>
      <c r="U191">
        <f>IF(W190&gt;0,MAX(0,W190*(1+$G$55)-$H$55),0)</f>
        <v/>
      </c>
      <c r="V191">
        <f>MAX(0,R191-Q191)</f>
        <v/>
      </c>
      <c r="W191">
        <f>IF(U191-V191&gt;1E-9,U191-V191,0)</f>
        <v/>
      </c>
      <c r="X191">
        <f>W190*$G$55</f>
        <v/>
      </c>
      <c r="Y191">
        <f>IF(Y190&gt;1E-9,IF(Y190*(1+$G$51)-MAX($B$9,0.01*Y190+Y190*$G$51)&gt;1E-9,Y190*(1+$G$51)-MAX($B$9,0.01*Y190+Y190*$G$51),0),0)</f>
        <v/>
      </c>
      <c r="Z191">
        <f>Y190*$G$51</f>
        <v/>
      </c>
      <c r="AA191">
        <f>IF(AA190&gt;1E-9,IF(AA190*(1+$G$52)-MAX($B$9,0.01*AA190+AA190*$G$52)&gt;1E-9,AA190*(1+$G$52)-MAX($B$9,0.01*AA190+AA190*$G$52),0),0)</f>
        <v/>
      </c>
      <c r="AB191">
        <f>AA190*$G$52</f>
        <v/>
      </c>
      <c r="AC191">
        <f>IF(AC190&gt;1E-9,IF(AC190*(1+$G$53)-MAX($B$9,0.01*AC190+AC190*$G$53)&gt;1E-9,AC190*(1+$G$53)-MAX($B$9,0.01*AC190+AC190*$G$53),0),0)</f>
        <v/>
      </c>
      <c r="AD191">
        <f>AC190*$G$53</f>
        <v/>
      </c>
      <c r="AE191">
        <f>IF(AE190&gt;1E-9,IF(AE190*(1+$G$54)-MAX($B$9,0.01*AE190+AE190*$G$54)&gt;1E-9,AE190*(1+$G$54)-MAX($B$9,0.01*AE190+AE190*$G$54),0),0)</f>
        <v/>
      </c>
      <c r="AF191">
        <f>AE190*$G$54</f>
        <v/>
      </c>
      <c r="AG191">
        <f>IF(AG190&gt;1E-9,IF(AG190*(1+$G$55)-MAX($B$9,0.01*AG190+AG190*$G$55)&gt;1E-9,AG190*(1+$G$55)-MAX($B$9,0.01*AG190+AG190*$G$55),0),0)</f>
        <v/>
      </c>
      <c r="AH191">
        <f>AG190*$G$55</f>
        <v/>
      </c>
      <c r="AI191">
        <f>G191+K191+O191+S191+W191</f>
        <v/>
      </c>
      <c r="AJ191">
        <f>AI190+AK191-AI191</f>
        <v/>
      </c>
      <c r="AK191">
        <f>H191+L191+P191+T191+X191</f>
        <v/>
      </c>
      <c r="AL191">
        <f>TEXT(EDATE($B$5,D191-1),"mmm yyyy")</f>
        <v/>
      </c>
      <c r="AM191">
        <f>AI191</f>
        <v/>
      </c>
    </row>
    <row r="192">
      <c r="D192" t="n">
        <v>131</v>
      </c>
      <c r="E192">
        <f>IF(G191&gt;0,MAX(0,G191*(1+$G$51)-$H$51),0)</f>
        <v/>
      </c>
      <c r="F192">
        <f>$B$6+IF($D192=$B$8,$B$7,0)</f>
        <v/>
      </c>
      <c r="G192">
        <f>IF(E192-F192&gt;1E-9,E192-F192,0)</f>
        <v/>
      </c>
      <c r="H192">
        <f>G191*$G$51</f>
        <v/>
      </c>
      <c r="I192">
        <f>IF(K191&gt;0,MAX(0,K191*(1+$G$52)-$H$52),0)</f>
        <v/>
      </c>
      <c r="J192">
        <f>MAX(0,F192-E192)</f>
        <v/>
      </c>
      <c r="K192">
        <f>IF(I192-J192&gt;1E-9,I192-J192,0)</f>
        <v/>
      </c>
      <c r="L192">
        <f>K191*$G$52</f>
        <v/>
      </c>
      <c r="M192">
        <f>IF(O191&gt;0,MAX(0,O191*(1+$G$53)-$H$53),0)</f>
        <v/>
      </c>
      <c r="N192">
        <f>MAX(0,J192-I192)</f>
        <v/>
      </c>
      <c r="O192">
        <f>IF(M192-N192&gt;1E-9,M192-N192,0)</f>
        <v/>
      </c>
      <c r="P192">
        <f>O191*$G$53</f>
        <v/>
      </c>
      <c r="Q192">
        <f>IF(S191&gt;0,MAX(0,S191*(1+$G$54)-$H$54),0)</f>
        <v/>
      </c>
      <c r="R192">
        <f>MAX(0,N192-M192)</f>
        <v/>
      </c>
      <c r="S192">
        <f>IF(Q192-R192&gt;1E-9,Q192-R192,0)</f>
        <v/>
      </c>
      <c r="T192">
        <f>S191*$G$54</f>
        <v/>
      </c>
      <c r="U192">
        <f>IF(W191&gt;0,MAX(0,W191*(1+$G$55)-$H$55),0)</f>
        <v/>
      </c>
      <c r="V192">
        <f>MAX(0,R192-Q192)</f>
        <v/>
      </c>
      <c r="W192">
        <f>IF(U192-V192&gt;1E-9,U192-V192,0)</f>
        <v/>
      </c>
      <c r="X192">
        <f>W191*$G$55</f>
        <v/>
      </c>
      <c r="Y192">
        <f>IF(Y191&gt;1E-9,IF(Y191*(1+$G$51)-MAX($B$9,0.01*Y191+Y191*$G$51)&gt;1E-9,Y191*(1+$G$51)-MAX($B$9,0.01*Y191+Y191*$G$51),0),0)</f>
        <v/>
      </c>
      <c r="Z192">
        <f>Y191*$G$51</f>
        <v/>
      </c>
      <c r="AA192">
        <f>IF(AA191&gt;1E-9,IF(AA191*(1+$G$52)-MAX($B$9,0.01*AA191+AA191*$G$52)&gt;1E-9,AA191*(1+$G$52)-MAX($B$9,0.01*AA191+AA191*$G$52),0),0)</f>
        <v/>
      </c>
      <c r="AB192">
        <f>AA191*$G$52</f>
        <v/>
      </c>
      <c r="AC192">
        <f>IF(AC191&gt;1E-9,IF(AC191*(1+$G$53)-MAX($B$9,0.01*AC191+AC191*$G$53)&gt;1E-9,AC191*(1+$G$53)-MAX($B$9,0.01*AC191+AC191*$G$53),0),0)</f>
        <v/>
      </c>
      <c r="AD192">
        <f>AC191*$G$53</f>
        <v/>
      </c>
      <c r="AE192">
        <f>IF(AE191&gt;1E-9,IF(AE191*(1+$G$54)-MAX($B$9,0.01*AE191+AE191*$G$54)&gt;1E-9,AE191*(1+$G$54)-MAX($B$9,0.01*AE191+AE191*$G$54),0),0)</f>
        <v/>
      </c>
      <c r="AF192">
        <f>AE191*$G$54</f>
        <v/>
      </c>
      <c r="AG192">
        <f>IF(AG191&gt;1E-9,IF(AG191*(1+$G$55)-MAX($B$9,0.01*AG191+AG191*$G$55)&gt;1E-9,AG191*(1+$G$55)-MAX($B$9,0.01*AG191+AG191*$G$55),0),0)</f>
        <v/>
      </c>
      <c r="AH192">
        <f>AG191*$G$55</f>
        <v/>
      </c>
      <c r="AI192">
        <f>G192+K192+O192+S192+W192</f>
        <v/>
      </c>
      <c r="AJ192">
        <f>AI191+AK192-AI192</f>
        <v/>
      </c>
      <c r="AK192">
        <f>H192+L192+P192+T192+X192</f>
        <v/>
      </c>
      <c r="AL192">
        <f>TEXT(EDATE($B$5,D192-1),"mmm yyyy")</f>
        <v/>
      </c>
      <c r="AM192">
        <f>AI192</f>
        <v/>
      </c>
    </row>
    <row r="193">
      <c r="D193" t="n">
        <v>132</v>
      </c>
      <c r="E193">
        <f>IF(G192&gt;0,MAX(0,G192*(1+$G$51)-$H$51),0)</f>
        <v/>
      </c>
      <c r="F193">
        <f>$B$6+IF($D193=$B$8,$B$7,0)</f>
        <v/>
      </c>
      <c r="G193">
        <f>IF(E193-F193&gt;1E-9,E193-F193,0)</f>
        <v/>
      </c>
      <c r="H193">
        <f>G192*$G$51</f>
        <v/>
      </c>
      <c r="I193">
        <f>IF(K192&gt;0,MAX(0,K192*(1+$G$52)-$H$52),0)</f>
        <v/>
      </c>
      <c r="J193">
        <f>MAX(0,F193-E193)</f>
        <v/>
      </c>
      <c r="K193">
        <f>IF(I193-J193&gt;1E-9,I193-J193,0)</f>
        <v/>
      </c>
      <c r="L193">
        <f>K192*$G$52</f>
        <v/>
      </c>
      <c r="M193">
        <f>IF(O192&gt;0,MAX(0,O192*(1+$G$53)-$H$53),0)</f>
        <v/>
      </c>
      <c r="N193">
        <f>MAX(0,J193-I193)</f>
        <v/>
      </c>
      <c r="O193">
        <f>IF(M193-N193&gt;1E-9,M193-N193,0)</f>
        <v/>
      </c>
      <c r="P193">
        <f>O192*$G$53</f>
        <v/>
      </c>
      <c r="Q193">
        <f>IF(S192&gt;0,MAX(0,S192*(1+$G$54)-$H$54),0)</f>
        <v/>
      </c>
      <c r="R193">
        <f>MAX(0,N193-M193)</f>
        <v/>
      </c>
      <c r="S193">
        <f>IF(Q193-R193&gt;1E-9,Q193-R193,0)</f>
        <v/>
      </c>
      <c r="T193">
        <f>S192*$G$54</f>
        <v/>
      </c>
      <c r="U193">
        <f>IF(W192&gt;0,MAX(0,W192*(1+$G$55)-$H$55),0)</f>
        <v/>
      </c>
      <c r="V193">
        <f>MAX(0,R193-Q193)</f>
        <v/>
      </c>
      <c r="W193">
        <f>IF(U193-V193&gt;1E-9,U193-V193,0)</f>
        <v/>
      </c>
      <c r="X193">
        <f>W192*$G$55</f>
        <v/>
      </c>
      <c r="Y193">
        <f>IF(Y192&gt;1E-9,IF(Y192*(1+$G$51)-MAX($B$9,0.01*Y192+Y192*$G$51)&gt;1E-9,Y192*(1+$G$51)-MAX($B$9,0.01*Y192+Y192*$G$51),0),0)</f>
        <v/>
      </c>
      <c r="Z193">
        <f>Y192*$G$51</f>
        <v/>
      </c>
      <c r="AA193">
        <f>IF(AA192&gt;1E-9,IF(AA192*(1+$G$52)-MAX($B$9,0.01*AA192+AA192*$G$52)&gt;1E-9,AA192*(1+$G$52)-MAX($B$9,0.01*AA192+AA192*$G$52),0),0)</f>
        <v/>
      </c>
      <c r="AB193">
        <f>AA192*$G$52</f>
        <v/>
      </c>
      <c r="AC193">
        <f>IF(AC192&gt;1E-9,IF(AC192*(1+$G$53)-MAX($B$9,0.01*AC192+AC192*$G$53)&gt;1E-9,AC192*(1+$G$53)-MAX($B$9,0.01*AC192+AC192*$G$53),0),0)</f>
        <v/>
      </c>
      <c r="AD193">
        <f>AC192*$G$53</f>
        <v/>
      </c>
      <c r="AE193">
        <f>IF(AE192&gt;1E-9,IF(AE192*(1+$G$54)-MAX($B$9,0.01*AE192+AE192*$G$54)&gt;1E-9,AE192*(1+$G$54)-MAX($B$9,0.01*AE192+AE192*$G$54),0),0)</f>
        <v/>
      </c>
      <c r="AF193">
        <f>AE192*$G$54</f>
        <v/>
      </c>
      <c r="AG193">
        <f>IF(AG192&gt;1E-9,IF(AG192*(1+$G$55)-MAX($B$9,0.01*AG192+AG192*$G$55)&gt;1E-9,AG192*(1+$G$55)-MAX($B$9,0.01*AG192+AG192*$G$55),0),0)</f>
        <v/>
      </c>
      <c r="AH193">
        <f>AG192*$G$55</f>
        <v/>
      </c>
      <c r="AI193">
        <f>G193+K193+O193+S193+W193</f>
        <v/>
      </c>
      <c r="AJ193">
        <f>AI192+AK193-AI193</f>
        <v/>
      </c>
      <c r="AK193">
        <f>H193+L193+P193+T193+X193</f>
        <v/>
      </c>
      <c r="AL193">
        <f>TEXT(EDATE($B$5,D193-1),"mmm yyyy")</f>
        <v/>
      </c>
      <c r="AM193">
        <f>AI193</f>
        <v/>
      </c>
    </row>
    <row r="194">
      <c r="D194" t="n">
        <v>133</v>
      </c>
      <c r="E194">
        <f>IF(G193&gt;0,MAX(0,G193*(1+$G$51)-$H$51),0)</f>
        <v/>
      </c>
      <c r="F194">
        <f>$B$6+IF($D194=$B$8,$B$7,0)</f>
        <v/>
      </c>
      <c r="G194">
        <f>IF(E194-F194&gt;1E-9,E194-F194,0)</f>
        <v/>
      </c>
      <c r="H194">
        <f>G193*$G$51</f>
        <v/>
      </c>
      <c r="I194">
        <f>IF(K193&gt;0,MAX(0,K193*(1+$G$52)-$H$52),0)</f>
        <v/>
      </c>
      <c r="J194">
        <f>MAX(0,F194-E194)</f>
        <v/>
      </c>
      <c r="K194">
        <f>IF(I194-J194&gt;1E-9,I194-J194,0)</f>
        <v/>
      </c>
      <c r="L194">
        <f>K193*$G$52</f>
        <v/>
      </c>
      <c r="M194">
        <f>IF(O193&gt;0,MAX(0,O193*(1+$G$53)-$H$53),0)</f>
        <v/>
      </c>
      <c r="N194">
        <f>MAX(0,J194-I194)</f>
        <v/>
      </c>
      <c r="O194">
        <f>IF(M194-N194&gt;1E-9,M194-N194,0)</f>
        <v/>
      </c>
      <c r="P194">
        <f>O193*$G$53</f>
        <v/>
      </c>
      <c r="Q194">
        <f>IF(S193&gt;0,MAX(0,S193*(1+$G$54)-$H$54),0)</f>
        <v/>
      </c>
      <c r="R194">
        <f>MAX(0,N194-M194)</f>
        <v/>
      </c>
      <c r="S194">
        <f>IF(Q194-R194&gt;1E-9,Q194-R194,0)</f>
        <v/>
      </c>
      <c r="T194">
        <f>S193*$G$54</f>
        <v/>
      </c>
      <c r="U194">
        <f>IF(W193&gt;0,MAX(0,W193*(1+$G$55)-$H$55),0)</f>
        <v/>
      </c>
      <c r="V194">
        <f>MAX(0,R194-Q194)</f>
        <v/>
      </c>
      <c r="W194">
        <f>IF(U194-V194&gt;1E-9,U194-V194,0)</f>
        <v/>
      </c>
      <c r="X194">
        <f>W193*$G$55</f>
        <v/>
      </c>
      <c r="Y194">
        <f>IF(Y193&gt;1E-9,IF(Y193*(1+$G$51)-MAX($B$9,0.01*Y193+Y193*$G$51)&gt;1E-9,Y193*(1+$G$51)-MAX($B$9,0.01*Y193+Y193*$G$51),0),0)</f>
        <v/>
      </c>
      <c r="Z194">
        <f>Y193*$G$51</f>
        <v/>
      </c>
      <c r="AA194">
        <f>IF(AA193&gt;1E-9,IF(AA193*(1+$G$52)-MAX($B$9,0.01*AA193+AA193*$G$52)&gt;1E-9,AA193*(1+$G$52)-MAX($B$9,0.01*AA193+AA193*$G$52),0),0)</f>
        <v/>
      </c>
      <c r="AB194">
        <f>AA193*$G$52</f>
        <v/>
      </c>
      <c r="AC194">
        <f>IF(AC193&gt;1E-9,IF(AC193*(1+$G$53)-MAX($B$9,0.01*AC193+AC193*$G$53)&gt;1E-9,AC193*(1+$G$53)-MAX($B$9,0.01*AC193+AC193*$G$53),0),0)</f>
        <v/>
      </c>
      <c r="AD194">
        <f>AC193*$G$53</f>
        <v/>
      </c>
      <c r="AE194">
        <f>IF(AE193&gt;1E-9,IF(AE193*(1+$G$54)-MAX($B$9,0.01*AE193+AE193*$G$54)&gt;1E-9,AE193*(1+$G$54)-MAX($B$9,0.01*AE193+AE193*$G$54),0),0)</f>
        <v/>
      </c>
      <c r="AF194">
        <f>AE193*$G$54</f>
        <v/>
      </c>
      <c r="AG194">
        <f>IF(AG193&gt;1E-9,IF(AG193*(1+$G$55)-MAX($B$9,0.01*AG193+AG193*$G$55)&gt;1E-9,AG193*(1+$G$55)-MAX($B$9,0.01*AG193+AG193*$G$55),0),0)</f>
        <v/>
      </c>
      <c r="AH194">
        <f>AG193*$G$55</f>
        <v/>
      </c>
      <c r="AI194">
        <f>G194+K194+O194+S194+W194</f>
        <v/>
      </c>
      <c r="AJ194">
        <f>AI193+AK194-AI194</f>
        <v/>
      </c>
      <c r="AK194">
        <f>H194+L194+P194+T194+X194</f>
        <v/>
      </c>
      <c r="AL194">
        <f>TEXT(EDATE($B$5,D194-1),"mmm yyyy")</f>
        <v/>
      </c>
      <c r="AM194">
        <f>AI194</f>
        <v/>
      </c>
    </row>
    <row r="195">
      <c r="D195" t="n">
        <v>134</v>
      </c>
      <c r="E195">
        <f>IF(G194&gt;0,MAX(0,G194*(1+$G$51)-$H$51),0)</f>
        <v/>
      </c>
      <c r="F195">
        <f>$B$6+IF($D195=$B$8,$B$7,0)</f>
        <v/>
      </c>
      <c r="G195">
        <f>IF(E195-F195&gt;1E-9,E195-F195,0)</f>
        <v/>
      </c>
      <c r="H195">
        <f>G194*$G$51</f>
        <v/>
      </c>
      <c r="I195">
        <f>IF(K194&gt;0,MAX(0,K194*(1+$G$52)-$H$52),0)</f>
        <v/>
      </c>
      <c r="J195">
        <f>MAX(0,F195-E195)</f>
        <v/>
      </c>
      <c r="K195">
        <f>IF(I195-J195&gt;1E-9,I195-J195,0)</f>
        <v/>
      </c>
      <c r="L195">
        <f>K194*$G$52</f>
        <v/>
      </c>
      <c r="M195">
        <f>IF(O194&gt;0,MAX(0,O194*(1+$G$53)-$H$53),0)</f>
        <v/>
      </c>
      <c r="N195">
        <f>MAX(0,J195-I195)</f>
        <v/>
      </c>
      <c r="O195">
        <f>IF(M195-N195&gt;1E-9,M195-N195,0)</f>
        <v/>
      </c>
      <c r="P195">
        <f>O194*$G$53</f>
        <v/>
      </c>
      <c r="Q195">
        <f>IF(S194&gt;0,MAX(0,S194*(1+$G$54)-$H$54),0)</f>
        <v/>
      </c>
      <c r="R195">
        <f>MAX(0,N195-M195)</f>
        <v/>
      </c>
      <c r="S195">
        <f>IF(Q195-R195&gt;1E-9,Q195-R195,0)</f>
        <v/>
      </c>
      <c r="T195">
        <f>S194*$G$54</f>
        <v/>
      </c>
      <c r="U195">
        <f>IF(W194&gt;0,MAX(0,W194*(1+$G$55)-$H$55),0)</f>
        <v/>
      </c>
      <c r="V195">
        <f>MAX(0,R195-Q195)</f>
        <v/>
      </c>
      <c r="W195">
        <f>IF(U195-V195&gt;1E-9,U195-V195,0)</f>
        <v/>
      </c>
      <c r="X195">
        <f>W194*$G$55</f>
        <v/>
      </c>
      <c r="Y195">
        <f>IF(Y194&gt;1E-9,IF(Y194*(1+$G$51)-MAX($B$9,0.01*Y194+Y194*$G$51)&gt;1E-9,Y194*(1+$G$51)-MAX($B$9,0.01*Y194+Y194*$G$51),0),0)</f>
        <v/>
      </c>
      <c r="Z195">
        <f>Y194*$G$51</f>
        <v/>
      </c>
      <c r="AA195">
        <f>IF(AA194&gt;1E-9,IF(AA194*(1+$G$52)-MAX($B$9,0.01*AA194+AA194*$G$52)&gt;1E-9,AA194*(1+$G$52)-MAX($B$9,0.01*AA194+AA194*$G$52),0),0)</f>
        <v/>
      </c>
      <c r="AB195">
        <f>AA194*$G$52</f>
        <v/>
      </c>
      <c r="AC195">
        <f>IF(AC194&gt;1E-9,IF(AC194*(1+$G$53)-MAX($B$9,0.01*AC194+AC194*$G$53)&gt;1E-9,AC194*(1+$G$53)-MAX($B$9,0.01*AC194+AC194*$G$53),0),0)</f>
        <v/>
      </c>
      <c r="AD195">
        <f>AC194*$G$53</f>
        <v/>
      </c>
      <c r="AE195">
        <f>IF(AE194&gt;1E-9,IF(AE194*(1+$G$54)-MAX($B$9,0.01*AE194+AE194*$G$54)&gt;1E-9,AE194*(1+$G$54)-MAX($B$9,0.01*AE194+AE194*$G$54),0),0)</f>
        <v/>
      </c>
      <c r="AF195">
        <f>AE194*$G$54</f>
        <v/>
      </c>
      <c r="AG195">
        <f>IF(AG194&gt;1E-9,IF(AG194*(1+$G$55)-MAX($B$9,0.01*AG194+AG194*$G$55)&gt;1E-9,AG194*(1+$G$55)-MAX($B$9,0.01*AG194+AG194*$G$55),0),0)</f>
        <v/>
      </c>
      <c r="AH195">
        <f>AG194*$G$55</f>
        <v/>
      </c>
      <c r="AI195">
        <f>G195+K195+O195+S195+W195</f>
        <v/>
      </c>
      <c r="AJ195">
        <f>AI194+AK195-AI195</f>
        <v/>
      </c>
      <c r="AK195">
        <f>H195+L195+P195+T195+X195</f>
        <v/>
      </c>
      <c r="AL195">
        <f>TEXT(EDATE($B$5,D195-1),"mmm yyyy")</f>
        <v/>
      </c>
      <c r="AM195">
        <f>AI195</f>
        <v/>
      </c>
    </row>
    <row r="196">
      <c r="D196" t="n">
        <v>135</v>
      </c>
      <c r="E196">
        <f>IF(G195&gt;0,MAX(0,G195*(1+$G$51)-$H$51),0)</f>
        <v/>
      </c>
      <c r="F196">
        <f>$B$6+IF($D196=$B$8,$B$7,0)</f>
        <v/>
      </c>
      <c r="G196">
        <f>IF(E196-F196&gt;1E-9,E196-F196,0)</f>
        <v/>
      </c>
      <c r="H196">
        <f>G195*$G$51</f>
        <v/>
      </c>
      <c r="I196">
        <f>IF(K195&gt;0,MAX(0,K195*(1+$G$52)-$H$52),0)</f>
        <v/>
      </c>
      <c r="J196">
        <f>MAX(0,F196-E196)</f>
        <v/>
      </c>
      <c r="K196">
        <f>IF(I196-J196&gt;1E-9,I196-J196,0)</f>
        <v/>
      </c>
      <c r="L196">
        <f>K195*$G$52</f>
        <v/>
      </c>
      <c r="M196">
        <f>IF(O195&gt;0,MAX(0,O195*(1+$G$53)-$H$53),0)</f>
        <v/>
      </c>
      <c r="N196">
        <f>MAX(0,J196-I196)</f>
        <v/>
      </c>
      <c r="O196">
        <f>IF(M196-N196&gt;1E-9,M196-N196,0)</f>
        <v/>
      </c>
      <c r="P196">
        <f>O195*$G$53</f>
        <v/>
      </c>
      <c r="Q196">
        <f>IF(S195&gt;0,MAX(0,S195*(1+$G$54)-$H$54),0)</f>
        <v/>
      </c>
      <c r="R196">
        <f>MAX(0,N196-M196)</f>
        <v/>
      </c>
      <c r="S196">
        <f>IF(Q196-R196&gt;1E-9,Q196-R196,0)</f>
        <v/>
      </c>
      <c r="T196">
        <f>S195*$G$54</f>
        <v/>
      </c>
      <c r="U196">
        <f>IF(W195&gt;0,MAX(0,W195*(1+$G$55)-$H$55),0)</f>
        <v/>
      </c>
      <c r="V196">
        <f>MAX(0,R196-Q196)</f>
        <v/>
      </c>
      <c r="W196">
        <f>IF(U196-V196&gt;1E-9,U196-V196,0)</f>
        <v/>
      </c>
      <c r="X196">
        <f>W195*$G$55</f>
        <v/>
      </c>
      <c r="Y196">
        <f>IF(Y195&gt;1E-9,IF(Y195*(1+$G$51)-MAX($B$9,0.01*Y195+Y195*$G$51)&gt;1E-9,Y195*(1+$G$51)-MAX($B$9,0.01*Y195+Y195*$G$51),0),0)</f>
        <v/>
      </c>
      <c r="Z196">
        <f>Y195*$G$51</f>
        <v/>
      </c>
      <c r="AA196">
        <f>IF(AA195&gt;1E-9,IF(AA195*(1+$G$52)-MAX($B$9,0.01*AA195+AA195*$G$52)&gt;1E-9,AA195*(1+$G$52)-MAX($B$9,0.01*AA195+AA195*$G$52),0),0)</f>
        <v/>
      </c>
      <c r="AB196">
        <f>AA195*$G$52</f>
        <v/>
      </c>
      <c r="AC196">
        <f>IF(AC195&gt;1E-9,IF(AC195*(1+$G$53)-MAX($B$9,0.01*AC195+AC195*$G$53)&gt;1E-9,AC195*(1+$G$53)-MAX($B$9,0.01*AC195+AC195*$G$53),0),0)</f>
        <v/>
      </c>
      <c r="AD196">
        <f>AC195*$G$53</f>
        <v/>
      </c>
      <c r="AE196">
        <f>IF(AE195&gt;1E-9,IF(AE195*(1+$G$54)-MAX($B$9,0.01*AE195+AE195*$G$54)&gt;1E-9,AE195*(1+$G$54)-MAX($B$9,0.01*AE195+AE195*$G$54),0),0)</f>
        <v/>
      </c>
      <c r="AF196">
        <f>AE195*$G$54</f>
        <v/>
      </c>
      <c r="AG196">
        <f>IF(AG195&gt;1E-9,IF(AG195*(1+$G$55)-MAX($B$9,0.01*AG195+AG195*$G$55)&gt;1E-9,AG195*(1+$G$55)-MAX($B$9,0.01*AG195+AG195*$G$55),0),0)</f>
        <v/>
      </c>
      <c r="AH196">
        <f>AG195*$G$55</f>
        <v/>
      </c>
      <c r="AI196">
        <f>G196+K196+O196+S196+W196</f>
        <v/>
      </c>
      <c r="AJ196">
        <f>AI195+AK196-AI196</f>
        <v/>
      </c>
      <c r="AK196">
        <f>H196+L196+P196+T196+X196</f>
        <v/>
      </c>
      <c r="AL196">
        <f>TEXT(EDATE($B$5,D196-1),"mmm yyyy")</f>
        <v/>
      </c>
      <c r="AM196">
        <f>AI196</f>
        <v/>
      </c>
    </row>
    <row r="197">
      <c r="D197" t="n">
        <v>136</v>
      </c>
      <c r="E197">
        <f>IF(G196&gt;0,MAX(0,G196*(1+$G$51)-$H$51),0)</f>
        <v/>
      </c>
      <c r="F197">
        <f>$B$6+IF($D197=$B$8,$B$7,0)</f>
        <v/>
      </c>
      <c r="G197">
        <f>IF(E197-F197&gt;1E-9,E197-F197,0)</f>
        <v/>
      </c>
      <c r="H197">
        <f>G196*$G$51</f>
        <v/>
      </c>
      <c r="I197">
        <f>IF(K196&gt;0,MAX(0,K196*(1+$G$52)-$H$52),0)</f>
        <v/>
      </c>
      <c r="J197">
        <f>MAX(0,F197-E197)</f>
        <v/>
      </c>
      <c r="K197">
        <f>IF(I197-J197&gt;1E-9,I197-J197,0)</f>
        <v/>
      </c>
      <c r="L197">
        <f>K196*$G$52</f>
        <v/>
      </c>
      <c r="M197">
        <f>IF(O196&gt;0,MAX(0,O196*(1+$G$53)-$H$53),0)</f>
        <v/>
      </c>
      <c r="N197">
        <f>MAX(0,J197-I197)</f>
        <v/>
      </c>
      <c r="O197">
        <f>IF(M197-N197&gt;1E-9,M197-N197,0)</f>
        <v/>
      </c>
      <c r="P197">
        <f>O196*$G$53</f>
        <v/>
      </c>
      <c r="Q197">
        <f>IF(S196&gt;0,MAX(0,S196*(1+$G$54)-$H$54),0)</f>
        <v/>
      </c>
      <c r="R197">
        <f>MAX(0,N197-M197)</f>
        <v/>
      </c>
      <c r="S197">
        <f>IF(Q197-R197&gt;1E-9,Q197-R197,0)</f>
        <v/>
      </c>
      <c r="T197">
        <f>S196*$G$54</f>
        <v/>
      </c>
      <c r="U197">
        <f>IF(W196&gt;0,MAX(0,W196*(1+$G$55)-$H$55),0)</f>
        <v/>
      </c>
      <c r="V197">
        <f>MAX(0,R197-Q197)</f>
        <v/>
      </c>
      <c r="W197">
        <f>IF(U197-V197&gt;1E-9,U197-V197,0)</f>
        <v/>
      </c>
      <c r="X197">
        <f>W196*$G$55</f>
        <v/>
      </c>
      <c r="Y197">
        <f>IF(Y196&gt;1E-9,IF(Y196*(1+$G$51)-MAX($B$9,0.01*Y196+Y196*$G$51)&gt;1E-9,Y196*(1+$G$51)-MAX($B$9,0.01*Y196+Y196*$G$51),0),0)</f>
        <v/>
      </c>
      <c r="Z197">
        <f>Y196*$G$51</f>
        <v/>
      </c>
      <c r="AA197">
        <f>IF(AA196&gt;1E-9,IF(AA196*(1+$G$52)-MAX($B$9,0.01*AA196+AA196*$G$52)&gt;1E-9,AA196*(1+$G$52)-MAX($B$9,0.01*AA196+AA196*$G$52),0),0)</f>
        <v/>
      </c>
      <c r="AB197">
        <f>AA196*$G$52</f>
        <v/>
      </c>
      <c r="AC197">
        <f>IF(AC196&gt;1E-9,IF(AC196*(1+$G$53)-MAX($B$9,0.01*AC196+AC196*$G$53)&gt;1E-9,AC196*(1+$G$53)-MAX($B$9,0.01*AC196+AC196*$G$53),0),0)</f>
        <v/>
      </c>
      <c r="AD197">
        <f>AC196*$G$53</f>
        <v/>
      </c>
      <c r="AE197">
        <f>IF(AE196&gt;1E-9,IF(AE196*(1+$G$54)-MAX($B$9,0.01*AE196+AE196*$G$54)&gt;1E-9,AE196*(1+$G$54)-MAX($B$9,0.01*AE196+AE196*$G$54),0),0)</f>
        <v/>
      </c>
      <c r="AF197">
        <f>AE196*$G$54</f>
        <v/>
      </c>
      <c r="AG197">
        <f>IF(AG196&gt;1E-9,IF(AG196*(1+$G$55)-MAX($B$9,0.01*AG196+AG196*$G$55)&gt;1E-9,AG196*(1+$G$55)-MAX($B$9,0.01*AG196+AG196*$G$55),0),0)</f>
        <v/>
      </c>
      <c r="AH197">
        <f>AG196*$G$55</f>
        <v/>
      </c>
      <c r="AI197">
        <f>G197+K197+O197+S197+W197</f>
        <v/>
      </c>
      <c r="AJ197">
        <f>AI196+AK197-AI197</f>
        <v/>
      </c>
      <c r="AK197">
        <f>H197+L197+P197+T197+X197</f>
        <v/>
      </c>
      <c r="AL197">
        <f>TEXT(EDATE($B$5,D197-1),"mmm yyyy")</f>
        <v/>
      </c>
      <c r="AM197">
        <f>AI197</f>
        <v/>
      </c>
    </row>
    <row r="198">
      <c r="D198" t="n">
        <v>137</v>
      </c>
      <c r="E198">
        <f>IF(G197&gt;0,MAX(0,G197*(1+$G$51)-$H$51),0)</f>
        <v/>
      </c>
      <c r="F198">
        <f>$B$6+IF($D198=$B$8,$B$7,0)</f>
        <v/>
      </c>
      <c r="G198">
        <f>IF(E198-F198&gt;1E-9,E198-F198,0)</f>
        <v/>
      </c>
      <c r="H198">
        <f>G197*$G$51</f>
        <v/>
      </c>
      <c r="I198">
        <f>IF(K197&gt;0,MAX(0,K197*(1+$G$52)-$H$52),0)</f>
        <v/>
      </c>
      <c r="J198">
        <f>MAX(0,F198-E198)</f>
        <v/>
      </c>
      <c r="K198">
        <f>IF(I198-J198&gt;1E-9,I198-J198,0)</f>
        <v/>
      </c>
      <c r="L198">
        <f>K197*$G$52</f>
        <v/>
      </c>
      <c r="M198">
        <f>IF(O197&gt;0,MAX(0,O197*(1+$G$53)-$H$53),0)</f>
        <v/>
      </c>
      <c r="N198">
        <f>MAX(0,J198-I198)</f>
        <v/>
      </c>
      <c r="O198">
        <f>IF(M198-N198&gt;1E-9,M198-N198,0)</f>
        <v/>
      </c>
      <c r="P198">
        <f>O197*$G$53</f>
        <v/>
      </c>
      <c r="Q198">
        <f>IF(S197&gt;0,MAX(0,S197*(1+$G$54)-$H$54),0)</f>
        <v/>
      </c>
      <c r="R198">
        <f>MAX(0,N198-M198)</f>
        <v/>
      </c>
      <c r="S198">
        <f>IF(Q198-R198&gt;1E-9,Q198-R198,0)</f>
        <v/>
      </c>
      <c r="T198">
        <f>S197*$G$54</f>
        <v/>
      </c>
      <c r="U198">
        <f>IF(W197&gt;0,MAX(0,W197*(1+$G$55)-$H$55),0)</f>
        <v/>
      </c>
      <c r="V198">
        <f>MAX(0,R198-Q198)</f>
        <v/>
      </c>
      <c r="W198">
        <f>IF(U198-V198&gt;1E-9,U198-V198,0)</f>
        <v/>
      </c>
      <c r="X198">
        <f>W197*$G$55</f>
        <v/>
      </c>
      <c r="Y198">
        <f>IF(Y197&gt;1E-9,IF(Y197*(1+$G$51)-MAX($B$9,0.01*Y197+Y197*$G$51)&gt;1E-9,Y197*(1+$G$51)-MAX($B$9,0.01*Y197+Y197*$G$51),0),0)</f>
        <v/>
      </c>
      <c r="Z198">
        <f>Y197*$G$51</f>
        <v/>
      </c>
      <c r="AA198">
        <f>IF(AA197&gt;1E-9,IF(AA197*(1+$G$52)-MAX($B$9,0.01*AA197+AA197*$G$52)&gt;1E-9,AA197*(1+$G$52)-MAX($B$9,0.01*AA197+AA197*$G$52),0),0)</f>
        <v/>
      </c>
      <c r="AB198">
        <f>AA197*$G$52</f>
        <v/>
      </c>
      <c r="AC198">
        <f>IF(AC197&gt;1E-9,IF(AC197*(1+$G$53)-MAX($B$9,0.01*AC197+AC197*$G$53)&gt;1E-9,AC197*(1+$G$53)-MAX($B$9,0.01*AC197+AC197*$G$53),0),0)</f>
        <v/>
      </c>
      <c r="AD198">
        <f>AC197*$G$53</f>
        <v/>
      </c>
      <c r="AE198">
        <f>IF(AE197&gt;1E-9,IF(AE197*(1+$G$54)-MAX($B$9,0.01*AE197+AE197*$G$54)&gt;1E-9,AE197*(1+$G$54)-MAX($B$9,0.01*AE197+AE197*$G$54),0),0)</f>
        <v/>
      </c>
      <c r="AF198">
        <f>AE197*$G$54</f>
        <v/>
      </c>
      <c r="AG198">
        <f>IF(AG197&gt;1E-9,IF(AG197*(1+$G$55)-MAX($B$9,0.01*AG197+AG197*$G$55)&gt;1E-9,AG197*(1+$G$55)-MAX($B$9,0.01*AG197+AG197*$G$55),0),0)</f>
        <v/>
      </c>
      <c r="AH198">
        <f>AG197*$G$55</f>
        <v/>
      </c>
      <c r="AI198">
        <f>G198+K198+O198+S198+W198</f>
        <v/>
      </c>
      <c r="AJ198">
        <f>AI197+AK198-AI198</f>
        <v/>
      </c>
      <c r="AK198">
        <f>H198+L198+P198+T198+X198</f>
        <v/>
      </c>
      <c r="AL198">
        <f>TEXT(EDATE($B$5,D198-1),"mmm yyyy")</f>
        <v/>
      </c>
      <c r="AM198">
        <f>AI198</f>
        <v/>
      </c>
    </row>
    <row r="199">
      <c r="D199" t="n">
        <v>138</v>
      </c>
      <c r="E199">
        <f>IF(G198&gt;0,MAX(0,G198*(1+$G$51)-$H$51),0)</f>
        <v/>
      </c>
      <c r="F199">
        <f>$B$6+IF($D199=$B$8,$B$7,0)</f>
        <v/>
      </c>
      <c r="G199">
        <f>IF(E199-F199&gt;1E-9,E199-F199,0)</f>
        <v/>
      </c>
      <c r="H199">
        <f>G198*$G$51</f>
        <v/>
      </c>
      <c r="I199">
        <f>IF(K198&gt;0,MAX(0,K198*(1+$G$52)-$H$52),0)</f>
        <v/>
      </c>
      <c r="J199">
        <f>MAX(0,F199-E199)</f>
        <v/>
      </c>
      <c r="K199">
        <f>IF(I199-J199&gt;1E-9,I199-J199,0)</f>
        <v/>
      </c>
      <c r="L199">
        <f>K198*$G$52</f>
        <v/>
      </c>
      <c r="M199">
        <f>IF(O198&gt;0,MAX(0,O198*(1+$G$53)-$H$53),0)</f>
        <v/>
      </c>
      <c r="N199">
        <f>MAX(0,J199-I199)</f>
        <v/>
      </c>
      <c r="O199">
        <f>IF(M199-N199&gt;1E-9,M199-N199,0)</f>
        <v/>
      </c>
      <c r="P199">
        <f>O198*$G$53</f>
        <v/>
      </c>
      <c r="Q199">
        <f>IF(S198&gt;0,MAX(0,S198*(1+$G$54)-$H$54),0)</f>
        <v/>
      </c>
      <c r="R199">
        <f>MAX(0,N199-M199)</f>
        <v/>
      </c>
      <c r="S199">
        <f>IF(Q199-R199&gt;1E-9,Q199-R199,0)</f>
        <v/>
      </c>
      <c r="T199">
        <f>S198*$G$54</f>
        <v/>
      </c>
      <c r="U199">
        <f>IF(W198&gt;0,MAX(0,W198*(1+$G$55)-$H$55),0)</f>
        <v/>
      </c>
      <c r="V199">
        <f>MAX(0,R199-Q199)</f>
        <v/>
      </c>
      <c r="W199">
        <f>IF(U199-V199&gt;1E-9,U199-V199,0)</f>
        <v/>
      </c>
      <c r="X199">
        <f>W198*$G$55</f>
        <v/>
      </c>
      <c r="Y199">
        <f>IF(Y198&gt;1E-9,IF(Y198*(1+$G$51)-MAX($B$9,0.01*Y198+Y198*$G$51)&gt;1E-9,Y198*(1+$G$51)-MAX($B$9,0.01*Y198+Y198*$G$51),0),0)</f>
        <v/>
      </c>
      <c r="Z199">
        <f>Y198*$G$51</f>
        <v/>
      </c>
      <c r="AA199">
        <f>IF(AA198&gt;1E-9,IF(AA198*(1+$G$52)-MAX($B$9,0.01*AA198+AA198*$G$52)&gt;1E-9,AA198*(1+$G$52)-MAX($B$9,0.01*AA198+AA198*$G$52),0),0)</f>
        <v/>
      </c>
      <c r="AB199">
        <f>AA198*$G$52</f>
        <v/>
      </c>
      <c r="AC199">
        <f>IF(AC198&gt;1E-9,IF(AC198*(1+$G$53)-MAX($B$9,0.01*AC198+AC198*$G$53)&gt;1E-9,AC198*(1+$G$53)-MAX($B$9,0.01*AC198+AC198*$G$53),0),0)</f>
        <v/>
      </c>
      <c r="AD199">
        <f>AC198*$G$53</f>
        <v/>
      </c>
      <c r="AE199">
        <f>IF(AE198&gt;1E-9,IF(AE198*(1+$G$54)-MAX($B$9,0.01*AE198+AE198*$G$54)&gt;1E-9,AE198*(1+$G$54)-MAX($B$9,0.01*AE198+AE198*$G$54),0),0)</f>
        <v/>
      </c>
      <c r="AF199">
        <f>AE198*$G$54</f>
        <v/>
      </c>
      <c r="AG199">
        <f>IF(AG198&gt;1E-9,IF(AG198*(1+$G$55)-MAX($B$9,0.01*AG198+AG198*$G$55)&gt;1E-9,AG198*(1+$G$55)-MAX($B$9,0.01*AG198+AG198*$G$55),0),0)</f>
        <v/>
      </c>
      <c r="AH199">
        <f>AG198*$G$55</f>
        <v/>
      </c>
      <c r="AI199">
        <f>G199+K199+O199+S199+W199</f>
        <v/>
      </c>
      <c r="AJ199">
        <f>AI198+AK199-AI199</f>
        <v/>
      </c>
      <c r="AK199">
        <f>H199+L199+P199+T199+X199</f>
        <v/>
      </c>
      <c r="AL199">
        <f>TEXT(EDATE($B$5,D199-1),"mmm yyyy")</f>
        <v/>
      </c>
      <c r="AM199">
        <f>AI199</f>
        <v/>
      </c>
    </row>
    <row r="200">
      <c r="D200" t="n">
        <v>139</v>
      </c>
      <c r="E200">
        <f>IF(G199&gt;0,MAX(0,G199*(1+$G$51)-$H$51),0)</f>
        <v/>
      </c>
      <c r="F200">
        <f>$B$6+IF($D200=$B$8,$B$7,0)</f>
        <v/>
      </c>
      <c r="G200">
        <f>IF(E200-F200&gt;1E-9,E200-F200,0)</f>
        <v/>
      </c>
      <c r="H200">
        <f>G199*$G$51</f>
        <v/>
      </c>
      <c r="I200">
        <f>IF(K199&gt;0,MAX(0,K199*(1+$G$52)-$H$52),0)</f>
        <v/>
      </c>
      <c r="J200">
        <f>MAX(0,F200-E200)</f>
        <v/>
      </c>
      <c r="K200">
        <f>IF(I200-J200&gt;1E-9,I200-J200,0)</f>
        <v/>
      </c>
      <c r="L200">
        <f>K199*$G$52</f>
        <v/>
      </c>
      <c r="M200">
        <f>IF(O199&gt;0,MAX(0,O199*(1+$G$53)-$H$53),0)</f>
        <v/>
      </c>
      <c r="N200">
        <f>MAX(0,J200-I200)</f>
        <v/>
      </c>
      <c r="O200">
        <f>IF(M200-N200&gt;1E-9,M200-N200,0)</f>
        <v/>
      </c>
      <c r="P200">
        <f>O199*$G$53</f>
        <v/>
      </c>
      <c r="Q200">
        <f>IF(S199&gt;0,MAX(0,S199*(1+$G$54)-$H$54),0)</f>
        <v/>
      </c>
      <c r="R200">
        <f>MAX(0,N200-M200)</f>
        <v/>
      </c>
      <c r="S200">
        <f>IF(Q200-R200&gt;1E-9,Q200-R200,0)</f>
        <v/>
      </c>
      <c r="T200">
        <f>S199*$G$54</f>
        <v/>
      </c>
      <c r="U200">
        <f>IF(W199&gt;0,MAX(0,W199*(1+$G$55)-$H$55),0)</f>
        <v/>
      </c>
      <c r="V200">
        <f>MAX(0,R200-Q200)</f>
        <v/>
      </c>
      <c r="W200">
        <f>IF(U200-V200&gt;1E-9,U200-V200,0)</f>
        <v/>
      </c>
      <c r="X200">
        <f>W199*$G$55</f>
        <v/>
      </c>
      <c r="Y200">
        <f>IF(Y199&gt;1E-9,IF(Y199*(1+$G$51)-MAX($B$9,0.01*Y199+Y199*$G$51)&gt;1E-9,Y199*(1+$G$51)-MAX($B$9,0.01*Y199+Y199*$G$51),0),0)</f>
        <v/>
      </c>
      <c r="Z200">
        <f>Y199*$G$51</f>
        <v/>
      </c>
      <c r="AA200">
        <f>IF(AA199&gt;1E-9,IF(AA199*(1+$G$52)-MAX($B$9,0.01*AA199+AA199*$G$52)&gt;1E-9,AA199*(1+$G$52)-MAX($B$9,0.01*AA199+AA199*$G$52),0),0)</f>
        <v/>
      </c>
      <c r="AB200">
        <f>AA199*$G$52</f>
        <v/>
      </c>
      <c r="AC200">
        <f>IF(AC199&gt;1E-9,IF(AC199*(1+$G$53)-MAX($B$9,0.01*AC199+AC199*$G$53)&gt;1E-9,AC199*(1+$G$53)-MAX($B$9,0.01*AC199+AC199*$G$53),0),0)</f>
        <v/>
      </c>
      <c r="AD200">
        <f>AC199*$G$53</f>
        <v/>
      </c>
      <c r="AE200">
        <f>IF(AE199&gt;1E-9,IF(AE199*(1+$G$54)-MAX($B$9,0.01*AE199+AE199*$G$54)&gt;1E-9,AE199*(1+$G$54)-MAX($B$9,0.01*AE199+AE199*$G$54),0),0)</f>
        <v/>
      </c>
      <c r="AF200">
        <f>AE199*$G$54</f>
        <v/>
      </c>
      <c r="AG200">
        <f>IF(AG199&gt;1E-9,IF(AG199*(1+$G$55)-MAX($B$9,0.01*AG199+AG199*$G$55)&gt;1E-9,AG199*(1+$G$55)-MAX($B$9,0.01*AG199+AG199*$G$55),0),0)</f>
        <v/>
      </c>
      <c r="AH200">
        <f>AG199*$G$55</f>
        <v/>
      </c>
      <c r="AI200">
        <f>G200+K200+O200+S200+W200</f>
        <v/>
      </c>
      <c r="AJ200">
        <f>AI199+AK200-AI200</f>
        <v/>
      </c>
      <c r="AK200">
        <f>H200+L200+P200+T200+X200</f>
        <v/>
      </c>
      <c r="AL200">
        <f>TEXT(EDATE($B$5,D200-1),"mmm yyyy")</f>
        <v/>
      </c>
      <c r="AM200">
        <f>AI200</f>
        <v/>
      </c>
    </row>
    <row r="201">
      <c r="D201" t="n">
        <v>140</v>
      </c>
      <c r="E201">
        <f>IF(G200&gt;0,MAX(0,G200*(1+$G$51)-$H$51),0)</f>
        <v/>
      </c>
      <c r="F201">
        <f>$B$6+IF($D201=$B$8,$B$7,0)</f>
        <v/>
      </c>
      <c r="G201">
        <f>IF(E201-F201&gt;1E-9,E201-F201,0)</f>
        <v/>
      </c>
      <c r="H201">
        <f>G200*$G$51</f>
        <v/>
      </c>
      <c r="I201">
        <f>IF(K200&gt;0,MAX(0,K200*(1+$G$52)-$H$52),0)</f>
        <v/>
      </c>
      <c r="J201">
        <f>MAX(0,F201-E201)</f>
        <v/>
      </c>
      <c r="K201">
        <f>IF(I201-J201&gt;1E-9,I201-J201,0)</f>
        <v/>
      </c>
      <c r="L201">
        <f>K200*$G$52</f>
        <v/>
      </c>
      <c r="M201">
        <f>IF(O200&gt;0,MAX(0,O200*(1+$G$53)-$H$53),0)</f>
        <v/>
      </c>
      <c r="N201">
        <f>MAX(0,J201-I201)</f>
        <v/>
      </c>
      <c r="O201">
        <f>IF(M201-N201&gt;1E-9,M201-N201,0)</f>
        <v/>
      </c>
      <c r="P201">
        <f>O200*$G$53</f>
        <v/>
      </c>
      <c r="Q201">
        <f>IF(S200&gt;0,MAX(0,S200*(1+$G$54)-$H$54),0)</f>
        <v/>
      </c>
      <c r="R201">
        <f>MAX(0,N201-M201)</f>
        <v/>
      </c>
      <c r="S201">
        <f>IF(Q201-R201&gt;1E-9,Q201-R201,0)</f>
        <v/>
      </c>
      <c r="T201">
        <f>S200*$G$54</f>
        <v/>
      </c>
      <c r="U201">
        <f>IF(W200&gt;0,MAX(0,W200*(1+$G$55)-$H$55),0)</f>
        <v/>
      </c>
      <c r="V201">
        <f>MAX(0,R201-Q201)</f>
        <v/>
      </c>
      <c r="W201">
        <f>IF(U201-V201&gt;1E-9,U201-V201,0)</f>
        <v/>
      </c>
      <c r="X201">
        <f>W200*$G$55</f>
        <v/>
      </c>
      <c r="Y201">
        <f>IF(Y200&gt;1E-9,IF(Y200*(1+$G$51)-MAX($B$9,0.01*Y200+Y200*$G$51)&gt;1E-9,Y200*(1+$G$51)-MAX($B$9,0.01*Y200+Y200*$G$51),0),0)</f>
        <v/>
      </c>
      <c r="Z201">
        <f>Y200*$G$51</f>
        <v/>
      </c>
      <c r="AA201">
        <f>IF(AA200&gt;1E-9,IF(AA200*(1+$G$52)-MAX($B$9,0.01*AA200+AA200*$G$52)&gt;1E-9,AA200*(1+$G$52)-MAX($B$9,0.01*AA200+AA200*$G$52),0),0)</f>
        <v/>
      </c>
      <c r="AB201">
        <f>AA200*$G$52</f>
        <v/>
      </c>
      <c r="AC201">
        <f>IF(AC200&gt;1E-9,IF(AC200*(1+$G$53)-MAX($B$9,0.01*AC200+AC200*$G$53)&gt;1E-9,AC200*(1+$G$53)-MAX($B$9,0.01*AC200+AC200*$G$53),0),0)</f>
        <v/>
      </c>
      <c r="AD201">
        <f>AC200*$G$53</f>
        <v/>
      </c>
      <c r="AE201">
        <f>IF(AE200&gt;1E-9,IF(AE200*(1+$G$54)-MAX($B$9,0.01*AE200+AE200*$G$54)&gt;1E-9,AE200*(1+$G$54)-MAX($B$9,0.01*AE200+AE200*$G$54),0),0)</f>
        <v/>
      </c>
      <c r="AF201">
        <f>AE200*$G$54</f>
        <v/>
      </c>
      <c r="AG201">
        <f>IF(AG200&gt;1E-9,IF(AG200*(1+$G$55)-MAX($B$9,0.01*AG200+AG200*$G$55)&gt;1E-9,AG200*(1+$G$55)-MAX($B$9,0.01*AG200+AG200*$G$55),0),0)</f>
        <v/>
      </c>
      <c r="AH201">
        <f>AG200*$G$55</f>
        <v/>
      </c>
      <c r="AI201">
        <f>G201+K201+O201+S201+W201</f>
        <v/>
      </c>
      <c r="AJ201">
        <f>AI200+AK201-AI201</f>
        <v/>
      </c>
      <c r="AK201">
        <f>H201+L201+P201+T201+X201</f>
        <v/>
      </c>
      <c r="AL201">
        <f>TEXT(EDATE($B$5,D201-1),"mmm yyyy")</f>
        <v/>
      </c>
      <c r="AM201">
        <f>AI201</f>
        <v/>
      </c>
    </row>
    <row r="202">
      <c r="D202" t="n">
        <v>141</v>
      </c>
      <c r="E202">
        <f>IF(G201&gt;0,MAX(0,G201*(1+$G$51)-$H$51),0)</f>
        <v/>
      </c>
      <c r="F202">
        <f>$B$6+IF($D202=$B$8,$B$7,0)</f>
        <v/>
      </c>
      <c r="G202">
        <f>IF(E202-F202&gt;1E-9,E202-F202,0)</f>
        <v/>
      </c>
      <c r="H202">
        <f>G201*$G$51</f>
        <v/>
      </c>
      <c r="I202">
        <f>IF(K201&gt;0,MAX(0,K201*(1+$G$52)-$H$52),0)</f>
        <v/>
      </c>
      <c r="J202">
        <f>MAX(0,F202-E202)</f>
        <v/>
      </c>
      <c r="K202">
        <f>IF(I202-J202&gt;1E-9,I202-J202,0)</f>
        <v/>
      </c>
      <c r="L202">
        <f>K201*$G$52</f>
        <v/>
      </c>
      <c r="M202">
        <f>IF(O201&gt;0,MAX(0,O201*(1+$G$53)-$H$53),0)</f>
        <v/>
      </c>
      <c r="N202">
        <f>MAX(0,J202-I202)</f>
        <v/>
      </c>
      <c r="O202">
        <f>IF(M202-N202&gt;1E-9,M202-N202,0)</f>
        <v/>
      </c>
      <c r="P202">
        <f>O201*$G$53</f>
        <v/>
      </c>
      <c r="Q202">
        <f>IF(S201&gt;0,MAX(0,S201*(1+$G$54)-$H$54),0)</f>
        <v/>
      </c>
      <c r="R202">
        <f>MAX(0,N202-M202)</f>
        <v/>
      </c>
      <c r="S202">
        <f>IF(Q202-R202&gt;1E-9,Q202-R202,0)</f>
        <v/>
      </c>
      <c r="T202">
        <f>S201*$G$54</f>
        <v/>
      </c>
      <c r="U202">
        <f>IF(W201&gt;0,MAX(0,W201*(1+$G$55)-$H$55),0)</f>
        <v/>
      </c>
      <c r="V202">
        <f>MAX(0,R202-Q202)</f>
        <v/>
      </c>
      <c r="W202">
        <f>IF(U202-V202&gt;1E-9,U202-V202,0)</f>
        <v/>
      </c>
      <c r="X202">
        <f>W201*$G$55</f>
        <v/>
      </c>
      <c r="Y202">
        <f>IF(Y201&gt;1E-9,IF(Y201*(1+$G$51)-MAX($B$9,0.01*Y201+Y201*$G$51)&gt;1E-9,Y201*(1+$G$51)-MAX($B$9,0.01*Y201+Y201*$G$51),0),0)</f>
        <v/>
      </c>
      <c r="Z202">
        <f>Y201*$G$51</f>
        <v/>
      </c>
      <c r="AA202">
        <f>IF(AA201&gt;1E-9,IF(AA201*(1+$G$52)-MAX($B$9,0.01*AA201+AA201*$G$52)&gt;1E-9,AA201*(1+$G$52)-MAX($B$9,0.01*AA201+AA201*$G$52),0),0)</f>
        <v/>
      </c>
      <c r="AB202">
        <f>AA201*$G$52</f>
        <v/>
      </c>
      <c r="AC202">
        <f>IF(AC201&gt;1E-9,IF(AC201*(1+$G$53)-MAX($B$9,0.01*AC201+AC201*$G$53)&gt;1E-9,AC201*(1+$G$53)-MAX($B$9,0.01*AC201+AC201*$G$53),0),0)</f>
        <v/>
      </c>
      <c r="AD202">
        <f>AC201*$G$53</f>
        <v/>
      </c>
      <c r="AE202">
        <f>IF(AE201&gt;1E-9,IF(AE201*(1+$G$54)-MAX($B$9,0.01*AE201+AE201*$G$54)&gt;1E-9,AE201*(1+$G$54)-MAX($B$9,0.01*AE201+AE201*$G$54),0),0)</f>
        <v/>
      </c>
      <c r="AF202">
        <f>AE201*$G$54</f>
        <v/>
      </c>
      <c r="AG202">
        <f>IF(AG201&gt;1E-9,IF(AG201*(1+$G$55)-MAX($B$9,0.01*AG201+AG201*$G$55)&gt;1E-9,AG201*(1+$G$55)-MAX($B$9,0.01*AG201+AG201*$G$55),0),0)</f>
        <v/>
      </c>
      <c r="AH202">
        <f>AG201*$G$55</f>
        <v/>
      </c>
      <c r="AI202">
        <f>G202+K202+O202+S202+W202</f>
        <v/>
      </c>
      <c r="AJ202">
        <f>AI201+AK202-AI202</f>
        <v/>
      </c>
      <c r="AK202">
        <f>H202+L202+P202+T202+X202</f>
        <v/>
      </c>
      <c r="AL202">
        <f>TEXT(EDATE($B$5,D202-1),"mmm yyyy")</f>
        <v/>
      </c>
      <c r="AM202">
        <f>AI202</f>
        <v/>
      </c>
    </row>
    <row r="203">
      <c r="D203" t="n">
        <v>142</v>
      </c>
      <c r="E203">
        <f>IF(G202&gt;0,MAX(0,G202*(1+$G$51)-$H$51),0)</f>
        <v/>
      </c>
      <c r="F203">
        <f>$B$6+IF($D203=$B$8,$B$7,0)</f>
        <v/>
      </c>
      <c r="G203">
        <f>IF(E203-F203&gt;1E-9,E203-F203,0)</f>
        <v/>
      </c>
      <c r="H203">
        <f>G202*$G$51</f>
        <v/>
      </c>
      <c r="I203">
        <f>IF(K202&gt;0,MAX(0,K202*(1+$G$52)-$H$52),0)</f>
        <v/>
      </c>
      <c r="J203">
        <f>MAX(0,F203-E203)</f>
        <v/>
      </c>
      <c r="K203">
        <f>IF(I203-J203&gt;1E-9,I203-J203,0)</f>
        <v/>
      </c>
      <c r="L203">
        <f>K202*$G$52</f>
        <v/>
      </c>
      <c r="M203">
        <f>IF(O202&gt;0,MAX(0,O202*(1+$G$53)-$H$53),0)</f>
        <v/>
      </c>
      <c r="N203">
        <f>MAX(0,J203-I203)</f>
        <v/>
      </c>
      <c r="O203">
        <f>IF(M203-N203&gt;1E-9,M203-N203,0)</f>
        <v/>
      </c>
      <c r="P203">
        <f>O202*$G$53</f>
        <v/>
      </c>
      <c r="Q203">
        <f>IF(S202&gt;0,MAX(0,S202*(1+$G$54)-$H$54),0)</f>
        <v/>
      </c>
      <c r="R203">
        <f>MAX(0,N203-M203)</f>
        <v/>
      </c>
      <c r="S203">
        <f>IF(Q203-R203&gt;1E-9,Q203-R203,0)</f>
        <v/>
      </c>
      <c r="T203">
        <f>S202*$G$54</f>
        <v/>
      </c>
      <c r="U203">
        <f>IF(W202&gt;0,MAX(0,W202*(1+$G$55)-$H$55),0)</f>
        <v/>
      </c>
      <c r="V203">
        <f>MAX(0,R203-Q203)</f>
        <v/>
      </c>
      <c r="W203">
        <f>IF(U203-V203&gt;1E-9,U203-V203,0)</f>
        <v/>
      </c>
      <c r="X203">
        <f>W202*$G$55</f>
        <v/>
      </c>
      <c r="Y203">
        <f>IF(Y202&gt;1E-9,IF(Y202*(1+$G$51)-MAX($B$9,0.01*Y202+Y202*$G$51)&gt;1E-9,Y202*(1+$G$51)-MAX($B$9,0.01*Y202+Y202*$G$51),0),0)</f>
        <v/>
      </c>
      <c r="Z203">
        <f>Y202*$G$51</f>
        <v/>
      </c>
      <c r="AA203">
        <f>IF(AA202&gt;1E-9,IF(AA202*(1+$G$52)-MAX($B$9,0.01*AA202+AA202*$G$52)&gt;1E-9,AA202*(1+$G$52)-MAX($B$9,0.01*AA202+AA202*$G$52),0),0)</f>
        <v/>
      </c>
      <c r="AB203">
        <f>AA202*$G$52</f>
        <v/>
      </c>
      <c r="AC203">
        <f>IF(AC202&gt;1E-9,IF(AC202*(1+$G$53)-MAX($B$9,0.01*AC202+AC202*$G$53)&gt;1E-9,AC202*(1+$G$53)-MAX($B$9,0.01*AC202+AC202*$G$53),0),0)</f>
        <v/>
      </c>
      <c r="AD203">
        <f>AC202*$G$53</f>
        <v/>
      </c>
      <c r="AE203">
        <f>IF(AE202&gt;1E-9,IF(AE202*(1+$G$54)-MAX($B$9,0.01*AE202+AE202*$G$54)&gt;1E-9,AE202*(1+$G$54)-MAX($B$9,0.01*AE202+AE202*$G$54),0),0)</f>
        <v/>
      </c>
      <c r="AF203">
        <f>AE202*$G$54</f>
        <v/>
      </c>
      <c r="AG203">
        <f>IF(AG202&gt;1E-9,IF(AG202*(1+$G$55)-MAX($B$9,0.01*AG202+AG202*$G$55)&gt;1E-9,AG202*(1+$G$55)-MAX($B$9,0.01*AG202+AG202*$G$55),0),0)</f>
        <v/>
      </c>
      <c r="AH203">
        <f>AG202*$G$55</f>
        <v/>
      </c>
      <c r="AI203">
        <f>G203+K203+O203+S203+W203</f>
        <v/>
      </c>
      <c r="AJ203">
        <f>AI202+AK203-AI203</f>
        <v/>
      </c>
      <c r="AK203">
        <f>H203+L203+P203+T203+X203</f>
        <v/>
      </c>
      <c r="AL203">
        <f>TEXT(EDATE($B$5,D203-1),"mmm yyyy")</f>
        <v/>
      </c>
      <c r="AM203">
        <f>AI203</f>
        <v/>
      </c>
    </row>
    <row r="204">
      <c r="D204" t="n">
        <v>143</v>
      </c>
      <c r="E204">
        <f>IF(G203&gt;0,MAX(0,G203*(1+$G$51)-$H$51),0)</f>
        <v/>
      </c>
      <c r="F204">
        <f>$B$6+IF($D204=$B$8,$B$7,0)</f>
        <v/>
      </c>
      <c r="G204">
        <f>IF(E204-F204&gt;1E-9,E204-F204,0)</f>
        <v/>
      </c>
      <c r="H204">
        <f>G203*$G$51</f>
        <v/>
      </c>
      <c r="I204">
        <f>IF(K203&gt;0,MAX(0,K203*(1+$G$52)-$H$52),0)</f>
        <v/>
      </c>
      <c r="J204">
        <f>MAX(0,F204-E204)</f>
        <v/>
      </c>
      <c r="K204">
        <f>IF(I204-J204&gt;1E-9,I204-J204,0)</f>
        <v/>
      </c>
      <c r="L204">
        <f>K203*$G$52</f>
        <v/>
      </c>
      <c r="M204">
        <f>IF(O203&gt;0,MAX(0,O203*(1+$G$53)-$H$53),0)</f>
        <v/>
      </c>
      <c r="N204">
        <f>MAX(0,J204-I204)</f>
        <v/>
      </c>
      <c r="O204">
        <f>IF(M204-N204&gt;1E-9,M204-N204,0)</f>
        <v/>
      </c>
      <c r="P204">
        <f>O203*$G$53</f>
        <v/>
      </c>
      <c r="Q204">
        <f>IF(S203&gt;0,MAX(0,S203*(1+$G$54)-$H$54),0)</f>
        <v/>
      </c>
      <c r="R204">
        <f>MAX(0,N204-M204)</f>
        <v/>
      </c>
      <c r="S204">
        <f>IF(Q204-R204&gt;1E-9,Q204-R204,0)</f>
        <v/>
      </c>
      <c r="T204">
        <f>S203*$G$54</f>
        <v/>
      </c>
      <c r="U204">
        <f>IF(W203&gt;0,MAX(0,W203*(1+$G$55)-$H$55),0)</f>
        <v/>
      </c>
      <c r="V204">
        <f>MAX(0,R204-Q204)</f>
        <v/>
      </c>
      <c r="W204">
        <f>IF(U204-V204&gt;1E-9,U204-V204,0)</f>
        <v/>
      </c>
      <c r="X204">
        <f>W203*$G$55</f>
        <v/>
      </c>
      <c r="Y204">
        <f>IF(Y203&gt;1E-9,IF(Y203*(1+$G$51)-MAX($B$9,0.01*Y203+Y203*$G$51)&gt;1E-9,Y203*(1+$G$51)-MAX($B$9,0.01*Y203+Y203*$G$51),0),0)</f>
        <v/>
      </c>
      <c r="Z204">
        <f>Y203*$G$51</f>
        <v/>
      </c>
      <c r="AA204">
        <f>IF(AA203&gt;1E-9,IF(AA203*(1+$G$52)-MAX($B$9,0.01*AA203+AA203*$G$52)&gt;1E-9,AA203*(1+$G$52)-MAX($B$9,0.01*AA203+AA203*$G$52),0),0)</f>
        <v/>
      </c>
      <c r="AB204">
        <f>AA203*$G$52</f>
        <v/>
      </c>
      <c r="AC204">
        <f>IF(AC203&gt;1E-9,IF(AC203*(1+$G$53)-MAX($B$9,0.01*AC203+AC203*$G$53)&gt;1E-9,AC203*(1+$G$53)-MAX($B$9,0.01*AC203+AC203*$G$53),0),0)</f>
        <v/>
      </c>
      <c r="AD204">
        <f>AC203*$G$53</f>
        <v/>
      </c>
      <c r="AE204">
        <f>IF(AE203&gt;1E-9,IF(AE203*(1+$G$54)-MAX($B$9,0.01*AE203+AE203*$G$54)&gt;1E-9,AE203*(1+$G$54)-MAX($B$9,0.01*AE203+AE203*$G$54),0),0)</f>
        <v/>
      </c>
      <c r="AF204">
        <f>AE203*$G$54</f>
        <v/>
      </c>
      <c r="AG204">
        <f>IF(AG203&gt;1E-9,IF(AG203*(1+$G$55)-MAX($B$9,0.01*AG203+AG203*$G$55)&gt;1E-9,AG203*(1+$G$55)-MAX($B$9,0.01*AG203+AG203*$G$55),0),0)</f>
        <v/>
      </c>
      <c r="AH204">
        <f>AG203*$G$55</f>
        <v/>
      </c>
      <c r="AI204">
        <f>G204+K204+O204+S204+W204</f>
        <v/>
      </c>
      <c r="AJ204">
        <f>AI203+AK204-AI204</f>
        <v/>
      </c>
      <c r="AK204">
        <f>H204+L204+P204+T204+X204</f>
        <v/>
      </c>
      <c r="AL204">
        <f>TEXT(EDATE($B$5,D204-1),"mmm yyyy")</f>
        <v/>
      </c>
      <c r="AM204">
        <f>AI204</f>
        <v/>
      </c>
    </row>
    <row r="205">
      <c r="D205" t="n">
        <v>144</v>
      </c>
      <c r="E205">
        <f>IF(G204&gt;0,MAX(0,G204*(1+$G$51)-$H$51),0)</f>
        <v/>
      </c>
      <c r="F205">
        <f>$B$6+IF($D205=$B$8,$B$7,0)</f>
        <v/>
      </c>
      <c r="G205">
        <f>IF(E205-F205&gt;1E-9,E205-F205,0)</f>
        <v/>
      </c>
      <c r="H205">
        <f>G204*$G$51</f>
        <v/>
      </c>
      <c r="I205">
        <f>IF(K204&gt;0,MAX(0,K204*(1+$G$52)-$H$52),0)</f>
        <v/>
      </c>
      <c r="J205">
        <f>MAX(0,F205-E205)</f>
        <v/>
      </c>
      <c r="K205">
        <f>IF(I205-J205&gt;1E-9,I205-J205,0)</f>
        <v/>
      </c>
      <c r="L205">
        <f>K204*$G$52</f>
        <v/>
      </c>
      <c r="M205">
        <f>IF(O204&gt;0,MAX(0,O204*(1+$G$53)-$H$53),0)</f>
        <v/>
      </c>
      <c r="N205">
        <f>MAX(0,J205-I205)</f>
        <v/>
      </c>
      <c r="O205">
        <f>IF(M205-N205&gt;1E-9,M205-N205,0)</f>
        <v/>
      </c>
      <c r="P205">
        <f>O204*$G$53</f>
        <v/>
      </c>
      <c r="Q205">
        <f>IF(S204&gt;0,MAX(0,S204*(1+$G$54)-$H$54),0)</f>
        <v/>
      </c>
      <c r="R205">
        <f>MAX(0,N205-M205)</f>
        <v/>
      </c>
      <c r="S205">
        <f>IF(Q205-R205&gt;1E-9,Q205-R205,0)</f>
        <v/>
      </c>
      <c r="T205">
        <f>S204*$G$54</f>
        <v/>
      </c>
      <c r="U205">
        <f>IF(W204&gt;0,MAX(0,W204*(1+$G$55)-$H$55),0)</f>
        <v/>
      </c>
      <c r="V205">
        <f>MAX(0,R205-Q205)</f>
        <v/>
      </c>
      <c r="W205">
        <f>IF(U205-V205&gt;1E-9,U205-V205,0)</f>
        <v/>
      </c>
      <c r="X205">
        <f>W204*$G$55</f>
        <v/>
      </c>
      <c r="Y205">
        <f>IF(Y204&gt;1E-9,IF(Y204*(1+$G$51)-MAX($B$9,0.01*Y204+Y204*$G$51)&gt;1E-9,Y204*(1+$G$51)-MAX($B$9,0.01*Y204+Y204*$G$51),0),0)</f>
        <v/>
      </c>
      <c r="Z205">
        <f>Y204*$G$51</f>
        <v/>
      </c>
      <c r="AA205">
        <f>IF(AA204&gt;1E-9,IF(AA204*(1+$G$52)-MAX($B$9,0.01*AA204+AA204*$G$52)&gt;1E-9,AA204*(1+$G$52)-MAX($B$9,0.01*AA204+AA204*$G$52),0),0)</f>
        <v/>
      </c>
      <c r="AB205">
        <f>AA204*$G$52</f>
        <v/>
      </c>
      <c r="AC205">
        <f>IF(AC204&gt;1E-9,IF(AC204*(1+$G$53)-MAX($B$9,0.01*AC204+AC204*$G$53)&gt;1E-9,AC204*(1+$G$53)-MAX($B$9,0.01*AC204+AC204*$G$53),0),0)</f>
        <v/>
      </c>
      <c r="AD205">
        <f>AC204*$G$53</f>
        <v/>
      </c>
      <c r="AE205">
        <f>IF(AE204&gt;1E-9,IF(AE204*(1+$G$54)-MAX($B$9,0.01*AE204+AE204*$G$54)&gt;1E-9,AE204*(1+$G$54)-MAX($B$9,0.01*AE204+AE204*$G$54),0),0)</f>
        <v/>
      </c>
      <c r="AF205">
        <f>AE204*$G$54</f>
        <v/>
      </c>
      <c r="AG205">
        <f>IF(AG204&gt;1E-9,IF(AG204*(1+$G$55)-MAX($B$9,0.01*AG204+AG204*$G$55)&gt;1E-9,AG204*(1+$G$55)-MAX($B$9,0.01*AG204+AG204*$G$55),0),0)</f>
        <v/>
      </c>
      <c r="AH205">
        <f>AG204*$G$55</f>
        <v/>
      </c>
      <c r="AI205">
        <f>G205+K205+O205+S205+W205</f>
        <v/>
      </c>
      <c r="AJ205">
        <f>AI204+AK205-AI205</f>
        <v/>
      </c>
      <c r="AK205">
        <f>H205+L205+P205+T205+X205</f>
        <v/>
      </c>
      <c r="AL205">
        <f>TEXT(EDATE($B$5,D205-1),"mmm yyyy")</f>
        <v/>
      </c>
      <c r="AM205">
        <f>AI205</f>
        <v/>
      </c>
    </row>
    <row r="206">
      <c r="D206" t="n">
        <v>145</v>
      </c>
      <c r="E206">
        <f>IF(G205&gt;0,MAX(0,G205*(1+$G$51)-$H$51),0)</f>
        <v/>
      </c>
      <c r="F206">
        <f>$B$6+IF($D206=$B$8,$B$7,0)</f>
        <v/>
      </c>
      <c r="G206">
        <f>IF(E206-F206&gt;1E-9,E206-F206,0)</f>
        <v/>
      </c>
      <c r="H206">
        <f>G205*$G$51</f>
        <v/>
      </c>
      <c r="I206">
        <f>IF(K205&gt;0,MAX(0,K205*(1+$G$52)-$H$52),0)</f>
        <v/>
      </c>
      <c r="J206">
        <f>MAX(0,F206-E206)</f>
        <v/>
      </c>
      <c r="K206">
        <f>IF(I206-J206&gt;1E-9,I206-J206,0)</f>
        <v/>
      </c>
      <c r="L206">
        <f>K205*$G$52</f>
        <v/>
      </c>
      <c r="M206">
        <f>IF(O205&gt;0,MAX(0,O205*(1+$G$53)-$H$53),0)</f>
        <v/>
      </c>
      <c r="N206">
        <f>MAX(0,J206-I206)</f>
        <v/>
      </c>
      <c r="O206">
        <f>IF(M206-N206&gt;1E-9,M206-N206,0)</f>
        <v/>
      </c>
      <c r="P206">
        <f>O205*$G$53</f>
        <v/>
      </c>
      <c r="Q206">
        <f>IF(S205&gt;0,MAX(0,S205*(1+$G$54)-$H$54),0)</f>
        <v/>
      </c>
      <c r="R206">
        <f>MAX(0,N206-M206)</f>
        <v/>
      </c>
      <c r="S206">
        <f>IF(Q206-R206&gt;1E-9,Q206-R206,0)</f>
        <v/>
      </c>
      <c r="T206">
        <f>S205*$G$54</f>
        <v/>
      </c>
      <c r="U206">
        <f>IF(W205&gt;0,MAX(0,W205*(1+$G$55)-$H$55),0)</f>
        <v/>
      </c>
      <c r="V206">
        <f>MAX(0,R206-Q206)</f>
        <v/>
      </c>
      <c r="W206">
        <f>IF(U206-V206&gt;1E-9,U206-V206,0)</f>
        <v/>
      </c>
      <c r="X206">
        <f>W205*$G$55</f>
        <v/>
      </c>
      <c r="Y206">
        <f>IF(Y205&gt;1E-9,IF(Y205*(1+$G$51)-MAX($B$9,0.01*Y205+Y205*$G$51)&gt;1E-9,Y205*(1+$G$51)-MAX($B$9,0.01*Y205+Y205*$G$51),0),0)</f>
        <v/>
      </c>
      <c r="Z206">
        <f>Y205*$G$51</f>
        <v/>
      </c>
      <c r="AA206">
        <f>IF(AA205&gt;1E-9,IF(AA205*(1+$G$52)-MAX($B$9,0.01*AA205+AA205*$G$52)&gt;1E-9,AA205*(1+$G$52)-MAX($B$9,0.01*AA205+AA205*$G$52),0),0)</f>
        <v/>
      </c>
      <c r="AB206">
        <f>AA205*$G$52</f>
        <v/>
      </c>
      <c r="AC206">
        <f>IF(AC205&gt;1E-9,IF(AC205*(1+$G$53)-MAX($B$9,0.01*AC205+AC205*$G$53)&gt;1E-9,AC205*(1+$G$53)-MAX($B$9,0.01*AC205+AC205*$G$53),0),0)</f>
        <v/>
      </c>
      <c r="AD206">
        <f>AC205*$G$53</f>
        <v/>
      </c>
      <c r="AE206">
        <f>IF(AE205&gt;1E-9,IF(AE205*(1+$G$54)-MAX($B$9,0.01*AE205+AE205*$G$54)&gt;1E-9,AE205*(1+$G$54)-MAX($B$9,0.01*AE205+AE205*$G$54),0),0)</f>
        <v/>
      </c>
      <c r="AF206">
        <f>AE205*$G$54</f>
        <v/>
      </c>
      <c r="AG206">
        <f>IF(AG205&gt;1E-9,IF(AG205*(1+$G$55)-MAX($B$9,0.01*AG205+AG205*$G$55)&gt;1E-9,AG205*(1+$G$55)-MAX($B$9,0.01*AG205+AG205*$G$55),0),0)</f>
        <v/>
      </c>
      <c r="AH206">
        <f>AG205*$G$55</f>
        <v/>
      </c>
      <c r="AI206">
        <f>G206+K206+O206+S206+W206</f>
        <v/>
      </c>
      <c r="AJ206">
        <f>AI205+AK206-AI206</f>
        <v/>
      </c>
      <c r="AK206">
        <f>H206+L206+P206+T206+X206</f>
        <v/>
      </c>
      <c r="AL206">
        <f>TEXT(EDATE($B$5,D206-1),"mmm yyyy")</f>
        <v/>
      </c>
      <c r="AM206">
        <f>AI206</f>
        <v/>
      </c>
    </row>
    <row r="207">
      <c r="D207" t="n">
        <v>146</v>
      </c>
      <c r="E207">
        <f>IF(G206&gt;0,MAX(0,G206*(1+$G$51)-$H$51),0)</f>
        <v/>
      </c>
      <c r="F207">
        <f>$B$6+IF($D207=$B$8,$B$7,0)</f>
        <v/>
      </c>
      <c r="G207">
        <f>IF(E207-F207&gt;1E-9,E207-F207,0)</f>
        <v/>
      </c>
      <c r="H207">
        <f>G206*$G$51</f>
        <v/>
      </c>
      <c r="I207">
        <f>IF(K206&gt;0,MAX(0,K206*(1+$G$52)-$H$52),0)</f>
        <v/>
      </c>
      <c r="J207">
        <f>MAX(0,F207-E207)</f>
        <v/>
      </c>
      <c r="K207">
        <f>IF(I207-J207&gt;1E-9,I207-J207,0)</f>
        <v/>
      </c>
      <c r="L207">
        <f>K206*$G$52</f>
        <v/>
      </c>
      <c r="M207">
        <f>IF(O206&gt;0,MAX(0,O206*(1+$G$53)-$H$53),0)</f>
        <v/>
      </c>
      <c r="N207">
        <f>MAX(0,J207-I207)</f>
        <v/>
      </c>
      <c r="O207">
        <f>IF(M207-N207&gt;1E-9,M207-N207,0)</f>
        <v/>
      </c>
      <c r="P207">
        <f>O206*$G$53</f>
        <v/>
      </c>
      <c r="Q207">
        <f>IF(S206&gt;0,MAX(0,S206*(1+$G$54)-$H$54),0)</f>
        <v/>
      </c>
      <c r="R207">
        <f>MAX(0,N207-M207)</f>
        <v/>
      </c>
      <c r="S207">
        <f>IF(Q207-R207&gt;1E-9,Q207-R207,0)</f>
        <v/>
      </c>
      <c r="T207">
        <f>S206*$G$54</f>
        <v/>
      </c>
      <c r="U207">
        <f>IF(W206&gt;0,MAX(0,W206*(1+$G$55)-$H$55),0)</f>
        <v/>
      </c>
      <c r="V207">
        <f>MAX(0,R207-Q207)</f>
        <v/>
      </c>
      <c r="W207">
        <f>IF(U207-V207&gt;1E-9,U207-V207,0)</f>
        <v/>
      </c>
      <c r="X207">
        <f>W206*$G$55</f>
        <v/>
      </c>
      <c r="Y207">
        <f>IF(Y206&gt;1E-9,IF(Y206*(1+$G$51)-MAX($B$9,0.01*Y206+Y206*$G$51)&gt;1E-9,Y206*(1+$G$51)-MAX($B$9,0.01*Y206+Y206*$G$51),0),0)</f>
        <v/>
      </c>
      <c r="Z207">
        <f>Y206*$G$51</f>
        <v/>
      </c>
      <c r="AA207">
        <f>IF(AA206&gt;1E-9,IF(AA206*(1+$G$52)-MAX($B$9,0.01*AA206+AA206*$G$52)&gt;1E-9,AA206*(1+$G$52)-MAX($B$9,0.01*AA206+AA206*$G$52),0),0)</f>
        <v/>
      </c>
      <c r="AB207">
        <f>AA206*$G$52</f>
        <v/>
      </c>
      <c r="AC207">
        <f>IF(AC206&gt;1E-9,IF(AC206*(1+$G$53)-MAX($B$9,0.01*AC206+AC206*$G$53)&gt;1E-9,AC206*(1+$G$53)-MAX($B$9,0.01*AC206+AC206*$G$53),0),0)</f>
        <v/>
      </c>
      <c r="AD207">
        <f>AC206*$G$53</f>
        <v/>
      </c>
      <c r="AE207">
        <f>IF(AE206&gt;1E-9,IF(AE206*(1+$G$54)-MAX($B$9,0.01*AE206+AE206*$G$54)&gt;1E-9,AE206*(1+$G$54)-MAX($B$9,0.01*AE206+AE206*$G$54),0),0)</f>
        <v/>
      </c>
      <c r="AF207">
        <f>AE206*$G$54</f>
        <v/>
      </c>
      <c r="AG207">
        <f>IF(AG206&gt;1E-9,IF(AG206*(1+$G$55)-MAX($B$9,0.01*AG206+AG206*$G$55)&gt;1E-9,AG206*(1+$G$55)-MAX($B$9,0.01*AG206+AG206*$G$55),0),0)</f>
        <v/>
      </c>
      <c r="AH207">
        <f>AG206*$G$55</f>
        <v/>
      </c>
      <c r="AI207">
        <f>G207+K207+O207+S207+W207</f>
        <v/>
      </c>
      <c r="AJ207">
        <f>AI206+AK207-AI207</f>
        <v/>
      </c>
      <c r="AK207">
        <f>H207+L207+P207+T207+X207</f>
        <v/>
      </c>
      <c r="AL207">
        <f>TEXT(EDATE($B$5,D207-1),"mmm yyyy")</f>
        <v/>
      </c>
      <c r="AM207">
        <f>AI207</f>
        <v/>
      </c>
    </row>
    <row r="208">
      <c r="D208" t="n">
        <v>147</v>
      </c>
      <c r="E208">
        <f>IF(G207&gt;0,MAX(0,G207*(1+$G$51)-$H$51),0)</f>
        <v/>
      </c>
      <c r="F208">
        <f>$B$6+IF($D208=$B$8,$B$7,0)</f>
        <v/>
      </c>
      <c r="G208">
        <f>IF(E208-F208&gt;1E-9,E208-F208,0)</f>
        <v/>
      </c>
      <c r="H208">
        <f>G207*$G$51</f>
        <v/>
      </c>
      <c r="I208">
        <f>IF(K207&gt;0,MAX(0,K207*(1+$G$52)-$H$52),0)</f>
        <v/>
      </c>
      <c r="J208">
        <f>MAX(0,F208-E208)</f>
        <v/>
      </c>
      <c r="K208">
        <f>IF(I208-J208&gt;1E-9,I208-J208,0)</f>
        <v/>
      </c>
      <c r="L208">
        <f>K207*$G$52</f>
        <v/>
      </c>
      <c r="M208">
        <f>IF(O207&gt;0,MAX(0,O207*(1+$G$53)-$H$53),0)</f>
        <v/>
      </c>
      <c r="N208">
        <f>MAX(0,J208-I208)</f>
        <v/>
      </c>
      <c r="O208">
        <f>IF(M208-N208&gt;1E-9,M208-N208,0)</f>
        <v/>
      </c>
      <c r="P208">
        <f>O207*$G$53</f>
        <v/>
      </c>
      <c r="Q208">
        <f>IF(S207&gt;0,MAX(0,S207*(1+$G$54)-$H$54),0)</f>
        <v/>
      </c>
      <c r="R208">
        <f>MAX(0,N208-M208)</f>
        <v/>
      </c>
      <c r="S208">
        <f>IF(Q208-R208&gt;1E-9,Q208-R208,0)</f>
        <v/>
      </c>
      <c r="T208">
        <f>S207*$G$54</f>
        <v/>
      </c>
      <c r="U208">
        <f>IF(W207&gt;0,MAX(0,W207*(1+$G$55)-$H$55),0)</f>
        <v/>
      </c>
      <c r="V208">
        <f>MAX(0,R208-Q208)</f>
        <v/>
      </c>
      <c r="W208">
        <f>IF(U208-V208&gt;1E-9,U208-V208,0)</f>
        <v/>
      </c>
      <c r="X208">
        <f>W207*$G$55</f>
        <v/>
      </c>
      <c r="Y208">
        <f>IF(Y207&gt;1E-9,IF(Y207*(1+$G$51)-MAX($B$9,0.01*Y207+Y207*$G$51)&gt;1E-9,Y207*(1+$G$51)-MAX($B$9,0.01*Y207+Y207*$G$51),0),0)</f>
        <v/>
      </c>
      <c r="Z208">
        <f>Y207*$G$51</f>
        <v/>
      </c>
      <c r="AA208">
        <f>IF(AA207&gt;1E-9,IF(AA207*(1+$G$52)-MAX($B$9,0.01*AA207+AA207*$G$52)&gt;1E-9,AA207*(1+$G$52)-MAX($B$9,0.01*AA207+AA207*$G$52),0),0)</f>
        <v/>
      </c>
      <c r="AB208">
        <f>AA207*$G$52</f>
        <v/>
      </c>
      <c r="AC208">
        <f>IF(AC207&gt;1E-9,IF(AC207*(1+$G$53)-MAX($B$9,0.01*AC207+AC207*$G$53)&gt;1E-9,AC207*(1+$G$53)-MAX($B$9,0.01*AC207+AC207*$G$53),0),0)</f>
        <v/>
      </c>
      <c r="AD208">
        <f>AC207*$G$53</f>
        <v/>
      </c>
      <c r="AE208">
        <f>IF(AE207&gt;1E-9,IF(AE207*(1+$G$54)-MAX($B$9,0.01*AE207+AE207*$G$54)&gt;1E-9,AE207*(1+$G$54)-MAX($B$9,0.01*AE207+AE207*$G$54),0),0)</f>
        <v/>
      </c>
      <c r="AF208">
        <f>AE207*$G$54</f>
        <v/>
      </c>
      <c r="AG208">
        <f>IF(AG207&gt;1E-9,IF(AG207*(1+$G$55)-MAX($B$9,0.01*AG207+AG207*$G$55)&gt;1E-9,AG207*(1+$G$55)-MAX($B$9,0.01*AG207+AG207*$G$55),0),0)</f>
        <v/>
      </c>
      <c r="AH208">
        <f>AG207*$G$55</f>
        <v/>
      </c>
      <c r="AI208">
        <f>G208+K208+O208+S208+W208</f>
        <v/>
      </c>
      <c r="AJ208">
        <f>AI207+AK208-AI208</f>
        <v/>
      </c>
      <c r="AK208">
        <f>H208+L208+P208+T208+X208</f>
        <v/>
      </c>
      <c r="AL208">
        <f>TEXT(EDATE($B$5,D208-1),"mmm yyyy")</f>
        <v/>
      </c>
      <c r="AM208">
        <f>AI208</f>
        <v/>
      </c>
    </row>
    <row r="209">
      <c r="D209" t="n">
        <v>148</v>
      </c>
      <c r="E209">
        <f>IF(G208&gt;0,MAX(0,G208*(1+$G$51)-$H$51),0)</f>
        <v/>
      </c>
      <c r="F209">
        <f>$B$6+IF($D209=$B$8,$B$7,0)</f>
        <v/>
      </c>
      <c r="G209">
        <f>IF(E209-F209&gt;1E-9,E209-F209,0)</f>
        <v/>
      </c>
      <c r="H209">
        <f>G208*$G$51</f>
        <v/>
      </c>
      <c r="I209">
        <f>IF(K208&gt;0,MAX(0,K208*(1+$G$52)-$H$52),0)</f>
        <v/>
      </c>
      <c r="J209">
        <f>MAX(0,F209-E209)</f>
        <v/>
      </c>
      <c r="K209">
        <f>IF(I209-J209&gt;1E-9,I209-J209,0)</f>
        <v/>
      </c>
      <c r="L209">
        <f>K208*$G$52</f>
        <v/>
      </c>
      <c r="M209">
        <f>IF(O208&gt;0,MAX(0,O208*(1+$G$53)-$H$53),0)</f>
        <v/>
      </c>
      <c r="N209">
        <f>MAX(0,J209-I209)</f>
        <v/>
      </c>
      <c r="O209">
        <f>IF(M209-N209&gt;1E-9,M209-N209,0)</f>
        <v/>
      </c>
      <c r="P209">
        <f>O208*$G$53</f>
        <v/>
      </c>
      <c r="Q209">
        <f>IF(S208&gt;0,MAX(0,S208*(1+$G$54)-$H$54),0)</f>
        <v/>
      </c>
      <c r="R209">
        <f>MAX(0,N209-M209)</f>
        <v/>
      </c>
      <c r="S209">
        <f>IF(Q209-R209&gt;1E-9,Q209-R209,0)</f>
        <v/>
      </c>
      <c r="T209">
        <f>S208*$G$54</f>
        <v/>
      </c>
      <c r="U209">
        <f>IF(W208&gt;0,MAX(0,W208*(1+$G$55)-$H$55),0)</f>
        <v/>
      </c>
      <c r="V209">
        <f>MAX(0,R209-Q209)</f>
        <v/>
      </c>
      <c r="W209">
        <f>IF(U209-V209&gt;1E-9,U209-V209,0)</f>
        <v/>
      </c>
      <c r="X209">
        <f>W208*$G$55</f>
        <v/>
      </c>
      <c r="Y209">
        <f>IF(Y208&gt;1E-9,IF(Y208*(1+$G$51)-MAX($B$9,0.01*Y208+Y208*$G$51)&gt;1E-9,Y208*(1+$G$51)-MAX($B$9,0.01*Y208+Y208*$G$51),0),0)</f>
        <v/>
      </c>
      <c r="Z209">
        <f>Y208*$G$51</f>
        <v/>
      </c>
      <c r="AA209">
        <f>IF(AA208&gt;1E-9,IF(AA208*(1+$G$52)-MAX($B$9,0.01*AA208+AA208*$G$52)&gt;1E-9,AA208*(1+$G$52)-MAX($B$9,0.01*AA208+AA208*$G$52),0),0)</f>
        <v/>
      </c>
      <c r="AB209">
        <f>AA208*$G$52</f>
        <v/>
      </c>
      <c r="AC209">
        <f>IF(AC208&gt;1E-9,IF(AC208*(1+$G$53)-MAX($B$9,0.01*AC208+AC208*$G$53)&gt;1E-9,AC208*(1+$G$53)-MAX($B$9,0.01*AC208+AC208*$G$53),0),0)</f>
        <v/>
      </c>
      <c r="AD209">
        <f>AC208*$G$53</f>
        <v/>
      </c>
      <c r="AE209">
        <f>IF(AE208&gt;1E-9,IF(AE208*(1+$G$54)-MAX($B$9,0.01*AE208+AE208*$G$54)&gt;1E-9,AE208*(1+$G$54)-MAX($B$9,0.01*AE208+AE208*$G$54),0),0)</f>
        <v/>
      </c>
      <c r="AF209">
        <f>AE208*$G$54</f>
        <v/>
      </c>
      <c r="AG209">
        <f>IF(AG208&gt;1E-9,IF(AG208*(1+$G$55)-MAX($B$9,0.01*AG208+AG208*$G$55)&gt;1E-9,AG208*(1+$G$55)-MAX($B$9,0.01*AG208+AG208*$G$55),0),0)</f>
        <v/>
      </c>
      <c r="AH209">
        <f>AG208*$G$55</f>
        <v/>
      </c>
      <c r="AI209">
        <f>G209+K209+O209+S209+W209</f>
        <v/>
      </c>
      <c r="AJ209">
        <f>AI208+AK209-AI209</f>
        <v/>
      </c>
      <c r="AK209">
        <f>H209+L209+P209+T209+X209</f>
        <v/>
      </c>
      <c r="AL209">
        <f>TEXT(EDATE($B$5,D209-1),"mmm yyyy")</f>
        <v/>
      </c>
      <c r="AM209">
        <f>AI209</f>
        <v/>
      </c>
    </row>
    <row r="210">
      <c r="D210" t="n">
        <v>149</v>
      </c>
      <c r="E210">
        <f>IF(G209&gt;0,MAX(0,G209*(1+$G$51)-$H$51),0)</f>
        <v/>
      </c>
      <c r="F210">
        <f>$B$6+IF($D210=$B$8,$B$7,0)</f>
        <v/>
      </c>
      <c r="G210">
        <f>IF(E210-F210&gt;1E-9,E210-F210,0)</f>
        <v/>
      </c>
      <c r="H210">
        <f>G209*$G$51</f>
        <v/>
      </c>
      <c r="I210">
        <f>IF(K209&gt;0,MAX(0,K209*(1+$G$52)-$H$52),0)</f>
        <v/>
      </c>
      <c r="J210">
        <f>MAX(0,F210-E210)</f>
        <v/>
      </c>
      <c r="K210">
        <f>IF(I210-J210&gt;1E-9,I210-J210,0)</f>
        <v/>
      </c>
      <c r="L210">
        <f>K209*$G$52</f>
        <v/>
      </c>
      <c r="M210">
        <f>IF(O209&gt;0,MAX(0,O209*(1+$G$53)-$H$53),0)</f>
        <v/>
      </c>
      <c r="N210">
        <f>MAX(0,J210-I210)</f>
        <v/>
      </c>
      <c r="O210">
        <f>IF(M210-N210&gt;1E-9,M210-N210,0)</f>
        <v/>
      </c>
      <c r="P210">
        <f>O209*$G$53</f>
        <v/>
      </c>
      <c r="Q210">
        <f>IF(S209&gt;0,MAX(0,S209*(1+$G$54)-$H$54),0)</f>
        <v/>
      </c>
      <c r="R210">
        <f>MAX(0,N210-M210)</f>
        <v/>
      </c>
      <c r="S210">
        <f>IF(Q210-R210&gt;1E-9,Q210-R210,0)</f>
        <v/>
      </c>
      <c r="T210">
        <f>S209*$G$54</f>
        <v/>
      </c>
      <c r="U210">
        <f>IF(W209&gt;0,MAX(0,W209*(1+$G$55)-$H$55),0)</f>
        <v/>
      </c>
      <c r="V210">
        <f>MAX(0,R210-Q210)</f>
        <v/>
      </c>
      <c r="W210">
        <f>IF(U210-V210&gt;1E-9,U210-V210,0)</f>
        <v/>
      </c>
      <c r="X210">
        <f>W209*$G$55</f>
        <v/>
      </c>
      <c r="Y210">
        <f>IF(Y209&gt;1E-9,IF(Y209*(1+$G$51)-MAX($B$9,0.01*Y209+Y209*$G$51)&gt;1E-9,Y209*(1+$G$51)-MAX($B$9,0.01*Y209+Y209*$G$51),0),0)</f>
        <v/>
      </c>
      <c r="Z210">
        <f>Y209*$G$51</f>
        <v/>
      </c>
      <c r="AA210">
        <f>IF(AA209&gt;1E-9,IF(AA209*(1+$G$52)-MAX($B$9,0.01*AA209+AA209*$G$52)&gt;1E-9,AA209*(1+$G$52)-MAX($B$9,0.01*AA209+AA209*$G$52),0),0)</f>
        <v/>
      </c>
      <c r="AB210">
        <f>AA209*$G$52</f>
        <v/>
      </c>
      <c r="AC210">
        <f>IF(AC209&gt;1E-9,IF(AC209*(1+$G$53)-MAX($B$9,0.01*AC209+AC209*$G$53)&gt;1E-9,AC209*(1+$G$53)-MAX($B$9,0.01*AC209+AC209*$G$53),0),0)</f>
        <v/>
      </c>
      <c r="AD210">
        <f>AC209*$G$53</f>
        <v/>
      </c>
      <c r="AE210">
        <f>IF(AE209&gt;1E-9,IF(AE209*(1+$G$54)-MAX($B$9,0.01*AE209+AE209*$G$54)&gt;1E-9,AE209*(1+$G$54)-MAX($B$9,0.01*AE209+AE209*$G$54),0),0)</f>
        <v/>
      </c>
      <c r="AF210">
        <f>AE209*$G$54</f>
        <v/>
      </c>
      <c r="AG210">
        <f>IF(AG209&gt;1E-9,IF(AG209*(1+$G$55)-MAX($B$9,0.01*AG209+AG209*$G$55)&gt;1E-9,AG209*(1+$G$55)-MAX($B$9,0.01*AG209+AG209*$G$55),0),0)</f>
        <v/>
      </c>
      <c r="AH210">
        <f>AG209*$G$55</f>
        <v/>
      </c>
      <c r="AI210">
        <f>G210+K210+O210+S210+W210</f>
        <v/>
      </c>
      <c r="AJ210">
        <f>AI209+AK210-AI210</f>
        <v/>
      </c>
      <c r="AK210">
        <f>H210+L210+P210+T210+X210</f>
        <v/>
      </c>
      <c r="AL210">
        <f>TEXT(EDATE($B$5,D210-1),"mmm yyyy")</f>
        <v/>
      </c>
      <c r="AM210">
        <f>AI210</f>
        <v/>
      </c>
    </row>
    <row r="211">
      <c r="D211" t="n">
        <v>150</v>
      </c>
      <c r="E211">
        <f>IF(G210&gt;0,MAX(0,G210*(1+$G$51)-$H$51),0)</f>
        <v/>
      </c>
      <c r="F211">
        <f>$B$6+IF($D211=$B$8,$B$7,0)</f>
        <v/>
      </c>
      <c r="G211">
        <f>IF(E211-F211&gt;1E-9,E211-F211,0)</f>
        <v/>
      </c>
      <c r="H211">
        <f>G210*$G$51</f>
        <v/>
      </c>
      <c r="I211">
        <f>IF(K210&gt;0,MAX(0,K210*(1+$G$52)-$H$52),0)</f>
        <v/>
      </c>
      <c r="J211">
        <f>MAX(0,F211-E211)</f>
        <v/>
      </c>
      <c r="K211">
        <f>IF(I211-J211&gt;1E-9,I211-J211,0)</f>
        <v/>
      </c>
      <c r="L211">
        <f>K210*$G$52</f>
        <v/>
      </c>
      <c r="M211">
        <f>IF(O210&gt;0,MAX(0,O210*(1+$G$53)-$H$53),0)</f>
        <v/>
      </c>
      <c r="N211">
        <f>MAX(0,J211-I211)</f>
        <v/>
      </c>
      <c r="O211">
        <f>IF(M211-N211&gt;1E-9,M211-N211,0)</f>
        <v/>
      </c>
      <c r="P211">
        <f>O210*$G$53</f>
        <v/>
      </c>
      <c r="Q211">
        <f>IF(S210&gt;0,MAX(0,S210*(1+$G$54)-$H$54),0)</f>
        <v/>
      </c>
      <c r="R211">
        <f>MAX(0,N211-M211)</f>
        <v/>
      </c>
      <c r="S211">
        <f>IF(Q211-R211&gt;1E-9,Q211-R211,0)</f>
        <v/>
      </c>
      <c r="T211">
        <f>S210*$G$54</f>
        <v/>
      </c>
      <c r="U211">
        <f>IF(W210&gt;0,MAX(0,W210*(1+$G$55)-$H$55),0)</f>
        <v/>
      </c>
      <c r="V211">
        <f>MAX(0,R211-Q211)</f>
        <v/>
      </c>
      <c r="W211">
        <f>IF(U211-V211&gt;1E-9,U211-V211,0)</f>
        <v/>
      </c>
      <c r="X211">
        <f>W210*$G$55</f>
        <v/>
      </c>
      <c r="Y211">
        <f>IF(Y210&gt;1E-9,IF(Y210*(1+$G$51)-MAX($B$9,0.01*Y210+Y210*$G$51)&gt;1E-9,Y210*(1+$G$51)-MAX($B$9,0.01*Y210+Y210*$G$51),0),0)</f>
        <v/>
      </c>
      <c r="Z211">
        <f>Y210*$G$51</f>
        <v/>
      </c>
      <c r="AA211">
        <f>IF(AA210&gt;1E-9,IF(AA210*(1+$G$52)-MAX($B$9,0.01*AA210+AA210*$G$52)&gt;1E-9,AA210*(1+$G$52)-MAX($B$9,0.01*AA210+AA210*$G$52),0),0)</f>
        <v/>
      </c>
      <c r="AB211">
        <f>AA210*$G$52</f>
        <v/>
      </c>
      <c r="AC211">
        <f>IF(AC210&gt;1E-9,IF(AC210*(1+$G$53)-MAX($B$9,0.01*AC210+AC210*$G$53)&gt;1E-9,AC210*(1+$G$53)-MAX($B$9,0.01*AC210+AC210*$G$53),0),0)</f>
        <v/>
      </c>
      <c r="AD211">
        <f>AC210*$G$53</f>
        <v/>
      </c>
      <c r="AE211">
        <f>IF(AE210&gt;1E-9,IF(AE210*(1+$G$54)-MAX($B$9,0.01*AE210+AE210*$G$54)&gt;1E-9,AE210*(1+$G$54)-MAX($B$9,0.01*AE210+AE210*$G$54),0),0)</f>
        <v/>
      </c>
      <c r="AF211">
        <f>AE210*$G$54</f>
        <v/>
      </c>
      <c r="AG211">
        <f>IF(AG210&gt;1E-9,IF(AG210*(1+$G$55)-MAX($B$9,0.01*AG210+AG210*$G$55)&gt;1E-9,AG210*(1+$G$55)-MAX($B$9,0.01*AG210+AG210*$G$55),0),0)</f>
        <v/>
      </c>
      <c r="AH211">
        <f>AG210*$G$55</f>
        <v/>
      </c>
      <c r="AI211">
        <f>G211+K211+O211+S211+W211</f>
        <v/>
      </c>
      <c r="AJ211">
        <f>AI210+AK211-AI211</f>
        <v/>
      </c>
      <c r="AK211">
        <f>H211+L211+P211+T211+X211</f>
        <v/>
      </c>
      <c r="AL211">
        <f>TEXT(EDATE($B$5,D211-1),"mmm yyyy")</f>
        <v/>
      </c>
      <c r="AM211">
        <f>AI211</f>
        <v/>
      </c>
    </row>
    <row r="212">
      <c r="D212" t="n">
        <v>151</v>
      </c>
      <c r="E212">
        <f>IF(G211&gt;0,MAX(0,G211*(1+$G$51)-$H$51),0)</f>
        <v/>
      </c>
      <c r="F212">
        <f>$B$6+IF($D212=$B$8,$B$7,0)</f>
        <v/>
      </c>
      <c r="G212">
        <f>IF(E212-F212&gt;1E-9,E212-F212,0)</f>
        <v/>
      </c>
      <c r="H212">
        <f>G211*$G$51</f>
        <v/>
      </c>
      <c r="I212">
        <f>IF(K211&gt;0,MAX(0,K211*(1+$G$52)-$H$52),0)</f>
        <v/>
      </c>
      <c r="J212">
        <f>MAX(0,F212-E212)</f>
        <v/>
      </c>
      <c r="K212">
        <f>IF(I212-J212&gt;1E-9,I212-J212,0)</f>
        <v/>
      </c>
      <c r="L212">
        <f>K211*$G$52</f>
        <v/>
      </c>
      <c r="M212">
        <f>IF(O211&gt;0,MAX(0,O211*(1+$G$53)-$H$53),0)</f>
        <v/>
      </c>
      <c r="N212">
        <f>MAX(0,J212-I212)</f>
        <v/>
      </c>
      <c r="O212">
        <f>IF(M212-N212&gt;1E-9,M212-N212,0)</f>
        <v/>
      </c>
      <c r="P212">
        <f>O211*$G$53</f>
        <v/>
      </c>
      <c r="Q212">
        <f>IF(S211&gt;0,MAX(0,S211*(1+$G$54)-$H$54),0)</f>
        <v/>
      </c>
      <c r="R212">
        <f>MAX(0,N212-M212)</f>
        <v/>
      </c>
      <c r="S212">
        <f>IF(Q212-R212&gt;1E-9,Q212-R212,0)</f>
        <v/>
      </c>
      <c r="T212">
        <f>S211*$G$54</f>
        <v/>
      </c>
      <c r="U212">
        <f>IF(W211&gt;0,MAX(0,W211*(1+$G$55)-$H$55),0)</f>
        <v/>
      </c>
      <c r="V212">
        <f>MAX(0,R212-Q212)</f>
        <v/>
      </c>
      <c r="W212">
        <f>IF(U212-V212&gt;1E-9,U212-V212,0)</f>
        <v/>
      </c>
      <c r="X212">
        <f>W211*$G$55</f>
        <v/>
      </c>
      <c r="Y212">
        <f>IF(Y211&gt;1E-9,IF(Y211*(1+$G$51)-MAX($B$9,0.01*Y211+Y211*$G$51)&gt;1E-9,Y211*(1+$G$51)-MAX($B$9,0.01*Y211+Y211*$G$51),0),0)</f>
        <v/>
      </c>
      <c r="Z212">
        <f>Y211*$G$51</f>
        <v/>
      </c>
      <c r="AA212">
        <f>IF(AA211&gt;1E-9,IF(AA211*(1+$G$52)-MAX($B$9,0.01*AA211+AA211*$G$52)&gt;1E-9,AA211*(1+$G$52)-MAX($B$9,0.01*AA211+AA211*$G$52),0),0)</f>
        <v/>
      </c>
      <c r="AB212">
        <f>AA211*$G$52</f>
        <v/>
      </c>
      <c r="AC212">
        <f>IF(AC211&gt;1E-9,IF(AC211*(1+$G$53)-MAX($B$9,0.01*AC211+AC211*$G$53)&gt;1E-9,AC211*(1+$G$53)-MAX($B$9,0.01*AC211+AC211*$G$53),0),0)</f>
        <v/>
      </c>
      <c r="AD212">
        <f>AC211*$G$53</f>
        <v/>
      </c>
      <c r="AE212">
        <f>IF(AE211&gt;1E-9,IF(AE211*(1+$G$54)-MAX($B$9,0.01*AE211+AE211*$G$54)&gt;1E-9,AE211*(1+$G$54)-MAX($B$9,0.01*AE211+AE211*$G$54),0),0)</f>
        <v/>
      </c>
      <c r="AF212">
        <f>AE211*$G$54</f>
        <v/>
      </c>
      <c r="AG212">
        <f>IF(AG211&gt;1E-9,IF(AG211*(1+$G$55)-MAX($B$9,0.01*AG211+AG211*$G$55)&gt;1E-9,AG211*(1+$G$55)-MAX($B$9,0.01*AG211+AG211*$G$55),0),0)</f>
        <v/>
      </c>
      <c r="AH212">
        <f>AG211*$G$55</f>
        <v/>
      </c>
      <c r="AI212">
        <f>G212+K212+O212+S212+W212</f>
        <v/>
      </c>
      <c r="AJ212">
        <f>AI211+AK212-AI212</f>
        <v/>
      </c>
      <c r="AK212">
        <f>H212+L212+P212+T212+X212</f>
        <v/>
      </c>
      <c r="AL212">
        <f>TEXT(EDATE($B$5,D212-1),"mmm yyyy")</f>
        <v/>
      </c>
      <c r="AM212">
        <f>AI212</f>
        <v/>
      </c>
    </row>
    <row r="213">
      <c r="D213" t="n">
        <v>152</v>
      </c>
      <c r="E213">
        <f>IF(G212&gt;0,MAX(0,G212*(1+$G$51)-$H$51),0)</f>
        <v/>
      </c>
      <c r="F213">
        <f>$B$6+IF($D213=$B$8,$B$7,0)</f>
        <v/>
      </c>
      <c r="G213">
        <f>IF(E213-F213&gt;1E-9,E213-F213,0)</f>
        <v/>
      </c>
      <c r="H213">
        <f>G212*$G$51</f>
        <v/>
      </c>
      <c r="I213">
        <f>IF(K212&gt;0,MAX(0,K212*(1+$G$52)-$H$52),0)</f>
        <v/>
      </c>
      <c r="J213">
        <f>MAX(0,F213-E213)</f>
        <v/>
      </c>
      <c r="K213">
        <f>IF(I213-J213&gt;1E-9,I213-J213,0)</f>
        <v/>
      </c>
      <c r="L213">
        <f>K212*$G$52</f>
        <v/>
      </c>
      <c r="M213">
        <f>IF(O212&gt;0,MAX(0,O212*(1+$G$53)-$H$53),0)</f>
        <v/>
      </c>
      <c r="N213">
        <f>MAX(0,J213-I213)</f>
        <v/>
      </c>
      <c r="O213">
        <f>IF(M213-N213&gt;1E-9,M213-N213,0)</f>
        <v/>
      </c>
      <c r="P213">
        <f>O212*$G$53</f>
        <v/>
      </c>
      <c r="Q213">
        <f>IF(S212&gt;0,MAX(0,S212*(1+$G$54)-$H$54),0)</f>
        <v/>
      </c>
      <c r="R213">
        <f>MAX(0,N213-M213)</f>
        <v/>
      </c>
      <c r="S213">
        <f>IF(Q213-R213&gt;1E-9,Q213-R213,0)</f>
        <v/>
      </c>
      <c r="T213">
        <f>S212*$G$54</f>
        <v/>
      </c>
      <c r="U213">
        <f>IF(W212&gt;0,MAX(0,W212*(1+$G$55)-$H$55),0)</f>
        <v/>
      </c>
      <c r="V213">
        <f>MAX(0,R213-Q213)</f>
        <v/>
      </c>
      <c r="W213">
        <f>IF(U213-V213&gt;1E-9,U213-V213,0)</f>
        <v/>
      </c>
      <c r="X213">
        <f>W212*$G$55</f>
        <v/>
      </c>
      <c r="Y213">
        <f>IF(Y212&gt;1E-9,IF(Y212*(1+$G$51)-MAX($B$9,0.01*Y212+Y212*$G$51)&gt;1E-9,Y212*(1+$G$51)-MAX($B$9,0.01*Y212+Y212*$G$51),0),0)</f>
        <v/>
      </c>
      <c r="Z213">
        <f>Y212*$G$51</f>
        <v/>
      </c>
      <c r="AA213">
        <f>IF(AA212&gt;1E-9,IF(AA212*(1+$G$52)-MAX($B$9,0.01*AA212+AA212*$G$52)&gt;1E-9,AA212*(1+$G$52)-MAX($B$9,0.01*AA212+AA212*$G$52),0),0)</f>
        <v/>
      </c>
      <c r="AB213">
        <f>AA212*$G$52</f>
        <v/>
      </c>
      <c r="AC213">
        <f>IF(AC212&gt;1E-9,IF(AC212*(1+$G$53)-MAX($B$9,0.01*AC212+AC212*$G$53)&gt;1E-9,AC212*(1+$G$53)-MAX($B$9,0.01*AC212+AC212*$G$53),0),0)</f>
        <v/>
      </c>
      <c r="AD213">
        <f>AC212*$G$53</f>
        <v/>
      </c>
      <c r="AE213">
        <f>IF(AE212&gt;1E-9,IF(AE212*(1+$G$54)-MAX($B$9,0.01*AE212+AE212*$G$54)&gt;1E-9,AE212*(1+$G$54)-MAX($B$9,0.01*AE212+AE212*$G$54),0),0)</f>
        <v/>
      </c>
      <c r="AF213">
        <f>AE212*$G$54</f>
        <v/>
      </c>
      <c r="AG213">
        <f>IF(AG212&gt;1E-9,IF(AG212*(1+$G$55)-MAX($B$9,0.01*AG212+AG212*$G$55)&gt;1E-9,AG212*(1+$G$55)-MAX($B$9,0.01*AG212+AG212*$G$55),0),0)</f>
        <v/>
      </c>
      <c r="AH213">
        <f>AG212*$G$55</f>
        <v/>
      </c>
      <c r="AI213">
        <f>G213+K213+O213+S213+W213</f>
        <v/>
      </c>
      <c r="AJ213">
        <f>AI212+AK213-AI213</f>
        <v/>
      </c>
      <c r="AK213">
        <f>H213+L213+P213+T213+X213</f>
        <v/>
      </c>
      <c r="AL213">
        <f>TEXT(EDATE($B$5,D213-1),"mmm yyyy")</f>
        <v/>
      </c>
      <c r="AM213">
        <f>AI213</f>
        <v/>
      </c>
    </row>
    <row r="214">
      <c r="D214" t="n">
        <v>153</v>
      </c>
      <c r="E214">
        <f>IF(G213&gt;0,MAX(0,G213*(1+$G$51)-$H$51),0)</f>
        <v/>
      </c>
      <c r="F214">
        <f>$B$6+IF($D214=$B$8,$B$7,0)</f>
        <v/>
      </c>
      <c r="G214">
        <f>IF(E214-F214&gt;1E-9,E214-F214,0)</f>
        <v/>
      </c>
      <c r="H214">
        <f>G213*$G$51</f>
        <v/>
      </c>
      <c r="I214">
        <f>IF(K213&gt;0,MAX(0,K213*(1+$G$52)-$H$52),0)</f>
        <v/>
      </c>
      <c r="J214">
        <f>MAX(0,F214-E214)</f>
        <v/>
      </c>
      <c r="K214">
        <f>IF(I214-J214&gt;1E-9,I214-J214,0)</f>
        <v/>
      </c>
      <c r="L214">
        <f>K213*$G$52</f>
        <v/>
      </c>
      <c r="M214">
        <f>IF(O213&gt;0,MAX(0,O213*(1+$G$53)-$H$53),0)</f>
        <v/>
      </c>
      <c r="N214">
        <f>MAX(0,J214-I214)</f>
        <v/>
      </c>
      <c r="O214">
        <f>IF(M214-N214&gt;1E-9,M214-N214,0)</f>
        <v/>
      </c>
      <c r="P214">
        <f>O213*$G$53</f>
        <v/>
      </c>
      <c r="Q214">
        <f>IF(S213&gt;0,MAX(0,S213*(1+$G$54)-$H$54),0)</f>
        <v/>
      </c>
      <c r="R214">
        <f>MAX(0,N214-M214)</f>
        <v/>
      </c>
      <c r="S214">
        <f>IF(Q214-R214&gt;1E-9,Q214-R214,0)</f>
        <v/>
      </c>
      <c r="T214">
        <f>S213*$G$54</f>
        <v/>
      </c>
      <c r="U214">
        <f>IF(W213&gt;0,MAX(0,W213*(1+$G$55)-$H$55),0)</f>
        <v/>
      </c>
      <c r="V214">
        <f>MAX(0,R214-Q214)</f>
        <v/>
      </c>
      <c r="W214">
        <f>IF(U214-V214&gt;1E-9,U214-V214,0)</f>
        <v/>
      </c>
      <c r="X214">
        <f>W213*$G$55</f>
        <v/>
      </c>
      <c r="Y214">
        <f>IF(Y213&gt;1E-9,IF(Y213*(1+$G$51)-MAX($B$9,0.01*Y213+Y213*$G$51)&gt;1E-9,Y213*(1+$G$51)-MAX($B$9,0.01*Y213+Y213*$G$51),0),0)</f>
        <v/>
      </c>
      <c r="Z214">
        <f>Y213*$G$51</f>
        <v/>
      </c>
      <c r="AA214">
        <f>IF(AA213&gt;1E-9,IF(AA213*(1+$G$52)-MAX($B$9,0.01*AA213+AA213*$G$52)&gt;1E-9,AA213*(1+$G$52)-MAX($B$9,0.01*AA213+AA213*$G$52),0),0)</f>
        <v/>
      </c>
      <c r="AB214">
        <f>AA213*$G$52</f>
        <v/>
      </c>
      <c r="AC214">
        <f>IF(AC213&gt;1E-9,IF(AC213*(1+$G$53)-MAX($B$9,0.01*AC213+AC213*$G$53)&gt;1E-9,AC213*(1+$G$53)-MAX($B$9,0.01*AC213+AC213*$G$53),0),0)</f>
        <v/>
      </c>
      <c r="AD214">
        <f>AC213*$G$53</f>
        <v/>
      </c>
      <c r="AE214">
        <f>IF(AE213&gt;1E-9,IF(AE213*(1+$G$54)-MAX($B$9,0.01*AE213+AE213*$G$54)&gt;1E-9,AE213*(1+$G$54)-MAX($B$9,0.01*AE213+AE213*$G$54),0),0)</f>
        <v/>
      </c>
      <c r="AF214">
        <f>AE213*$G$54</f>
        <v/>
      </c>
      <c r="AG214">
        <f>IF(AG213&gt;1E-9,IF(AG213*(1+$G$55)-MAX($B$9,0.01*AG213+AG213*$G$55)&gt;1E-9,AG213*(1+$G$55)-MAX($B$9,0.01*AG213+AG213*$G$55),0),0)</f>
        <v/>
      </c>
      <c r="AH214">
        <f>AG213*$G$55</f>
        <v/>
      </c>
      <c r="AI214">
        <f>G214+K214+O214+S214+W214</f>
        <v/>
      </c>
      <c r="AJ214">
        <f>AI213+AK214-AI214</f>
        <v/>
      </c>
      <c r="AK214">
        <f>H214+L214+P214+T214+X214</f>
        <v/>
      </c>
      <c r="AL214">
        <f>TEXT(EDATE($B$5,D214-1),"mmm yyyy")</f>
        <v/>
      </c>
      <c r="AM214">
        <f>AI214</f>
        <v/>
      </c>
    </row>
    <row r="215">
      <c r="D215" t="n">
        <v>154</v>
      </c>
      <c r="E215">
        <f>IF(G214&gt;0,MAX(0,G214*(1+$G$51)-$H$51),0)</f>
        <v/>
      </c>
      <c r="F215">
        <f>$B$6+IF($D215=$B$8,$B$7,0)</f>
        <v/>
      </c>
      <c r="G215">
        <f>IF(E215-F215&gt;1E-9,E215-F215,0)</f>
        <v/>
      </c>
      <c r="H215">
        <f>G214*$G$51</f>
        <v/>
      </c>
      <c r="I215">
        <f>IF(K214&gt;0,MAX(0,K214*(1+$G$52)-$H$52),0)</f>
        <v/>
      </c>
      <c r="J215">
        <f>MAX(0,F215-E215)</f>
        <v/>
      </c>
      <c r="K215">
        <f>IF(I215-J215&gt;1E-9,I215-J215,0)</f>
        <v/>
      </c>
      <c r="L215">
        <f>K214*$G$52</f>
        <v/>
      </c>
      <c r="M215">
        <f>IF(O214&gt;0,MAX(0,O214*(1+$G$53)-$H$53),0)</f>
        <v/>
      </c>
      <c r="N215">
        <f>MAX(0,J215-I215)</f>
        <v/>
      </c>
      <c r="O215">
        <f>IF(M215-N215&gt;1E-9,M215-N215,0)</f>
        <v/>
      </c>
      <c r="P215">
        <f>O214*$G$53</f>
        <v/>
      </c>
      <c r="Q215">
        <f>IF(S214&gt;0,MAX(0,S214*(1+$G$54)-$H$54),0)</f>
        <v/>
      </c>
      <c r="R215">
        <f>MAX(0,N215-M215)</f>
        <v/>
      </c>
      <c r="S215">
        <f>IF(Q215-R215&gt;1E-9,Q215-R215,0)</f>
        <v/>
      </c>
      <c r="T215">
        <f>S214*$G$54</f>
        <v/>
      </c>
      <c r="U215">
        <f>IF(W214&gt;0,MAX(0,W214*(1+$G$55)-$H$55),0)</f>
        <v/>
      </c>
      <c r="V215">
        <f>MAX(0,R215-Q215)</f>
        <v/>
      </c>
      <c r="W215">
        <f>IF(U215-V215&gt;1E-9,U215-V215,0)</f>
        <v/>
      </c>
      <c r="X215">
        <f>W214*$G$55</f>
        <v/>
      </c>
      <c r="Y215">
        <f>IF(Y214&gt;1E-9,IF(Y214*(1+$G$51)-MAX($B$9,0.01*Y214+Y214*$G$51)&gt;1E-9,Y214*(1+$G$51)-MAX($B$9,0.01*Y214+Y214*$G$51),0),0)</f>
        <v/>
      </c>
      <c r="Z215">
        <f>Y214*$G$51</f>
        <v/>
      </c>
      <c r="AA215">
        <f>IF(AA214&gt;1E-9,IF(AA214*(1+$G$52)-MAX($B$9,0.01*AA214+AA214*$G$52)&gt;1E-9,AA214*(1+$G$52)-MAX($B$9,0.01*AA214+AA214*$G$52),0),0)</f>
        <v/>
      </c>
      <c r="AB215">
        <f>AA214*$G$52</f>
        <v/>
      </c>
      <c r="AC215">
        <f>IF(AC214&gt;1E-9,IF(AC214*(1+$G$53)-MAX($B$9,0.01*AC214+AC214*$G$53)&gt;1E-9,AC214*(1+$G$53)-MAX($B$9,0.01*AC214+AC214*$G$53),0),0)</f>
        <v/>
      </c>
      <c r="AD215">
        <f>AC214*$G$53</f>
        <v/>
      </c>
      <c r="AE215">
        <f>IF(AE214&gt;1E-9,IF(AE214*(1+$G$54)-MAX($B$9,0.01*AE214+AE214*$G$54)&gt;1E-9,AE214*(1+$G$54)-MAX($B$9,0.01*AE214+AE214*$G$54),0),0)</f>
        <v/>
      </c>
      <c r="AF215">
        <f>AE214*$G$54</f>
        <v/>
      </c>
      <c r="AG215">
        <f>IF(AG214&gt;1E-9,IF(AG214*(1+$G$55)-MAX($B$9,0.01*AG214+AG214*$G$55)&gt;1E-9,AG214*(1+$G$55)-MAX($B$9,0.01*AG214+AG214*$G$55),0),0)</f>
        <v/>
      </c>
      <c r="AH215">
        <f>AG214*$G$55</f>
        <v/>
      </c>
      <c r="AI215">
        <f>G215+K215+O215+S215+W215</f>
        <v/>
      </c>
      <c r="AJ215">
        <f>AI214+AK215-AI215</f>
        <v/>
      </c>
      <c r="AK215">
        <f>H215+L215+P215+T215+X215</f>
        <v/>
      </c>
      <c r="AL215">
        <f>TEXT(EDATE($B$5,D215-1),"mmm yyyy")</f>
        <v/>
      </c>
      <c r="AM215">
        <f>AI215</f>
        <v/>
      </c>
    </row>
    <row r="216">
      <c r="D216" t="n">
        <v>155</v>
      </c>
      <c r="E216">
        <f>IF(G215&gt;0,MAX(0,G215*(1+$G$51)-$H$51),0)</f>
        <v/>
      </c>
      <c r="F216">
        <f>$B$6+IF($D216=$B$8,$B$7,0)</f>
        <v/>
      </c>
      <c r="G216">
        <f>IF(E216-F216&gt;1E-9,E216-F216,0)</f>
        <v/>
      </c>
      <c r="H216">
        <f>G215*$G$51</f>
        <v/>
      </c>
      <c r="I216">
        <f>IF(K215&gt;0,MAX(0,K215*(1+$G$52)-$H$52),0)</f>
        <v/>
      </c>
      <c r="J216">
        <f>MAX(0,F216-E216)</f>
        <v/>
      </c>
      <c r="K216">
        <f>IF(I216-J216&gt;1E-9,I216-J216,0)</f>
        <v/>
      </c>
      <c r="L216">
        <f>K215*$G$52</f>
        <v/>
      </c>
      <c r="M216">
        <f>IF(O215&gt;0,MAX(0,O215*(1+$G$53)-$H$53),0)</f>
        <v/>
      </c>
      <c r="N216">
        <f>MAX(0,J216-I216)</f>
        <v/>
      </c>
      <c r="O216">
        <f>IF(M216-N216&gt;1E-9,M216-N216,0)</f>
        <v/>
      </c>
      <c r="P216">
        <f>O215*$G$53</f>
        <v/>
      </c>
      <c r="Q216">
        <f>IF(S215&gt;0,MAX(0,S215*(1+$G$54)-$H$54),0)</f>
        <v/>
      </c>
      <c r="R216">
        <f>MAX(0,N216-M216)</f>
        <v/>
      </c>
      <c r="S216">
        <f>IF(Q216-R216&gt;1E-9,Q216-R216,0)</f>
        <v/>
      </c>
      <c r="T216">
        <f>S215*$G$54</f>
        <v/>
      </c>
      <c r="U216">
        <f>IF(W215&gt;0,MAX(0,W215*(1+$G$55)-$H$55),0)</f>
        <v/>
      </c>
      <c r="V216">
        <f>MAX(0,R216-Q216)</f>
        <v/>
      </c>
      <c r="W216">
        <f>IF(U216-V216&gt;1E-9,U216-V216,0)</f>
        <v/>
      </c>
      <c r="X216">
        <f>W215*$G$55</f>
        <v/>
      </c>
      <c r="Y216">
        <f>IF(Y215&gt;1E-9,IF(Y215*(1+$G$51)-MAX($B$9,0.01*Y215+Y215*$G$51)&gt;1E-9,Y215*(1+$G$51)-MAX($B$9,0.01*Y215+Y215*$G$51),0),0)</f>
        <v/>
      </c>
      <c r="Z216">
        <f>Y215*$G$51</f>
        <v/>
      </c>
      <c r="AA216">
        <f>IF(AA215&gt;1E-9,IF(AA215*(1+$G$52)-MAX($B$9,0.01*AA215+AA215*$G$52)&gt;1E-9,AA215*(1+$G$52)-MAX($B$9,0.01*AA215+AA215*$G$52),0),0)</f>
        <v/>
      </c>
      <c r="AB216">
        <f>AA215*$G$52</f>
        <v/>
      </c>
      <c r="AC216">
        <f>IF(AC215&gt;1E-9,IF(AC215*(1+$G$53)-MAX($B$9,0.01*AC215+AC215*$G$53)&gt;1E-9,AC215*(1+$G$53)-MAX($B$9,0.01*AC215+AC215*$G$53),0),0)</f>
        <v/>
      </c>
      <c r="AD216">
        <f>AC215*$G$53</f>
        <v/>
      </c>
      <c r="AE216">
        <f>IF(AE215&gt;1E-9,IF(AE215*(1+$G$54)-MAX($B$9,0.01*AE215+AE215*$G$54)&gt;1E-9,AE215*(1+$G$54)-MAX($B$9,0.01*AE215+AE215*$G$54),0),0)</f>
        <v/>
      </c>
      <c r="AF216">
        <f>AE215*$G$54</f>
        <v/>
      </c>
      <c r="AG216">
        <f>IF(AG215&gt;1E-9,IF(AG215*(1+$G$55)-MAX($B$9,0.01*AG215+AG215*$G$55)&gt;1E-9,AG215*(1+$G$55)-MAX($B$9,0.01*AG215+AG215*$G$55),0),0)</f>
        <v/>
      </c>
      <c r="AH216">
        <f>AG215*$G$55</f>
        <v/>
      </c>
      <c r="AI216">
        <f>G216+K216+O216+S216+W216</f>
        <v/>
      </c>
      <c r="AJ216">
        <f>AI215+AK216-AI216</f>
        <v/>
      </c>
      <c r="AK216">
        <f>H216+L216+P216+T216+X216</f>
        <v/>
      </c>
      <c r="AL216">
        <f>TEXT(EDATE($B$5,D216-1),"mmm yyyy")</f>
        <v/>
      </c>
      <c r="AM216">
        <f>AI216</f>
        <v/>
      </c>
    </row>
    <row r="217">
      <c r="D217" t="n">
        <v>156</v>
      </c>
      <c r="E217">
        <f>IF(G216&gt;0,MAX(0,G216*(1+$G$51)-$H$51),0)</f>
        <v/>
      </c>
      <c r="F217">
        <f>$B$6+IF($D217=$B$8,$B$7,0)</f>
        <v/>
      </c>
      <c r="G217">
        <f>IF(E217-F217&gt;1E-9,E217-F217,0)</f>
        <v/>
      </c>
      <c r="H217">
        <f>G216*$G$51</f>
        <v/>
      </c>
      <c r="I217">
        <f>IF(K216&gt;0,MAX(0,K216*(1+$G$52)-$H$52),0)</f>
        <v/>
      </c>
      <c r="J217">
        <f>MAX(0,F217-E217)</f>
        <v/>
      </c>
      <c r="K217">
        <f>IF(I217-J217&gt;1E-9,I217-J217,0)</f>
        <v/>
      </c>
      <c r="L217">
        <f>K216*$G$52</f>
        <v/>
      </c>
      <c r="M217">
        <f>IF(O216&gt;0,MAX(0,O216*(1+$G$53)-$H$53),0)</f>
        <v/>
      </c>
      <c r="N217">
        <f>MAX(0,J217-I217)</f>
        <v/>
      </c>
      <c r="O217">
        <f>IF(M217-N217&gt;1E-9,M217-N217,0)</f>
        <v/>
      </c>
      <c r="P217">
        <f>O216*$G$53</f>
        <v/>
      </c>
      <c r="Q217">
        <f>IF(S216&gt;0,MAX(0,S216*(1+$G$54)-$H$54),0)</f>
        <v/>
      </c>
      <c r="R217">
        <f>MAX(0,N217-M217)</f>
        <v/>
      </c>
      <c r="S217">
        <f>IF(Q217-R217&gt;1E-9,Q217-R217,0)</f>
        <v/>
      </c>
      <c r="T217">
        <f>S216*$G$54</f>
        <v/>
      </c>
      <c r="U217">
        <f>IF(W216&gt;0,MAX(0,W216*(1+$G$55)-$H$55),0)</f>
        <v/>
      </c>
      <c r="V217">
        <f>MAX(0,R217-Q217)</f>
        <v/>
      </c>
      <c r="W217">
        <f>IF(U217-V217&gt;1E-9,U217-V217,0)</f>
        <v/>
      </c>
      <c r="X217">
        <f>W216*$G$55</f>
        <v/>
      </c>
      <c r="Y217">
        <f>IF(Y216&gt;1E-9,IF(Y216*(1+$G$51)-MAX($B$9,0.01*Y216+Y216*$G$51)&gt;1E-9,Y216*(1+$G$51)-MAX($B$9,0.01*Y216+Y216*$G$51),0),0)</f>
        <v/>
      </c>
      <c r="Z217">
        <f>Y216*$G$51</f>
        <v/>
      </c>
      <c r="AA217">
        <f>IF(AA216&gt;1E-9,IF(AA216*(1+$G$52)-MAX($B$9,0.01*AA216+AA216*$G$52)&gt;1E-9,AA216*(1+$G$52)-MAX($B$9,0.01*AA216+AA216*$G$52),0),0)</f>
        <v/>
      </c>
      <c r="AB217">
        <f>AA216*$G$52</f>
        <v/>
      </c>
      <c r="AC217">
        <f>IF(AC216&gt;1E-9,IF(AC216*(1+$G$53)-MAX($B$9,0.01*AC216+AC216*$G$53)&gt;1E-9,AC216*(1+$G$53)-MAX($B$9,0.01*AC216+AC216*$G$53),0),0)</f>
        <v/>
      </c>
      <c r="AD217">
        <f>AC216*$G$53</f>
        <v/>
      </c>
      <c r="AE217">
        <f>IF(AE216&gt;1E-9,IF(AE216*(1+$G$54)-MAX($B$9,0.01*AE216+AE216*$G$54)&gt;1E-9,AE216*(1+$G$54)-MAX($B$9,0.01*AE216+AE216*$G$54),0),0)</f>
        <v/>
      </c>
      <c r="AF217">
        <f>AE216*$G$54</f>
        <v/>
      </c>
      <c r="AG217">
        <f>IF(AG216&gt;1E-9,IF(AG216*(1+$G$55)-MAX($B$9,0.01*AG216+AG216*$G$55)&gt;1E-9,AG216*(1+$G$55)-MAX($B$9,0.01*AG216+AG216*$G$55),0),0)</f>
        <v/>
      </c>
      <c r="AH217">
        <f>AG216*$G$55</f>
        <v/>
      </c>
      <c r="AI217">
        <f>G217+K217+O217+S217+W217</f>
        <v/>
      </c>
      <c r="AJ217">
        <f>AI216+AK217-AI217</f>
        <v/>
      </c>
      <c r="AK217">
        <f>H217+L217+P217+T217+X217</f>
        <v/>
      </c>
      <c r="AL217">
        <f>TEXT(EDATE($B$5,D217-1),"mmm yyyy")</f>
        <v/>
      </c>
      <c r="AM217">
        <f>AI217</f>
        <v/>
      </c>
    </row>
    <row r="218">
      <c r="D218" t="n">
        <v>157</v>
      </c>
      <c r="E218">
        <f>IF(G217&gt;0,MAX(0,G217*(1+$G$51)-$H$51),0)</f>
        <v/>
      </c>
      <c r="F218">
        <f>$B$6+IF($D218=$B$8,$B$7,0)</f>
        <v/>
      </c>
      <c r="G218">
        <f>IF(E218-F218&gt;1E-9,E218-F218,0)</f>
        <v/>
      </c>
      <c r="H218">
        <f>G217*$G$51</f>
        <v/>
      </c>
      <c r="I218">
        <f>IF(K217&gt;0,MAX(0,K217*(1+$G$52)-$H$52),0)</f>
        <v/>
      </c>
      <c r="J218">
        <f>MAX(0,F218-E218)</f>
        <v/>
      </c>
      <c r="K218">
        <f>IF(I218-J218&gt;1E-9,I218-J218,0)</f>
        <v/>
      </c>
      <c r="L218">
        <f>K217*$G$52</f>
        <v/>
      </c>
      <c r="M218">
        <f>IF(O217&gt;0,MAX(0,O217*(1+$G$53)-$H$53),0)</f>
        <v/>
      </c>
      <c r="N218">
        <f>MAX(0,J218-I218)</f>
        <v/>
      </c>
      <c r="O218">
        <f>IF(M218-N218&gt;1E-9,M218-N218,0)</f>
        <v/>
      </c>
      <c r="P218">
        <f>O217*$G$53</f>
        <v/>
      </c>
      <c r="Q218">
        <f>IF(S217&gt;0,MAX(0,S217*(1+$G$54)-$H$54),0)</f>
        <v/>
      </c>
      <c r="R218">
        <f>MAX(0,N218-M218)</f>
        <v/>
      </c>
      <c r="S218">
        <f>IF(Q218-R218&gt;1E-9,Q218-R218,0)</f>
        <v/>
      </c>
      <c r="T218">
        <f>S217*$G$54</f>
        <v/>
      </c>
      <c r="U218">
        <f>IF(W217&gt;0,MAX(0,W217*(1+$G$55)-$H$55),0)</f>
        <v/>
      </c>
      <c r="V218">
        <f>MAX(0,R218-Q218)</f>
        <v/>
      </c>
      <c r="W218">
        <f>IF(U218-V218&gt;1E-9,U218-V218,0)</f>
        <v/>
      </c>
      <c r="X218">
        <f>W217*$G$55</f>
        <v/>
      </c>
      <c r="Y218">
        <f>IF(Y217&gt;1E-9,IF(Y217*(1+$G$51)-MAX($B$9,0.01*Y217+Y217*$G$51)&gt;1E-9,Y217*(1+$G$51)-MAX($B$9,0.01*Y217+Y217*$G$51),0),0)</f>
        <v/>
      </c>
      <c r="Z218">
        <f>Y217*$G$51</f>
        <v/>
      </c>
      <c r="AA218">
        <f>IF(AA217&gt;1E-9,IF(AA217*(1+$G$52)-MAX($B$9,0.01*AA217+AA217*$G$52)&gt;1E-9,AA217*(1+$G$52)-MAX($B$9,0.01*AA217+AA217*$G$52),0),0)</f>
        <v/>
      </c>
      <c r="AB218">
        <f>AA217*$G$52</f>
        <v/>
      </c>
      <c r="AC218">
        <f>IF(AC217&gt;1E-9,IF(AC217*(1+$G$53)-MAX($B$9,0.01*AC217+AC217*$G$53)&gt;1E-9,AC217*(1+$G$53)-MAX($B$9,0.01*AC217+AC217*$G$53),0),0)</f>
        <v/>
      </c>
      <c r="AD218">
        <f>AC217*$G$53</f>
        <v/>
      </c>
      <c r="AE218">
        <f>IF(AE217&gt;1E-9,IF(AE217*(1+$G$54)-MAX($B$9,0.01*AE217+AE217*$G$54)&gt;1E-9,AE217*(1+$G$54)-MAX($B$9,0.01*AE217+AE217*$G$54),0),0)</f>
        <v/>
      </c>
      <c r="AF218">
        <f>AE217*$G$54</f>
        <v/>
      </c>
      <c r="AG218">
        <f>IF(AG217&gt;1E-9,IF(AG217*(1+$G$55)-MAX($B$9,0.01*AG217+AG217*$G$55)&gt;1E-9,AG217*(1+$G$55)-MAX($B$9,0.01*AG217+AG217*$G$55),0),0)</f>
        <v/>
      </c>
      <c r="AH218">
        <f>AG217*$G$55</f>
        <v/>
      </c>
      <c r="AI218">
        <f>G218+K218+O218+S218+W218</f>
        <v/>
      </c>
      <c r="AJ218">
        <f>AI217+AK218-AI218</f>
        <v/>
      </c>
      <c r="AK218">
        <f>H218+L218+P218+T218+X218</f>
        <v/>
      </c>
      <c r="AL218">
        <f>TEXT(EDATE($B$5,D218-1),"mmm yyyy")</f>
        <v/>
      </c>
      <c r="AM218">
        <f>AI218</f>
        <v/>
      </c>
    </row>
    <row r="219">
      <c r="D219" t="n">
        <v>158</v>
      </c>
      <c r="E219">
        <f>IF(G218&gt;0,MAX(0,G218*(1+$G$51)-$H$51),0)</f>
        <v/>
      </c>
      <c r="F219">
        <f>$B$6+IF($D219=$B$8,$B$7,0)</f>
        <v/>
      </c>
      <c r="G219">
        <f>IF(E219-F219&gt;1E-9,E219-F219,0)</f>
        <v/>
      </c>
      <c r="H219">
        <f>G218*$G$51</f>
        <v/>
      </c>
      <c r="I219">
        <f>IF(K218&gt;0,MAX(0,K218*(1+$G$52)-$H$52),0)</f>
        <v/>
      </c>
      <c r="J219">
        <f>MAX(0,F219-E219)</f>
        <v/>
      </c>
      <c r="K219">
        <f>IF(I219-J219&gt;1E-9,I219-J219,0)</f>
        <v/>
      </c>
      <c r="L219">
        <f>K218*$G$52</f>
        <v/>
      </c>
      <c r="M219">
        <f>IF(O218&gt;0,MAX(0,O218*(1+$G$53)-$H$53),0)</f>
        <v/>
      </c>
      <c r="N219">
        <f>MAX(0,J219-I219)</f>
        <v/>
      </c>
      <c r="O219">
        <f>IF(M219-N219&gt;1E-9,M219-N219,0)</f>
        <v/>
      </c>
      <c r="P219">
        <f>O218*$G$53</f>
        <v/>
      </c>
      <c r="Q219">
        <f>IF(S218&gt;0,MAX(0,S218*(1+$G$54)-$H$54),0)</f>
        <v/>
      </c>
      <c r="R219">
        <f>MAX(0,N219-M219)</f>
        <v/>
      </c>
      <c r="S219">
        <f>IF(Q219-R219&gt;1E-9,Q219-R219,0)</f>
        <v/>
      </c>
      <c r="T219">
        <f>S218*$G$54</f>
        <v/>
      </c>
      <c r="U219">
        <f>IF(W218&gt;0,MAX(0,W218*(1+$G$55)-$H$55),0)</f>
        <v/>
      </c>
      <c r="V219">
        <f>MAX(0,R219-Q219)</f>
        <v/>
      </c>
      <c r="W219">
        <f>IF(U219-V219&gt;1E-9,U219-V219,0)</f>
        <v/>
      </c>
      <c r="X219">
        <f>W218*$G$55</f>
        <v/>
      </c>
      <c r="Y219">
        <f>IF(Y218&gt;1E-9,IF(Y218*(1+$G$51)-MAX($B$9,0.01*Y218+Y218*$G$51)&gt;1E-9,Y218*(1+$G$51)-MAX($B$9,0.01*Y218+Y218*$G$51),0),0)</f>
        <v/>
      </c>
      <c r="Z219">
        <f>Y218*$G$51</f>
        <v/>
      </c>
      <c r="AA219">
        <f>IF(AA218&gt;1E-9,IF(AA218*(1+$G$52)-MAX($B$9,0.01*AA218+AA218*$G$52)&gt;1E-9,AA218*(1+$G$52)-MAX($B$9,0.01*AA218+AA218*$G$52),0),0)</f>
        <v/>
      </c>
      <c r="AB219">
        <f>AA218*$G$52</f>
        <v/>
      </c>
      <c r="AC219">
        <f>IF(AC218&gt;1E-9,IF(AC218*(1+$G$53)-MAX($B$9,0.01*AC218+AC218*$G$53)&gt;1E-9,AC218*(1+$G$53)-MAX($B$9,0.01*AC218+AC218*$G$53),0),0)</f>
        <v/>
      </c>
      <c r="AD219">
        <f>AC218*$G$53</f>
        <v/>
      </c>
      <c r="AE219">
        <f>IF(AE218&gt;1E-9,IF(AE218*(1+$G$54)-MAX($B$9,0.01*AE218+AE218*$G$54)&gt;1E-9,AE218*(1+$G$54)-MAX($B$9,0.01*AE218+AE218*$G$54),0),0)</f>
        <v/>
      </c>
      <c r="AF219">
        <f>AE218*$G$54</f>
        <v/>
      </c>
      <c r="AG219">
        <f>IF(AG218&gt;1E-9,IF(AG218*(1+$G$55)-MAX($B$9,0.01*AG218+AG218*$G$55)&gt;1E-9,AG218*(1+$G$55)-MAX($B$9,0.01*AG218+AG218*$G$55),0),0)</f>
        <v/>
      </c>
      <c r="AH219">
        <f>AG218*$G$55</f>
        <v/>
      </c>
      <c r="AI219">
        <f>G219+K219+O219+S219+W219</f>
        <v/>
      </c>
      <c r="AJ219">
        <f>AI218+AK219-AI219</f>
        <v/>
      </c>
      <c r="AK219">
        <f>H219+L219+P219+T219+X219</f>
        <v/>
      </c>
      <c r="AL219">
        <f>TEXT(EDATE($B$5,D219-1),"mmm yyyy")</f>
        <v/>
      </c>
      <c r="AM219">
        <f>AI219</f>
        <v/>
      </c>
    </row>
    <row r="220">
      <c r="D220" t="n">
        <v>159</v>
      </c>
      <c r="E220">
        <f>IF(G219&gt;0,MAX(0,G219*(1+$G$51)-$H$51),0)</f>
        <v/>
      </c>
      <c r="F220">
        <f>$B$6+IF($D220=$B$8,$B$7,0)</f>
        <v/>
      </c>
      <c r="G220">
        <f>IF(E220-F220&gt;1E-9,E220-F220,0)</f>
        <v/>
      </c>
      <c r="H220">
        <f>G219*$G$51</f>
        <v/>
      </c>
      <c r="I220">
        <f>IF(K219&gt;0,MAX(0,K219*(1+$G$52)-$H$52),0)</f>
        <v/>
      </c>
      <c r="J220">
        <f>MAX(0,F220-E220)</f>
        <v/>
      </c>
      <c r="K220">
        <f>IF(I220-J220&gt;1E-9,I220-J220,0)</f>
        <v/>
      </c>
      <c r="L220">
        <f>K219*$G$52</f>
        <v/>
      </c>
      <c r="M220">
        <f>IF(O219&gt;0,MAX(0,O219*(1+$G$53)-$H$53),0)</f>
        <v/>
      </c>
      <c r="N220">
        <f>MAX(0,J220-I220)</f>
        <v/>
      </c>
      <c r="O220">
        <f>IF(M220-N220&gt;1E-9,M220-N220,0)</f>
        <v/>
      </c>
      <c r="P220">
        <f>O219*$G$53</f>
        <v/>
      </c>
      <c r="Q220">
        <f>IF(S219&gt;0,MAX(0,S219*(1+$G$54)-$H$54),0)</f>
        <v/>
      </c>
      <c r="R220">
        <f>MAX(0,N220-M220)</f>
        <v/>
      </c>
      <c r="S220">
        <f>IF(Q220-R220&gt;1E-9,Q220-R220,0)</f>
        <v/>
      </c>
      <c r="T220">
        <f>S219*$G$54</f>
        <v/>
      </c>
      <c r="U220">
        <f>IF(W219&gt;0,MAX(0,W219*(1+$G$55)-$H$55),0)</f>
        <v/>
      </c>
      <c r="V220">
        <f>MAX(0,R220-Q220)</f>
        <v/>
      </c>
      <c r="W220">
        <f>IF(U220-V220&gt;1E-9,U220-V220,0)</f>
        <v/>
      </c>
      <c r="X220">
        <f>W219*$G$55</f>
        <v/>
      </c>
      <c r="Y220">
        <f>IF(Y219&gt;1E-9,IF(Y219*(1+$G$51)-MAX($B$9,0.01*Y219+Y219*$G$51)&gt;1E-9,Y219*(1+$G$51)-MAX($B$9,0.01*Y219+Y219*$G$51),0),0)</f>
        <v/>
      </c>
      <c r="Z220">
        <f>Y219*$G$51</f>
        <v/>
      </c>
      <c r="AA220">
        <f>IF(AA219&gt;1E-9,IF(AA219*(1+$G$52)-MAX($B$9,0.01*AA219+AA219*$G$52)&gt;1E-9,AA219*(1+$G$52)-MAX($B$9,0.01*AA219+AA219*$G$52),0),0)</f>
        <v/>
      </c>
      <c r="AB220">
        <f>AA219*$G$52</f>
        <v/>
      </c>
      <c r="AC220">
        <f>IF(AC219&gt;1E-9,IF(AC219*(1+$G$53)-MAX($B$9,0.01*AC219+AC219*$G$53)&gt;1E-9,AC219*(1+$G$53)-MAX($B$9,0.01*AC219+AC219*$G$53),0),0)</f>
        <v/>
      </c>
      <c r="AD220">
        <f>AC219*$G$53</f>
        <v/>
      </c>
      <c r="AE220">
        <f>IF(AE219&gt;1E-9,IF(AE219*(1+$G$54)-MAX($B$9,0.01*AE219+AE219*$G$54)&gt;1E-9,AE219*(1+$G$54)-MAX($B$9,0.01*AE219+AE219*$G$54),0),0)</f>
        <v/>
      </c>
      <c r="AF220">
        <f>AE219*$G$54</f>
        <v/>
      </c>
      <c r="AG220">
        <f>IF(AG219&gt;1E-9,IF(AG219*(1+$G$55)-MAX($B$9,0.01*AG219+AG219*$G$55)&gt;1E-9,AG219*(1+$G$55)-MAX($B$9,0.01*AG219+AG219*$G$55),0),0)</f>
        <v/>
      </c>
      <c r="AH220">
        <f>AG219*$G$55</f>
        <v/>
      </c>
      <c r="AI220">
        <f>G220+K220+O220+S220+W220</f>
        <v/>
      </c>
      <c r="AJ220">
        <f>AI219+AK220-AI220</f>
        <v/>
      </c>
      <c r="AK220">
        <f>H220+L220+P220+T220+X220</f>
        <v/>
      </c>
      <c r="AL220">
        <f>TEXT(EDATE($B$5,D220-1),"mmm yyyy")</f>
        <v/>
      </c>
      <c r="AM220">
        <f>AI220</f>
        <v/>
      </c>
    </row>
    <row r="221">
      <c r="D221" t="n">
        <v>160</v>
      </c>
      <c r="E221">
        <f>IF(G220&gt;0,MAX(0,G220*(1+$G$51)-$H$51),0)</f>
        <v/>
      </c>
      <c r="F221">
        <f>$B$6+IF($D221=$B$8,$B$7,0)</f>
        <v/>
      </c>
      <c r="G221">
        <f>IF(E221-F221&gt;1E-9,E221-F221,0)</f>
        <v/>
      </c>
      <c r="H221">
        <f>G220*$G$51</f>
        <v/>
      </c>
      <c r="I221">
        <f>IF(K220&gt;0,MAX(0,K220*(1+$G$52)-$H$52),0)</f>
        <v/>
      </c>
      <c r="J221">
        <f>MAX(0,F221-E221)</f>
        <v/>
      </c>
      <c r="K221">
        <f>IF(I221-J221&gt;1E-9,I221-J221,0)</f>
        <v/>
      </c>
      <c r="L221">
        <f>K220*$G$52</f>
        <v/>
      </c>
      <c r="M221">
        <f>IF(O220&gt;0,MAX(0,O220*(1+$G$53)-$H$53),0)</f>
        <v/>
      </c>
      <c r="N221">
        <f>MAX(0,J221-I221)</f>
        <v/>
      </c>
      <c r="O221">
        <f>IF(M221-N221&gt;1E-9,M221-N221,0)</f>
        <v/>
      </c>
      <c r="P221">
        <f>O220*$G$53</f>
        <v/>
      </c>
      <c r="Q221">
        <f>IF(S220&gt;0,MAX(0,S220*(1+$G$54)-$H$54),0)</f>
        <v/>
      </c>
      <c r="R221">
        <f>MAX(0,N221-M221)</f>
        <v/>
      </c>
      <c r="S221">
        <f>IF(Q221-R221&gt;1E-9,Q221-R221,0)</f>
        <v/>
      </c>
      <c r="T221">
        <f>S220*$G$54</f>
        <v/>
      </c>
      <c r="U221">
        <f>IF(W220&gt;0,MAX(0,W220*(1+$G$55)-$H$55),0)</f>
        <v/>
      </c>
      <c r="V221">
        <f>MAX(0,R221-Q221)</f>
        <v/>
      </c>
      <c r="W221">
        <f>IF(U221-V221&gt;1E-9,U221-V221,0)</f>
        <v/>
      </c>
      <c r="X221">
        <f>W220*$G$55</f>
        <v/>
      </c>
      <c r="Y221">
        <f>IF(Y220&gt;1E-9,IF(Y220*(1+$G$51)-MAX($B$9,0.01*Y220+Y220*$G$51)&gt;1E-9,Y220*(1+$G$51)-MAX($B$9,0.01*Y220+Y220*$G$51),0),0)</f>
        <v/>
      </c>
      <c r="Z221">
        <f>Y220*$G$51</f>
        <v/>
      </c>
      <c r="AA221">
        <f>IF(AA220&gt;1E-9,IF(AA220*(1+$G$52)-MAX($B$9,0.01*AA220+AA220*$G$52)&gt;1E-9,AA220*(1+$G$52)-MAX($B$9,0.01*AA220+AA220*$G$52),0),0)</f>
        <v/>
      </c>
      <c r="AB221">
        <f>AA220*$G$52</f>
        <v/>
      </c>
      <c r="AC221">
        <f>IF(AC220&gt;1E-9,IF(AC220*(1+$G$53)-MAX($B$9,0.01*AC220+AC220*$G$53)&gt;1E-9,AC220*(1+$G$53)-MAX($B$9,0.01*AC220+AC220*$G$53),0),0)</f>
        <v/>
      </c>
      <c r="AD221">
        <f>AC220*$G$53</f>
        <v/>
      </c>
      <c r="AE221">
        <f>IF(AE220&gt;1E-9,IF(AE220*(1+$G$54)-MAX($B$9,0.01*AE220+AE220*$G$54)&gt;1E-9,AE220*(1+$G$54)-MAX($B$9,0.01*AE220+AE220*$G$54),0),0)</f>
        <v/>
      </c>
      <c r="AF221">
        <f>AE220*$G$54</f>
        <v/>
      </c>
      <c r="AG221">
        <f>IF(AG220&gt;1E-9,IF(AG220*(1+$G$55)-MAX($B$9,0.01*AG220+AG220*$G$55)&gt;1E-9,AG220*(1+$G$55)-MAX($B$9,0.01*AG220+AG220*$G$55),0),0)</f>
        <v/>
      </c>
      <c r="AH221">
        <f>AG220*$G$55</f>
        <v/>
      </c>
      <c r="AI221">
        <f>G221+K221+O221+S221+W221</f>
        <v/>
      </c>
      <c r="AJ221">
        <f>AI220+AK221-AI221</f>
        <v/>
      </c>
      <c r="AK221">
        <f>H221+L221+P221+T221+X221</f>
        <v/>
      </c>
      <c r="AL221">
        <f>TEXT(EDATE($B$5,D221-1),"mmm yyyy")</f>
        <v/>
      </c>
      <c r="AM221">
        <f>AI221</f>
        <v/>
      </c>
    </row>
    <row r="222">
      <c r="D222" t="n">
        <v>161</v>
      </c>
      <c r="E222">
        <f>IF(G221&gt;0,MAX(0,G221*(1+$G$51)-$H$51),0)</f>
        <v/>
      </c>
      <c r="F222">
        <f>$B$6+IF($D222=$B$8,$B$7,0)</f>
        <v/>
      </c>
      <c r="G222">
        <f>IF(E222-F222&gt;1E-9,E222-F222,0)</f>
        <v/>
      </c>
      <c r="H222">
        <f>G221*$G$51</f>
        <v/>
      </c>
      <c r="I222">
        <f>IF(K221&gt;0,MAX(0,K221*(1+$G$52)-$H$52),0)</f>
        <v/>
      </c>
      <c r="J222">
        <f>MAX(0,F222-E222)</f>
        <v/>
      </c>
      <c r="K222">
        <f>IF(I222-J222&gt;1E-9,I222-J222,0)</f>
        <v/>
      </c>
      <c r="L222">
        <f>K221*$G$52</f>
        <v/>
      </c>
      <c r="M222">
        <f>IF(O221&gt;0,MAX(0,O221*(1+$G$53)-$H$53),0)</f>
        <v/>
      </c>
      <c r="N222">
        <f>MAX(0,J222-I222)</f>
        <v/>
      </c>
      <c r="O222">
        <f>IF(M222-N222&gt;1E-9,M222-N222,0)</f>
        <v/>
      </c>
      <c r="P222">
        <f>O221*$G$53</f>
        <v/>
      </c>
      <c r="Q222">
        <f>IF(S221&gt;0,MAX(0,S221*(1+$G$54)-$H$54),0)</f>
        <v/>
      </c>
      <c r="R222">
        <f>MAX(0,N222-M222)</f>
        <v/>
      </c>
      <c r="S222">
        <f>IF(Q222-R222&gt;1E-9,Q222-R222,0)</f>
        <v/>
      </c>
      <c r="T222">
        <f>S221*$G$54</f>
        <v/>
      </c>
      <c r="U222">
        <f>IF(W221&gt;0,MAX(0,W221*(1+$G$55)-$H$55),0)</f>
        <v/>
      </c>
      <c r="V222">
        <f>MAX(0,R222-Q222)</f>
        <v/>
      </c>
      <c r="W222">
        <f>IF(U222-V222&gt;1E-9,U222-V222,0)</f>
        <v/>
      </c>
      <c r="X222">
        <f>W221*$G$55</f>
        <v/>
      </c>
      <c r="Y222">
        <f>IF(Y221&gt;1E-9,IF(Y221*(1+$G$51)-MAX($B$9,0.01*Y221+Y221*$G$51)&gt;1E-9,Y221*(1+$G$51)-MAX($B$9,0.01*Y221+Y221*$G$51),0),0)</f>
        <v/>
      </c>
      <c r="Z222">
        <f>Y221*$G$51</f>
        <v/>
      </c>
      <c r="AA222">
        <f>IF(AA221&gt;1E-9,IF(AA221*(1+$G$52)-MAX($B$9,0.01*AA221+AA221*$G$52)&gt;1E-9,AA221*(1+$G$52)-MAX($B$9,0.01*AA221+AA221*$G$52),0),0)</f>
        <v/>
      </c>
      <c r="AB222">
        <f>AA221*$G$52</f>
        <v/>
      </c>
      <c r="AC222">
        <f>IF(AC221&gt;1E-9,IF(AC221*(1+$G$53)-MAX($B$9,0.01*AC221+AC221*$G$53)&gt;1E-9,AC221*(1+$G$53)-MAX($B$9,0.01*AC221+AC221*$G$53),0),0)</f>
        <v/>
      </c>
      <c r="AD222">
        <f>AC221*$G$53</f>
        <v/>
      </c>
      <c r="AE222">
        <f>IF(AE221&gt;1E-9,IF(AE221*(1+$G$54)-MAX($B$9,0.01*AE221+AE221*$G$54)&gt;1E-9,AE221*(1+$G$54)-MAX($B$9,0.01*AE221+AE221*$G$54),0),0)</f>
        <v/>
      </c>
      <c r="AF222">
        <f>AE221*$G$54</f>
        <v/>
      </c>
      <c r="AG222">
        <f>IF(AG221&gt;1E-9,IF(AG221*(1+$G$55)-MAX($B$9,0.01*AG221+AG221*$G$55)&gt;1E-9,AG221*(1+$G$55)-MAX($B$9,0.01*AG221+AG221*$G$55),0),0)</f>
        <v/>
      </c>
      <c r="AH222">
        <f>AG221*$G$55</f>
        <v/>
      </c>
      <c r="AI222">
        <f>G222+K222+O222+S222+W222</f>
        <v/>
      </c>
      <c r="AJ222">
        <f>AI221+AK222-AI222</f>
        <v/>
      </c>
      <c r="AK222">
        <f>H222+L222+P222+T222+X222</f>
        <v/>
      </c>
      <c r="AL222">
        <f>TEXT(EDATE($B$5,D222-1),"mmm yyyy")</f>
        <v/>
      </c>
      <c r="AM222">
        <f>AI222</f>
        <v/>
      </c>
    </row>
    <row r="223">
      <c r="D223" t="n">
        <v>162</v>
      </c>
      <c r="E223">
        <f>IF(G222&gt;0,MAX(0,G222*(1+$G$51)-$H$51),0)</f>
        <v/>
      </c>
      <c r="F223">
        <f>$B$6+IF($D223=$B$8,$B$7,0)</f>
        <v/>
      </c>
      <c r="G223">
        <f>IF(E223-F223&gt;1E-9,E223-F223,0)</f>
        <v/>
      </c>
      <c r="H223">
        <f>G222*$G$51</f>
        <v/>
      </c>
      <c r="I223">
        <f>IF(K222&gt;0,MAX(0,K222*(1+$G$52)-$H$52),0)</f>
        <v/>
      </c>
      <c r="J223">
        <f>MAX(0,F223-E223)</f>
        <v/>
      </c>
      <c r="K223">
        <f>IF(I223-J223&gt;1E-9,I223-J223,0)</f>
        <v/>
      </c>
      <c r="L223">
        <f>K222*$G$52</f>
        <v/>
      </c>
      <c r="M223">
        <f>IF(O222&gt;0,MAX(0,O222*(1+$G$53)-$H$53),0)</f>
        <v/>
      </c>
      <c r="N223">
        <f>MAX(0,J223-I223)</f>
        <v/>
      </c>
      <c r="O223">
        <f>IF(M223-N223&gt;1E-9,M223-N223,0)</f>
        <v/>
      </c>
      <c r="P223">
        <f>O222*$G$53</f>
        <v/>
      </c>
      <c r="Q223">
        <f>IF(S222&gt;0,MAX(0,S222*(1+$G$54)-$H$54),0)</f>
        <v/>
      </c>
      <c r="R223">
        <f>MAX(0,N223-M223)</f>
        <v/>
      </c>
      <c r="S223">
        <f>IF(Q223-R223&gt;1E-9,Q223-R223,0)</f>
        <v/>
      </c>
      <c r="T223">
        <f>S222*$G$54</f>
        <v/>
      </c>
      <c r="U223">
        <f>IF(W222&gt;0,MAX(0,W222*(1+$G$55)-$H$55),0)</f>
        <v/>
      </c>
      <c r="V223">
        <f>MAX(0,R223-Q223)</f>
        <v/>
      </c>
      <c r="W223">
        <f>IF(U223-V223&gt;1E-9,U223-V223,0)</f>
        <v/>
      </c>
      <c r="X223">
        <f>W222*$G$55</f>
        <v/>
      </c>
      <c r="Y223">
        <f>IF(Y222&gt;1E-9,IF(Y222*(1+$G$51)-MAX($B$9,0.01*Y222+Y222*$G$51)&gt;1E-9,Y222*(1+$G$51)-MAX($B$9,0.01*Y222+Y222*$G$51),0),0)</f>
        <v/>
      </c>
      <c r="Z223">
        <f>Y222*$G$51</f>
        <v/>
      </c>
      <c r="AA223">
        <f>IF(AA222&gt;1E-9,IF(AA222*(1+$G$52)-MAX($B$9,0.01*AA222+AA222*$G$52)&gt;1E-9,AA222*(1+$G$52)-MAX($B$9,0.01*AA222+AA222*$G$52),0),0)</f>
        <v/>
      </c>
      <c r="AB223">
        <f>AA222*$G$52</f>
        <v/>
      </c>
      <c r="AC223">
        <f>IF(AC222&gt;1E-9,IF(AC222*(1+$G$53)-MAX($B$9,0.01*AC222+AC222*$G$53)&gt;1E-9,AC222*(1+$G$53)-MAX($B$9,0.01*AC222+AC222*$G$53),0),0)</f>
        <v/>
      </c>
      <c r="AD223">
        <f>AC222*$G$53</f>
        <v/>
      </c>
      <c r="AE223">
        <f>IF(AE222&gt;1E-9,IF(AE222*(1+$G$54)-MAX($B$9,0.01*AE222+AE222*$G$54)&gt;1E-9,AE222*(1+$G$54)-MAX($B$9,0.01*AE222+AE222*$G$54),0),0)</f>
        <v/>
      </c>
      <c r="AF223">
        <f>AE222*$G$54</f>
        <v/>
      </c>
      <c r="AG223">
        <f>IF(AG222&gt;1E-9,IF(AG222*(1+$G$55)-MAX($B$9,0.01*AG222+AG222*$G$55)&gt;1E-9,AG222*(1+$G$55)-MAX($B$9,0.01*AG222+AG222*$G$55),0),0)</f>
        <v/>
      </c>
      <c r="AH223">
        <f>AG222*$G$55</f>
        <v/>
      </c>
      <c r="AI223">
        <f>G223+K223+O223+S223+W223</f>
        <v/>
      </c>
      <c r="AJ223">
        <f>AI222+AK223-AI223</f>
        <v/>
      </c>
      <c r="AK223">
        <f>H223+L223+P223+T223+X223</f>
        <v/>
      </c>
      <c r="AL223">
        <f>TEXT(EDATE($B$5,D223-1),"mmm yyyy")</f>
        <v/>
      </c>
      <c r="AM223">
        <f>AI223</f>
        <v/>
      </c>
    </row>
    <row r="224">
      <c r="D224" t="n">
        <v>163</v>
      </c>
      <c r="E224">
        <f>IF(G223&gt;0,MAX(0,G223*(1+$G$51)-$H$51),0)</f>
        <v/>
      </c>
      <c r="F224">
        <f>$B$6+IF($D224=$B$8,$B$7,0)</f>
        <v/>
      </c>
      <c r="G224">
        <f>IF(E224-F224&gt;1E-9,E224-F224,0)</f>
        <v/>
      </c>
      <c r="H224">
        <f>G223*$G$51</f>
        <v/>
      </c>
      <c r="I224">
        <f>IF(K223&gt;0,MAX(0,K223*(1+$G$52)-$H$52),0)</f>
        <v/>
      </c>
      <c r="J224">
        <f>MAX(0,F224-E224)</f>
        <v/>
      </c>
      <c r="K224">
        <f>IF(I224-J224&gt;1E-9,I224-J224,0)</f>
        <v/>
      </c>
      <c r="L224">
        <f>K223*$G$52</f>
        <v/>
      </c>
      <c r="M224">
        <f>IF(O223&gt;0,MAX(0,O223*(1+$G$53)-$H$53),0)</f>
        <v/>
      </c>
      <c r="N224">
        <f>MAX(0,J224-I224)</f>
        <v/>
      </c>
      <c r="O224">
        <f>IF(M224-N224&gt;1E-9,M224-N224,0)</f>
        <v/>
      </c>
      <c r="P224">
        <f>O223*$G$53</f>
        <v/>
      </c>
      <c r="Q224">
        <f>IF(S223&gt;0,MAX(0,S223*(1+$G$54)-$H$54),0)</f>
        <v/>
      </c>
      <c r="R224">
        <f>MAX(0,N224-M224)</f>
        <v/>
      </c>
      <c r="S224">
        <f>IF(Q224-R224&gt;1E-9,Q224-R224,0)</f>
        <v/>
      </c>
      <c r="T224">
        <f>S223*$G$54</f>
        <v/>
      </c>
      <c r="U224">
        <f>IF(W223&gt;0,MAX(0,W223*(1+$G$55)-$H$55),0)</f>
        <v/>
      </c>
      <c r="V224">
        <f>MAX(0,R224-Q224)</f>
        <v/>
      </c>
      <c r="W224">
        <f>IF(U224-V224&gt;1E-9,U224-V224,0)</f>
        <v/>
      </c>
      <c r="X224">
        <f>W223*$G$55</f>
        <v/>
      </c>
      <c r="Y224">
        <f>IF(Y223&gt;1E-9,IF(Y223*(1+$G$51)-MAX($B$9,0.01*Y223+Y223*$G$51)&gt;1E-9,Y223*(1+$G$51)-MAX($B$9,0.01*Y223+Y223*$G$51),0),0)</f>
        <v/>
      </c>
      <c r="Z224">
        <f>Y223*$G$51</f>
        <v/>
      </c>
      <c r="AA224">
        <f>IF(AA223&gt;1E-9,IF(AA223*(1+$G$52)-MAX($B$9,0.01*AA223+AA223*$G$52)&gt;1E-9,AA223*(1+$G$52)-MAX($B$9,0.01*AA223+AA223*$G$52),0),0)</f>
        <v/>
      </c>
      <c r="AB224">
        <f>AA223*$G$52</f>
        <v/>
      </c>
      <c r="AC224">
        <f>IF(AC223&gt;1E-9,IF(AC223*(1+$G$53)-MAX($B$9,0.01*AC223+AC223*$G$53)&gt;1E-9,AC223*(1+$G$53)-MAX($B$9,0.01*AC223+AC223*$G$53),0),0)</f>
        <v/>
      </c>
      <c r="AD224">
        <f>AC223*$G$53</f>
        <v/>
      </c>
      <c r="AE224">
        <f>IF(AE223&gt;1E-9,IF(AE223*(1+$G$54)-MAX($B$9,0.01*AE223+AE223*$G$54)&gt;1E-9,AE223*(1+$G$54)-MAX($B$9,0.01*AE223+AE223*$G$54),0),0)</f>
        <v/>
      </c>
      <c r="AF224">
        <f>AE223*$G$54</f>
        <v/>
      </c>
      <c r="AG224">
        <f>IF(AG223&gt;1E-9,IF(AG223*(1+$G$55)-MAX($B$9,0.01*AG223+AG223*$G$55)&gt;1E-9,AG223*(1+$G$55)-MAX($B$9,0.01*AG223+AG223*$G$55),0),0)</f>
        <v/>
      </c>
      <c r="AH224">
        <f>AG223*$G$55</f>
        <v/>
      </c>
      <c r="AI224">
        <f>G224+K224+O224+S224+W224</f>
        <v/>
      </c>
      <c r="AJ224">
        <f>AI223+AK224-AI224</f>
        <v/>
      </c>
      <c r="AK224">
        <f>H224+L224+P224+T224+X224</f>
        <v/>
      </c>
      <c r="AL224">
        <f>TEXT(EDATE($B$5,D224-1),"mmm yyyy")</f>
        <v/>
      </c>
      <c r="AM224">
        <f>AI224</f>
        <v/>
      </c>
    </row>
    <row r="225">
      <c r="D225" t="n">
        <v>164</v>
      </c>
      <c r="E225">
        <f>IF(G224&gt;0,MAX(0,G224*(1+$G$51)-$H$51),0)</f>
        <v/>
      </c>
      <c r="F225">
        <f>$B$6+IF($D225=$B$8,$B$7,0)</f>
        <v/>
      </c>
      <c r="G225">
        <f>IF(E225-F225&gt;1E-9,E225-F225,0)</f>
        <v/>
      </c>
      <c r="H225">
        <f>G224*$G$51</f>
        <v/>
      </c>
      <c r="I225">
        <f>IF(K224&gt;0,MAX(0,K224*(1+$G$52)-$H$52),0)</f>
        <v/>
      </c>
      <c r="J225">
        <f>MAX(0,F225-E225)</f>
        <v/>
      </c>
      <c r="K225">
        <f>IF(I225-J225&gt;1E-9,I225-J225,0)</f>
        <v/>
      </c>
      <c r="L225">
        <f>K224*$G$52</f>
        <v/>
      </c>
      <c r="M225">
        <f>IF(O224&gt;0,MAX(0,O224*(1+$G$53)-$H$53),0)</f>
        <v/>
      </c>
      <c r="N225">
        <f>MAX(0,J225-I225)</f>
        <v/>
      </c>
      <c r="O225">
        <f>IF(M225-N225&gt;1E-9,M225-N225,0)</f>
        <v/>
      </c>
      <c r="P225">
        <f>O224*$G$53</f>
        <v/>
      </c>
      <c r="Q225">
        <f>IF(S224&gt;0,MAX(0,S224*(1+$G$54)-$H$54),0)</f>
        <v/>
      </c>
      <c r="R225">
        <f>MAX(0,N225-M225)</f>
        <v/>
      </c>
      <c r="S225">
        <f>IF(Q225-R225&gt;1E-9,Q225-R225,0)</f>
        <v/>
      </c>
      <c r="T225">
        <f>S224*$G$54</f>
        <v/>
      </c>
      <c r="U225">
        <f>IF(W224&gt;0,MAX(0,W224*(1+$G$55)-$H$55),0)</f>
        <v/>
      </c>
      <c r="V225">
        <f>MAX(0,R225-Q225)</f>
        <v/>
      </c>
      <c r="W225">
        <f>IF(U225-V225&gt;1E-9,U225-V225,0)</f>
        <v/>
      </c>
      <c r="X225">
        <f>W224*$G$55</f>
        <v/>
      </c>
      <c r="Y225">
        <f>IF(Y224&gt;1E-9,IF(Y224*(1+$G$51)-MAX($B$9,0.01*Y224+Y224*$G$51)&gt;1E-9,Y224*(1+$G$51)-MAX($B$9,0.01*Y224+Y224*$G$51),0),0)</f>
        <v/>
      </c>
      <c r="Z225">
        <f>Y224*$G$51</f>
        <v/>
      </c>
      <c r="AA225">
        <f>IF(AA224&gt;1E-9,IF(AA224*(1+$G$52)-MAX($B$9,0.01*AA224+AA224*$G$52)&gt;1E-9,AA224*(1+$G$52)-MAX($B$9,0.01*AA224+AA224*$G$52),0),0)</f>
        <v/>
      </c>
      <c r="AB225">
        <f>AA224*$G$52</f>
        <v/>
      </c>
      <c r="AC225">
        <f>IF(AC224&gt;1E-9,IF(AC224*(1+$G$53)-MAX($B$9,0.01*AC224+AC224*$G$53)&gt;1E-9,AC224*(1+$G$53)-MAX($B$9,0.01*AC224+AC224*$G$53),0),0)</f>
        <v/>
      </c>
      <c r="AD225">
        <f>AC224*$G$53</f>
        <v/>
      </c>
      <c r="AE225">
        <f>IF(AE224&gt;1E-9,IF(AE224*(1+$G$54)-MAX($B$9,0.01*AE224+AE224*$G$54)&gt;1E-9,AE224*(1+$G$54)-MAX($B$9,0.01*AE224+AE224*$G$54),0),0)</f>
        <v/>
      </c>
      <c r="AF225">
        <f>AE224*$G$54</f>
        <v/>
      </c>
      <c r="AG225">
        <f>IF(AG224&gt;1E-9,IF(AG224*(1+$G$55)-MAX($B$9,0.01*AG224+AG224*$G$55)&gt;1E-9,AG224*(1+$G$55)-MAX($B$9,0.01*AG224+AG224*$G$55),0),0)</f>
        <v/>
      </c>
      <c r="AH225">
        <f>AG224*$G$55</f>
        <v/>
      </c>
      <c r="AI225">
        <f>G225+K225+O225+S225+W225</f>
        <v/>
      </c>
      <c r="AJ225">
        <f>AI224+AK225-AI225</f>
        <v/>
      </c>
      <c r="AK225">
        <f>H225+L225+P225+T225+X225</f>
        <v/>
      </c>
      <c r="AL225">
        <f>TEXT(EDATE($B$5,D225-1),"mmm yyyy")</f>
        <v/>
      </c>
      <c r="AM225">
        <f>AI225</f>
        <v/>
      </c>
    </row>
    <row r="226">
      <c r="D226" t="n">
        <v>165</v>
      </c>
      <c r="E226">
        <f>IF(G225&gt;0,MAX(0,G225*(1+$G$51)-$H$51),0)</f>
        <v/>
      </c>
      <c r="F226">
        <f>$B$6+IF($D226=$B$8,$B$7,0)</f>
        <v/>
      </c>
      <c r="G226">
        <f>IF(E226-F226&gt;1E-9,E226-F226,0)</f>
        <v/>
      </c>
      <c r="H226">
        <f>G225*$G$51</f>
        <v/>
      </c>
      <c r="I226">
        <f>IF(K225&gt;0,MAX(0,K225*(1+$G$52)-$H$52),0)</f>
        <v/>
      </c>
      <c r="J226">
        <f>MAX(0,F226-E226)</f>
        <v/>
      </c>
      <c r="K226">
        <f>IF(I226-J226&gt;1E-9,I226-J226,0)</f>
        <v/>
      </c>
      <c r="L226">
        <f>K225*$G$52</f>
        <v/>
      </c>
      <c r="M226">
        <f>IF(O225&gt;0,MAX(0,O225*(1+$G$53)-$H$53),0)</f>
        <v/>
      </c>
      <c r="N226">
        <f>MAX(0,J226-I226)</f>
        <v/>
      </c>
      <c r="O226">
        <f>IF(M226-N226&gt;1E-9,M226-N226,0)</f>
        <v/>
      </c>
      <c r="P226">
        <f>O225*$G$53</f>
        <v/>
      </c>
      <c r="Q226">
        <f>IF(S225&gt;0,MAX(0,S225*(1+$G$54)-$H$54),0)</f>
        <v/>
      </c>
      <c r="R226">
        <f>MAX(0,N226-M226)</f>
        <v/>
      </c>
      <c r="S226">
        <f>IF(Q226-R226&gt;1E-9,Q226-R226,0)</f>
        <v/>
      </c>
      <c r="T226">
        <f>S225*$G$54</f>
        <v/>
      </c>
      <c r="U226">
        <f>IF(W225&gt;0,MAX(0,W225*(1+$G$55)-$H$55),0)</f>
        <v/>
      </c>
      <c r="V226">
        <f>MAX(0,R226-Q226)</f>
        <v/>
      </c>
      <c r="W226">
        <f>IF(U226-V226&gt;1E-9,U226-V226,0)</f>
        <v/>
      </c>
      <c r="X226">
        <f>W225*$G$55</f>
        <v/>
      </c>
      <c r="Y226">
        <f>IF(Y225&gt;1E-9,IF(Y225*(1+$G$51)-MAX($B$9,0.01*Y225+Y225*$G$51)&gt;1E-9,Y225*(1+$G$51)-MAX($B$9,0.01*Y225+Y225*$G$51),0),0)</f>
        <v/>
      </c>
      <c r="Z226">
        <f>Y225*$G$51</f>
        <v/>
      </c>
      <c r="AA226">
        <f>IF(AA225&gt;1E-9,IF(AA225*(1+$G$52)-MAX($B$9,0.01*AA225+AA225*$G$52)&gt;1E-9,AA225*(1+$G$52)-MAX($B$9,0.01*AA225+AA225*$G$52),0),0)</f>
        <v/>
      </c>
      <c r="AB226">
        <f>AA225*$G$52</f>
        <v/>
      </c>
      <c r="AC226">
        <f>IF(AC225&gt;1E-9,IF(AC225*(1+$G$53)-MAX($B$9,0.01*AC225+AC225*$G$53)&gt;1E-9,AC225*(1+$G$53)-MAX($B$9,0.01*AC225+AC225*$G$53),0),0)</f>
        <v/>
      </c>
      <c r="AD226">
        <f>AC225*$G$53</f>
        <v/>
      </c>
      <c r="AE226">
        <f>IF(AE225&gt;1E-9,IF(AE225*(1+$G$54)-MAX($B$9,0.01*AE225+AE225*$G$54)&gt;1E-9,AE225*(1+$G$54)-MAX($B$9,0.01*AE225+AE225*$G$54),0),0)</f>
        <v/>
      </c>
      <c r="AF226">
        <f>AE225*$G$54</f>
        <v/>
      </c>
      <c r="AG226">
        <f>IF(AG225&gt;1E-9,IF(AG225*(1+$G$55)-MAX($B$9,0.01*AG225+AG225*$G$55)&gt;1E-9,AG225*(1+$G$55)-MAX($B$9,0.01*AG225+AG225*$G$55),0),0)</f>
        <v/>
      </c>
      <c r="AH226">
        <f>AG225*$G$55</f>
        <v/>
      </c>
      <c r="AI226">
        <f>G226+K226+O226+S226+W226</f>
        <v/>
      </c>
      <c r="AJ226">
        <f>AI225+AK226-AI226</f>
        <v/>
      </c>
      <c r="AK226">
        <f>H226+L226+P226+T226+X226</f>
        <v/>
      </c>
      <c r="AL226">
        <f>TEXT(EDATE($B$5,D226-1),"mmm yyyy")</f>
        <v/>
      </c>
      <c r="AM226">
        <f>AI226</f>
        <v/>
      </c>
    </row>
    <row r="227">
      <c r="D227" t="n">
        <v>166</v>
      </c>
      <c r="E227">
        <f>IF(G226&gt;0,MAX(0,G226*(1+$G$51)-$H$51),0)</f>
        <v/>
      </c>
      <c r="F227">
        <f>$B$6+IF($D227=$B$8,$B$7,0)</f>
        <v/>
      </c>
      <c r="G227">
        <f>IF(E227-F227&gt;1E-9,E227-F227,0)</f>
        <v/>
      </c>
      <c r="H227">
        <f>G226*$G$51</f>
        <v/>
      </c>
      <c r="I227">
        <f>IF(K226&gt;0,MAX(0,K226*(1+$G$52)-$H$52),0)</f>
        <v/>
      </c>
      <c r="J227">
        <f>MAX(0,F227-E227)</f>
        <v/>
      </c>
      <c r="K227">
        <f>IF(I227-J227&gt;1E-9,I227-J227,0)</f>
        <v/>
      </c>
      <c r="L227">
        <f>K226*$G$52</f>
        <v/>
      </c>
      <c r="M227">
        <f>IF(O226&gt;0,MAX(0,O226*(1+$G$53)-$H$53),0)</f>
        <v/>
      </c>
      <c r="N227">
        <f>MAX(0,J227-I227)</f>
        <v/>
      </c>
      <c r="O227">
        <f>IF(M227-N227&gt;1E-9,M227-N227,0)</f>
        <v/>
      </c>
      <c r="P227">
        <f>O226*$G$53</f>
        <v/>
      </c>
      <c r="Q227">
        <f>IF(S226&gt;0,MAX(0,S226*(1+$G$54)-$H$54),0)</f>
        <v/>
      </c>
      <c r="R227">
        <f>MAX(0,N227-M227)</f>
        <v/>
      </c>
      <c r="S227">
        <f>IF(Q227-R227&gt;1E-9,Q227-R227,0)</f>
        <v/>
      </c>
      <c r="T227">
        <f>S226*$G$54</f>
        <v/>
      </c>
      <c r="U227">
        <f>IF(W226&gt;0,MAX(0,W226*(1+$G$55)-$H$55),0)</f>
        <v/>
      </c>
      <c r="V227">
        <f>MAX(0,R227-Q227)</f>
        <v/>
      </c>
      <c r="W227">
        <f>IF(U227-V227&gt;1E-9,U227-V227,0)</f>
        <v/>
      </c>
      <c r="X227">
        <f>W226*$G$55</f>
        <v/>
      </c>
      <c r="Y227">
        <f>IF(Y226&gt;1E-9,IF(Y226*(1+$G$51)-MAX($B$9,0.01*Y226+Y226*$G$51)&gt;1E-9,Y226*(1+$G$51)-MAX($B$9,0.01*Y226+Y226*$G$51),0),0)</f>
        <v/>
      </c>
      <c r="Z227">
        <f>Y226*$G$51</f>
        <v/>
      </c>
      <c r="AA227">
        <f>IF(AA226&gt;1E-9,IF(AA226*(1+$G$52)-MAX($B$9,0.01*AA226+AA226*$G$52)&gt;1E-9,AA226*(1+$G$52)-MAX($B$9,0.01*AA226+AA226*$G$52),0),0)</f>
        <v/>
      </c>
      <c r="AB227">
        <f>AA226*$G$52</f>
        <v/>
      </c>
      <c r="AC227">
        <f>IF(AC226&gt;1E-9,IF(AC226*(1+$G$53)-MAX($B$9,0.01*AC226+AC226*$G$53)&gt;1E-9,AC226*(1+$G$53)-MAX($B$9,0.01*AC226+AC226*$G$53),0),0)</f>
        <v/>
      </c>
      <c r="AD227">
        <f>AC226*$G$53</f>
        <v/>
      </c>
      <c r="AE227">
        <f>IF(AE226&gt;1E-9,IF(AE226*(1+$G$54)-MAX($B$9,0.01*AE226+AE226*$G$54)&gt;1E-9,AE226*(1+$G$54)-MAX($B$9,0.01*AE226+AE226*$G$54),0),0)</f>
        <v/>
      </c>
      <c r="AF227">
        <f>AE226*$G$54</f>
        <v/>
      </c>
      <c r="AG227">
        <f>IF(AG226&gt;1E-9,IF(AG226*(1+$G$55)-MAX($B$9,0.01*AG226+AG226*$G$55)&gt;1E-9,AG226*(1+$G$55)-MAX($B$9,0.01*AG226+AG226*$G$55),0),0)</f>
        <v/>
      </c>
      <c r="AH227">
        <f>AG226*$G$55</f>
        <v/>
      </c>
      <c r="AI227">
        <f>G227+K227+O227+S227+W227</f>
        <v/>
      </c>
      <c r="AJ227">
        <f>AI226+AK227-AI227</f>
        <v/>
      </c>
      <c r="AK227">
        <f>H227+L227+P227+T227+X227</f>
        <v/>
      </c>
      <c r="AL227">
        <f>TEXT(EDATE($B$5,D227-1),"mmm yyyy")</f>
        <v/>
      </c>
      <c r="AM227">
        <f>AI227</f>
        <v/>
      </c>
    </row>
    <row r="228">
      <c r="D228" t="n">
        <v>167</v>
      </c>
      <c r="E228">
        <f>IF(G227&gt;0,MAX(0,G227*(1+$G$51)-$H$51),0)</f>
        <v/>
      </c>
      <c r="F228">
        <f>$B$6+IF($D228=$B$8,$B$7,0)</f>
        <v/>
      </c>
      <c r="G228">
        <f>IF(E228-F228&gt;1E-9,E228-F228,0)</f>
        <v/>
      </c>
      <c r="H228">
        <f>G227*$G$51</f>
        <v/>
      </c>
      <c r="I228">
        <f>IF(K227&gt;0,MAX(0,K227*(1+$G$52)-$H$52),0)</f>
        <v/>
      </c>
      <c r="J228">
        <f>MAX(0,F228-E228)</f>
        <v/>
      </c>
      <c r="K228">
        <f>IF(I228-J228&gt;1E-9,I228-J228,0)</f>
        <v/>
      </c>
      <c r="L228">
        <f>K227*$G$52</f>
        <v/>
      </c>
      <c r="M228">
        <f>IF(O227&gt;0,MAX(0,O227*(1+$G$53)-$H$53),0)</f>
        <v/>
      </c>
      <c r="N228">
        <f>MAX(0,J228-I228)</f>
        <v/>
      </c>
      <c r="O228">
        <f>IF(M228-N228&gt;1E-9,M228-N228,0)</f>
        <v/>
      </c>
      <c r="P228">
        <f>O227*$G$53</f>
        <v/>
      </c>
      <c r="Q228">
        <f>IF(S227&gt;0,MAX(0,S227*(1+$G$54)-$H$54),0)</f>
        <v/>
      </c>
      <c r="R228">
        <f>MAX(0,N228-M228)</f>
        <v/>
      </c>
      <c r="S228">
        <f>IF(Q228-R228&gt;1E-9,Q228-R228,0)</f>
        <v/>
      </c>
      <c r="T228">
        <f>S227*$G$54</f>
        <v/>
      </c>
      <c r="U228">
        <f>IF(W227&gt;0,MAX(0,W227*(1+$G$55)-$H$55),0)</f>
        <v/>
      </c>
      <c r="V228">
        <f>MAX(0,R228-Q228)</f>
        <v/>
      </c>
      <c r="W228">
        <f>IF(U228-V228&gt;1E-9,U228-V228,0)</f>
        <v/>
      </c>
      <c r="X228">
        <f>W227*$G$55</f>
        <v/>
      </c>
      <c r="Y228">
        <f>IF(Y227&gt;1E-9,IF(Y227*(1+$G$51)-MAX($B$9,0.01*Y227+Y227*$G$51)&gt;1E-9,Y227*(1+$G$51)-MAX($B$9,0.01*Y227+Y227*$G$51),0),0)</f>
        <v/>
      </c>
      <c r="Z228">
        <f>Y227*$G$51</f>
        <v/>
      </c>
      <c r="AA228">
        <f>IF(AA227&gt;1E-9,IF(AA227*(1+$G$52)-MAX($B$9,0.01*AA227+AA227*$G$52)&gt;1E-9,AA227*(1+$G$52)-MAX($B$9,0.01*AA227+AA227*$G$52),0),0)</f>
        <v/>
      </c>
      <c r="AB228">
        <f>AA227*$G$52</f>
        <v/>
      </c>
      <c r="AC228">
        <f>IF(AC227&gt;1E-9,IF(AC227*(1+$G$53)-MAX($B$9,0.01*AC227+AC227*$G$53)&gt;1E-9,AC227*(1+$G$53)-MAX($B$9,0.01*AC227+AC227*$G$53),0),0)</f>
        <v/>
      </c>
      <c r="AD228">
        <f>AC227*$G$53</f>
        <v/>
      </c>
      <c r="AE228">
        <f>IF(AE227&gt;1E-9,IF(AE227*(1+$G$54)-MAX($B$9,0.01*AE227+AE227*$G$54)&gt;1E-9,AE227*(1+$G$54)-MAX($B$9,0.01*AE227+AE227*$G$54),0),0)</f>
        <v/>
      </c>
      <c r="AF228">
        <f>AE227*$G$54</f>
        <v/>
      </c>
      <c r="AG228">
        <f>IF(AG227&gt;1E-9,IF(AG227*(1+$G$55)-MAX($B$9,0.01*AG227+AG227*$G$55)&gt;1E-9,AG227*(1+$G$55)-MAX($B$9,0.01*AG227+AG227*$G$55),0),0)</f>
        <v/>
      </c>
      <c r="AH228">
        <f>AG227*$G$55</f>
        <v/>
      </c>
      <c r="AI228">
        <f>G228+K228+O228+S228+W228</f>
        <v/>
      </c>
      <c r="AJ228">
        <f>AI227+AK228-AI228</f>
        <v/>
      </c>
      <c r="AK228">
        <f>H228+L228+P228+T228+X228</f>
        <v/>
      </c>
      <c r="AL228">
        <f>TEXT(EDATE($B$5,D228-1),"mmm yyyy")</f>
        <v/>
      </c>
      <c r="AM228">
        <f>AI228</f>
        <v/>
      </c>
    </row>
    <row r="229">
      <c r="D229" t="n">
        <v>168</v>
      </c>
      <c r="E229">
        <f>IF(G228&gt;0,MAX(0,G228*(1+$G$51)-$H$51),0)</f>
        <v/>
      </c>
      <c r="F229">
        <f>$B$6+IF($D229=$B$8,$B$7,0)</f>
        <v/>
      </c>
      <c r="G229">
        <f>IF(E229-F229&gt;1E-9,E229-F229,0)</f>
        <v/>
      </c>
      <c r="H229">
        <f>G228*$G$51</f>
        <v/>
      </c>
      <c r="I229">
        <f>IF(K228&gt;0,MAX(0,K228*(1+$G$52)-$H$52),0)</f>
        <v/>
      </c>
      <c r="J229">
        <f>MAX(0,F229-E229)</f>
        <v/>
      </c>
      <c r="K229">
        <f>IF(I229-J229&gt;1E-9,I229-J229,0)</f>
        <v/>
      </c>
      <c r="L229">
        <f>K228*$G$52</f>
        <v/>
      </c>
      <c r="M229">
        <f>IF(O228&gt;0,MAX(0,O228*(1+$G$53)-$H$53),0)</f>
        <v/>
      </c>
      <c r="N229">
        <f>MAX(0,J229-I229)</f>
        <v/>
      </c>
      <c r="O229">
        <f>IF(M229-N229&gt;1E-9,M229-N229,0)</f>
        <v/>
      </c>
      <c r="P229">
        <f>O228*$G$53</f>
        <v/>
      </c>
      <c r="Q229">
        <f>IF(S228&gt;0,MAX(0,S228*(1+$G$54)-$H$54),0)</f>
        <v/>
      </c>
      <c r="R229">
        <f>MAX(0,N229-M229)</f>
        <v/>
      </c>
      <c r="S229">
        <f>IF(Q229-R229&gt;1E-9,Q229-R229,0)</f>
        <v/>
      </c>
      <c r="T229">
        <f>S228*$G$54</f>
        <v/>
      </c>
      <c r="U229">
        <f>IF(W228&gt;0,MAX(0,W228*(1+$G$55)-$H$55),0)</f>
        <v/>
      </c>
      <c r="V229">
        <f>MAX(0,R229-Q229)</f>
        <v/>
      </c>
      <c r="W229">
        <f>IF(U229-V229&gt;1E-9,U229-V229,0)</f>
        <v/>
      </c>
      <c r="X229">
        <f>W228*$G$55</f>
        <v/>
      </c>
      <c r="Y229">
        <f>IF(Y228&gt;1E-9,IF(Y228*(1+$G$51)-MAX($B$9,0.01*Y228+Y228*$G$51)&gt;1E-9,Y228*(1+$G$51)-MAX($B$9,0.01*Y228+Y228*$G$51),0),0)</f>
        <v/>
      </c>
      <c r="Z229">
        <f>Y228*$G$51</f>
        <v/>
      </c>
      <c r="AA229">
        <f>IF(AA228&gt;1E-9,IF(AA228*(1+$G$52)-MAX($B$9,0.01*AA228+AA228*$G$52)&gt;1E-9,AA228*(1+$G$52)-MAX($B$9,0.01*AA228+AA228*$G$52),0),0)</f>
        <v/>
      </c>
      <c r="AB229">
        <f>AA228*$G$52</f>
        <v/>
      </c>
      <c r="AC229">
        <f>IF(AC228&gt;1E-9,IF(AC228*(1+$G$53)-MAX($B$9,0.01*AC228+AC228*$G$53)&gt;1E-9,AC228*(1+$G$53)-MAX($B$9,0.01*AC228+AC228*$G$53),0),0)</f>
        <v/>
      </c>
      <c r="AD229">
        <f>AC228*$G$53</f>
        <v/>
      </c>
      <c r="AE229">
        <f>IF(AE228&gt;1E-9,IF(AE228*(1+$G$54)-MAX($B$9,0.01*AE228+AE228*$G$54)&gt;1E-9,AE228*(1+$G$54)-MAX($B$9,0.01*AE228+AE228*$G$54),0),0)</f>
        <v/>
      </c>
      <c r="AF229">
        <f>AE228*$G$54</f>
        <v/>
      </c>
      <c r="AG229">
        <f>IF(AG228&gt;1E-9,IF(AG228*(1+$G$55)-MAX($B$9,0.01*AG228+AG228*$G$55)&gt;1E-9,AG228*(1+$G$55)-MAX($B$9,0.01*AG228+AG228*$G$55),0),0)</f>
        <v/>
      </c>
      <c r="AH229">
        <f>AG228*$G$55</f>
        <v/>
      </c>
      <c r="AI229">
        <f>G229+K229+O229+S229+W229</f>
        <v/>
      </c>
      <c r="AJ229">
        <f>AI228+AK229-AI229</f>
        <v/>
      </c>
      <c r="AK229">
        <f>H229+L229+P229+T229+X229</f>
        <v/>
      </c>
      <c r="AL229">
        <f>TEXT(EDATE($B$5,D229-1),"mmm yyyy")</f>
        <v/>
      </c>
      <c r="AM229">
        <f>AI229</f>
        <v/>
      </c>
    </row>
    <row r="230">
      <c r="D230" t="n">
        <v>169</v>
      </c>
      <c r="E230">
        <f>IF(G229&gt;0,MAX(0,G229*(1+$G$51)-$H$51),0)</f>
        <v/>
      </c>
      <c r="F230">
        <f>$B$6+IF($D230=$B$8,$B$7,0)</f>
        <v/>
      </c>
      <c r="G230">
        <f>IF(E230-F230&gt;1E-9,E230-F230,0)</f>
        <v/>
      </c>
      <c r="H230">
        <f>G229*$G$51</f>
        <v/>
      </c>
      <c r="I230">
        <f>IF(K229&gt;0,MAX(0,K229*(1+$G$52)-$H$52),0)</f>
        <v/>
      </c>
      <c r="J230">
        <f>MAX(0,F230-E230)</f>
        <v/>
      </c>
      <c r="K230">
        <f>IF(I230-J230&gt;1E-9,I230-J230,0)</f>
        <v/>
      </c>
      <c r="L230">
        <f>K229*$G$52</f>
        <v/>
      </c>
      <c r="M230">
        <f>IF(O229&gt;0,MAX(0,O229*(1+$G$53)-$H$53),0)</f>
        <v/>
      </c>
      <c r="N230">
        <f>MAX(0,J230-I230)</f>
        <v/>
      </c>
      <c r="O230">
        <f>IF(M230-N230&gt;1E-9,M230-N230,0)</f>
        <v/>
      </c>
      <c r="P230">
        <f>O229*$G$53</f>
        <v/>
      </c>
      <c r="Q230">
        <f>IF(S229&gt;0,MAX(0,S229*(1+$G$54)-$H$54),0)</f>
        <v/>
      </c>
      <c r="R230">
        <f>MAX(0,N230-M230)</f>
        <v/>
      </c>
      <c r="S230">
        <f>IF(Q230-R230&gt;1E-9,Q230-R230,0)</f>
        <v/>
      </c>
      <c r="T230">
        <f>S229*$G$54</f>
        <v/>
      </c>
      <c r="U230">
        <f>IF(W229&gt;0,MAX(0,W229*(1+$G$55)-$H$55),0)</f>
        <v/>
      </c>
      <c r="V230">
        <f>MAX(0,R230-Q230)</f>
        <v/>
      </c>
      <c r="W230">
        <f>IF(U230-V230&gt;1E-9,U230-V230,0)</f>
        <v/>
      </c>
      <c r="X230">
        <f>W229*$G$55</f>
        <v/>
      </c>
      <c r="Y230">
        <f>IF(Y229&gt;1E-9,IF(Y229*(1+$G$51)-MAX($B$9,0.01*Y229+Y229*$G$51)&gt;1E-9,Y229*(1+$G$51)-MAX($B$9,0.01*Y229+Y229*$G$51),0),0)</f>
        <v/>
      </c>
      <c r="Z230">
        <f>Y229*$G$51</f>
        <v/>
      </c>
      <c r="AA230">
        <f>IF(AA229&gt;1E-9,IF(AA229*(1+$G$52)-MAX($B$9,0.01*AA229+AA229*$G$52)&gt;1E-9,AA229*(1+$G$52)-MAX($B$9,0.01*AA229+AA229*$G$52),0),0)</f>
        <v/>
      </c>
      <c r="AB230">
        <f>AA229*$G$52</f>
        <v/>
      </c>
      <c r="AC230">
        <f>IF(AC229&gt;1E-9,IF(AC229*(1+$G$53)-MAX($B$9,0.01*AC229+AC229*$G$53)&gt;1E-9,AC229*(1+$G$53)-MAX($B$9,0.01*AC229+AC229*$G$53),0),0)</f>
        <v/>
      </c>
      <c r="AD230">
        <f>AC229*$G$53</f>
        <v/>
      </c>
      <c r="AE230">
        <f>IF(AE229&gt;1E-9,IF(AE229*(1+$G$54)-MAX($B$9,0.01*AE229+AE229*$G$54)&gt;1E-9,AE229*(1+$G$54)-MAX($B$9,0.01*AE229+AE229*$G$54),0),0)</f>
        <v/>
      </c>
      <c r="AF230">
        <f>AE229*$G$54</f>
        <v/>
      </c>
      <c r="AG230">
        <f>IF(AG229&gt;1E-9,IF(AG229*(1+$G$55)-MAX($B$9,0.01*AG229+AG229*$G$55)&gt;1E-9,AG229*(1+$G$55)-MAX($B$9,0.01*AG229+AG229*$G$55),0),0)</f>
        <v/>
      </c>
      <c r="AH230">
        <f>AG229*$G$55</f>
        <v/>
      </c>
      <c r="AI230">
        <f>G230+K230+O230+S230+W230</f>
        <v/>
      </c>
      <c r="AJ230">
        <f>AI229+AK230-AI230</f>
        <v/>
      </c>
      <c r="AK230">
        <f>H230+L230+P230+T230+X230</f>
        <v/>
      </c>
      <c r="AL230">
        <f>TEXT(EDATE($B$5,D230-1),"mmm yyyy")</f>
        <v/>
      </c>
      <c r="AM230">
        <f>AI230</f>
        <v/>
      </c>
    </row>
    <row r="231">
      <c r="D231" t="n">
        <v>170</v>
      </c>
      <c r="E231">
        <f>IF(G230&gt;0,MAX(0,G230*(1+$G$51)-$H$51),0)</f>
        <v/>
      </c>
      <c r="F231">
        <f>$B$6+IF($D231=$B$8,$B$7,0)</f>
        <v/>
      </c>
      <c r="G231">
        <f>IF(E231-F231&gt;1E-9,E231-F231,0)</f>
        <v/>
      </c>
      <c r="H231">
        <f>G230*$G$51</f>
        <v/>
      </c>
      <c r="I231">
        <f>IF(K230&gt;0,MAX(0,K230*(1+$G$52)-$H$52),0)</f>
        <v/>
      </c>
      <c r="J231">
        <f>MAX(0,F231-E231)</f>
        <v/>
      </c>
      <c r="K231">
        <f>IF(I231-J231&gt;1E-9,I231-J231,0)</f>
        <v/>
      </c>
      <c r="L231">
        <f>K230*$G$52</f>
        <v/>
      </c>
      <c r="M231">
        <f>IF(O230&gt;0,MAX(0,O230*(1+$G$53)-$H$53),0)</f>
        <v/>
      </c>
      <c r="N231">
        <f>MAX(0,J231-I231)</f>
        <v/>
      </c>
      <c r="O231">
        <f>IF(M231-N231&gt;1E-9,M231-N231,0)</f>
        <v/>
      </c>
      <c r="P231">
        <f>O230*$G$53</f>
        <v/>
      </c>
      <c r="Q231">
        <f>IF(S230&gt;0,MAX(0,S230*(1+$G$54)-$H$54),0)</f>
        <v/>
      </c>
      <c r="R231">
        <f>MAX(0,N231-M231)</f>
        <v/>
      </c>
      <c r="S231">
        <f>IF(Q231-R231&gt;1E-9,Q231-R231,0)</f>
        <v/>
      </c>
      <c r="T231">
        <f>S230*$G$54</f>
        <v/>
      </c>
      <c r="U231">
        <f>IF(W230&gt;0,MAX(0,W230*(1+$G$55)-$H$55),0)</f>
        <v/>
      </c>
      <c r="V231">
        <f>MAX(0,R231-Q231)</f>
        <v/>
      </c>
      <c r="W231">
        <f>IF(U231-V231&gt;1E-9,U231-V231,0)</f>
        <v/>
      </c>
      <c r="X231">
        <f>W230*$G$55</f>
        <v/>
      </c>
      <c r="Y231">
        <f>IF(Y230&gt;1E-9,IF(Y230*(1+$G$51)-MAX($B$9,0.01*Y230+Y230*$G$51)&gt;1E-9,Y230*(1+$G$51)-MAX($B$9,0.01*Y230+Y230*$G$51),0),0)</f>
        <v/>
      </c>
      <c r="Z231">
        <f>Y230*$G$51</f>
        <v/>
      </c>
      <c r="AA231">
        <f>IF(AA230&gt;1E-9,IF(AA230*(1+$G$52)-MAX($B$9,0.01*AA230+AA230*$G$52)&gt;1E-9,AA230*(1+$G$52)-MAX($B$9,0.01*AA230+AA230*$G$52),0),0)</f>
        <v/>
      </c>
      <c r="AB231">
        <f>AA230*$G$52</f>
        <v/>
      </c>
      <c r="AC231">
        <f>IF(AC230&gt;1E-9,IF(AC230*(1+$G$53)-MAX($B$9,0.01*AC230+AC230*$G$53)&gt;1E-9,AC230*(1+$G$53)-MAX($B$9,0.01*AC230+AC230*$G$53),0),0)</f>
        <v/>
      </c>
      <c r="AD231">
        <f>AC230*$G$53</f>
        <v/>
      </c>
      <c r="AE231">
        <f>IF(AE230&gt;1E-9,IF(AE230*(1+$G$54)-MAX($B$9,0.01*AE230+AE230*$G$54)&gt;1E-9,AE230*(1+$G$54)-MAX($B$9,0.01*AE230+AE230*$G$54),0),0)</f>
        <v/>
      </c>
      <c r="AF231">
        <f>AE230*$G$54</f>
        <v/>
      </c>
      <c r="AG231">
        <f>IF(AG230&gt;1E-9,IF(AG230*(1+$G$55)-MAX($B$9,0.01*AG230+AG230*$G$55)&gt;1E-9,AG230*(1+$G$55)-MAX($B$9,0.01*AG230+AG230*$G$55),0),0)</f>
        <v/>
      </c>
      <c r="AH231">
        <f>AG230*$G$55</f>
        <v/>
      </c>
      <c r="AI231">
        <f>G231+K231+O231+S231+W231</f>
        <v/>
      </c>
      <c r="AJ231">
        <f>AI230+AK231-AI231</f>
        <v/>
      </c>
      <c r="AK231">
        <f>H231+L231+P231+T231+X231</f>
        <v/>
      </c>
      <c r="AL231">
        <f>TEXT(EDATE($B$5,D231-1),"mmm yyyy")</f>
        <v/>
      </c>
      <c r="AM231">
        <f>AI231</f>
        <v/>
      </c>
    </row>
    <row r="232">
      <c r="D232" t="n">
        <v>171</v>
      </c>
      <c r="E232">
        <f>IF(G231&gt;0,MAX(0,G231*(1+$G$51)-$H$51),0)</f>
        <v/>
      </c>
      <c r="F232">
        <f>$B$6+IF($D232=$B$8,$B$7,0)</f>
        <v/>
      </c>
      <c r="G232">
        <f>IF(E232-F232&gt;1E-9,E232-F232,0)</f>
        <v/>
      </c>
      <c r="H232">
        <f>G231*$G$51</f>
        <v/>
      </c>
      <c r="I232">
        <f>IF(K231&gt;0,MAX(0,K231*(1+$G$52)-$H$52),0)</f>
        <v/>
      </c>
      <c r="J232">
        <f>MAX(0,F232-E232)</f>
        <v/>
      </c>
      <c r="K232">
        <f>IF(I232-J232&gt;1E-9,I232-J232,0)</f>
        <v/>
      </c>
      <c r="L232">
        <f>K231*$G$52</f>
        <v/>
      </c>
      <c r="M232">
        <f>IF(O231&gt;0,MAX(0,O231*(1+$G$53)-$H$53),0)</f>
        <v/>
      </c>
      <c r="N232">
        <f>MAX(0,J232-I232)</f>
        <v/>
      </c>
      <c r="O232">
        <f>IF(M232-N232&gt;1E-9,M232-N232,0)</f>
        <v/>
      </c>
      <c r="P232">
        <f>O231*$G$53</f>
        <v/>
      </c>
      <c r="Q232">
        <f>IF(S231&gt;0,MAX(0,S231*(1+$G$54)-$H$54),0)</f>
        <v/>
      </c>
      <c r="R232">
        <f>MAX(0,N232-M232)</f>
        <v/>
      </c>
      <c r="S232">
        <f>IF(Q232-R232&gt;1E-9,Q232-R232,0)</f>
        <v/>
      </c>
      <c r="T232">
        <f>S231*$G$54</f>
        <v/>
      </c>
      <c r="U232">
        <f>IF(W231&gt;0,MAX(0,W231*(1+$G$55)-$H$55),0)</f>
        <v/>
      </c>
      <c r="V232">
        <f>MAX(0,R232-Q232)</f>
        <v/>
      </c>
      <c r="W232">
        <f>IF(U232-V232&gt;1E-9,U232-V232,0)</f>
        <v/>
      </c>
      <c r="X232">
        <f>W231*$G$55</f>
        <v/>
      </c>
      <c r="Y232">
        <f>IF(Y231&gt;1E-9,IF(Y231*(1+$G$51)-MAX($B$9,0.01*Y231+Y231*$G$51)&gt;1E-9,Y231*(1+$G$51)-MAX($B$9,0.01*Y231+Y231*$G$51),0),0)</f>
        <v/>
      </c>
      <c r="Z232">
        <f>Y231*$G$51</f>
        <v/>
      </c>
      <c r="AA232">
        <f>IF(AA231&gt;1E-9,IF(AA231*(1+$G$52)-MAX($B$9,0.01*AA231+AA231*$G$52)&gt;1E-9,AA231*(1+$G$52)-MAX($B$9,0.01*AA231+AA231*$G$52),0),0)</f>
        <v/>
      </c>
      <c r="AB232">
        <f>AA231*$G$52</f>
        <v/>
      </c>
      <c r="AC232">
        <f>IF(AC231&gt;1E-9,IF(AC231*(1+$G$53)-MAX($B$9,0.01*AC231+AC231*$G$53)&gt;1E-9,AC231*(1+$G$53)-MAX($B$9,0.01*AC231+AC231*$G$53),0),0)</f>
        <v/>
      </c>
      <c r="AD232">
        <f>AC231*$G$53</f>
        <v/>
      </c>
      <c r="AE232">
        <f>IF(AE231&gt;1E-9,IF(AE231*(1+$G$54)-MAX($B$9,0.01*AE231+AE231*$G$54)&gt;1E-9,AE231*(1+$G$54)-MAX($B$9,0.01*AE231+AE231*$G$54),0),0)</f>
        <v/>
      </c>
      <c r="AF232">
        <f>AE231*$G$54</f>
        <v/>
      </c>
      <c r="AG232">
        <f>IF(AG231&gt;1E-9,IF(AG231*(1+$G$55)-MAX($B$9,0.01*AG231+AG231*$G$55)&gt;1E-9,AG231*(1+$G$55)-MAX($B$9,0.01*AG231+AG231*$G$55),0),0)</f>
        <v/>
      </c>
      <c r="AH232">
        <f>AG231*$G$55</f>
        <v/>
      </c>
      <c r="AI232">
        <f>G232+K232+O232+S232+W232</f>
        <v/>
      </c>
      <c r="AJ232">
        <f>AI231+AK232-AI232</f>
        <v/>
      </c>
      <c r="AK232">
        <f>H232+L232+P232+T232+X232</f>
        <v/>
      </c>
      <c r="AL232">
        <f>TEXT(EDATE($B$5,D232-1),"mmm yyyy")</f>
        <v/>
      </c>
      <c r="AM232">
        <f>AI232</f>
        <v/>
      </c>
    </row>
    <row r="233">
      <c r="D233" t="n">
        <v>172</v>
      </c>
      <c r="E233">
        <f>IF(G232&gt;0,MAX(0,G232*(1+$G$51)-$H$51),0)</f>
        <v/>
      </c>
      <c r="F233">
        <f>$B$6+IF($D233=$B$8,$B$7,0)</f>
        <v/>
      </c>
      <c r="G233">
        <f>IF(E233-F233&gt;1E-9,E233-F233,0)</f>
        <v/>
      </c>
      <c r="H233">
        <f>G232*$G$51</f>
        <v/>
      </c>
      <c r="I233">
        <f>IF(K232&gt;0,MAX(0,K232*(1+$G$52)-$H$52),0)</f>
        <v/>
      </c>
      <c r="J233">
        <f>MAX(0,F233-E233)</f>
        <v/>
      </c>
      <c r="K233">
        <f>IF(I233-J233&gt;1E-9,I233-J233,0)</f>
        <v/>
      </c>
      <c r="L233">
        <f>K232*$G$52</f>
        <v/>
      </c>
      <c r="M233">
        <f>IF(O232&gt;0,MAX(0,O232*(1+$G$53)-$H$53),0)</f>
        <v/>
      </c>
      <c r="N233">
        <f>MAX(0,J233-I233)</f>
        <v/>
      </c>
      <c r="O233">
        <f>IF(M233-N233&gt;1E-9,M233-N233,0)</f>
        <v/>
      </c>
      <c r="P233">
        <f>O232*$G$53</f>
        <v/>
      </c>
      <c r="Q233">
        <f>IF(S232&gt;0,MAX(0,S232*(1+$G$54)-$H$54),0)</f>
        <v/>
      </c>
      <c r="R233">
        <f>MAX(0,N233-M233)</f>
        <v/>
      </c>
      <c r="S233">
        <f>IF(Q233-R233&gt;1E-9,Q233-R233,0)</f>
        <v/>
      </c>
      <c r="T233">
        <f>S232*$G$54</f>
        <v/>
      </c>
      <c r="U233">
        <f>IF(W232&gt;0,MAX(0,W232*(1+$G$55)-$H$55),0)</f>
        <v/>
      </c>
      <c r="V233">
        <f>MAX(0,R233-Q233)</f>
        <v/>
      </c>
      <c r="W233">
        <f>IF(U233-V233&gt;1E-9,U233-V233,0)</f>
        <v/>
      </c>
      <c r="X233">
        <f>W232*$G$55</f>
        <v/>
      </c>
      <c r="Y233">
        <f>IF(Y232&gt;1E-9,IF(Y232*(1+$G$51)-MAX($B$9,0.01*Y232+Y232*$G$51)&gt;1E-9,Y232*(1+$G$51)-MAX($B$9,0.01*Y232+Y232*$G$51),0),0)</f>
        <v/>
      </c>
      <c r="Z233">
        <f>Y232*$G$51</f>
        <v/>
      </c>
      <c r="AA233">
        <f>IF(AA232&gt;1E-9,IF(AA232*(1+$G$52)-MAX($B$9,0.01*AA232+AA232*$G$52)&gt;1E-9,AA232*(1+$G$52)-MAX($B$9,0.01*AA232+AA232*$G$52),0),0)</f>
        <v/>
      </c>
      <c r="AB233">
        <f>AA232*$G$52</f>
        <v/>
      </c>
      <c r="AC233">
        <f>IF(AC232&gt;1E-9,IF(AC232*(1+$G$53)-MAX($B$9,0.01*AC232+AC232*$G$53)&gt;1E-9,AC232*(1+$G$53)-MAX($B$9,0.01*AC232+AC232*$G$53),0),0)</f>
        <v/>
      </c>
      <c r="AD233">
        <f>AC232*$G$53</f>
        <v/>
      </c>
      <c r="AE233">
        <f>IF(AE232&gt;1E-9,IF(AE232*(1+$G$54)-MAX($B$9,0.01*AE232+AE232*$G$54)&gt;1E-9,AE232*(1+$G$54)-MAX($B$9,0.01*AE232+AE232*$G$54),0),0)</f>
        <v/>
      </c>
      <c r="AF233">
        <f>AE232*$G$54</f>
        <v/>
      </c>
      <c r="AG233">
        <f>IF(AG232&gt;1E-9,IF(AG232*(1+$G$55)-MAX($B$9,0.01*AG232+AG232*$G$55)&gt;1E-9,AG232*(1+$G$55)-MAX($B$9,0.01*AG232+AG232*$G$55),0),0)</f>
        <v/>
      </c>
      <c r="AH233">
        <f>AG232*$G$55</f>
        <v/>
      </c>
      <c r="AI233">
        <f>G233+K233+O233+S233+W233</f>
        <v/>
      </c>
      <c r="AJ233">
        <f>AI232+AK233-AI233</f>
        <v/>
      </c>
      <c r="AK233">
        <f>H233+L233+P233+T233+X233</f>
        <v/>
      </c>
      <c r="AL233">
        <f>TEXT(EDATE($B$5,D233-1),"mmm yyyy")</f>
        <v/>
      </c>
      <c r="AM233">
        <f>AI233</f>
        <v/>
      </c>
    </row>
    <row r="234">
      <c r="D234" t="n">
        <v>173</v>
      </c>
      <c r="E234">
        <f>IF(G233&gt;0,MAX(0,G233*(1+$G$51)-$H$51),0)</f>
        <v/>
      </c>
      <c r="F234">
        <f>$B$6+IF($D234=$B$8,$B$7,0)</f>
        <v/>
      </c>
      <c r="G234">
        <f>IF(E234-F234&gt;1E-9,E234-F234,0)</f>
        <v/>
      </c>
      <c r="H234">
        <f>G233*$G$51</f>
        <v/>
      </c>
      <c r="I234">
        <f>IF(K233&gt;0,MAX(0,K233*(1+$G$52)-$H$52),0)</f>
        <v/>
      </c>
      <c r="J234">
        <f>MAX(0,F234-E234)</f>
        <v/>
      </c>
      <c r="K234">
        <f>IF(I234-J234&gt;1E-9,I234-J234,0)</f>
        <v/>
      </c>
      <c r="L234">
        <f>K233*$G$52</f>
        <v/>
      </c>
      <c r="M234">
        <f>IF(O233&gt;0,MAX(0,O233*(1+$G$53)-$H$53),0)</f>
        <v/>
      </c>
      <c r="N234">
        <f>MAX(0,J234-I234)</f>
        <v/>
      </c>
      <c r="O234">
        <f>IF(M234-N234&gt;1E-9,M234-N234,0)</f>
        <v/>
      </c>
      <c r="P234">
        <f>O233*$G$53</f>
        <v/>
      </c>
      <c r="Q234">
        <f>IF(S233&gt;0,MAX(0,S233*(1+$G$54)-$H$54),0)</f>
        <v/>
      </c>
      <c r="R234">
        <f>MAX(0,N234-M234)</f>
        <v/>
      </c>
      <c r="S234">
        <f>IF(Q234-R234&gt;1E-9,Q234-R234,0)</f>
        <v/>
      </c>
      <c r="T234">
        <f>S233*$G$54</f>
        <v/>
      </c>
      <c r="U234">
        <f>IF(W233&gt;0,MAX(0,W233*(1+$G$55)-$H$55),0)</f>
        <v/>
      </c>
      <c r="V234">
        <f>MAX(0,R234-Q234)</f>
        <v/>
      </c>
      <c r="W234">
        <f>IF(U234-V234&gt;1E-9,U234-V234,0)</f>
        <v/>
      </c>
      <c r="X234">
        <f>W233*$G$55</f>
        <v/>
      </c>
      <c r="Y234">
        <f>IF(Y233&gt;1E-9,IF(Y233*(1+$G$51)-MAX($B$9,0.01*Y233+Y233*$G$51)&gt;1E-9,Y233*(1+$G$51)-MAX($B$9,0.01*Y233+Y233*$G$51),0),0)</f>
        <v/>
      </c>
      <c r="Z234">
        <f>Y233*$G$51</f>
        <v/>
      </c>
      <c r="AA234">
        <f>IF(AA233&gt;1E-9,IF(AA233*(1+$G$52)-MAX($B$9,0.01*AA233+AA233*$G$52)&gt;1E-9,AA233*(1+$G$52)-MAX($B$9,0.01*AA233+AA233*$G$52),0),0)</f>
        <v/>
      </c>
      <c r="AB234">
        <f>AA233*$G$52</f>
        <v/>
      </c>
      <c r="AC234">
        <f>IF(AC233&gt;1E-9,IF(AC233*(1+$G$53)-MAX($B$9,0.01*AC233+AC233*$G$53)&gt;1E-9,AC233*(1+$G$53)-MAX($B$9,0.01*AC233+AC233*$G$53),0),0)</f>
        <v/>
      </c>
      <c r="AD234">
        <f>AC233*$G$53</f>
        <v/>
      </c>
      <c r="AE234">
        <f>IF(AE233&gt;1E-9,IF(AE233*(1+$G$54)-MAX($B$9,0.01*AE233+AE233*$G$54)&gt;1E-9,AE233*(1+$G$54)-MAX($B$9,0.01*AE233+AE233*$G$54),0),0)</f>
        <v/>
      </c>
      <c r="AF234">
        <f>AE233*$G$54</f>
        <v/>
      </c>
      <c r="AG234">
        <f>IF(AG233&gt;1E-9,IF(AG233*(1+$G$55)-MAX($B$9,0.01*AG233+AG233*$G$55)&gt;1E-9,AG233*(1+$G$55)-MAX($B$9,0.01*AG233+AG233*$G$55),0),0)</f>
        <v/>
      </c>
      <c r="AH234">
        <f>AG233*$G$55</f>
        <v/>
      </c>
      <c r="AI234">
        <f>G234+K234+O234+S234+W234</f>
        <v/>
      </c>
      <c r="AJ234">
        <f>AI233+AK234-AI234</f>
        <v/>
      </c>
      <c r="AK234">
        <f>H234+L234+P234+T234+X234</f>
        <v/>
      </c>
      <c r="AL234">
        <f>TEXT(EDATE($B$5,D234-1),"mmm yyyy")</f>
        <v/>
      </c>
      <c r="AM234">
        <f>AI234</f>
        <v/>
      </c>
    </row>
    <row r="235">
      <c r="D235" t="n">
        <v>174</v>
      </c>
      <c r="E235">
        <f>IF(G234&gt;0,MAX(0,G234*(1+$G$51)-$H$51),0)</f>
        <v/>
      </c>
      <c r="F235">
        <f>$B$6+IF($D235=$B$8,$B$7,0)</f>
        <v/>
      </c>
      <c r="G235">
        <f>IF(E235-F235&gt;1E-9,E235-F235,0)</f>
        <v/>
      </c>
      <c r="H235">
        <f>G234*$G$51</f>
        <v/>
      </c>
      <c r="I235">
        <f>IF(K234&gt;0,MAX(0,K234*(1+$G$52)-$H$52),0)</f>
        <v/>
      </c>
      <c r="J235">
        <f>MAX(0,F235-E235)</f>
        <v/>
      </c>
      <c r="K235">
        <f>IF(I235-J235&gt;1E-9,I235-J235,0)</f>
        <v/>
      </c>
      <c r="L235">
        <f>K234*$G$52</f>
        <v/>
      </c>
      <c r="M235">
        <f>IF(O234&gt;0,MAX(0,O234*(1+$G$53)-$H$53),0)</f>
        <v/>
      </c>
      <c r="N235">
        <f>MAX(0,J235-I235)</f>
        <v/>
      </c>
      <c r="O235">
        <f>IF(M235-N235&gt;1E-9,M235-N235,0)</f>
        <v/>
      </c>
      <c r="P235">
        <f>O234*$G$53</f>
        <v/>
      </c>
      <c r="Q235">
        <f>IF(S234&gt;0,MAX(0,S234*(1+$G$54)-$H$54),0)</f>
        <v/>
      </c>
      <c r="R235">
        <f>MAX(0,N235-M235)</f>
        <v/>
      </c>
      <c r="S235">
        <f>IF(Q235-R235&gt;1E-9,Q235-R235,0)</f>
        <v/>
      </c>
      <c r="T235">
        <f>S234*$G$54</f>
        <v/>
      </c>
      <c r="U235">
        <f>IF(W234&gt;0,MAX(0,W234*(1+$G$55)-$H$55),0)</f>
        <v/>
      </c>
      <c r="V235">
        <f>MAX(0,R235-Q235)</f>
        <v/>
      </c>
      <c r="W235">
        <f>IF(U235-V235&gt;1E-9,U235-V235,0)</f>
        <v/>
      </c>
      <c r="X235">
        <f>W234*$G$55</f>
        <v/>
      </c>
      <c r="Y235">
        <f>IF(Y234&gt;1E-9,IF(Y234*(1+$G$51)-MAX($B$9,0.01*Y234+Y234*$G$51)&gt;1E-9,Y234*(1+$G$51)-MAX($B$9,0.01*Y234+Y234*$G$51),0),0)</f>
        <v/>
      </c>
      <c r="Z235">
        <f>Y234*$G$51</f>
        <v/>
      </c>
      <c r="AA235">
        <f>IF(AA234&gt;1E-9,IF(AA234*(1+$G$52)-MAX($B$9,0.01*AA234+AA234*$G$52)&gt;1E-9,AA234*(1+$G$52)-MAX($B$9,0.01*AA234+AA234*$G$52),0),0)</f>
        <v/>
      </c>
      <c r="AB235">
        <f>AA234*$G$52</f>
        <v/>
      </c>
      <c r="AC235">
        <f>IF(AC234&gt;1E-9,IF(AC234*(1+$G$53)-MAX($B$9,0.01*AC234+AC234*$G$53)&gt;1E-9,AC234*(1+$G$53)-MAX($B$9,0.01*AC234+AC234*$G$53),0),0)</f>
        <v/>
      </c>
      <c r="AD235">
        <f>AC234*$G$53</f>
        <v/>
      </c>
      <c r="AE235">
        <f>IF(AE234&gt;1E-9,IF(AE234*(1+$G$54)-MAX($B$9,0.01*AE234+AE234*$G$54)&gt;1E-9,AE234*(1+$G$54)-MAX($B$9,0.01*AE234+AE234*$G$54),0),0)</f>
        <v/>
      </c>
      <c r="AF235">
        <f>AE234*$G$54</f>
        <v/>
      </c>
      <c r="AG235">
        <f>IF(AG234&gt;1E-9,IF(AG234*(1+$G$55)-MAX($B$9,0.01*AG234+AG234*$G$55)&gt;1E-9,AG234*(1+$G$55)-MAX($B$9,0.01*AG234+AG234*$G$55),0),0)</f>
        <v/>
      </c>
      <c r="AH235">
        <f>AG234*$G$55</f>
        <v/>
      </c>
      <c r="AI235">
        <f>G235+K235+O235+S235+W235</f>
        <v/>
      </c>
      <c r="AJ235">
        <f>AI234+AK235-AI235</f>
        <v/>
      </c>
      <c r="AK235">
        <f>H235+L235+P235+T235+X235</f>
        <v/>
      </c>
      <c r="AL235">
        <f>TEXT(EDATE($B$5,D235-1),"mmm yyyy")</f>
        <v/>
      </c>
      <c r="AM235">
        <f>AI235</f>
        <v/>
      </c>
    </row>
    <row r="236">
      <c r="D236" t="n">
        <v>175</v>
      </c>
      <c r="E236">
        <f>IF(G235&gt;0,MAX(0,G235*(1+$G$51)-$H$51),0)</f>
        <v/>
      </c>
      <c r="F236">
        <f>$B$6+IF($D236=$B$8,$B$7,0)</f>
        <v/>
      </c>
      <c r="G236">
        <f>IF(E236-F236&gt;1E-9,E236-F236,0)</f>
        <v/>
      </c>
      <c r="H236">
        <f>G235*$G$51</f>
        <v/>
      </c>
      <c r="I236">
        <f>IF(K235&gt;0,MAX(0,K235*(1+$G$52)-$H$52),0)</f>
        <v/>
      </c>
      <c r="J236">
        <f>MAX(0,F236-E236)</f>
        <v/>
      </c>
      <c r="K236">
        <f>IF(I236-J236&gt;1E-9,I236-J236,0)</f>
        <v/>
      </c>
      <c r="L236">
        <f>K235*$G$52</f>
        <v/>
      </c>
      <c r="M236">
        <f>IF(O235&gt;0,MAX(0,O235*(1+$G$53)-$H$53),0)</f>
        <v/>
      </c>
      <c r="N236">
        <f>MAX(0,J236-I236)</f>
        <v/>
      </c>
      <c r="O236">
        <f>IF(M236-N236&gt;1E-9,M236-N236,0)</f>
        <v/>
      </c>
      <c r="P236">
        <f>O235*$G$53</f>
        <v/>
      </c>
      <c r="Q236">
        <f>IF(S235&gt;0,MAX(0,S235*(1+$G$54)-$H$54),0)</f>
        <v/>
      </c>
      <c r="R236">
        <f>MAX(0,N236-M236)</f>
        <v/>
      </c>
      <c r="S236">
        <f>IF(Q236-R236&gt;1E-9,Q236-R236,0)</f>
        <v/>
      </c>
      <c r="T236">
        <f>S235*$G$54</f>
        <v/>
      </c>
      <c r="U236">
        <f>IF(W235&gt;0,MAX(0,W235*(1+$G$55)-$H$55),0)</f>
        <v/>
      </c>
      <c r="V236">
        <f>MAX(0,R236-Q236)</f>
        <v/>
      </c>
      <c r="W236">
        <f>IF(U236-V236&gt;1E-9,U236-V236,0)</f>
        <v/>
      </c>
      <c r="X236">
        <f>W235*$G$55</f>
        <v/>
      </c>
      <c r="Y236">
        <f>IF(Y235&gt;1E-9,IF(Y235*(1+$G$51)-MAX($B$9,0.01*Y235+Y235*$G$51)&gt;1E-9,Y235*(1+$G$51)-MAX($B$9,0.01*Y235+Y235*$G$51),0),0)</f>
        <v/>
      </c>
      <c r="Z236">
        <f>Y235*$G$51</f>
        <v/>
      </c>
      <c r="AA236">
        <f>IF(AA235&gt;1E-9,IF(AA235*(1+$G$52)-MAX($B$9,0.01*AA235+AA235*$G$52)&gt;1E-9,AA235*(1+$G$52)-MAX($B$9,0.01*AA235+AA235*$G$52),0),0)</f>
        <v/>
      </c>
      <c r="AB236">
        <f>AA235*$G$52</f>
        <v/>
      </c>
      <c r="AC236">
        <f>IF(AC235&gt;1E-9,IF(AC235*(1+$G$53)-MAX($B$9,0.01*AC235+AC235*$G$53)&gt;1E-9,AC235*(1+$G$53)-MAX($B$9,0.01*AC235+AC235*$G$53),0),0)</f>
        <v/>
      </c>
      <c r="AD236">
        <f>AC235*$G$53</f>
        <v/>
      </c>
      <c r="AE236">
        <f>IF(AE235&gt;1E-9,IF(AE235*(1+$G$54)-MAX($B$9,0.01*AE235+AE235*$G$54)&gt;1E-9,AE235*(1+$G$54)-MAX($B$9,0.01*AE235+AE235*$G$54),0),0)</f>
        <v/>
      </c>
      <c r="AF236">
        <f>AE235*$G$54</f>
        <v/>
      </c>
      <c r="AG236">
        <f>IF(AG235&gt;1E-9,IF(AG235*(1+$G$55)-MAX($B$9,0.01*AG235+AG235*$G$55)&gt;1E-9,AG235*(1+$G$55)-MAX($B$9,0.01*AG235+AG235*$G$55),0),0)</f>
        <v/>
      </c>
      <c r="AH236">
        <f>AG235*$G$55</f>
        <v/>
      </c>
      <c r="AI236">
        <f>G236+K236+O236+S236+W236</f>
        <v/>
      </c>
      <c r="AJ236">
        <f>AI235+AK236-AI236</f>
        <v/>
      </c>
      <c r="AK236">
        <f>H236+L236+P236+T236+X236</f>
        <v/>
      </c>
      <c r="AL236">
        <f>TEXT(EDATE($B$5,D236-1),"mmm yyyy")</f>
        <v/>
      </c>
      <c r="AM236">
        <f>AI236</f>
        <v/>
      </c>
    </row>
    <row r="237">
      <c r="D237" t="n">
        <v>176</v>
      </c>
      <c r="E237">
        <f>IF(G236&gt;0,MAX(0,G236*(1+$G$51)-$H$51),0)</f>
        <v/>
      </c>
      <c r="F237">
        <f>$B$6+IF($D237=$B$8,$B$7,0)</f>
        <v/>
      </c>
      <c r="G237">
        <f>IF(E237-F237&gt;1E-9,E237-F237,0)</f>
        <v/>
      </c>
      <c r="H237">
        <f>G236*$G$51</f>
        <v/>
      </c>
      <c r="I237">
        <f>IF(K236&gt;0,MAX(0,K236*(1+$G$52)-$H$52),0)</f>
        <v/>
      </c>
      <c r="J237">
        <f>MAX(0,F237-E237)</f>
        <v/>
      </c>
      <c r="K237">
        <f>IF(I237-J237&gt;1E-9,I237-J237,0)</f>
        <v/>
      </c>
      <c r="L237">
        <f>K236*$G$52</f>
        <v/>
      </c>
      <c r="M237">
        <f>IF(O236&gt;0,MAX(0,O236*(1+$G$53)-$H$53),0)</f>
        <v/>
      </c>
      <c r="N237">
        <f>MAX(0,J237-I237)</f>
        <v/>
      </c>
      <c r="O237">
        <f>IF(M237-N237&gt;1E-9,M237-N237,0)</f>
        <v/>
      </c>
      <c r="P237">
        <f>O236*$G$53</f>
        <v/>
      </c>
      <c r="Q237">
        <f>IF(S236&gt;0,MAX(0,S236*(1+$G$54)-$H$54),0)</f>
        <v/>
      </c>
      <c r="R237">
        <f>MAX(0,N237-M237)</f>
        <v/>
      </c>
      <c r="S237">
        <f>IF(Q237-R237&gt;1E-9,Q237-R237,0)</f>
        <v/>
      </c>
      <c r="T237">
        <f>S236*$G$54</f>
        <v/>
      </c>
      <c r="U237">
        <f>IF(W236&gt;0,MAX(0,W236*(1+$G$55)-$H$55),0)</f>
        <v/>
      </c>
      <c r="V237">
        <f>MAX(0,R237-Q237)</f>
        <v/>
      </c>
      <c r="W237">
        <f>IF(U237-V237&gt;1E-9,U237-V237,0)</f>
        <v/>
      </c>
      <c r="X237">
        <f>W236*$G$55</f>
        <v/>
      </c>
      <c r="Y237">
        <f>IF(Y236&gt;1E-9,IF(Y236*(1+$G$51)-MAX($B$9,0.01*Y236+Y236*$G$51)&gt;1E-9,Y236*(1+$G$51)-MAX($B$9,0.01*Y236+Y236*$G$51),0),0)</f>
        <v/>
      </c>
      <c r="Z237">
        <f>Y236*$G$51</f>
        <v/>
      </c>
      <c r="AA237">
        <f>IF(AA236&gt;1E-9,IF(AA236*(1+$G$52)-MAX($B$9,0.01*AA236+AA236*$G$52)&gt;1E-9,AA236*(1+$G$52)-MAX($B$9,0.01*AA236+AA236*$G$52),0),0)</f>
        <v/>
      </c>
      <c r="AB237">
        <f>AA236*$G$52</f>
        <v/>
      </c>
      <c r="AC237">
        <f>IF(AC236&gt;1E-9,IF(AC236*(1+$G$53)-MAX($B$9,0.01*AC236+AC236*$G$53)&gt;1E-9,AC236*(1+$G$53)-MAX($B$9,0.01*AC236+AC236*$G$53),0),0)</f>
        <v/>
      </c>
      <c r="AD237">
        <f>AC236*$G$53</f>
        <v/>
      </c>
      <c r="AE237">
        <f>IF(AE236&gt;1E-9,IF(AE236*(1+$G$54)-MAX($B$9,0.01*AE236+AE236*$G$54)&gt;1E-9,AE236*(1+$G$54)-MAX($B$9,0.01*AE236+AE236*$G$54),0),0)</f>
        <v/>
      </c>
      <c r="AF237">
        <f>AE236*$G$54</f>
        <v/>
      </c>
      <c r="AG237">
        <f>IF(AG236&gt;1E-9,IF(AG236*(1+$G$55)-MAX($B$9,0.01*AG236+AG236*$G$55)&gt;1E-9,AG236*(1+$G$55)-MAX($B$9,0.01*AG236+AG236*$G$55),0),0)</f>
        <v/>
      </c>
      <c r="AH237">
        <f>AG236*$G$55</f>
        <v/>
      </c>
      <c r="AI237">
        <f>G237+K237+O237+S237+W237</f>
        <v/>
      </c>
      <c r="AJ237">
        <f>AI236+AK237-AI237</f>
        <v/>
      </c>
      <c r="AK237">
        <f>H237+L237+P237+T237+X237</f>
        <v/>
      </c>
      <c r="AL237">
        <f>TEXT(EDATE($B$5,D237-1),"mmm yyyy")</f>
        <v/>
      </c>
      <c r="AM237">
        <f>AI237</f>
        <v/>
      </c>
    </row>
    <row r="238">
      <c r="D238" t="n">
        <v>177</v>
      </c>
      <c r="E238">
        <f>IF(G237&gt;0,MAX(0,G237*(1+$G$51)-$H$51),0)</f>
        <v/>
      </c>
      <c r="F238">
        <f>$B$6+IF($D238=$B$8,$B$7,0)</f>
        <v/>
      </c>
      <c r="G238">
        <f>IF(E238-F238&gt;1E-9,E238-F238,0)</f>
        <v/>
      </c>
      <c r="H238">
        <f>G237*$G$51</f>
        <v/>
      </c>
      <c r="I238">
        <f>IF(K237&gt;0,MAX(0,K237*(1+$G$52)-$H$52),0)</f>
        <v/>
      </c>
      <c r="J238">
        <f>MAX(0,F238-E238)</f>
        <v/>
      </c>
      <c r="K238">
        <f>IF(I238-J238&gt;1E-9,I238-J238,0)</f>
        <v/>
      </c>
      <c r="L238">
        <f>K237*$G$52</f>
        <v/>
      </c>
      <c r="M238">
        <f>IF(O237&gt;0,MAX(0,O237*(1+$G$53)-$H$53),0)</f>
        <v/>
      </c>
      <c r="N238">
        <f>MAX(0,J238-I238)</f>
        <v/>
      </c>
      <c r="O238">
        <f>IF(M238-N238&gt;1E-9,M238-N238,0)</f>
        <v/>
      </c>
      <c r="P238">
        <f>O237*$G$53</f>
        <v/>
      </c>
      <c r="Q238">
        <f>IF(S237&gt;0,MAX(0,S237*(1+$G$54)-$H$54),0)</f>
        <v/>
      </c>
      <c r="R238">
        <f>MAX(0,N238-M238)</f>
        <v/>
      </c>
      <c r="S238">
        <f>IF(Q238-R238&gt;1E-9,Q238-R238,0)</f>
        <v/>
      </c>
      <c r="T238">
        <f>S237*$G$54</f>
        <v/>
      </c>
      <c r="U238">
        <f>IF(W237&gt;0,MAX(0,W237*(1+$G$55)-$H$55),0)</f>
        <v/>
      </c>
      <c r="V238">
        <f>MAX(0,R238-Q238)</f>
        <v/>
      </c>
      <c r="W238">
        <f>IF(U238-V238&gt;1E-9,U238-V238,0)</f>
        <v/>
      </c>
      <c r="X238">
        <f>W237*$G$55</f>
        <v/>
      </c>
      <c r="Y238">
        <f>IF(Y237&gt;1E-9,IF(Y237*(1+$G$51)-MAX($B$9,0.01*Y237+Y237*$G$51)&gt;1E-9,Y237*(1+$G$51)-MAX($B$9,0.01*Y237+Y237*$G$51),0),0)</f>
        <v/>
      </c>
      <c r="Z238">
        <f>Y237*$G$51</f>
        <v/>
      </c>
      <c r="AA238">
        <f>IF(AA237&gt;1E-9,IF(AA237*(1+$G$52)-MAX($B$9,0.01*AA237+AA237*$G$52)&gt;1E-9,AA237*(1+$G$52)-MAX($B$9,0.01*AA237+AA237*$G$52),0),0)</f>
        <v/>
      </c>
      <c r="AB238">
        <f>AA237*$G$52</f>
        <v/>
      </c>
      <c r="AC238">
        <f>IF(AC237&gt;1E-9,IF(AC237*(1+$G$53)-MAX($B$9,0.01*AC237+AC237*$G$53)&gt;1E-9,AC237*(1+$G$53)-MAX($B$9,0.01*AC237+AC237*$G$53),0),0)</f>
        <v/>
      </c>
      <c r="AD238">
        <f>AC237*$G$53</f>
        <v/>
      </c>
      <c r="AE238">
        <f>IF(AE237&gt;1E-9,IF(AE237*(1+$G$54)-MAX($B$9,0.01*AE237+AE237*$G$54)&gt;1E-9,AE237*(1+$G$54)-MAX($B$9,0.01*AE237+AE237*$G$54),0),0)</f>
        <v/>
      </c>
      <c r="AF238">
        <f>AE237*$G$54</f>
        <v/>
      </c>
      <c r="AG238">
        <f>IF(AG237&gt;1E-9,IF(AG237*(1+$G$55)-MAX($B$9,0.01*AG237+AG237*$G$55)&gt;1E-9,AG237*(1+$G$55)-MAX($B$9,0.01*AG237+AG237*$G$55),0),0)</f>
        <v/>
      </c>
      <c r="AH238">
        <f>AG237*$G$55</f>
        <v/>
      </c>
      <c r="AI238">
        <f>G238+K238+O238+S238+W238</f>
        <v/>
      </c>
      <c r="AJ238">
        <f>AI237+AK238-AI238</f>
        <v/>
      </c>
      <c r="AK238">
        <f>H238+L238+P238+T238+X238</f>
        <v/>
      </c>
      <c r="AL238">
        <f>TEXT(EDATE($B$5,D238-1),"mmm yyyy")</f>
        <v/>
      </c>
      <c r="AM238">
        <f>AI238</f>
        <v/>
      </c>
    </row>
    <row r="239">
      <c r="D239" t="n">
        <v>178</v>
      </c>
      <c r="E239">
        <f>IF(G238&gt;0,MAX(0,G238*(1+$G$51)-$H$51),0)</f>
        <v/>
      </c>
      <c r="F239">
        <f>$B$6+IF($D239=$B$8,$B$7,0)</f>
        <v/>
      </c>
      <c r="G239">
        <f>IF(E239-F239&gt;1E-9,E239-F239,0)</f>
        <v/>
      </c>
      <c r="H239">
        <f>G238*$G$51</f>
        <v/>
      </c>
      <c r="I239">
        <f>IF(K238&gt;0,MAX(0,K238*(1+$G$52)-$H$52),0)</f>
        <v/>
      </c>
      <c r="J239">
        <f>MAX(0,F239-E239)</f>
        <v/>
      </c>
      <c r="K239">
        <f>IF(I239-J239&gt;1E-9,I239-J239,0)</f>
        <v/>
      </c>
      <c r="L239">
        <f>K238*$G$52</f>
        <v/>
      </c>
      <c r="M239">
        <f>IF(O238&gt;0,MAX(0,O238*(1+$G$53)-$H$53),0)</f>
        <v/>
      </c>
      <c r="N239">
        <f>MAX(0,J239-I239)</f>
        <v/>
      </c>
      <c r="O239">
        <f>IF(M239-N239&gt;1E-9,M239-N239,0)</f>
        <v/>
      </c>
      <c r="P239">
        <f>O238*$G$53</f>
        <v/>
      </c>
      <c r="Q239">
        <f>IF(S238&gt;0,MAX(0,S238*(1+$G$54)-$H$54),0)</f>
        <v/>
      </c>
      <c r="R239">
        <f>MAX(0,N239-M239)</f>
        <v/>
      </c>
      <c r="S239">
        <f>IF(Q239-R239&gt;1E-9,Q239-R239,0)</f>
        <v/>
      </c>
      <c r="T239">
        <f>S238*$G$54</f>
        <v/>
      </c>
      <c r="U239">
        <f>IF(W238&gt;0,MAX(0,W238*(1+$G$55)-$H$55),0)</f>
        <v/>
      </c>
      <c r="V239">
        <f>MAX(0,R239-Q239)</f>
        <v/>
      </c>
      <c r="W239">
        <f>IF(U239-V239&gt;1E-9,U239-V239,0)</f>
        <v/>
      </c>
      <c r="X239">
        <f>W238*$G$55</f>
        <v/>
      </c>
      <c r="Y239">
        <f>IF(Y238&gt;1E-9,IF(Y238*(1+$G$51)-MAX($B$9,0.01*Y238+Y238*$G$51)&gt;1E-9,Y238*(1+$G$51)-MAX($B$9,0.01*Y238+Y238*$G$51),0),0)</f>
        <v/>
      </c>
      <c r="Z239">
        <f>Y238*$G$51</f>
        <v/>
      </c>
      <c r="AA239">
        <f>IF(AA238&gt;1E-9,IF(AA238*(1+$G$52)-MAX($B$9,0.01*AA238+AA238*$G$52)&gt;1E-9,AA238*(1+$G$52)-MAX($B$9,0.01*AA238+AA238*$G$52),0),0)</f>
        <v/>
      </c>
      <c r="AB239">
        <f>AA238*$G$52</f>
        <v/>
      </c>
      <c r="AC239">
        <f>IF(AC238&gt;1E-9,IF(AC238*(1+$G$53)-MAX($B$9,0.01*AC238+AC238*$G$53)&gt;1E-9,AC238*(1+$G$53)-MAX($B$9,0.01*AC238+AC238*$G$53),0),0)</f>
        <v/>
      </c>
      <c r="AD239">
        <f>AC238*$G$53</f>
        <v/>
      </c>
      <c r="AE239">
        <f>IF(AE238&gt;1E-9,IF(AE238*(1+$G$54)-MAX($B$9,0.01*AE238+AE238*$G$54)&gt;1E-9,AE238*(1+$G$54)-MAX($B$9,0.01*AE238+AE238*$G$54),0),0)</f>
        <v/>
      </c>
      <c r="AF239">
        <f>AE238*$G$54</f>
        <v/>
      </c>
      <c r="AG239">
        <f>IF(AG238&gt;1E-9,IF(AG238*(1+$G$55)-MAX($B$9,0.01*AG238+AG238*$G$55)&gt;1E-9,AG238*(1+$G$55)-MAX($B$9,0.01*AG238+AG238*$G$55),0),0)</f>
        <v/>
      </c>
      <c r="AH239">
        <f>AG238*$G$55</f>
        <v/>
      </c>
      <c r="AI239">
        <f>G239+K239+O239+S239+W239</f>
        <v/>
      </c>
      <c r="AJ239">
        <f>AI238+AK239-AI239</f>
        <v/>
      </c>
      <c r="AK239">
        <f>H239+L239+P239+T239+X239</f>
        <v/>
      </c>
      <c r="AL239">
        <f>TEXT(EDATE($B$5,D239-1),"mmm yyyy")</f>
        <v/>
      </c>
      <c r="AM239">
        <f>AI239</f>
        <v/>
      </c>
    </row>
    <row r="240">
      <c r="D240" t="n">
        <v>179</v>
      </c>
      <c r="E240">
        <f>IF(G239&gt;0,MAX(0,G239*(1+$G$51)-$H$51),0)</f>
        <v/>
      </c>
      <c r="F240">
        <f>$B$6+IF($D240=$B$8,$B$7,0)</f>
        <v/>
      </c>
      <c r="G240">
        <f>IF(E240-F240&gt;1E-9,E240-F240,0)</f>
        <v/>
      </c>
      <c r="H240">
        <f>G239*$G$51</f>
        <v/>
      </c>
      <c r="I240">
        <f>IF(K239&gt;0,MAX(0,K239*(1+$G$52)-$H$52),0)</f>
        <v/>
      </c>
      <c r="J240">
        <f>MAX(0,F240-E240)</f>
        <v/>
      </c>
      <c r="K240">
        <f>IF(I240-J240&gt;1E-9,I240-J240,0)</f>
        <v/>
      </c>
      <c r="L240">
        <f>K239*$G$52</f>
        <v/>
      </c>
      <c r="M240">
        <f>IF(O239&gt;0,MAX(0,O239*(1+$G$53)-$H$53),0)</f>
        <v/>
      </c>
      <c r="N240">
        <f>MAX(0,J240-I240)</f>
        <v/>
      </c>
      <c r="O240">
        <f>IF(M240-N240&gt;1E-9,M240-N240,0)</f>
        <v/>
      </c>
      <c r="P240">
        <f>O239*$G$53</f>
        <v/>
      </c>
      <c r="Q240">
        <f>IF(S239&gt;0,MAX(0,S239*(1+$G$54)-$H$54),0)</f>
        <v/>
      </c>
      <c r="R240">
        <f>MAX(0,N240-M240)</f>
        <v/>
      </c>
      <c r="S240">
        <f>IF(Q240-R240&gt;1E-9,Q240-R240,0)</f>
        <v/>
      </c>
      <c r="T240">
        <f>S239*$G$54</f>
        <v/>
      </c>
      <c r="U240">
        <f>IF(W239&gt;0,MAX(0,W239*(1+$G$55)-$H$55),0)</f>
        <v/>
      </c>
      <c r="V240">
        <f>MAX(0,R240-Q240)</f>
        <v/>
      </c>
      <c r="W240">
        <f>IF(U240-V240&gt;1E-9,U240-V240,0)</f>
        <v/>
      </c>
      <c r="X240">
        <f>W239*$G$55</f>
        <v/>
      </c>
      <c r="Y240">
        <f>IF(Y239&gt;1E-9,IF(Y239*(1+$G$51)-MAX($B$9,0.01*Y239+Y239*$G$51)&gt;1E-9,Y239*(1+$G$51)-MAX($B$9,0.01*Y239+Y239*$G$51),0),0)</f>
        <v/>
      </c>
      <c r="Z240">
        <f>Y239*$G$51</f>
        <v/>
      </c>
      <c r="AA240">
        <f>IF(AA239&gt;1E-9,IF(AA239*(1+$G$52)-MAX($B$9,0.01*AA239+AA239*$G$52)&gt;1E-9,AA239*(1+$G$52)-MAX($B$9,0.01*AA239+AA239*$G$52),0),0)</f>
        <v/>
      </c>
      <c r="AB240">
        <f>AA239*$G$52</f>
        <v/>
      </c>
      <c r="AC240">
        <f>IF(AC239&gt;1E-9,IF(AC239*(1+$G$53)-MAX($B$9,0.01*AC239+AC239*$G$53)&gt;1E-9,AC239*(1+$G$53)-MAX($B$9,0.01*AC239+AC239*$G$53),0),0)</f>
        <v/>
      </c>
      <c r="AD240">
        <f>AC239*$G$53</f>
        <v/>
      </c>
      <c r="AE240">
        <f>IF(AE239&gt;1E-9,IF(AE239*(1+$G$54)-MAX($B$9,0.01*AE239+AE239*$G$54)&gt;1E-9,AE239*(1+$G$54)-MAX($B$9,0.01*AE239+AE239*$G$54),0),0)</f>
        <v/>
      </c>
      <c r="AF240">
        <f>AE239*$G$54</f>
        <v/>
      </c>
      <c r="AG240">
        <f>IF(AG239&gt;1E-9,IF(AG239*(1+$G$55)-MAX($B$9,0.01*AG239+AG239*$G$55)&gt;1E-9,AG239*(1+$G$55)-MAX($B$9,0.01*AG239+AG239*$G$55),0),0)</f>
        <v/>
      </c>
      <c r="AH240">
        <f>AG239*$G$55</f>
        <v/>
      </c>
      <c r="AI240">
        <f>G240+K240+O240+S240+W240</f>
        <v/>
      </c>
      <c r="AJ240">
        <f>AI239+AK240-AI240</f>
        <v/>
      </c>
      <c r="AK240">
        <f>H240+L240+P240+T240+X240</f>
        <v/>
      </c>
      <c r="AL240">
        <f>TEXT(EDATE($B$5,D240-1),"mmm yyyy")</f>
        <v/>
      </c>
      <c r="AM240">
        <f>AI240</f>
        <v/>
      </c>
    </row>
    <row r="241">
      <c r="D241" t="n">
        <v>180</v>
      </c>
      <c r="E241">
        <f>IF(G240&gt;0,MAX(0,G240*(1+$G$51)-$H$51),0)</f>
        <v/>
      </c>
      <c r="F241">
        <f>$B$6+IF($D241=$B$8,$B$7,0)</f>
        <v/>
      </c>
      <c r="G241">
        <f>IF(E241-F241&gt;1E-9,E241-F241,0)</f>
        <v/>
      </c>
      <c r="H241">
        <f>G240*$G$51</f>
        <v/>
      </c>
      <c r="I241">
        <f>IF(K240&gt;0,MAX(0,K240*(1+$G$52)-$H$52),0)</f>
        <v/>
      </c>
      <c r="J241">
        <f>MAX(0,F241-E241)</f>
        <v/>
      </c>
      <c r="K241">
        <f>IF(I241-J241&gt;1E-9,I241-J241,0)</f>
        <v/>
      </c>
      <c r="L241">
        <f>K240*$G$52</f>
        <v/>
      </c>
      <c r="M241">
        <f>IF(O240&gt;0,MAX(0,O240*(1+$G$53)-$H$53),0)</f>
        <v/>
      </c>
      <c r="N241">
        <f>MAX(0,J241-I241)</f>
        <v/>
      </c>
      <c r="O241">
        <f>IF(M241-N241&gt;1E-9,M241-N241,0)</f>
        <v/>
      </c>
      <c r="P241">
        <f>O240*$G$53</f>
        <v/>
      </c>
      <c r="Q241">
        <f>IF(S240&gt;0,MAX(0,S240*(1+$G$54)-$H$54),0)</f>
        <v/>
      </c>
      <c r="R241">
        <f>MAX(0,N241-M241)</f>
        <v/>
      </c>
      <c r="S241">
        <f>IF(Q241-R241&gt;1E-9,Q241-R241,0)</f>
        <v/>
      </c>
      <c r="T241">
        <f>S240*$G$54</f>
        <v/>
      </c>
      <c r="U241">
        <f>IF(W240&gt;0,MAX(0,W240*(1+$G$55)-$H$55),0)</f>
        <v/>
      </c>
      <c r="V241">
        <f>MAX(0,R241-Q241)</f>
        <v/>
      </c>
      <c r="W241">
        <f>IF(U241-V241&gt;1E-9,U241-V241,0)</f>
        <v/>
      </c>
      <c r="X241">
        <f>W240*$G$55</f>
        <v/>
      </c>
      <c r="Y241">
        <f>IF(Y240&gt;1E-9,IF(Y240*(1+$G$51)-MAX($B$9,0.01*Y240+Y240*$G$51)&gt;1E-9,Y240*(1+$G$51)-MAX($B$9,0.01*Y240+Y240*$G$51),0),0)</f>
        <v/>
      </c>
      <c r="Z241">
        <f>Y240*$G$51</f>
        <v/>
      </c>
      <c r="AA241">
        <f>IF(AA240&gt;1E-9,IF(AA240*(1+$G$52)-MAX($B$9,0.01*AA240+AA240*$G$52)&gt;1E-9,AA240*(1+$G$52)-MAX($B$9,0.01*AA240+AA240*$G$52),0),0)</f>
        <v/>
      </c>
      <c r="AB241">
        <f>AA240*$G$52</f>
        <v/>
      </c>
      <c r="AC241">
        <f>IF(AC240&gt;1E-9,IF(AC240*(1+$G$53)-MAX($B$9,0.01*AC240+AC240*$G$53)&gt;1E-9,AC240*(1+$G$53)-MAX($B$9,0.01*AC240+AC240*$G$53),0),0)</f>
        <v/>
      </c>
      <c r="AD241">
        <f>AC240*$G$53</f>
        <v/>
      </c>
      <c r="AE241">
        <f>IF(AE240&gt;1E-9,IF(AE240*(1+$G$54)-MAX($B$9,0.01*AE240+AE240*$G$54)&gt;1E-9,AE240*(1+$G$54)-MAX($B$9,0.01*AE240+AE240*$G$54),0),0)</f>
        <v/>
      </c>
      <c r="AF241">
        <f>AE240*$G$54</f>
        <v/>
      </c>
      <c r="AG241">
        <f>IF(AG240&gt;1E-9,IF(AG240*(1+$G$55)-MAX($B$9,0.01*AG240+AG240*$G$55)&gt;1E-9,AG240*(1+$G$55)-MAX($B$9,0.01*AG240+AG240*$G$55),0),0)</f>
        <v/>
      </c>
      <c r="AH241">
        <f>AG240*$G$55</f>
        <v/>
      </c>
      <c r="AI241">
        <f>G241+K241+O241+S241+W241</f>
        <v/>
      </c>
      <c r="AJ241">
        <f>AI240+AK241-AI241</f>
        <v/>
      </c>
      <c r="AK241">
        <f>H241+L241+P241+T241+X241</f>
        <v/>
      </c>
      <c r="AL241">
        <f>TEXT(EDATE($B$5,D241-1),"mmm yyyy")</f>
        <v/>
      </c>
      <c r="AM241">
        <f>AI241</f>
        <v/>
      </c>
    </row>
    <row r="242">
      <c r="D242" t="n">
        <v>181</v>
      </c>
      <c r="E242">
        <f>IF(G241&gt;0,MAX(0,G241*(1+$G$51)-$H$51),0)</f>
        <v/>
      </c>
      <c r="F242">
        <f>$B$6+IF($D242=$B$8,$B$7,0)</f>
        <v/>
      </c>
      <c r="G242">
        <f>IF(E242-F242&gt;1E-9,E242-F242,0)</f>
        <v/>
      </c>
      <c r="H242">
        <f>G241*$G$51</f>
        <v/>
      </c>
      <c r="I242">
        <f>IF(K241&gt;0,MAX(0,K241*(1+$G$52)-$H$52),0)</f>
        <v/>
      </c>
      <c r="J242">
        <f>MAX(0,F242-E242)</f>
        <v/>
      </c>
      <c r="K242">
        <f>IF(I242-J242&gt;1E-9,I242-J242,0)</f>
        <v/>
      </c>
      <c r="L242">
        <f>K241*$G$52</f>
        <v/>
      </c>
      <c r="M242">
        <f>IF(O241&gt;0,MAX(0,O241*(1+$G$53)-$H$53),0)</f>
        <v/>
      </c>
      <c r="N242">
        <f>MAX(0,J242-I242)</f>
        <v/>
      </c>
      <c r="O242">
        <f>IF(M242-N242&gt;1E-9,M242-N242,0)</f>
        <v/>
      </c>
      <c r="P242">
        <f>O241*$G$53</f>
        <v/>
      </c>
      <c r="Q242">
        <f>IF(S241&gt;0,MAX(0,S241*(1+$G$54)-$H$54),0)</f>
        <v/>
      </c>
      <c r="R242">
        <f>MAX(0,N242-M242)</f>
        <v/>
      </c>
      <c r="S242">
        <f>IF(Q242-R242&gt;1E-9,Q242-R242,0)</f>
        <v/>
      </c>
      <c r="T242">
        <f>S241*$G$54</f>
        <v/>
      </c>
      <c r="U242">
        <f>IF(W241&gt;0,MAX(0,W241*(1+$G$55)-$H$55),0)</f>
        <v/>
      </c>
      <c r="V242">
        <f>MAX(0,R242-Q242)</f>
        <v/>
      </c>
      <c r="W242">
        <f>IF(U242-V242&gt;1E-9,U242-V242,0)</f>
        <v/>
      </c>
      <c r="X242">
        <f>W241*$G$55</f>
        <v/>
      </c>
      <c r="Y242">
        <f>IF(Y241&gt;1E-9,IF(Y241*(1+$G$51)-MAX($B$9,0.01*Y241+Y241*$G$51)&gt;1E-9,Y241*(1+$G$51)-MAX($B$9,0.01*Y241+Y241*$G$51),0),0)</f>
        <v/>
      </c>
      <c r="Z242">
        <f>Y241*$G$51</f>
        <v/>
      </c>
      <c r="AA242">
        <f>IF(AA241&gt;1E-9,IF(AA241*(1+$G$52)-MAX($B$9,0.01*AA241+AA241*$G$52)&gt;1E-9,AA241*(1+$G$52)-MAX($B$9,0.01*AA241+AA241*$G$52),0),0)</f>
        <v/>
      </c>
      <c r="AB242">
        <f>AA241*$G$52</f>
        <v/>
      </c>
      <c r="AC242">
        <f>IF(AC241&gt;1E-9,IF(AC241*(1+$G$53)-MAX($B$9,0.01*AC241+AC241*$G$53)&gt;1E-9,AC241*(1+$G$53)-MAX($B$9,0.01*AC241+AC241*$G$53),0),0)</f>
        <v/>
      </c>
      <c r="AD242">
        <f>AC241*$G$53</f>
        <v/>
      </c>
      <c r="AE242">
        <f>IF(AE241&gt;1E-9,IF(AE241*(1+$G$54)-MAX($B$9,0.01*AE241+AE241*$G$54)&gt;1E-9,AE241*(1+$G$54)-MAX($B$9,0.01*AE241+AE241*$G$54),0),0)</f>
        <v/>
      </c>
      <c r="AF242">
        <f>AE241*$G$54</f>
        <v/>
      </c>
      <c r="AG242">
        <f>IF(AG241&gt;1E-9,IF(AG241*(1+$G$55)-MAX($B$9,0.01*AG241+AG241*$G$55)&gt;1E-9,AG241*(1+$G$55)-MAX($B$9,0.01*AG241+AG241*$G$55),0),0)</f>
        <v/>
      </c>
      <c r="AH242">
        <f>AG241*$G$55</f>
        <v/>
      </c>
      <c r="AI242">
        <f>G242+K242+O242+S242+W242</f>
        <v/>
      </c>
      <c r="AJ242">
        <f>AI241+AK242-AI242</f>
        <v/>
      </c>
      <c r="AK242">
        <f>H242+L242+P242+T242+X242</f>
        <v/>
      </c>
      <c r="AL242">
        <f>TEXT(EDATE($B$5,D242-1),"mmm yyyy")</f>
        <v/>
      </c>
      <c r="AM242">
        <f>AI242</f>
        <v/>
      </c>
    </row>
    <row r="243">
      <c r="D243" t="n">
        <v>182</v>
      </c>
      <c r="E243">
        <f>IF(G242&gt;0,MAX(0,G242*(1+$G$51)-$H$51),0)</f>
        <v/>
      </c>
      <c r="F243">
        <f>$B$6+IF($D243=$B$8,$B$7,0)</f>
        <v/>
      </c>
      <c r="G243">
        <f>IF(E243-F243&gt;1E-9,E243-F243,0)</f>
        <v/>
      </c>
      <c r="H243">
        <f>G242*$G$51</f>
        <v/>
      </c>
      <c r="I243">
        <f>IF(K242&gt;0,MAX(0,K242*(1+$G$52)-$H$52),0)</f>
        <v/>
      </c>
      <c r="J243">
        <f>MAX(0,F243-E243)</f>
        <v/>
      </c>
      <c r="K243">
        <f>IF(I243-J243&gt;1E-9,I243-J243,0)</f>
        <v/>
      </c>
      <c r="L243">
        <f>K242*$G$52</f>
        <v/>
      </c>
      <c r="M243">
        <f>IF(O242&gt;0,MAX(0,O242*(1+$G$53)-$H$53),0)</f>
        <v/>
      </c>
      <c r="N243">
        <f>MAX(0,J243-I243)</f>
        <v/>
      </c>
      <c r="O243">
        <f>IF(M243-N243&gt;1E-9,M243-N243,0)</f>
        <v/>
      </c>
      <c r="P243">
        <f>O242*$G$53</f>
        <v/>
      </c>
      <c r="Q243">
        <f>IF(S242&gt;0,MAX(0,S242*(1+$G$54)-$H$54),0)</f>
        <v/>
      </c>
      <c r="R243">
        <f>MAX(0,N243-M243)</f>
        <v/>
      </c>
      <c r="S243">
        <f>IF(Q243-R243&gt;1E-9,Q243-R243,0)</f>
        <v/>
      </c>
      <c r="T243">
        <f>S242*$G$54</f>
        <v/>
      </c>
      <c r="U243">
        <f>IF(W242&gt;0,MAX(0,W242*(1+$G$55)-$H$55),0)</f>
        <v/>
      </c>
      <c r="V243">
        <f>MAX(0,R243-Q243)</f>
        <v/>
      </c>
      <c r="W243">
        <f>IF(U243-V243&gt;1E-9,U243-V243,0)</f>
        <v/>
      </c>
      <c r="X243">
        <f>W242*$G$55</f>
        <v/>
      </c>
      <c r="Y243">
        <f>IF(Y242&gt;1E-9,IF(Y242*(1+$G$51)-MAX($B$9,0.01*Y242+Y242*$G$51)&gt;1E-9,Y242*(1+$G$51)-MAX($B$9,0.01*Y242+Y242*$G$51),0),0)</f>
        <v/>
      </c>
      <c r="Z243">
        <f>Y242*$G$51</f>
        <v/>
      </c>
      <c r="AA243">
        <f>IF(AA242&gt;1E-9,IF(AA242*(1+$G$52)-MAX($B$9,0.01*AA242+AA242*$G$52)&gt;1E-9,AA242*(1+$G$52)-MAX($B$9,0.01*AA242+AA242*$G$52),0),0)</f>
        <v/>
      </c>
      <c r="AB243">
        <f>AA242*$G$52</f>
        <v/>
      </c>
      <c r="AC243">
        <f>IF(AC242&gt;1E-9,IF(AC242*(1+$G$53)-MAX($B$9,0.01*AC242+AC242*$G$53)&gt;1E-9,AC242*(1+$G$53)-MAX($B$9,0.01*AC242+AC242*$G$53),0),0)</f>
        <v/>
      </c>
      <c r="AD243">
        <f>AC242*$G$53</f>
        <v/>
      </c>
      <c r="AE243">
        <f>IF(AE242&gt;1E-9,IF(AE242*(1+$G$54)-MAX($B$9,0.01*AE242+AE242*$G$54)&gt;1E-9,AE242*(1+$G$54)-MAX($B$9,0.01*AE242+AE242*$G$54),0),0)</f>
        <v/>
      </c>
      <c r="AF243">
        <f>AE242*$G$54</f>
        <v/>
      </c>
      <c r="AG243">
        <f>IF(AG242&gt;1E-9,IF(AG242*(1+$G$55)-MAX($B$9,0.01*AG242+AG242*$G$55)&gt;1E-9,AG242*(1+$G$55)-MAX($B$9,0.01*AG242+AG242*$G$55),0),0)</f>
        <v/>
      </c>
      <c r="AH243">
        <f>AG242*$G$55</f>
        <v/>
      </c>
      <c r="AI243">
        <f>G243+K243+O243+S243+W243</f>
        <v/>
      </c>
      <c r="AJ243">
        <f>AI242+AK243-AI243</f>
        <v/>
      </c>
      <c r="AK243">
        <f>H243+L243+P243+T243+X243</f>
        <v/>
      </c>
      <c r="AL243">
        <f>TEXT(EDATE($B$5,D243-1),"mmm yyyy")</f>
        <v/>
      </c>
      <c r="AM243">
        <f>AI243</f>
        <v/>
      </c>
    </row>
    <row r="244">
      <c r="D244" t="n">
        <v>183</v>
      </c>
      <c r="E244">
        <f>IF(G243&gt;0,MAX(0,G243*(1+$G$51)-$H$51),0)</f>
        <v/>
      </c>
      <c r="F244">
        <f>$B$6+IF($D244=$B$8,$B$7,0)</f>
        <v/>
      </c>
      <c r="G244">
        <f>IF(E244-F244&gt;1E-9,E244-F244,0)</f>
        <v/>
      </c>
      <c r="H244">
        <f>G243*$G$51</f>
        <v/>
      </c>
      <c r="I244">
        <f>IF(K243&gt;0,MAX(0,K243*(1+$G$52)-$H$52),0)</f>
        <v/>
      </c>
      <c r="J244">
        <f>MAX(0,F244-E244)</f>
        <v/>
      </c>
      <c r="K244">
        <f>IF(I244-J244&gt;1E-9,I244-J244,0)</f>
        <v/>
      </c>
      <c r="L244">
        <f>K243*$G$52</f>
        <v/>
      </c>
      <c r="M244">
        <f>IF(O243&gt;0,MAX(0,O243*(1+$G$53)-$H$53),0)</f>
        <v/>
      </c>
      <c r="N244">
        <f>MAX(0,J244-I244)</f>
        <v/>
      </c>
      <c r="O244">
        <f>IF(M244-N244&gt;1E-9,M244-N244,0)</f>
        <v/>
      </c>
      <c r="P244">
        <f>O243*$G$53</f>
        <v/>
      </c>
      <c r="Q244">
        <f>IF(S243&gt;0,MAX(0,S243*(1+$G$54)-$H$54),0)</f>
        <v/>
      </c>
      <c r="R244">
        <f>MAX(0,N244-M244)</f>
        <v/>
      </c>
      <c r="S244">
        <f>IF(Q244-R244&gt;1E-9,Q244-R244,0)</f>
        <v/>
      </c>
      <c r="T244">
        <f>S243*$G$54</f>
        <v/>
      </c>
      <c r="U244">
        <f>IF(W243&gt;0,MAX(0,W243*(1+$G$55)-$H$55),0)</f>
        <v/>
      </c>
      <c r="V244">
        <f>MAX(0,R244-Q244)</f>
        <v/>
      </c>
      <c r="W244">
        <f>IF(U244-V244&gt;1E-9,U244-V244,0)</f>
        <v/>
      </c>
      <c r="X244">
        <f>W243*$G$55</f>
        <v/>
      </c>
      <c r="Y244">
        <f>IF(Y243&gt;1E-9,IF(Y243*(1+$G$51)-MAX($B$9,0.01*Y243+Y243*$G$51)&gt;1E-9,Y243*(1+$G$51)-MAX($B$9,0.01*Y243+Y243*$G$51),0),0)</f>
        <v/>
      </c>
      <c r="Z244">
        <f>Y243*$G$51</f>
        <v/>
      </c>
      <c r="AA244">
        <f>IF(AA243&gt;1E-9,IF(AA243*(1+$G$52)-MAX($B$9,0.01*AA243+AA243*$G$52)&gt;1E-9,AA243*(1+$G$52)-MAX($B$9,0.01*AA243+AA243*$G$52),0),0)</f>
        <v/>
      </c>
      <c r="AB244">
        <f>AA243*$G$52</f>
        <v/>
      </c>
      <c r="AC244">
        <f>IF(AC243&gt;1E-9,IF(AC243*(1+$G$53)-MAX($B$9,0.01*AC243+AC243*$G$53)&gt;1E-9,AC243*(1+$G$53)-MAX($B$9,0.01*AC243+AC243*$G$53),0),0)</f>
        <v/>
      </c>
      <c r="AD244">
        <f>AC243*$G$53</f>
        <v/>
      </c>
      <c r="AE244">
        <f>IF(AE243&gt;1E-9,IF(AE243*(1+$G$54)-MAX($B$9,0.01*AE243+AE243*$G$54)&gt;1E-9,AE243*(1+$G$54)-MAX($B$9,0.01*AE243+AE243*$G$54),0),0)</f>
        <v/>
      </c>
      <c r="AF244">
        <f>AE243*$G$54</f>
        <v/>
      </c>
      <c r="AG244">
        <f>IF(AG243&gt;1E-9,IF(AG243*(1+$G$55)-MAX($B$9,0.01*AG243+AG243*$G$55)&gt;1E-9,AG243*(1+$G$55)-MAX($B$9,0.01*AG243+AG243*$G$55),0),0)</f>
        <v/>
      </c>
      <c r="AH244">
        <f>AG243*$G$55</f>
        <v/>
      </c>
      <c r="AI244">
        <f>G244+K244+O244+S244+W244</f>
        <v/>
      </c>
      <c r="AJ244">
        <f>AI243+AK244-AI244</f>
        <v/>
      </c>
      <c r="AK244">
        <f>H244+L244+P244+T244+X244</f>
        <v/>
      </c>
      <c r="AL244">
        <f>TEXT(EDATE($B$5,D244-1),"mmm yyyy")</f>
        <v/>
      </c>
      <c r="AM244">
        <f>AI244</f>
        <v/>
      </c>
    </row>
    <row r="245">
      <c r="D245" t="n">
        <v>184</v>
      </c>
      <c r="E245">
        <f>IF(G244&gt;0,MAX(0,G244*(1+$G$51)-$H$51),0)</f>
        <v/>
      </c>
      <c r="F245">
        <f>$B$6+IF($D245=$B$8,$B$7,0)</f>
        <v/>
      </c>
      <c r="G245">
        <f>IF(E245-F245&gt;1E-9,E245-F245,0)</f>
        <v/>
      </c>
      <c r="H245">
        <f>G244*$G$51</f>
        <v/>
      </c>
      <c r="I245">
        <f>IF(K244&gt;0,MAX(0,K244*(1+$G$52)-$H$52),0)</f>
        <v/>
      </c>
      <c r="J245">
        <f>MAX(0,F245-E245)</f>
        <v/>
      </c>
      <c r="K245">
        <f>IF(I245-J245&gt;1E-9,I245-J245,0)</f>
        <v/>
      </c>
      <c r="L245">
        <f>K244*$G$52</f>
        <v/>
      </c>
      <c r="M245">
        <f>IF(O244&gt;0,MAX(0,O244*(1+$G$53)-$H$53),0)</f>
        <v/>
      </c>
      <c r="N245">
        <f>MAX(0,J245-I245)</f>
        <v/>
      </c>
      <c r="O245">
        <f>IF(M245-N245&gt;1E-9,M245-N245,0)</f>
        <v/>
      </c>
      <c r="P245">
        <f>O244*$G$53</f>
        <v/>
      </c>
      <c r="Q245">
        <f>IF(S244&gt;0,MAX(0,S244*(1+$G$54)-$H$54),0)</f>
        <v/>
      </c>
      <c r="R245">
        <f>MAX(0,N245-M245)</f>
        <v/>
      </c>
      <c r="S245">
        <f>IF(Q245-R245&gt;1E-9,Q245-R245,0)</f>
        <v/>
      </c>
      <c r="T245">
        <f>S244*$G$54</f>
        <v/>
      </c>
      <c r="U245">
        <f>IF(W244&gt;0,MAX(0,W244*(1+$G$55)-$H$55),0)</f>
        <v/>
      </c>
      <c r="V245">
        <f>MAX(0,R245-Q245)</f>
        <v/>
      </c>
      <c r="W245">
        <f>IF(U245-V245&gt;1E-9,U245-V245,0)</f>
        <v/>
      </c>
      <c r="X245">
        <f>W244*$G$55</f>
        <v/>
      </c>
      <c r="Y245">
        <f>IF(Y244&gt;1E-9,IF(Y244*(1+$G$51)-MAX($B$9,0.01*Y244+Y244*$G$51)&gt;1E-9,Y244*(1+$G$51)-MAX($B$9,0.01*Y244+Y244*$G$51),0),0)</f>
        <v/>
      </c>
      <c r="Z245">
        <f>Y244*$G$51</f>
        <v/>
      </c>
      <c r="AA245">
        <f>IF(AA244&gt;1E-9,IF(AA244*(1+$G$52)-MAX($B$9,0.01*AA244+AA244*$G$52)&gt;1E-9,AA244*(1+$G$52)-MAX($B$9,0.01*AA244+AA244*$G$52),0),0)</f>
        <v/>
      </c>
      <c r="AB245">
        <f>AA244*$G$52</f>
        <v/>
      </c>
      <c r="AC245">
        <f>IF(AC244&gt;1E-9,IF(AC244*(1+$G$53)-MAX($B$9,0.01*AC244+AC244*$G$53)&gt;1E-9,AC244*(1+$G$53)-MAX($B$9,0.01*AC244+AC244*$G$53),0),0)</f>
        <v/>
      </c>
      <c r="AD245">
        <f>AC244*$G$53</f>
        <v/>
      </c>
      <c r="AE245">
        <f>IF(AE244&gt;1E-9,IF(AE244*(1+$G$54)-MAX($B$9,0.01*AE244+AE244*$G$54)&gt;1E-9,AE244*(1+$G$54)-MAX($B$9,0.01*AE244+AE244*$G$54),0),0)</f>
        <v/>
      </c>
      <c r="AF245">
        <f>AE244*$G$54</f>
        <v/>
      </c>
      <c r="AG245">
        <f>IF(AG244&gt;1E-9,IF(AG244*(1+$G$55)-MAX($B$9,0.01*AG244+AG244*$G$55)&gt;1E-9,AG244*(1+$G$55)-MAX($B$9,0.01*AG244+AG244*$G$55),0),0)</f>
        <v/>
      </c>
      <c r="AH245">
        <f>AG244*$G$55</f>
        <v/>
      </c>
      <c r="AI245">
        <f>G245+K245+O245+S245+W245</f>
        <v/>
      </c>
      <c r="AJ245">
        <f>AI244+AK245-AI245</f>
        <v/>
      </c>
      <c r="AK245">
        <f>H245+L245+P245+T245+X245</f>
        <v/>
      </c>
      <c r="AL245">
        <f>TEXT(EDATE($B$5,D245-1),"mmm yyyy")</f>
        <v/>
      </c>
      <c r="AM245">
        <f>AI245</f>
        <v/>
      </c>
    </row>
    <row r="246">
      <c r="D246" t="n">
        <v>185</v>
      </c>
      <c r="E246">
        <f>IF(G245&gt;0,MAX(0,G245*(1+$G$51)-$H$51),0)</f>
        <v/>
      </c>
      <c r="F246">
        <f>$B$6+IF($D246=$B$8,$B$7,0)</f>
        <v/>
      </c>
      <c r="G246">
        <f>IF(E246-F246&gt;1E-9,E246-F246,0)</f>
        <v/>
      </c>
      <c r="H246">
        <f>G245*$G$51</f>
        <v/>
      </c>
      <c r="I246">
        <f>IF(K245&gt;0,MAX(0,K245*(1+$G$52)-$H$52),0)</f>
        <v/>
      </c>
      <c r="J246">
        <f>MAX(0,F246-E246)</f>
        <v/>
      </c>
      <c r="K246">
        <f>IF(I246-J246&gt;1E-9,I246-J246,0)</f>
        <v/>
      </c>
      <c r="L246">
        <f>K245*$G$52</f>
        <v/>
      </c>
      <c r="M246">
        <f>IF(O245&gt;0,MAX(0,O245*(1+$G$53)-$H$53),0)</f>
        <v/>
      </c>
      <c r="N246">
        <f>MAX(0,J246-I246)</f>
        <v/>
      </c>
      <c r="O246">
        <f>IF(M246-N246&gt;1E-9,M246-N246,0)</f>
        <v/>
      </c>
      <c r="P246">
        <f>O245*$G$53</f>
        <v/>
      </c>
      <c r="Q246">
        <f>IF(S245&gt;0,MAX(0,S245*(1+$G$54)-$H$54),0)</f>
        <v/>
      </c>
      <c r="R246">
        <f>MAX(0,N246-M246)</f>
        <v/>
      </c>
      <c r="S246">
        <f>IF(Q246-R246&gt;1E-9,Q246-R246,0)</f>
        <v/>
      </c>
      <c r="T246">
        <f>S245*$G$54</f>
        <v/>
      </c>
      <c r="U246">
        <f>IF(W245&gt;0,MAX(0,W245*(1+$G$55)-$H$55),0)</f>
        <v/>
      </c>
      <c r="V246">
        <f>MAX(0,R246-Q246)</f>
        <v/>
      </c>
      <c r="W246">
        <f>IF(U246-V246&gt;1E-9,U246-V246,0)</f>
        <v/>
      </c>
      <c r="X246">
        <f>W245*$G$55</f>
        <v/>
      </c>
      <c r="Y246">
        <f>IF(Y245&gt;1E-9,IF(Y245*(1+$G$51)-MAX($B$9,0.01*Y245+Y245*$G$51)&gt;1E-9,Y245*(1+$G$51)-MAX($B$9,0.01*Y245+Y245*$G$51),0),0)</f>
        <v/>
      </c>
      <c r="Z246">
        <f>Y245*$G$51</f>
        <v/>
      </c>
      <c r="AA246">
        <f>IF(AA245&gt;1E-9,IF(AA245*(1+$G$52)-MAX($B$9,0.01*AA245+AA245*$G$52)&gt;1E-9,AA245*(1+$G$52)-MAX($B$9,0.01*AA245+AA245*$G$52),0),0)</f>
        <v/>
      </c>
      <c r="AB246">
        <f>AA245*$G$52</f>
        <v/>
      </c>
      <c r="AC246">
        <f>IF(AC245&gt;1E-9,IF(AC245*(1+$G$53)-MAX($B$9,0.01*AC245+AC245*$G$53)&gt;1E-9,AC245*(1+$G$53)-MAX($B$9,0.01*AC245+AC245*$G$53),0),0)</f>
        <v/>
      </c>
      <c r="AD246">
        <f>AC245*$G$53</f>
        <v/>
      </c>
      <c r="AE246">
        <f>IF(AE245&gt;1E-9,IF(AE245*(1+$G$54)-MAX($B$9,0.01*AE245+AE245*$G$54)&gt;1E-9,AE245*(1+$G$54)-MAX($B$9,0.01*AE245+AE245*$G$54),0),0)</f>
        <v/>
      </c>
      <c r="AF246">
        <f>AE245*$G$54</f>
        <v/>
      </c>
      <c r="AG246">
        <f>IF(AG245&gt;1E-9,IF(AG245*(1+$G$55)-MAX($B$9,0.01*AG245+AG245*$G$55)&gt;1E-9,AG245*(1+$G$55)-MAX($B$9,0.01*AG245+AG245*$G$55),0),0)</f>
        <v/>
      </c>
      <c r="AH246">
        <f>AG245*$G$55</f>
        <v/>
      </c>
      <c r="AI246">
        <f>G246+K246+O246+S246+W246</f>
        <v/>
      </c>
      <c r="AJ246">
        <f>AI245+AK246-AI246</f>
        <v/>
      </c>
      <c r="AK246">
        <f>H246+L246+P246+T246+X246</f>
        <v/>
      </c>
      <c r="AL246">
        <f>TEXT(EDATE($B$5,D246-1),"mmm yyyy")</f>
        <v/>
      </c>
      <c r="AM246">
        <f>AI246</f>
        <v/>
      </c>
    </row>
    <row r="247">
      <c r="D247" t="n">
        <v>186</v>
      </c>
      <c r="E247">
        <f>IF(G246&gt;0,MAX(0,G246*(1+$G$51)-$H$51),0)</f>
        <v/>
      </c>
      <c r="F247">
        <f>$B$6+IF($D247=$B$8,$B$7,0)</f>
        <v/>
      </c>
      <c r="G247">
        <f>IF(E247-F247&gt;1E-9,E247-F247,0)</f>
        <v/>
      </c>
      <c r="H247">
        <f>G246*$G$51</f>
        <v/>
      </c>
      <c r="I247">
        <f>IF(K246&gt;0,MAX(0,K246*(1+$G$52)-$H$52),0)</f>
        <v/>
      </c>
      <c r="J247">
        <f>MAX(0,F247-E247)</f>
        <v/>
      </c>
      <c r="K247">
        <f>IF(I247-J247&gt;1E-9,I247-J247,0)</f>
        <v/>
      </c>
      <c r="L247">
        <f>K246*$G$52</f>
        <v/>
      </c>
      <c r="M247">
        <f>IF(O246&gt;0,MAX(0,O246*(1+$G$53)-$H$53),0)</f>
        <v/>
      </c>
      <c r="N247">
        <f>MAX(0,J247-I247)</f>
        <v/>
      </c>
      <c r="O247">
        <f>IF(M247-N247&gt;1E-9,M247-N247,0)</f>
        <v/>
      </c>
      <c r="P247">
        <f>O246*$G$53</f>
        <v/>
      </c>
      <c r="Q247">
        <f>IF(S246&gt;0,MAX(0,S246*(1+$G$54)-$H$54),0)</f>
        <v/>
      </c>
      <c r="R247">
        <f>MAX(0,N247-M247)</f>
        <v/>
      </c>
      <c r="S247">
        <f>IF(Q247-R247&gt;1E-9,Q247-R247,0)</f>
        <v/>
      </c>
      <c r="T247">
        <f>S246*$G$54</f>
        <v/>
      </c>
      <c r="U247">
        <f>IF(W246&gt;0,MAX(0,W246*(1+$G$55)-$H$55),0)</f>
        <v/>
      </c>
      <c r="V247">
        <f>MAX(0,R247-Q247)</f>
        <v/>
      </c>
      <c r="W247">
        <f>IF(U247-V247&gt;1E-9,U247-V247,0)</f>
        <v/>
      </c>
      <c r="X247">
        <f>W246*$G$55</f>
        <v/>
      </c>
      <c r="Y247">
        <f>IF(Y246&gt;1E-9,IF(Y246*(1+$G$51)-MAX($B$9,0.01*Y246+Y246*$G$51)&gt;1E-9,Y246*(1+$G$51)-MAX($B$9,0.01*Y246+Y246*$G$51),0),0)</f>
        <v/>
      </c>
      <c r="Z247">
        <f>Y246*$G$51</f>
        <v/>
      </c>
      <c r="AA247">
        <f>IF(AA246&gt;1E-9,IF(AA246*(1+$G$52)-MAX($B$9,0.01*AA246+AA246*$G$52)&gt;1E-9,AA246*(1+$G$52)-MAX($B$9,0.01*AA246+AA246*$G$52),0),0)</f>
        <v/>
      </c>
      <c r="AB247">
        <f>AA246*$G$52</f>
        <v/>
      </c>
      <c r="AC247">
        <f>IF(AC246&gt;1E-9,IF(AC246*(1+$G$53)-MAX($B$9,0.01*AC246+AC246*$G$53)&gt;1E-9,AC246*(1+$G$53)-MAX($B$9,0.01*AC246+AC246*$G$53),0),0)</f>
        <v/>
      </c>
      <c r="AD247">
        <f>AC246*$G$53</f>
        <v/>
      </c>
      <c r="AE247">
        <f>IF(AE246&gt;1E-9,IF(AE246*(1+$G$54)-MAX($B$9,0.01*AE246+AE246*$G$54)&gt;1E-9,AE246*(1+$G$54)-MAX($B$9,0.01*AE246+AE246*$G$54),0),0)</f>
        <v/>
      </c>
      <c r="AF247">
        <f>AE246*$G$54</f>
        <v/>
      </c>
      <c r="AG247">
        <f>IF(AG246&gt;1E-9,IF(AG246*(1+$G$55)-MAX($B$9,0.01*AG246+AG246*$G$55)&gt;1E-9,AG246*(1+$G$55)-MAX($B$9,0.01*AG246+AG246*$G$55),0),0)</f>
        <v/>
      </c>
      <c r="AH247">
        <f>AG246*$G$55</f>
        <v/>
      </c>
      <c r="AI247">
        <f>G247+K247+O247+S247+W247</f>
        <v/>
      </c>
      <c r="AJ247">
        <f>AI246+AK247-AI247</f>
        <v/>
      </c>
      <c r="AK247">
        <f>H247+L247+P247+T247+X247</f>
        <v/>
      </c>
      <c r="AL247">
        <f>TEXT(EDATE($B$5,D247-1),"mmm yyyy")</f>
        <v/>
      </c>
      <c r="AM247">
        <f>AI247</f>
        <v/>
      </c>
    </row>
    <row r="248">
      <c r="D248" t="n">
        <v>187</v>
      </c>
      <c r="E248">
        <f>IF(G247&gt;0,MAX(0,G247*(1+$G$51)-$H$51),0)</f>
        <v/>
      </c>
      <c r="F248">
        <f>$B$6+IF($D248=$B$8,$B$7,0)</f>
        <v/>
      </c>
      <c r="G248">
        <f>IF(E248-F248&gt;1E-9,E248-F248,0)</f>
        <v/>
      </c>
      <c r="H248">
        <f>G247*$G$51</f>
        <v/>
      </c>
      <c r="I248">
        <f>IF(K247&gt;0,MAX(0,K247*(1+$G$52)-$H$52),0)</f>
        <v/>
      </c>
      <c r="J248">
        <f>MAX(0,F248-E248)</f>
        <v/>
      </c>
      <c r="K248">
        <f>IF(I248-J248&gt;1E-9,I248-J248,0)</f>
        <v/>
      </c>
      <c r="L248">
        <f>K247*$G$52</f>
        <v/>
      </c>
      <c r="M248">
        <f>IF(O247&gt;0,MAX(0,O247*(1+$G$53)-$H$53),0)</f>
        <v/>
      </c>
      <c r="N248">
        <f>MAX(0,J248-I248)</f>
        <v/>
      </c>
      <c r="O248">
        <f>IF(M248-N248&gt;1E-9,M248-N248,0)</f>
        <v/>
      </c>
      <c r="P248">
        <f>O247*$G$53</f>
        <v/>
      </c>
      <c r="Q248">
        <f>IF(S247&gt;0,MAX(0,S247*(1+$G$54)-$H$54),0)</f>
        <v/>
      </c>
      <c r="R248">
        <f>MAX(0,N248-M248)</f>
        <v/>
      </c>
      <c r="S248">
        <f>IF(Q248-R248&gt;1E-9,Q248-R248,0)</f>
        <v/>
      </c>
      <c r="T248">
        <f>S247*$G$54</f>
        <v/>
      </c>
      <c r="U248">
        <f>IF(W247&gt;0,MAX(0,W247*(1+$G$55)-$H$55),0)</f>
        <v/>
      </c>
      <c r="V248">
        <f>MAX(0,R248-Q248)</f>
        <v/>
      </c>
      <c r="W248">
        <f>IF(U248-V248&gt;1E-9,U248-V248,0)</f>
        <v/>
      </c>
      <c r="X248">
        <f>W247*$G$55</f>
        <v/>
      </c>
      <c r="Y248">
        <f>IF(Y247&gt;1E-9,IF(Y247*(1+$G$51)-MAX($B$9,0.01*Y247+Y247*$G$51)&gt;1E-9,Y247*(1+$G$51)-MAX($B$9,0.01*Y247+Y247*$G$51),0),0)</f>
        <v/>
      </c>
      <c r="Z248">
        <f>Y247*$G$51</f>
        <v/>
      </c>
      <c r="AA248">
        <f>IF(AA247&gt;1E-9,IF(AA247*(1+$G$52)-MAX($B$9,0.01*AA247+AA247*$G$52)&gt;1E-9,AA247*(1+$G$52)-MAX($B$9,0.01*AA247+AA247*$G$52),0),0)</f>
        <v/>
      </c>
      <c r="AB248">
        <f>AA247*$G$52</f>
        <v/>
      </c>
      <c r="AC248">
        <f>IF(AC247&gt;1E-9,IF(AC247*(1+$G$53)-MAX($B$9,0.01*AC247+AC247*$G$53)&gt;1E-9,AC247*(1+$G$53)-MAX($B$9,0.01*AC247+AC247*$G$53),0),0)</f>
        <v/>
      </c>
      <c r="AD248">
        <f>AC247*$G$53</f>
        <v/>
      </c>
      <c r="AE248">
        <f>IF(AE247&gt;1E-9,IF(AE247*(1+$G$54)-MAX($B$9,0.01*AE247+AE247*$G$54)&gt;1E-9,AE247*(1+$G$54)-MAX($B$9,0.01*AE247+AE247*$G$54),0),0)</f>
        <v/>
      </c>
      <c r="AF248">
        <f>AE247*$G$54</f>
        <v/>
      </c>
      <c r="AG248">
        <f>IF(AG247&gt;1E-9,IF(AG247*(1+$G$55)-MAX($B$9,0.01*AG247+AG247*$G$55)&gt;1E-9,AG247*(1+$G$55)-MAX($B$9,0.01*AG247+AG247*$G$55),0),0)</f>
        <v/>
      </c>
      <c r="AH248">
        <f>AG247*$G$55</f>
        <v/>
      </c>
      <c r="AI248">
        <f>G248+K248+O248+S248+W248</f>
        <v/>
      </c>
      <c r="AJ248">
        <f>AI247+AK248-AI248</f>
        <v/>
      </c>
      <c r="AK248">
        <f>H248+L248+P248+T248+X248</f>
        <v/>
      </c>
      <c r="AL248">
        <f>TEXT(EDATE($B$5,D248-1),"mmm yyyy")</f>
        <v/>
      </c>
      <c r="AM248">
        <f>AI248</f>
        <v/>
      </c>
    </row>
    <row r="249">
      <c r="D249" t="n">
        <v>188</v>
      </c>
      <c r="E249">
        <f>IF(G248&gt;0,MAX(0,G248*(1+$G$51)-$H$51),0)</f>
        <v/>
      </c>
      <c r="F249">
        <f>$B$6+IF($D249=$B$8,$B$7,0)</f>
        <v/>
      </c>
      <c r="G249">
        <f>IF(E249-F249&gt;1E-9,E249-F249,0)</f>
        <v/>
      </c>
      <c r="H249">
        <f>G248*$G$51</f>
        <v/>
      </c>
      <c r="I249">
        <f>IF(K248&gt;0,MAX(0,K248*(1+$G$52)-$H$52),0)</f>
        <v/>
      </c>
      <c r="J249">
        <f>MAX(0,F249-E249)</f>
        <v/>
      </c>
      <c r="K249">
        <f>IF(I249-J249&gt;1E-9,I249-J249,0)</f>
        <v/>
      </c>
      <c r="L249">
        <f>K248*$G$52</f>
        <v/>
      </c>
      <c r="M249">
        <f>IF(O248&gt;0,MAX(0,O248*(1+$G$53)-$H$53),0)</f>
        <v/>
      </c>
      <c r="N249">
        <f>MAX(0,J249-I249)</f>
        <v/>
      </c>
      <c r="O249">
        <f>IF(M249-N249&gt;1E-9,M249-N249,0)</f>
        <v/>
      </c>
      <c r="P249">
        <f>O248*$G$53</f>
        <v/>
      </c>
      <c r="Q249">
        <f>IF(S248&gt;0,MAX(0,S248*(1+$G$54)-$H$54),0)</f>
        <v/>
      </c>
      <c r="R249">
        <f>MAX(0,N249-M249)</f>
        <v/>
      </c>
      <c r="S249">
        <f>IF(Q249-R249&gt;1E-9,Q249-R249,0)</f>
        <v/>
      </c>
      <c r="T249">
        <f>S248*$G$54</f>
        <v/>
      </c>
      <c r="U249">
        <f>IF(W248&gt;0,MAX(0,W248*(1+$G$55)-$H$55),0)</f>
        <v/>
      </c>
      <c r="V249">
        <f>MAX(0,R249-Q249)</f>
        <v/>
      </c>
      <c r="W249">
        <f>IF(U249-V249&gt;1E-9,U249-V249,0)</f>
        <v/>
      </c>
      <c r="X249">
        <f>W248*$G$55</f>
        <v/>
      </c>
      <c r="Y249">
        <f>IF(Y248&gt;1E-9,IF(Y248*(1+$G$51)-MAX($B$9,0.01*Y248+Y248*$G$51)&gt;1E-9,Y248*(1+$G$51)-MAX($B$9,0.01*Y248+Y248*$G$51),0),0)</f>
        <v/>
      </c>
      <c r="Z249">
        <f>Y248*$G$51</f>
        <v/>
      </c>
      <c r="AA249">
        <f>IF(AA248&gt;1E-9,IF(AA248*(1+$G$52)-MAX($B$9,0.01*AA248+AA248*$G$52)&gt;1E-9,AA248*(1+$G$52)-MAX($B$9,0.01*AA248+AA248*$G$52),0),0)</f>
        <v/>
      </c>
      <c r="AB249">
        <f>AA248*$G$52</f>
        <v/>
      </c>
      <c r="AC249">
        <f>IF(AC248&gt;1E-9,IF(AC248*(1+$G$53)-MAX($B$9,0.01*AC248+AC248*$G$53)&gt;1E-9,AC248*(1+$G$53)-MAX($B$9,0.01*AC248+AC248*$G$53),0),0)</f>
        <v/>
      </c>
      <c r="AD249">
        <f>AC248*$G$53</f>
        <v/>
      </c>
      <c r="AE249">
        <f>IF(AE248&gt;1E-9,IF(AE248*(1+$G$54)-MAX($B$9,0.01*AE248+AE248*$G$54)&gt;1E-9,AE248*(1+$G$54)-MAX($B$9,0.01*AE248+AE248*$G$54),0),0)</f>
        <v/>
      </c>
      <c r="AF249">
        <f>AE248*$G$54</f>
        <v/>
      </c>
      <c r="AG249">
        <f>IF(AG248&gt;1E-9,IF(AG248*(1+$G$55)-MAX($B$9,0.01*AG248+AG248*$G$55)&gt;1E-9,AG248*(1+$G$55)-MAX($B$9,0.01*AG248+AG248*$G$55),0),0)</f>
        <v/>
      </c>
      <c r="AH249">
        <f>AG248*$G$55</f>
        <v/>
      </c>
      <c r="AI249">
        <f>G249+K249+O249+S249+W249</f>
        <v/>
      </c>
      <c r="AJ249">
        <f>AI248+AK249-AI249</f>
        <v/>
      </c>
      <c r="AK249">
        <f>H249+L249+P249+T249+X249</f>
        <v/>
      </c>
      <c r="AL249">
        <f>TEXT(EDATE($B$5,D249-1),"mmm yyyy")</f>
        <v/>
      </c>
      <c r="AM249">
        <f>AI249</f>
        <v/>
      </c>
    </row>
    <row r="250">
      <c r="D250" t="n">
        <v>189</v>
      </c>
      <c r="E250">
        <f>IF(G249&gt;0,MAX(0,G249*(1+$G$51)-$H$51),0)</f>
        <v/>
      </c>
      <c r="F250">
        <f>$B$6+IF($D250=$B$8,$B$7,0)</f>
        <v/>
      </c>
      <c r="G250">
        <f>IF(E250-F250&gt;1E-9,E250-F250,0)</f>
        <v/>
      </c>
      <c r="H250">
        <f>G249*$G$51</f>
        <v/>
      </c>
      <c r="I250">
        <f>IF(K249&gt;0,MAX(0,K249*(1+$G$52)-$H$52),0)</f>
        <v/>
      </c>
      <c r="J250">
        <f>MAX(0,F250-E250)</f>
        <v/>
      </c>
      <c r="K250">
        <f>IF(I250-J250&gt;1E-9,I250-J250,0)</f>
        <v/>
      </c>
      <c r="L250">
        <f>K249*$G$52</f>
        <v/>
      </c>
      <c r="M250">
        <f>IF(O249&gt;0,MAX(0,O249*(1+$G$53)-$H$53),0)</f>
        <v/>
      </c>
      <c r="N250">
        <f>MAX(0,J250-I250)</f>
        <v/>
      </c>
      <c r="O250">
        <f>IF(M250-N250&gt;1E-9,M250-N250,0)</f>
        <v/>
      </c>
      <c r="P250">
        <f>O249*$G$53</f>
        <v/>
      </c>
      <c r="Q250">
        <f>IF(S249&gt;0,MAX(0,S249*(1+$G$54)-$H$54),0)</f>
        <v/>
      </c>
      <c r="R250">
        <f>MAX(0,N250-M250)</f>
        <v/>
      </c>
      <c r="S250">
        <f>IF(Q250-R250&gt;1E-9,Q250-R250,0)</f>
        <v/>
      </c>
      <c r="T250">
        <f>S249*$G$54</f>
        <v/>
      </c>
      <c r="U250">
        <f>IF(W249&gt;0,MAX(0,W249*(1+$G$55)-$H$55),0)</f>
        <v/>
      </c>
      <c r="V250">
        <f>MAX(0,R250-Q250)</f>
        <v/>
      </c>
      <c r="W250">
        <f>IF(U250-V250&gt;1E-9,U250-V250,0)</f>
        <v/>
      </c>
      <c r="X250">
        <f>W249*$G$55</f>
        <v/>
      </c>
      <c r="Y250">
        <f>IF(Y249&gt;1E-9,IF(Y249*(1+$G$51)-MAX($B$9,0.01*Y249+Y249*$G$51)&gt;1E-9,Y249*(1+$G$51)-MAX($B$9,0.01*Y249+Y249*$G$51),0),0)</f>
        <v/>
      </c>
      <c r="Z250">
        <f>Y249*$G$51</f>
        <v/>
      </c>
      <c r="AA250">
        <f>IF(AA249&gt;1E-9,IF(AA249*(1+$G$52)-MAX($B$9,0.01*AA249+AA249*$G$52)&gt;1E-9,AA249*(1+$G$52)-MAX($B$9,0.01*AA249+AA249*$G$52),0),0)</f>
        <v/>
      </c>
      <c r="AB250">
        <f>AA249*$G$52</f>
        <v/>
      </c>
      <c r="AC250">
        <f>IF(AC249&gt;1E-9,IF(AC249*(1+$G$53)-MAX($B$9,0.01*AC249+AC249*$G$53)&gt;1E-9,AC249*(1+$G$53)-MAX($B$9,0.01*AC249+AC249*$G$53),0),0)</f>
        <v/>
      </c>
      <c r="AD250">
        <f>AC249*$G$53</f>
        <v/>
      </c>
      <c r="AE250">
        <f>IF(AE249&gt;1E-9,IF(AE249*(1+$G$54)-MAX($B$9,0.01*AE249+AE249*$G$54)&gt;1E-9,AE249*(1+$G$54)-MAX($B$9,0.01*AE249+AE249*$G$54),0),0)</f>
        <v/>
      </c>
      <c r="AF250">
        <f>AE249*$G$54</f>
        <v/>
      </c>
      <c r="AG250">
        <f>IF(AG249&gt;1E-9,IF(AG249*(1+$G$55)-MAX($B$9,0.01*AG249+AG249*$G$55)&gt;1E-9,AG249*(1+$G$55)-MAX($B$9,0.01*AG249+AG249*$G$55),0),0)</f>
        <v/>
      </c>
      <c r="AH250">
        <f>AG249*$G$55</f>
        <v/>
      </c>
      <c r="AI250">
        <f>G250+K250+O250+S250+W250</f>
        <v/>
      </c>
      <c r="AJ250">
        <f>AI249+AK250-AI250</f>
        <v/>
      </c>
      <c r="AK250">
        <f>H250+L250+P250+T250+X250</f>
        <v/>
      </c>
      <c r="AL250">
        <f>TEXT(EDATE($B$5,D250-1),"mmm yyyy")</f>
        <v/>
      </c>
      <c r="AM250">
        <f>AI250</f>
        <v/>
      </c>
    </row>
    <row r="251">
      <c r="D251" t="n">
        <v>190</v>
      </c>
      <c r="E251">
        <f>IF(G250&gt;0,MAX(0,G250*(1+$G$51)-$H$51),0)</f>
        <v/>
      </c>
      <c r="F251">
        <f>$B$6+IF($D251=$B$8,$B$7,0)</f>
        <v/>
      </c>
      <c r="G251">
        <f>IF(E251-F251&gt;1E-9,E251-F251,0)</f>
        <v/>
      </c>
      <c r="H251">
        <f>G250*$G$51</f>
        <v/>
      </c>
      <c r="I251">
        <f>IF(K250&gt;0,MAX(0,K250*(1+$G$52)-$H$52),0)</f>
        <v/>
      </c>
      <c r="J251">
        <f>MAX(0,F251-E251)</f>
        <v/>
      </c>
      <c r="K251">
        <f>IF(I251-J251&gt;1E-9,I251-J251,0)</f>
        <v/>
      </c>
      <c r="L251">
        <f>K250*$G$52</f>
        <v/>
      </c>
      <c r="M251">
        <f>IF(O250&gt;0,MAX(0,O250*(1+$G$53)-$H$53),0)</f>
        <v/>
      </c>
      <c r="N251">
        <f>MAX(0,J251-I251)</f>
        <v/>
      </c>
      <c r="O251">
        <f>IF(M251-N251&gt;1E-9,M251-N251,0)</f>
        <v/>
      </c>
      <c r="P251">
        <f>O250*$G$53</f>
        <v/>
      </c>
      <c r="Q251">
        <f>IF(S250&gt;0,MAX(0,S250*(1+$G$54)-$H$54),0)</f>
        <v/>
      </c>
      <c r="R251">
        <f>MAX(0,N251-M251)</f>
        <v/>
      </c>
      <c r="S251">
        <f>IF(Q251-R251&gt;1E-9,Q251-R251,0)</f>
        <v/>
      </c>
      <c r="T251">
        <f>S250*$G$54</f>
        <v/>
      </c>
      <c r="U251">
        <f>IF(W250&gt;0,MAX(0,W250*(1+$G$55)-$H$55),0)</f>
        <v/>
      </c>
      <c r="V251">
        <f>MAX(0,R251-Q251)</f>
        <v/>
      </c>
      <c r="W251">
        <f>IF(U251-V251&gt;1E-9,U251-V251,0)</f>
        <v/>
      </c>
      <c r="X251">
        <f>W250*$G$55</f>
        <v/>
      </c>
      <c r="Y251">
        <f>IF(Y250&gt;1E-9,IF(Y250*(1+$G$51)-MAX($B$9,0.01*Y250+Y250*$G$51)&gt;1E-9,Y250*(1+$G$51)-MAX($B$9,0.01*Y250+Y250*$G$51),0),0)</f>
        <v/>
      </c>
      <c r="Z251">
        <f>Y250*$G$51</f>
        <v/>
      </c>
      <c r="AA251">
        <f>IF(AA250&gt;1E-9,IF(AA250*(1+$G$52)-MAX($B$9,0.01*AA250+AA250*$G$52)&gt;1E-9,AA250*(1+$G$52)-MAX($B$9,0.01*AA250+AA250*$G$52),0),0)</f>
        <v/>
      </c>
      <c r="AB251">
        <f>AA250*$G$52</f>
        <v/>
      </c>
      <c r="AC251">
        <f>IF(AC250&gt;1E-9,IF(AC250*(1+$G$53)-MAX($B$9,0.01*AC250+AC250*$G$53)&gt;1E-9,AC250*(1+$G$53)-MAX($B$9,0.01*AC250+AC250*$G$53),0),0)</f>
        <v/>
      </c>
      <c r="AD251">
        <f>AC250*$G$53</f>
        <v/>
      </c>
      <c r="AE251">
        <f>IF(AE250&gt;1E-9,IF(AE250*(1+$G$54)-MAX($B$9,0.01*AE250+AE250*$G$54)&gt;1E-9,AE250*(1+$G$54)-MAX($B$9,0.01*AE250+AE250*$G$54),0),0)</f>
        <v/>
      </c>
      <c r="AF251">
        <f>AE250*$G$54</f>
        <v/>
      </c>
      <c r="AG251">
        <f>IF(AG250&gt;1E-9,IF(AG250*(1+$G$55)-MAX($B$9,0.01*AG250+AG250*$G$55)&gt;1E-9,AG250*(1+$G$55)-MAX($B$9,0.01*AG250+AG250*$G$55),0),0)</f>
        <v/>
      </c>
      <c r="AH251">
        <f>AG250*$G$55</f>
        <v/>
      </c>
      <c r="AI251">
        <f>G251+K251+O251+S251+W251</f>
        <v/>
      </c>
      <c r="AJ251">
        <f>AI250+AK251-AI251</f>
        <v/>
      </c>
      <c r="AK251">
        <f>H251+L251+P251+T251+X251</f>
        <v/>
      </c>
      <c r="AL251">
        <f>TEXT(EDATE($B$5,D251-1),"mmm yyyy")</f>
        <v/>
      </c>
      <c r="AM251">
        <f>AI251</f>
        <v/>
      </c>
    </row>
    <row r="252">
      <c r="D252" t="n">
        <v>191</v>
      </c>
      <c r="E252">
        <f>IF(G251&gt;0,MAX(0,G251*(1+$G$51)-$H$51),0)</f>
        <v/>
      </c>
      <c r="F252">
        <f>$B$6+IF($D252=$B$8,$B$7,0)</f>
        <v/>
      </c>
      <c r="G252">
        <f>IF(E252-F252&gt;1E-9,E252-F252,0)</f>
        <v/>
      </c>
      <c r="H252">
        <f>G251*$G$51</f>
        <v/>
      </c>
      <c r="I252">
        <f>IF(K251&gt;0,MAX(0,K251*(1+$G$52)-$H$52),0)</f>
        <v/>
      </c>
      <c r="J252">
        <f>MAX(0,F252-E252)</f>
        <v/>
      </c>
      <c r="K252">
        <f>IF(I252-J252&gt;1E-9,I252-J252,0)</f>
        <v/>
      </c>
      <c r="L252">
        <f>K251*$G$52</f>
        <v/>
      </c>
      <c r="M252">
        <f>IF(O251&gt;0,MAX(0,O251*(1+$G$53)-$H$53),0)</f>
        <v/>
      </c>
      <c r="N252">
        <f>MAX(0,J252-I252)</f>
        <v/>
      </c>
      <c r="O252">
        <f>IF(M252-N252&gt;1E-9,M252-N252,0)</f>
        <v/>
      </c>
      <c r="P252">
        <f>O251*$G$53</f>
        <v/>
      </c>
      <c r="Q252">
        <f>IF(S251&gt;0,MAX(0,S251*(1+$G$54)-$H$54),0)</f>
        <v/>
      </c>
      <c r="R252">
        <f>MAX(0,N252-M252)</f>
        <v/>
      </c>
      <c r="S252">
        <f>IF(Q252-R252&gt;1E-9,Q252-R252,0)</f>
        <v/>
      </c>
      <c r="T252">
        <f>S251*$G$54</f>
        <v/>
      </c>
      <c r="U252">
        <f>IF(W251&gt;0,MAX(0,W251*(1+$G$55)-$H$55),0)</f>
        <v/>
      </c>
      <c r="V252">
        <f>MAX(0,R252-Q252)</f>
        <v/>
      </c>
      <c r="W252">
        <f>IF(U252-V252&gt;1E-9,U252-V252,0)</f>
        <v/>
      </c>
      <c r="X252">
        <f>W251*$G$55</f>
        <v/>
      </c>
      <c r="Y252">
        <f>IF(Y251&gt;1E-9,IF(Y251*(1+$G$51)-MAX($B$9,0.01*Y251+Y251*$G$51)&gt;1E-9,Y251*(1+$G$51)-MAX($B$9,0.01*Y251+Y251*$G$51),0),0)</f>
        <v/>
      </c>
      <c r="Z252">
        <f>Y251*$G$51</f>
        <v/>
      </c>
      <c r="AA252">
        <f>IF(AA251&gt;1E-9,IF(AA251*(1+$G$52)-MAX($B$9,0.01*AA251+AA251*$G$52)&gt;1E-9,AA251*(1+$G$52)-MAX($B$9,0.01*AA251+AA251*$G$52),0),0)</f>
        <v/>
      </c>
      <c r="AB252">
        <f>AA251*$G$52</f>
        <v/>
      </c>
      <c r="AC252">
        <f>IF(AC251&gt;1E-9,IF(AC251*(1+$G$53)-MAX($B$9,0.01*AC251+AC251*$G$53)&gt;1E-9,AC251*(1+$G$53)-MAX($B$9,0.01*AC251+AC251*$G$53),0),0)</f>
        <v/>
      </c>
      <c r="AD252">
        <f>AC251*$G$53</f>
        <v/>
      </c>
      <c r="AE252">
        <f>IF(AE251&gt;1E-9,IF(AE251*(1+$G$54)-MAX($B$9,0.01*AE251+AE251*$G$54)&gt;1E-9,AE251*(1+$G$54)-MAX($B$9,0.01*AE251+AE251*$G$54),0),0)</f>
        <v/>
      </c>
      <c r="AF252">
        <f>AE251*$G$54</f>
        <v/>
      </c>
      <c r="AG252">
        <f>IF(AG251&gt;1E-9,IF(AG251*(1+$G$55)-MAX($B$9,0.01*AG251+AG251*$G$55)&gt;1E-9,AG251*(1+$G$55)-MAX($B$9,0.01*AG251+AG251*$G$55),0),0)</f>
        <v/>
      </c>
      <c r="AH252">
        <f>AG251*$G$55</f>
        <v/>
      </c>
      <c r="AI252">
        <f>G252+K252+O252+S252+W252</f>
        <v/>
      </c>
      <c r="AJ252">
        <f>AI251+AK252-AI252</f>
        <v/>
      </c>
      <c r="AK252">
        <f>H252+L252+P252+T252+X252</f>
        <v/>
      </c>
      <c r="AL252">
        <f>TEXT(EDATE($B$5,D252-1),"mmm yyyy")</f>
        <v/>
      </c>
      <c r="AM252">
        <f>AI252</f>
        <v/>
      </c>
    </row>
    <row r="253">
      <c r="D253" t="n">
        <v>192</v>
      </c>
      <c r="E253">
        <f>IF(G252&gt;0,MAX(0,G252*(1+$G$51)-$H$51),0)</f>
        <v/>
      </c>
      <c r="F253">
        <f>$B$6+IF($D253=$B$8,$B$7,0)</f>
        <v/>
      </c>
      <c r="G253">
        <f>IF(E253-F253&gt;1E-9,E253-F253,0)</f>
        <v/>
      </c>
      <c r="H253">
        <f>G252*$G$51</f>
        <v/>
      </c>
      <c r="I253">
        <f>IF(K252&gt;0,MAX(0,K252*(1+$G$52)-$H$52),0)</f>
        <v/>
      </c>
      <c r="J253">
        <f>MAX(0,F253-E253)</f>
        <v/>
      </c>
      <c r="K253">
        <f>IF(I253-J253&gt;1E-9,I253-J253,0)</f>
        <v/>
      </c>
      <c r="L253">
        <f>K252*$G$52</f>
        <v/>
      </c>
      <c r="M253">
        <f>IF(O252&gt;0,MAX(0,O252*(1+$G$53)-$H$53),0)</f>
        <v/>
      </c>
      <c r="N253">
        <f>MAX(0,J253-I253)</f>
        <v/>
      </c>
      <c r="O253">
        <f>IF(M253-N253&gt;1E-9,M253-N253,0)</f>
        <v/>
      </c>
      <c r="P253">
        <f>O252*$G$53</f>
        <v/>
      </c>
      <c r="Q253">
        <f>IF(S252&gt;0,MAX(0,S252*(1+$G$54)-$H$54),0)</f>
        <v/>
      </c>
      <c r="R253">
        <f>MAX(0,N253-M253)</f>
        <v/>
      </c>
      <c r="S253">
        <f>IF(Q253-R253&gt;1E-9,Q253-R253,0)</f>
        <v/>
      </c>
      <c r="T253">
        <f>S252*$G$54</f>
        <v/>
      </c>
      <c r="U253">
        <f>IF(W252&gt;0,MAX(0,W252*(1+$G$55)-$H$55),0)</f>
        <v/>
      </c>
      <c r="V253">
        <f>MAX(0,R253-Q253)</f>
        <v/>
      </c>
      <c r="W253">
        <f>IF(U253-V253&gt;1E-9,U253-V253,0)</f>
        <v/>
      </c>
      <c r="X253">
        <f>W252*$G$55</f>
        <v/>
      </c>
      <c r="Y253">
        <f>IF(Y252&gt;1E-9,IF(Y252*(1+$G$51)-MAX($B$9,0.01*Y252+Y252*$G$51)&gt;1E-9,Y252*(1+$G$51)-MAX($B$9,0.01*Y252+Y252*$G$51),0),0)</f>
        <v/>
      </c>
      <c r="Z253">
        <f>Y252*$G$51</f>
        <v/>
      </c>
      <c r="AA253">
        <f>IF(AA252&gt;1E-9,IF(AA252*(1+$G$52)-MAX($B$9,0.01*AA252+AA252*$G$52)&gt;1E-9,AA252*(1+$G$52)-MAX($B$9,0.01*AA252+AA252*$G$52),0),0)</f>
        <v/>
      </c>
      <c r="AB253">
        <f>AA252*$G$52</f>
        <v/>
      </c>
      <c r="AC253">
        <f>IF(AC252&gt;1E-9,IF(AC252*(1+$G$53)-MAX($B$9,0.01*AC252+AC252*$G$53)&gt;1E-9,AC252*(1+$G$53)-MAX($B$9,0.01*AC252+AC252*$G$53),0),0)</f>
        <v/>
      </c>
      <c r="AD253">
        <f>AC252*$G$53</f>
        <v/>
      </c>
      <c r="AE253">
        <f>IF(AE252&gt;1E-9,IF(AE252*(1+$G$54)-MAX($B$9,0.01*AE252+AE252*$G$54)&gt;1E-9,AE252*(1+$G$54)-MAX($B$9,0.01*AE252+AE252*$G$54),0),0)</f>
        <v/>
      </c>
      <c r="AF253">
        <f>AE252*$G$54</f>
        <v/>
      </c>
      <c r="AG253">
        <f>IF(AG252&gt;1E-9,IF(AG252*(1+$G$55)-MAX($B$9,0.01*AG252+AG252*$G$55)&gt;1E-9,AG252*(1+$G$55)-MAX($B$9,0.01*AG252+AG252*$G$55),0),0)</f>
        <v/>
      </c>
      <c r="AH253">
        <f>AG252*$G$55</f>
        <v/>
      </c>
      <c r="AI253">
        <f>G253+K253+O253+S253+W253</f>
        <v/>
      </c>
      <c r="AJ253">
        <f>AI252+AK253-AI253</f>
        <v/>
      </c>
      <c r="AK253">
        <f>H253+L253+P253+T253+X253</f>
        <v/>
      </c>
      <c r="AL253">
        <f>TEXT(EDATE($B$5,D253-1),"mmm yyyy")</f>
        <v/>
      </c>
      <c r="AM253">
        <f>AI253</f>
        <v/>
      </c>
    </row>
    <row r="254">
      <c r="D254" t="n">
        <v>193</v>
      </c>
      <c r="E254">
        <f>IF(G253&gt;0,MAX(0,G253*(1+$G$51)-$H$51),0)</f>
        <v/>
      </c>
      <c r="F254">
        <f>$B$6+IF($D254=$B$8,$B$7,0)</f>
        <v/>
      </c>
      <c r="G254">
        <f>IF(E254-F254&gt;1E-9,E254-F254,0)</f>
        <v/>
      </c>
      <c r="H254">
        <f>G253*$G$51</f>
        <v/>
      </c>
      <c r="I254">
        <f>IF(K253&gt;0,MAX(0,K253*(1+$G$52)-$H$52),0)</f>
        <v/>
      </c>
      <c r="J254">
        <f>MAX(0,F254-E254)</f>
        <v/>
      </c>
      <c r="K254">
        <f>IF(I254-J254&gt;1E-9,I254-J254,0)</f>
        <v/>
      </c>
      <c r="L254">
        <f>K253*$G$52</f>
        <v/>
      </c>
      <c r="M254">
        <f>IF(O253&gt;0,MAX(0,O253*(1+$G$53)-$H$53),0)</f>
        <v/>
      </c>
      <c r="N254">
        <f>MAX(0,J254-I254)</f>
        <v/>
      </c>
      <c r="O254">
        <f>IF(M254-N254&gt;1E-9,M254-N254,0)</f>
        <v/>
      </c>
      <c r="P254">
        <f>O253*$G$53</f>
        <v/>
      </c>
      <c r="Q254">
        <f>IF(S253&gt;0,MAX(0,S253*(1+$G$54)-$H$54),0)</f>
        <v/>
      </c>
      <c r="R254">
        <f>MAX(0,N254-M254)</f>
        <v/>
      </c>
      <c r="S254">
        <f>IF(Q254-R254&gt;1E-9,Q254-R254,0)</f>
        <v/>
      </c>
      <c r="T254">
        <f>S253*$G$54</f>
        <v/>
      </c>
      <c r="U254">
        <f>IF(W253&gt;0,MAX(0,W253*(1+$G$55)-$H$55),0)</f>
        <v/>
      </c>
      <c r="V254">
        <f>MAX(0,R254-Q254)</f>
        <v/>
      </c>
      <c r="W254">
        <f>IF(U254-V254&gt;1E-9,U254-V254,0)</f>
        <v/>
      </c>
      <c r="X254">
        <f>W253*$G$55</f>
        <v/>
      </c>
      <c r="Y254">
        <f>IF(Y253&gt;1E-9,IF(Y253*(1+$G$51)-MAX($B$9,0.01*Y253+Y253*$G$51)&gt;1E-9,Y253*(1+$G$51)-MAX($B$9,0.01*Y253+Y253*$G$51),0),0)</f>
        <v/>
      </c>
      <c r="Z254">
        <f>Y253*$G$51</f>
        <v/>
      </c>
      <c r="AA254">
        <f>IF(AA253&gt;1E-9,IF(AA253*(1+$G$52)-MAX($B$9,0.01*AA253+AA253*$G$52)&gt;1E-9,AA253*(1+$G$52)-MAX($B$9,0.01*AA253+AA253*$G$52),0),0)</f>
        <v/>
      </c>
      <c r="AB254">
        <f>AA253*$G$52</f>
        <v/>
      </c>
      <c r="AC254">
        <f>IF(AC253&gt;1E-9,IF(AC253*(1+$G$53)-MAX($B$9,0.01*AC253+AC253*$G$53)&gt;1E-9,AC253*(1+$G$53)-MAX($B$9,0.01*AC253+AC253*$G$53),0),0)</f>
        <v/>
      </c>
      <c r="AD254">
        <f>AC253*$G$53</f>
        <v/>
      </c>
      <c r="AE254">
        <f>IF(AE253&gt;1E-9,IF(AE253*(1+$G$54)-MAX($B$9,0.01*AE253+AE253*$G$54)&gt;1E-9,AE253*(1+$G$54)-MAX($B$9,0.01*AE253+AE253*$G$54),0),0)</f>
        <v/>
      </c>
      <c r="AF254">
        <f>AE253*$G$54</f>
        <v/>
      </c>
      <c r="AG254">
        <f>IF(AG253&gt;1E-9,IF(AG253*(1+$G$55)-MAX($B$9,0.01*AG253+AG253*$G$55)&gt;1E-9,AG253*(1+$G$55)-MAX($B$9,0.01*AG253+AG253*$G$55),0),0)</f>
        <v/>
      </c>
      <c r="AH254">
        <f>AG253*$G$55</f>
        <v/>
      </c>
      <c r="AI254">
        <f>G254+K254+O254+S254+W254</f>
        <v/>
      </c>
      <c r="AJ254">
        <f>AI253+AK254-AI254</f>
        <v/>
      </c>
      <c r="AK254">
        <f>H254+L254+P254+T254+X254</f>
        <v/>
      </c>
      <c r="AL254">
        <f>TEXT(EDATE($B$5,D254-1),"mmm yyyy")</f>
        <v/>
      </c>
      <c r="AM254">
        <f>AI254</f>
        <v/>
      </c>
    </row>
    <row r="255">
      <c r="D255" t="n">
        <v>194</v>
      </c>
      <c r="E255">
        <f>IF(G254&gt;0,MAX(0,G254*(1+$G$51)-$H$51),0)</f>
        <v/>
      </c>
      <c r="F255">
        <f>$B$6+IF($D255=$B$8,$B$7,0)</f>
        <v/>
      </c>
      <c r="G255">
        <f>IF(E255-F255&gt;1E-9,E255-F255,0)</f>
        <v/>
      </c>
      <c r="H255">
        <f>G254*$G$51</f>
        <v/>
      </c>
      <c r="I255">
        <f>IF(K254&gt;0,MAX(0,K254*(1+$G$52)-$H$52),0)</f>
        <v/>
      </c>
      <c r="J255">
        <f>MAX(0,F255-E255)</f>
        <v/>
      </c>
      <c r="K255">
        <f>IF(I255-J255&gt;1E-9,I255-J255,0)</f>
        <v/>
      </c>
      <c r="L255">
        <f>K254*$G$52</f>
        <v/>
      </c>
      <c r="M255">
        <f>IF(O254&gt;0,MAX(0,O254*(1+$G$53)-$H$53),0)</f>
        <v/>
      </c>
      <c r="N255">
        <f>MAX(0,J255-I255)</f>
        <v/>
      </c>
      <c r="O255">
        <f>IF(M255-N255&gt;1E-9,M255-N255,0)</f>
        <v/>
      </c>
      <c r="P255">
        <f>O254*$G$53</f>
        <v/>
      </c>
      <c r="Q255">
        <f>IF(S254&gt;0,MAX(0,S254*(1+$G$54)-$H$54),0)</f>
        <v/>
      </c>
      <c r="R255">
        <f>MAX(0,N255-M255)</f>
        <v/>
      </c>
      <c r="S255">
        <f>IF(Q255-R255&gt;1E-9,Q255-R255,0)</f>
        <v/>
      </c>
      <c r="T255">
        <f>S254*$G$54</f>
        <v/>
      </c>
      <c r="U255">
        <f>IF(W254&gt;0,MAX(0,W254*(1+$G$55)-$H$55),0)</f>
        <v/>
      </c>
      <c r="V255">
        <f>MAX(0,R255-Q255)</f>
        <v/>
      </c>
      <c r="W255">
        <f>IF(U255-V255&gt;1E-9,U255-V255,0)</f>
        <v/>
      </c>
      <c r="X255">
        <f>W254*$G$55</f>
        <v/>
      </c>
      <c r="Y255">
        <f>IF(Y254&gt;1E-9,IF(Y254*(1+$G$51)-MAX($B$9,0.01*Y254+Y254*$G$51)&gt;1E-9,Y254*(1+$G$51)-MAX($B$9,0.01*Y254+Y254*$G$51),0),0)</f>
        <v/>
      </c>
      <c r="Z255">
        <f>Y254*$G$51</f>
        <v/>
      </c>
      <c r="AA255">
        <f>IF(AA254&gt;1E-9,IF(AA254*(1+$G$52)-MAX($B$9,0.01*AA254+AA254*$G$52)&gt;1E-9,AA254*(1+$G$52)-MAX($B$9,0.01*AA254+AA254*$G$52),0),0)</f>
        <v/>
      </c>
      <c r="AB255">
        <f>AA254*$G$52</f>
        <v/>
      </c>
      <c r="AC255">
        <f>IF(AC254&gt;1E-9,IF(AC254*(1+$G$53)-MAX($B$9,0.01*AC254+AC254*$G$53)&gt;1E-9,AC254*(1+$G$53)-MAX($B$9,0.01*AC254+AC254*$G$53),0),0)</f>
        <v/>
      </c>
      <c r="AD255">
        <f>AC254*$G$53</f>
        <v/>
      </c>
      <c r="AE255">
        <f>IF(AE254&gt;1E-9,IF(AE254*(1+$G$54)-MAX($B$9,0.01*AE254+AE254*$G$54)&gt;1E-9,AE254*(1+$G$54)-MAX($B$9,0.01*AE254+AE254*$G$54),0),0)</f>
        <v/>
      </c>
      <c r="AF255">
        <f>AE254*$G$54</f>
        <v/>
      </c>
      <c r="AG255">
        <f>IF(AG254&gt;1E-9,IF(AG254*(1+$G$55)-MAX($B$9,0.01*AG254+AG254*$G$55)&gt;1E-9,AG254*(1+$G$55)-MAX($B$9,0.01*AG254+AG254*$G$55),0),0)</f>
        <v/>
      </c>
      <c r="AH255">
        <f>AG254*$G$55</f>
        <v/>
      </c>
      <c r="AI255">
        <f>G255+K255+O255+S255+W255</f>
        <v/>
      </c>
      <c r="AJ255">
        <f>AI254+AK255-AI255</f>
        <v/>
      </c>
      <c r="AK255">
        <f>H255+L255+P255+T255+X255</f>
        <v/>
      </c>
      <c r="AL255">
        <f>TEXT(EDATE($B$5,D255-1),"mmm yyyy")</f>
        <v/>
      </c>
      <c r="AM255">
        <f>AI255</f>
        <v/>
      </c>
    </row>
    <row r="256">
      <c r="D256" t="n">
        <v>195</v>
      </c>
      <c r="E256">
        <f>IF(G255&gt;0,MAX(0,G255*(1+$G$51)-$H$51),0)</f>
        <v/>
      </c>
      <c r="F256">
        <f>$B$6+IF($D256=$B$8,$B$7,0)</f>
        <v/>
      </c>
      <c r="G256">
        <f>IF(E256-F256&gt;1E-9,E256-F256,0)</f>
        <v/>
      </c>
      <c r="H256">
        <f>G255*$G$51</f>
        <v/>
      </c>
      <c r="I256">
        <f>IF(K255&gt;0,MAX(0,K255*(1+$G$52)-$H$52),0)</f>
        <v/>
      </c>
      <c r="J256">
        <f>MAX(0,F256-E256)</f>
        <v/>
      </c>
      <c r="K256">
        <f>IF(I256-J256&gt;1E-9,I256-J256,0)</f>
        <v/>
      </c>
      <c r="L256">
        <f>K255*$G$52</f>
        <v/>
      </c>
      <c r="M256">
        <f>IF(O255&gt;0,MAX(0,O255*(1+$G$53)-$H$53),0)</f>
        <v/>
      </c>
      <c r="N256">
        <f>MAX(0,J256-I256)</f>
        <v/>
      </c>
      <c r="O256">
        <f>IF(M256-N256&gt;1E-9,M256-N256,0)</f>
        <v/>
      </c>
      <c r="P256">
        <f>O255*$G$53</f>
        <v/>
      </c>
      <c r="Q256">
        <f>IF(S255&gt;0,MAX(0,S255*(1+$G$54)-$H$54),0)</f>
        <v/>
      </c>
      <c r="R256">
        <f>MAX(0,N256-M256)</f>
        <v/>
      </c>
      <c r="S256">
        <f>IF(Q256-R256&gt;1E-9,Q256-R256,0)</f>
        <v/>
      </c>
      <c r="T256">
        <f>S255*$G$54</f>
        <v/>
      </c>
      <c r="U256">
        <f>IF(W255&gt;0,MAX(0,W255*(1+$G$55)-$H$55),0)</f>
        <v/>
      </c>
      <c r="V256">
        <f>MAX(0,R256-Q256)</f>
        <v/>
      </c>
      <c r="W256">
        <f>IF(U256-V256&gt;1E-9,U256-V256,0)</f>
        <v/>
      </c>
      <c r="X256">
        <f>W255*$G$55</f>
        <v/>
      </c>
      <c r="Y256">
        <f>IF(Y255&gt;1E-9,IF(Y255*(1+$G$51)-MAX($B$9,0.01*Y255+Y255*$G$51)&gt;1E-9,Y255*(1+$G$51)-MAX($B$9,0.01*Y255+Y255*$G$51),0),0)</f>
        <v/>
      </c>
      <c r="Z256">
        <f>Y255*$G$51</f>
        <v/>
      </c>
      <c r="AA256">
        <f>IF(AA255&gt;1E-9,IF(AA255*(1+$G$52)-MAX($B$9,0.01*AA255+AA255*$G$52)&gt;1E-9,AA255*(1+$G$52)-MAX($B$9,0.01*AA255+AA255*$G$52),0),0)</f>
        <v/>
      </c>
      <c r="AB256">
        <f>AA255*$G$52</f>
        <v/>
      </c>
      <c r="AC256">
        <f>IF(AC255&gt;1E-9,IF(AC255*(1+$G$53)-MAX($B$9,0.01*AC255+AC255*$G$53)&gt;1E-9,AC255*(1+$G$53)-MAX($B$9,0.01*AC255+AC255*$G$53),0),0)</f>
        <v/>
      </c>
      <c r="AD256">
        <f>AC255*$G$53</f>
        <v/>
      </c>
      <c r="AE256">
        <f>IF(AE255&gt;1E-9,IF(AE255*(1+$G$54)-MAX($B$9,0.01*AE255+AE255*$G$54)&gt;1E-9,AE255*(1+$G$54)-MAX($B$9,0.01*AE255+AE255*$G$54),0),0)</f>
        <v/>
      </c>
      <c r="AF256">
        <f>AE255*$G$54</f>
        <v/>
      </c>
      <c r="AG256">
        <f>IF(AG255&gt;1E-9,IF(AG255*(1+$G$55)-MAX($B$9,0.01*AG255+AG255*$G$55)&gt;1E-9,AG255*(1+$G$55)-MAX($B$9,0.01*AG255+AG255*$G$55),0),0)</f>
        <v/>
      </c>
      <c r="AH256">
        <f>AG255*$G$55</f>
        <v/>
      </c>
      <c r="AI256">
        <f>G256+K256+O256+S256+W256</f>
        <v/>
      </c>
      <c r="AJ256">
        <f>AI255+AK256-AI256</f>
        <v/>
      </c>
      <c r="AK256">
        <f>H256+L256+P256+T256+X256</f>
        <v/>
      </c>
      <c r="AL256">
        <f>TEXT(EDATE($B$5,D256-1),"mmm yyyy")</f>
        <v/>
      </c>
      <c r="AM256">
        <f>AI256</f>
        <v/>
      </c>
    </row>
    <row r="257">
      <c r="D257" t="n">
        <v>196</v>
      </c>
      <c r="E257">
        <f>IF(G256&gt;0,MAX(0,G256*(1+$G$51)-$H$51),0)</f>
        <v/>
      </c>
      <c r="F257">
        <f>$B$6+IF($D257=$B$8,$B$7,0)</f>
        <v/>
      </c>
      <c r="G257">
        <f>IF(E257-F257&gt;1E-9,E257-F257,0)</f>
        <v/>
      </c>
      <c r="H257">
        <f>G256*$G$51</f>
        <v/>
      </c>
      <c r="I257">
        <f>IF(K256&gt;0,MAX(0,K256*(1+$G$52)-$H$52),0)</f>
        <v/>
      </c>
      <c r="J257">
        <f>MAX(0,F257-E257)</f>
        <v/>
      </c>
      <c r="K257">
        <f>IF(I257-J257&gt;1E-9,I257-J257,0)</f>
        <v/>
      </c>
      <c r="L257">
        <f>K256*$G$52</f>
        <v/>
      </c>
      <c r="M257">
        <f>IF(O256&gt;0,MAX(0,O256*(1+$G$53)-$H$53),0)</f>
        <v/>
      </c>
      <c r="N257">
        <f>MAX(0,J257-I257)</f>
        <v/>
      </c>
      <c r="O257">
        <f>IF(M257-N257&gt;1E-9,M257-N257,0)</f>
        <v/>
      </c>
      <c r="P257">
        <f>O256*$G$53</f>
        <v/>
      </c>
      <c r="Q257">
        <f>IF(S256&gt;0,MAX(0,S256*(1+$G$54)-$H$54),0)</f>
        <v/>
      </c>
      <c r="R257">
        <f>MAX(0,N257-M257)</f>
        <v/>
      </c>
      <c r="S257">
        <f>IF(Q257-R257&gt;1E-9,Q257-R257,0)</f>
        <v/>
      </c>
      <c r="T257">
        <f>S256*$G$54</f>
        <v/>
      </c>
      <c r="U257">
        <f>IF(W256&gt;0,MAX(0,W256*(1+$G$55)-$H$55),0)</f>
        <v/>
      </c>
      <c r="V257">
        <f>MAX(0,R257-Q257)</f>
        <v/>
      </c>
      <c r="W257">
        <f>IF(U257-V257&gt;1E-9,U257-V257,0)</f>
        <v/>
      </c>
      <c r="X257">
        <f>W256*$G$55</f>
        <v/>
      </c>
      <c r="Y257">
        <f>IF(Y256&gt;1E-9,IF(Y256*(1+$G$51)-MAX($B$9,0.01*Y256+Y256*$G$51)&gt;1E-9,Y256*(1+$G$51)-MAX($B$9,0.01*Y256+Y256*$G$51),0),0)</f>
        <v/>
      </c>
      <c r="Z257">
        <f>Y256*$G$51</f>
        <v/>
      </c>
      <c r="AA257">
        <f>IF(AA256&gt;1E-9,IF(AA256*(1+$G$52)-MAX($B$9,0.01*AA256+AA256*$G$52)&gt;1E-9,AA256*(1+$G$52)-MAX($B$9,0.01*AA256+AA256*$G$52),0),0)</f>
        <v/>
      </c>
      <c r="AB257">
        <f>AA256*$G$52</f>
        <v/>
      </c>
      <c r="AC257">
        <f>IF(AC256&gt;1E-9,IF(AC256*(1+$G$53)-MAX($B$9,0.01*AC256+AC256*$G$53)&gt;1E-9,AC256*(1+$G$53)-MAX($B$9,0.01*AC256+AC256*$G$53),0),0)</f>
        <v/>
      </c>
      <c r="AD257">
        <f>AC256*$G$53</f>
        <v/>
      </c>
      <c r="AE257">
        <f>IF(AE256&gt;1E-9,IF(AE256*(1+$G$54)-MAX($B$9,0.01*AE256+AE256*$G$54)&gt;1E-9,AE256*(1+$G$54)-MAX($B$9,0.01*AE256+AE256*$G$54),0),0)</f>
        <v/>
      </c>
      <c r="AF257">
        <f>AE256*$G$54</f>
        <v/>
      </c>
      <c r="AG257">
        <f>IF(AG256&gt;1E-9,IF(AG256*(1+$G$55)-MAX($B$9,0.01*AG256+AG256*$G$55)&gt;1E-9,AG256*(1+$G$55)-MAX($B$9,0.01*AG256+AG256*$G$55),0),0)</f>
        <v/>
      </c>
      <c r="AH257">
        <f>AG256*$G$55</f>
        <v/>
      </c>
      <c r="AI257">
        <f>G257+K257+O257+S257+W257</f>
        <v/>
      </c>
      <c r="AJ257">
        <f>AI256+AK257-AI257</f>
        <v/>
      </c>
      <c r="AK257">
        <f>H257+L257+P257+T257+X257</f>
        <v/>
      </c>
      <c r="AL257">
        <f>TEXT(EDATE($B$5,D257-1),"mmm yyyy")</f>
        <v/>
      </c>
      <c r="AM257">
        <f>AI257</f>
        <v/>
      </c>
    </row>
    <row r="258">
      <c r="D258" t="n">
        <v>197</v>
      </c>
      <c r="E258">
        <f>IF(G257&gt;0,MAX(0,G257*(1+$G$51)-$H$51),0)</f>
        <v/>
      </c>
      <c r="F258">
        <f>$B$6+IF($D258=$B$8,$B$7,0)</f>
        <v/>
      </c>
      <c r="G258">
        <f>IF(E258-F258&gt;1E-9,E258-F258,0)</f>
        <v/>
      </c>
      <c r="H258">
        <f>G257*$G$51</f>
        <v/>
      </c>
      <c r="I258">
        <f>IF(K257&gt;0,MAX(0,K257*(1+$G$52)-$H$52),0)</f>
        <v/>
      </c>
      <c r="J258">
        <f>MAX(0,F258-E258)</f>
        <v/>
      </c>
      <c r="K258">
        <f>IF(I258-J258&gt;1E-9,I258-J258,0)</f>
        <v/>
      </c>
      <c r="L258">
        <f>K257*$G$52</f>
        <v/>
      </c>
      <c r="M258">
        <f>IF(O257&gt;0,MAX(0,O257*(1+$G$53)-$H$53),0)</f>
        <v/>
      </c>
      <c r="N258">
        <f>MAX(0,J258-I258)</f>
        <v/>
      </c>
      <c r="O258">
        <f>IF(M258-N258&gt;1E-9,M258-N258,0)</f>
        <v/>
      </c>
      <c r="P258">
        <f>O257*$G$53</f>
        <v/>
      </c>
      <c r="Q258">
        <f>IF(S257&gt;0,MAX(0,S257*(1+$G$54)-$H$54),0)</f>
        <v/>
      </c>
      <c r="R258">
        <f>MAX(0,N258-M258)</f>
        <v/>
      </c>
      <c r="S258">
        <f>IF(Q258-R258&gt;1E-9,Q258-R258,0)</f>
        <v/>
      </c>
      <c r="T258">
        <f>S257*$G$54</f>
        <v/>
      </c>
      <c r="U258">
        <f>IF(W257&gt;0,MAX(0,W257*(1+$G$55)-$H$55),0)</f>
        <v/>
      </c>
      <c r="V258">
        <f>MAX(0,R258-Q258)</f>
        <v/>
      </c>
      <c r="W258">
        <f>IF(U258-V258&gt;1E-9,U258-V258,0)</f>
        <v/>
      </c>
      <c r="X258">
        <f>W257*$G$55</f>
        <v/>
      </c>
      <c r="Y258">
        <f>IF(Y257&gt;1E-9,IF(Y257*(1+$G$51)-MAX($B$9,0.01*Y257+Y257*$G$51)&gt;1E-9,Y257*(1+$G$51)-MAX($B$9,0.01*Y257+Y257*$G$51),0),0)</f>
        <v/>
      </c>
      <c r="Z258">
        <f>Y257*$G$51</f>
        <v/>
      </c>
      <c r="AA258">
        <f>IF(AA257&gt;1E-9,IF(AA257*(1+$G$52)-MAX($B$9,0.01*AA257+AA257*$G$52)&gt;1E-9,AA257*(1+$G$52)-MAX($B$9,0.01*AA257+AA257*$G$52),0),0)</f>
        <v/>
      </c>
      <c r="AB258">
        <f>AA257*$G$52</f>
        <v/>
      </c>
      <c r="AC258">
        <f>IF(AC257&gt;1E-9,IF(AC257*(1+$G$53)-MAX($B$9,0.01*AC257+AC257*$G$53)&gt;1E-9,AC257*(1+$G$53)-MAX($B$9,0.01*AC257+AC257*$G$53),0),0)</f>
        <v/>
      </c>
      <c r="AD258">
        <f>AC257*$G$53</f>
        <v/>
      </c>
      <c r="AE258">
        <f>IF(AE257&gt;1E-9,IF(AE257*(1+$G$54)-MAX($B$9,0.01*AE257+AE257*$G$54)&gt;1E-9,AE257*(1+$G$54)-MAX($B$9,0.01*AE257+AE257*$G$54),0),0)</f>
        <v/>
      </c>
      <c r="AF258">
        <f>AE257*$G$54</f>
        <v/>
      </c>
      <c r="AG258">
        <f>IF(AG257&gt;1E-9,IF(AG257*(1+$G$55)-MAX($B$9,0.01*AG257+AG257*$G$55)&gt;1E-9,AG257*(1+$G$55)-MAX($B$9,0.01*AG257+AG257*$G$55),0),0)</f>
        <v/>
      </c>
      <c r="AH258">
        <f>AG257*$G$55</f>
        <v/>
      </c>
      <c r="AI258">
        <f>G258+K258+O258+S258+W258</f>
        <v/>
      </c>
      <c r="AJ258">
        <f>AI257+AK258-AI258</f>
        <v/>
      </c>
      <c r="AK258">
        <f>H258+L258+P258+T258+X258</f>
        <v/>
      </c>
      <c r="AL258">
        <f>TEXT(EDATE($B$5,D258-1),"mmm yyyy")</f>
        <v/>
      </c>
      <c r="AM258">
        <f>AI258</f>
        <v/>
      </c>
    </row>
    <row r="259">
      <c r="D259" t="n">
        <v>198</v>
      </c>
      <c r="E259">
        <f>IF(G258&gt;0,MAX(0,G258*(1+$G$51)-$H$51),0)</f>
        <v/>
      </c>
      <c r="F259">
        <f>$B$6+IF($D259=$B$8,$B$7,0)</f>
        <v/>
      </c>
      <c r="G259">
        <f>IF(E259-F259&gt;1E-9,E259-F259,0)</f>
        <v/>
      </c>
      <c r="H259">
        <f>G258*$G$51</f>
        <v/>
      </c>
      <c r="I259">
        <f>IF(K258&gt;0,MAX(0,K258*(1+$G$52)-$H$52),0)</f>
        <v/>
      </c>
      <c r="J259">
        <f>MAX(0,F259-E259)</f>
        <v/>
      </c>
      <c r="K259">
        <f>IF(I259-J259&gt;1E-9,I259-J259,0)</f>
        <v/>
      </c>
      <c r="L259">
        <f>K258*$G$52</f>
        <v/>
      </c>
      <c r="M259">
        <f>IF(O258&gt;0,MAX(0,O258*(1+$G$53)-$H$53),0)</f>
        <v/>
      </c>
      <c r="N259">
        <f>MAX(0,J259-I259)</f>
        <v/>
      </c>
      <c r="O259">
        <f>IF(M259-N259&gt;1E-9,M259-N259,0)</f>
        <v/>
      </c>
      <c r="P259">
        <f>O258*$G$53</f>
        <v/>
      </c>
      <c r="Q259">
        <f>IF(S258&gt;0,MAX(0,S258*(1+$G$54)-$H$54),0)</f>
        <v/>
      </c>
      <c r="R259">
        <f>MAX(0,N259-M259)</f>
        <v/>
      </c>
      <c r="S259">
        <f>IF(Q259-R259&gt;1E-9,Q259-R259,0)</f>
        <v/>
      </c>
      <c r="T259">
        <f>S258*$G$54</f>
        <v/>
      </c>
      <c r="U259">
        <f>IF(W258&gt;0,MAX(0,W258*(1+$G$55)-$H$55),0)</f>
        <v/>
      </c>
      <c r="V259">
        <f>MAX(0,R259-Q259)</f>
        <v/>
      </c>
      <c r="W259">
        <f>IF(U259-V259&gt;1E-9,U259-V259,0)</f>
        <v/>
      </c>
      <c r="X259">
        <f>W258*$G$55</f>
        <v/>
      </c>
      <c r="Y259">
        <f>IF(Y258&gt;1E-9,IF(Y258*(1+$G$51)-MAX($B$9,0.01*Y258+Y258*$G$51)&gt;1E-9,Y258*(1+$G$51)-MAX($B$9,0.01*Y258+Y258*$G$51),0),0)</f>
        <v/>
      </c>
      <c r="Z259">
        <f>Y258*$G$51</f>
        <v/>
      </c>
      <c r="AA259">
        <f>IF(AA258&gt;1E-9,IF(AA258*(1+$G$52)-MAX($B$9,0.01*AA258+AA258*$G$52)&gt;1E-9,AA258*(1+$G$52)-MAX($B$9,0.01*AA258+AA258*$G$52),0),0)</f>
        <v/>
      </c>
      <c r="AB259">
        <f>AA258*$G$52</f>
        <v/>
      </c>
      <c r="AC259">
        <f>IF(AC258&gt;1E-9,IF(AC258*(1+$G$53)-MAX($B$9,0.01*AC258+AC258*$G$53)&gt;1E-9,AC258*(1+$G$53)-MAX($B$9,0.01*AC258+AC258*$G$53),0),0)</f>
        <v/>
      </c>
      <c r="AD259">
        <f>AC258*$G$53</f>
        <v/>
      </c>
      <c r="AE259">
        <f>IF(AE258&gt;1E-9,IF(AE258*(1+$G$54)-MAX($B$9,0.01*AE258+AE258*$G$54)&gt;1E-9,AE258*(1+$G$54)-MAX($B$9,0.01*AE258+AE258*$G$54),0),0)</f>
        <v/>
      </c>
      <c r="AF259">
        <f>AE258*$G$54</f>
        <v/>
      </c>
      <c r="AG259">
        <f>IF(AG258&gt;1E-9,IF(AG258*(1+$G$55)-MAX($B$9,0.01*AG258+AG258*$G$55)&gt;1E-9,AG258*(1+$G$55)-MAX($B$9,0.01*AG258+AG258*$G$55),0),0)</f>
        <v/>
      </c>
      <c r="AH259">
        <f>AG258*$G$55</f>
        <v/>
      </c>
      <c r="AI259">
        <f>G259+K259+O259+S259+W259</f>
        <v/>
      </c>
      <c r="AJ259">
        <f>AI258+AK259-AI259</f>
        <v/>
      </c>
      <c r="AK259">
        <f>H259+L259+P259+T259+X259</f>
        <v/>
      </c>
      <c r="AL259">
        <f>TEXT(EDATE($B$5,D259-1),"mmm yyyy")</f>
        <v/>
      </c>
      <c r="AM259">
        <f>AI259</f>
        <v/>
      </c>
    </row>
    <row r="260">
      <c r="D260" t="n">
        <v>199</v>
      </c>
      <c r="E260">
        <f>IF(G259&gt;0,MAX(0,G259*(1+$G$51)-$H$51),0)</f>
        <v/>
      </c>
      <c r="F260">
        <f>$B$6+IF($D260=$B$8,$B$7,0)</f>
        <v/>
      </c>
      <c r="G260">
        <f>IF(E260-F260&gt;1E-9,E260-F260,0)</f>
        <v/>
      </c>
      <c r="H260">
        <f>G259*$G$51</f>
        <v/>
      </c>
      <c r="I260">
        <f>IF(K259&gt;0,MAX(0,K259*(1+$G$52)-$H$52),0)</f>
        <v/>
      </c>
      <c r="J260">
        <f>MAX(0,F260-E260)</f>
        <v/>
      </c>
      <c r="K260">
        <f>IF(I260-J260&gt;1E-9,I260-J260,0)</f>
        <v/>
      </c>
      <c r="L260">
        <f>K259*$G$52</f>
        <v/>
      </c>
      <c r="M260">
        <f>IF(O259&gt;0,MAX(0,O259*(1+$G$53)-$H$53),0)</f>
        <v/>
      </c>
      <c r="N260">
        <f>MAX(0,J260-I260)</f>
        <v/>
      </c>
      <c r="O260">
        <f>IF(M260-N260&gt;1E-9,M260-N260,0)</f>
        <v/>
      </c>
      <c r="P260">
        <f>O259*$G$53</f>
        <v/>
      </c>
      <c r="Q260">
        <f>IF(S259&gt;0,MAX(0,S259*(1+$G$54)-$H$54),0)</f>
        <v/>
      </c>
      <c r="R260">
        <f>MAX(0,N260-M260)</f>
        <v/>
      </c>
      <c r="S260">
        <f>IF(Q260-R260&gt;1E-9,Q260-R260,0)</f>
        <v/>
      </c>
      <c r="T260">
        <f>S259*$G$54</f>
        <v/>
      </c>
      <c r="U260">
        <f>IF(W259&gt;0,MAX(0,W259*(1+$G$55)-$H$55),0)</f>
        <v/>
      </c>
      <c r="V260">
        <f>MAX(0,R260-Q260)</f>
        <v/>
      </c>
      <c r="W260">
        <f>IF(U260-V260&gt;1E-9,U260-V260,0)</f>
        <v/>
      </c>
      <c r="X260">
        <f>W259*$G$55</f>
        <v/>
      </c>
      <c r="Y260">
        <f>IF(Y259&gt;1E-9,IF(Y259*(1+$G$51)-MAX($B$9,0.01*Y259+Y259*$G$51)&gt;1E-9,Y259*(1+$G$51)-MAX($B$9,0.01*Y259+Y259*$G$51),0),0)</f>
        <v/>
      </c>
      <c r="Z260">
        <f>Y259*$G$51</f>
        <v/>
      </c>
      <c r="AA260">
        <f>IF(AA259&gt;1E-9,IF(AA259*(1+$G$52)-MAX($B$9,0.01*AA259+AA259*$G$52)&gt;1E-9,AA259*(1+$G$52)-MAX($B$9,0.01*AA259+AA259*$G$52),0),0)</f>
        <v/>
      </c>
      <c r="AB260">
        <f>AA259*$G$52</f>
        <v/>
      </c>
      <c r="AC260">
        <f>IF(AC259&gt;1E-9,IF(AC259*(1+$G$53)-MAX($B$9,0.01*AC259+AC259*$G$53)&gt;1E-9,AC259*(1+$G$53)-MAX($B$9,0.01*AC259+AC259*$G$53),0),0)</f>
        <v/>
      </c>
      <c r="AD260">
        <f>AC259*$G$53</f>
        <v/>
      </c>
      <c r="AE260">
        <f>IF(AE259&gt;1E-9,IF(AE259*(1+$G$54)-MAX($B$9,0.01*AE259+AE259*$G$54)&gt;1E-9,AE259*(1+$G$54)-MAX($B$9,0.01*AE259+AE259*$G$54),0),0)</f>
        <v/>
      </c>
      <c r="AF260">
        <f>AE259*$G$54</f>
        <v/>
      </c>
      <c r="AG260">
        <f>IF(AG259&gt;1E-9,IF(AG259*(1+$G$55)-MAX($B$9,0.01*AG259+AG259*$G$55)&gt;1E-9,AG259*(1+$G$55)-MAX($B$9,0.01*AG259+AG259*$G$55),0),0)</f>
        <v/>
      </c>
      <c r="AH260">
        <f>AG259*$G$55</f>
        <v/>
      </c>
      <c r="AI260">
        <f>G260+K260+O260+S260+W260</f>
        <v/>
      </c>
      <c r="AJ260">
        <f>AI259+AK260-AI260</f>
        <v/>
      </c>
      <c r="AK260">
        <f>H260+L260+P260+T260+X260</f>
        <v/>
      </c>
      <c r="AL260">
        <f>TEXT(EDATE($B$5,D260-1),"mmm yyyy")</f>
        <v/>
      </c>
      <c r="AM260">
        <f>AI260</f>
        <v/>
      </c>
    </row>
    <row r="261">
      <c r="D261" t="n">
        <v>200</v>
      </c>
      <c r="E261">
        <f>IF(G260&gt;0,MAX(0,G260*(1+$G$51)-$H$51),0)</f>
        <v/>
      </c>
      <c r="F261">
        <f>$B$6+IF($D261=$B$8,$B$7,0)</f>
        <v/>
      </c>
      <c r="G261">
        <f>IF(E261-F261&gt;1E-9,E261-F261,0)</f>
        <v/>
      </c>
      <c r="H261">
        <f>G260*$G$51</f>
        <v/>
      </c>
      <c r="I261">
        <f>IF(K260&gt;0,MAX(0,K260*(1+$G$52)-$H$52),0)</f>
        <v/>
      </c>
      <c r="J261">
        <f>MAX(0,F261-E261)</f>
        <v/>
      </c>
      <c r="K261">
        <f>IF(I261-J261&gt;1E-9,I261-J261,0)</f>
        <v/>
      </c>
      <c r="L261">
        <f>K260*$G$52</f>
        <v/>
      </c>
      <c r="M261">
        <f>IF(O260&gt;0,MAX(0,O260*(1+$G$53)-$H$53),0)</f>
        <v/>
      </c>
      <c r="N261">
        <f>MAX(0,J261-I261)</f>
        <v/>
      </c>
      <c r="O261">
        <f>IF(M261-N261&gt;1E-9,M261-N261,0)</f>
        <v/>
      </c>
      <c r="P261">
        <f>O260*$G$53</f>
        <v/>
      </c>
      <c r="Q261">
        <f>IF(S260&gt;0,MAX(0,S260*(1+$G$54)-$H$54),0)</f>
        <v/>
      </c>
      <c r="R261">
        <f>MAX(0,N261-M261)</f>
        <v/>
      </c>
      <c r="S261">
        <f>IF(Q261-R261&gt;1E-9,Q261-R261,0)</f>
        <v/>
      </c>
      <c r="T261">
        <f>S260*$G$54</f>
        <v/>
      </c>
      <c r="U261">
        <f>IF(W260&gt;0,MAX(0,W260*(1+$G$55)-$H$55),0)</f>
        <v/>
      </c>
      <c r="V261">
        <f>MAX(0,R261-Q261)</f>
        <v/>
      </c>
      <c r="W261">
        <f>IF(U261-V261&gt;1E-9,U261-V261,0)</f>
        <v/>
      </c>
      <c r="X261">
        <f>W260*$G$55</f>
        <v/>
      </c>
      <c r="Y261">
        <f>IF(Y260&gt;1E-9,IF(Y260*(1+$G$51)-MAX($B$9,0.01*Y260+Y260*$G$51)&gt;1E-9,Y260*(1+$G$51)-MAX($B$9,0.01*Y260+Y260*$G$51),0),0)</f>
        <v/>
      </c>
      <c r="Z261">
        <f>Y260*$G$51</f>
        <v/>
      </c>
      <c r="AA261">
        <f>IF(AA260&gt;1E-9,IF(AA260*(1+$G$52)-MAX($B$9,0.01*AA260+AA260*$G$52)&gt;1E-9,AA260*(1+$G$52)-MAX($B$9,0.01*AA260+AA260*$G$52),0),0)</f>
        <v/>
      </c>
      <c r="AB261">
        <f>AA260*$G$52</f>
        <v/>
      </c>
      <c r="AC261">
        <f>IF(AC260&gt;1E-9,IF(AC260*(1+$G$53)-MAX($B$9,0.01*AC260+AC260*$G$53)&gt;1E-9,AC260*(1+$G$53)-MAX($B$9,0.01*AC260+AC260*$G$53),0),0)</f>
        <v/>
      </c>
      <c r="AD261">
        <f>AC260*$G$53</f>
        <v/>
      </c>
      <c r="AE261">
        <f>IF(AE260&gt;1E-9,IF(AE260*(1+$G$54)-MAX($B$9,0.01*AE260+AE260*$G$54)&gt;1E-9,AE260*(1+$G$54)-MAX($B$9,0.01*AE260+AE260*$G$54),0),0)</f>
        <v/>
      </c>
      <c r="AF261">
        <f>AE260*$G$54</f>
        <v/>
      </c>
      <c r="AG261">
        <f>IF(AG260&gt;1E-9,IF(AG260*(1+$G$55)-MAX($B$9,0.01*AG260+AG260*$G$55)&gt;1E-9,AG260*(1+$G$55)-MAX($B$9,0.01*AG260+AG260*$G$55),0),0)</f>
        <v/>
      </c>
      <c r="AH261">
        <f>AG260*$G$55</f>
        <v/>
      </c>
      <c r="AI261">
        <f>G261+K261+O261+S261+W261</f>
        <v/>
      </c>
      <c r="AJ261">
        <f>AI260+AK261-AI261</f>
        <v/>
      </c>
      <c r="AK261">
        <f>H261+L261+P261+T261+X261</f>
        <v/>
      </c>
      <c r="AL261">
        <f>TEXT(EDATE($B$5,D261-1),"mmm yyyy")</f>
        <v/>
      </c>
      <c r="AM261">
        <f>AI261</f>
        <v/>
      </c>
    </row>
    <row r="262">
      <c r="D262" t="n">
        <v>201</v>
      </c>
      <c r="E262">
        <f>IF(G261&gt;0,MAX(0,G261*(1+$G$51)-$H$51),0)</f>
        <v/>
      </c>
      <c r="F262">
        <f>$B$6+IF($D262=$B$8,$B$7,0)</f>
        <v/>
      </c>
      <c r="G262">
        <f>IF(E262-F262&gt;1E-9,E262-F262,0)</f>
        <v/>
      </c>
      <c r="H262">
        <f>G261*$G$51</f>
        <v/>
      </c>
      <c r="I262">
        <f>IF(K261&gt;0,MAX(0,K261*(1+$G$52)-$H$52),0)</f>
        <v/>
      </c>
      <c r="J262">
        <f>MAX(0,F262-E262)</f>
        <v/>
      </c>
      <c r="K262">
        <f>IF(I262-J262&gt;1E-9,I262-J262,0)</f>
        <v/>
      </c>
      <c r="L262">
        <f>K261*$G$52</f>
        <v/>
      </c>
      <c r="M262">
        <f>IF(O261&gt;0,MAX(0,O261*(1+$G$53)-$H$53),0)</f>
        <v/>
      </c>
      <c r="N262">
        <f>MAX(0,J262-I262)</f>
        <v/>
      </c>
      <c r="O262">
        <f>IF(M262-N262&gt;1E-9,M262-N262,0)</f>
        <v/>
      </c>
      <c r="P262">
        <f>O261*$G$53</f>
        <v/>
      </c>
      <c r="Q262">
        <f>IF(S261&gt;0,MAX(0,S261*(1+$G$54)-$H$54),0)</f>
        <v/>
      </c>
      <c r="R262">
        <f>MAX(0,N262-M262)</f>
        <v/>
      </c>
      <c r="S262">
        <f>IF(Q262-R262&gt;1E-9,Q262-R262,0)</f>
        <v/>
      </c>
      <c r="T262">
        <f>S261*$G$54</f>
        <v/>
      </c>
      <c r="U262">
        <f>IF(W261&gt;0,MAX(0,W261*(1+$G$55)-$H$55),0)</f>
        <v/>
      </c>
      <c r="V262">
        <f>MAX(0,R262-Q262)</f>
        <v/>
      </c>
      <c r="W262">
        <f>IF(U262-V262&gt;1E-9,U262-V262,0)</f>
        <v/>
      </c>
      <c r="X262">
        <f>W261*$G$55</f>
        <v/>
      </c>
      <c r="Y262">
        <f>IF(Y261&gt;1E-9,IF(Y261*(1+$G$51)-MAX($B$9,0.01*Y261+Y261*$G$51)&gt;1E-9,Y261*(1+$G$51)-MAX($B$9,0.01*Y261+Y261*$G$51),0),0)</f>
        <v/>
      </c>
      <c r="Z262">
        <f>Y261*$G$51</f>
        <v/>
      </c>
      <c r="AA262">
        <f>IF(AA261&gt;1E-9,IF(AA261*(1+$G$52)-MAX($B$9,0.01*AA261+AA261*$G$52)&gt;1E-9,AA261*(1+$G$52)-MAX($B$9,0.01*AA261+AA261*$G$52),0),0)</f>
        <v/>
      </c>
      <c r="AB262">
        <f>AA261*$G$52</f>
        <v/>
      </c>
      <c r="AC262">
        <f>IF(AC261&gt;1E-9,IF(AC261*(1+$G$53)-MAX($B$9,0.01*AC261+AC261*$G$53)&gt;1E-9,AC261*(1+$G$53)-MAX($B$9,0.01*AC261+AC261*$G$53),0),0)</f>
        <v/>
      </c>
      <c r="AD262">
        <f>AC261*$G$53</f>
        <v/>
      </c>
      <c r="AE262">
        <f>IF(AE261&gt;1E-9,IF(AE261*(1+$G$54)-MAX($B$9,0.01*AE261+AE261*$G$54)&gt;1E-9,AE261*(1+$G$54)-MAX($B$9,0.01*AE261+AE261*$G$54),0),0)</f>
        <v/>
      </c>
      <c r="AF262">
        <f>AE261*$G$54</f>
        <v/>
      </c>
      <c r="AG262">
        <f>IF(AG261&gt;1E-9,IF(AG261*(1+$G$55)-MAX($B$9,0.01*AG261+AG261*$G$55)&gt;1E-9,AG261*(1+$G$55)-MAX($B$9,0.01*AG261+AG261*$G$55),0),0)</f>
        <v/>
      </c>
      <c r="AH262">
        <f>AG261*$G$55</f>
        <v/>
      </c>
      <c r="AI262">
        <f>G262+K262+O262+S262+W262</f>
        <v/>
      </c>
      <c r="AJ262">
        <f>AI261+AK262-AI262</f>
        <v/>
      </c>
      <c r="AK262">
        <f>H262+L262+P262+T262+X262</f>
        <v/>
      </c>
      <c r="AL262">
        <f>TEXT(EDATE($B$5,D262-1),"mmm yyyy")</f>
        <v/>
      </c>
      <c r="AM262">
        <f>AI262</f>
        <v/>
      </c>
    </row>
    <row r="263">
      <c r="D263" t="n">
        <v>202</v>
      </c>
      <c r="E263">
        <f>IF(G262&gt;0,MAX(0,G262*(1+$G$51)-$H$51),0)</f>
        <v/>
      </c>
      <c r="F263">
        <f>$B$6+IF($D263=$B$8,$B$7,0)</f>
        <v/>
      </c>
      <c r="G263">
        <f>IF(E263-F263&gt;1E-9,E263-F263,0)</f>
        <v/>
      </c>
      <c r="H263">
        <f>G262*$G$51</f>
        <v/>
      </c>
      <c r="I263">
        <f>IF(K262&gt;0,MAX(0,K262*(1+$G$52)-$H$52),0)</f>
        <v/>
      </c>
      <c r="J263">
        <f>MAX(0,F263-E263)</f>
        <v/>
      </c>
      <c r="K263">
        <f>IF(I263-J263&gt;1E-9,I263-J263,0)</f>
        <v/>
      </c>
      <c r="L263">
        <f>K262*$G$52</f>
        <v/>
      </c>
      <c r="M263">
        <f>IF(O262&gt;0,MAX(0,O262*(1+$G$53)-$H$53),0)</f>
        <v/>
      </c>
      <c r="N263">
        <f>MAX(0,J263-I263)</f>
        <v/>
      </c>
      <c r="O263">
        <f>IF(M263-N263&gt;1E-9,M263-N263,0)</f>
        <v/>
      </c>
      <c r="P263">
        <f>O262*$G$53</f>
        <v/>
      </c>
      <c r="Q263">
        <f>IF(S262&gt;0,MAX(0,S262*(1+$G$54)-$H$54),0)</f>
        <v/>
      </c>
      <c r="R263">
        <f>MAX(0,N263-M263)</f>
        <v/>
      </c>
      <c r="S263">
        <f>IF(Q263-R263&gt;1E-9,Q263-R263,0)</f>
        <v/>
      </c>
      <c r="T263">
        <f>S262*$G$54</f>
        <v/>
      </c>
      <c r="U263">
        <f>IF(W262&gt;0,MAX(0,W262*(1+$G$55)-$H$55),0)</f>
        <v/>
      </c>
      <c r="V263">
        <f>MAX(0,R263-Q263)</f>
        <v/>
      </c>
      <c r="W263">
        <f>IF(U263-V263&gt;1E-9,U263-V263,0)</f>
        <v/>
      </c>
      <c r="X263">
        <f>W262*$G$55</f>
        <v/>
      </c>
      <c r="Y263">
        <f>IF(Y262&gt;1E-9,IF(Y262*(1+$G$51)-MAX($B$9,0.01*Y262+Y262*$G$51)&gt;1E-9,Y262*(1+$G$51)-MAX($B$9,0.01*Y262+Y262*$G$51),0),0)</f>
        <v/>
      </c>
      <c r="Z263">
        <f>Y262*$G$51</f>
        <v/>
      </c>
      <c r="AA263">
        <f>IF(AA262&gt;1E-9,IF(AA262*(1+$G$52)-MAX($B$9,0.01*AA262+AA262*$G$52)&gt;1E-9,AA262*(1+$G$52)-MAX($B$9,0.01*AA262+AA262*$G$52),0),0)</f>
        <v/>
      </c>
      <c r="AB263">
        <f>AA262*$G$52</f>
        <v/>
      </c>
      <c r="AC263">
        <f>IF(AC262&gt;1E-9,IF(AC262*(1+$G$53)-MAX($B$9,0.01*AC262+AC262*$G$53)&gt;1E-9,AC262*(1+$G$53)-MAX($B$9,0.01*AC262+AC262*$G$53),0),0)</f>
        <v/>
      </c>
      <c r="AD263">
        <f>AC262*$G$53</f>
        <v/>
      </c>
      <c r="AE263">
        <f>IF(AE262&gt;1E-9,IF(AE262*(1+$G$54)-MAX($B$9,0.01*AE262+AE262*$G$54)&gt;1E-9,AE262*(1+$G$54)-MAX($B$9,0.01*AE262+AE262*$G$54),0),0)</f>
        <v/>
      </c>
      <c r="AF263">
        <f>AE262*$G$54</f>
        <v/>
      </c>
      <c r="AG263">
        <f>IF(AG262&gt;1E-9,IF(AG262*(1+$G$55)-MAX($B$9,0.01*AG262+AG262*$G$55)&gt;1E-9,AG262*(1+$G$55)-MAX($B$9,0.01*AG262+AG262*$G$55),0),0)</f>
        <v/>
      </c>
      <c r="AH263">
        <f>AG262*$G$55</f>
        <v/>
      </c>
      <c r="AI263">
        <f>G263+K263+O263+S263+W263</f>
        <v/>
      </c>
      <c r="AJ263">
        <f>AI262+AK263-AI263</f>
        <v/>
      </c>
      <c r="AK263">
        <f>H263+L263+P263+T263+X263</f>
        <v/>
      </c>
      <c r="AL263">
        <f>TEXT(EDATE($B$5,D263-1),"mmm yyyy")</f>
        <v/>
      </c>
      <c r="AM263">
        <f>AI263</f>
        <v/>
      </c>
    </row>
    <row r="264">
      <c r="D264" t="n">
        <v>203</v>
      </c>
      <c r="E264">
        <f>IF(G263&gt;0,MAX(0,G263*(1+$G$51)-$H$51),0)</f>
        <v/>
      </c>
      <c r="F264">
        <f>$B$6+IF($D264=$B$8,$B$7,0)</f>
        <v/>
      </c>
      <c r="G264">
        <f>IF(E264-F264&gt;1E-9,E264-F264,0)</f>
        <v/>
      </c>
      <c r="H264">
        <f>G263*$G$51</f>
        <v/>
      </c>
      <c r="I264">
        <f>IF(K263&gt;0,MAX(0,K263*(1+$G$52)-$H$52),0)</f>
        <v/>
      </c>
      <c r="J264">
        <f>MAX(0,F264-E264)</f>
        <v/>
      </c>
      <c r="K264">
        <f>IF(I264-J264&gt;1E-9,I264-J264,0)</f>
        <v/>
      </c>
      <c r="L264">
        <f>K263*$G$52</f>
        <v/>
      </c>
      <c r="M264">
        <f>IF(O263&gt;0,MAX(0,O263*(1+$G$53)-$H$53),0)</f>
        <v/>
      </c>
      <c r="N264">
        <f>MAX(0,J264-I264)</f>
        <v/>
      </c>
      <c r="O264">
        <f>IF(M264-N264&gt;1E-9,M264-N264,0)</f>
        <v/>
      </c>
      <c r="P264">
        <f>O263*$G$53</f>
        <v/>
      </c>
      <c r="Q264">
        <f>IF(S263&gt;0,MAX(0,S263*(1+$G$54)-$H$54),0)</f>
        <v/>
      </c>
      <c r="R264">
        <f>MAX(0,N264-M264)</f>
        <v/>
      </c>
      <c r="S264">
        <f>IF(Q264-R264&gt;1E-9,Q264-R264,0)</f>
        <v/>
      </c>
      <c r="T264">
        <f>S263*$G$54</f>
        <v/>
      </c>
      <c r="U264">
        <f>IF(W263&gt;0,MAX(0,W263*(1+$G$55)-$H$55),0)</f>
        <v/>
      </c>
      <c r="V264">
        <f>MAX(0,R264-Q264)</f>
        <v/>
      </c>
      <c r="W264">
        <f>IF(U264-V264&gt;1E-9,U264-V264,0)</f>
        <v/>
      </c>
      <c r="X264">
        <f>W263*$G$55</f>
        <v/>
      </c>
      <c r="Y264">
        <f>IF(Y263&gt;1E-9,IF(Y263*(1+$G$51)-MAX($B$9,0.01*Y263+Y263*$G$51)&gt;1E-9,Y263*(1+$G$51)-MAX($B$9,0.01*Y263+Y263*$G$51),0),0)</f>
        <v/>
      </c>
      <c r="Z264">
        <f>Y263*$G$51</f>
        <v/>
      </c>
      <c r="AA264">
        <f>IF(AA263&gt;1E-9,IF(AA263*(1+$G$52)-MAX($B$9,0.01*AA263+AA263*$G$52)&gt;1E-9,AA263*(1+$G$52)-MAX($B$9,0.01*AA263+AA263*$G$52),0),0)</f>
        <v/>
      </c>
      <c r="AB264">
        <f>AA263*$G$52</f>
        <v/>
      </c>
      <c r="AC264">
        <f>IF(AC263&gt;1E-9,IF(AC263*(1+$G$53)-MAX($B$9,0.01*AC263+AC263*$G$53)&gt;1E-9,AC263*(1+$G$53)-MAX($B$9,0.01*AC263+AC263*$G$53),0),0)</f>
        <v/>
      </c>
      <c r="AD264">
        <f>AC263*$G$53</f>
        <v/>
      </c>
      <c r="AE264">
        <f>IF(AE263&gt;1E-9,IF(AE263*(1+$G$54)-MAX($B$9,0.01*AE263+AE263*$G$54)&gt;1E-9,AE263*(1+$G$54)-MAX($B$9,0.01*AE263+AE263*$G$54),0),0)</f>
        <v/>
      </c>
      <c r="AF264">
        <f>AE263*$G$54</f>
        <v/>
      </c>
      <c r="AG264">
        <f>IF(AG263&gt;1E-9,IF(AG263*(1+$G$55)-MAX($B$9,0.01*AG263+AG263*$G$55)&gt;1E-9,AG263*(1+$G$55)-MAX($B$9,0.01*AG263+AG263*$G$55),0),0)</f>
        <v/>
      </c>
      <c r="AH264">
        <f>AG263*$G$55</f>
        <v/>
      </c>
      <c r="AI264">
        <f>G264+K264+O264+S264+W264</f>
        <v/>
      </c>
      <c r="AJ264">
        <f>AI263+AK264-AI264</f>
        <v/>
      </c>
      <c r="AK264">
        <f>H264+L264+P264+T264+X264</f>
        <v/>
      </c>
      <c r="AL264">
        <f>TEXT(EDATE($B$5,D264-1),"mmm yyyy")</f>
        <v/>
      </c>
      <c r="AM264">
        <f>AI264</f>
        <v/>
      </c>
    </row>
    <row r="265">
      <c r="D265" t="n">
        <v>204</v>
      </c>
      <c r="E265">
        <f>IF(G264&gt;0,MAX(0,G264*(1+$G$51)-$H$51),0)</f>
        <v/>
      </c>
      <c r="F265">
        <f>$B$6+IF($D265=$B$8,$B$7,0)</f>
        <v/>
      </c>
      <c r="G265">
        <f>IF(E265-F265&gt;1E-9,E265-F265,0)</f>
        <v/>
      </c>
      <c r="H265">
        <f>G264*$G$51</f>
        <v/>
      </c>
      <c r="I265">
        <f>IF(K264&gt;0,MAX(0,K264*(1+$G$52)-$H$52),0)</f>
        <v/>
      </c>
      <c r="J265">
        <f>MAX(0,F265-E265)</f>
        <v/>
      </c>
      <c r="K265">
        <f>IF(I265-J265&gt;1E-9,I265-J265,0)</f>
        <v/>
      </c>
      <c r="L265">
        <f>K264*$G$52</f>
        <v/>
      </c>
      <c r="M265">
        <f>IF(O264&gt;0,MAX(0,O264*(1+$G$53)-$H$53),0)</f>
        <v/>
      </c>
      <c r="N265">
        <f>MAX(0,J265-I265)</f>
        <v/>
      </c>
      <c r="O265">
        <f>IF(M265-N265&gt;1E-9,M265-N265,0)</f>
        <v/>
      </c>
      <c r="P265">
        <f>O264*$G$53</f>
        <v/>
      </c>
      <c r="Q265">
        <f>IF(S264&gt;0,MAX(0,S264*(1+$G$54)-$H$54),0)</f>
        <v/>
      </c>
      <c r="R265">
        <f>MAX(0,N265-M265)</f>
        <v/>
      </c>
      <c r="S265">
        <f>IF(Q265-R265&gt;1E-9,Q265-R265,0)</f>
        <v/>
      </c>
      <c r="T265">
        <f>S264*$G$54</f>
        <v/>
      </c>
      <c r="U265">
        <f>IF(W264&gt;0,MAX(0,W264*(1+$G$55)-$H$55),0)</f>
        <v/>
      </c>
      <c r="V265">
        <f>MAX(0,R265-Q265)</f>
        <v/>
      </c>
      <c r="W265">
        <f>IF(U265-V265&gt;1E-9,U265-V265,0)</f>
        <v/>
      </c>
      <c r="X265">
        <f>W264*$G$55</f>
        <v/>
      </c>
      <c r="Y265">
        <f>IF(Y264&gt;1E-9,IF(Y264*(1+$G$51)-MAX($B$9,0.01*Y264+Y264*$G$51)&gt;1E-9,Y264*(1+$G$51)-MAX($B$9,0.01*Y264+Y264*$G$51),0),0)</f>
        <v/>
      </c>
      <c r="Z265">
        <f>Y264*$G$51</f>
        <v/>
      </c>
      <c r="AA265">
        <f>IF(AA264&gt;1E-9,IF(AA264*(1+$G$52)-MAX($B$9,0.01*AA264+AA264*$G$52)&gt;1E-9,AA264*(1+$G$52)-MAX($B$9,0.01*AA264+AA264*$G$52),0),0)</f>
        <v/>
      </c>
      <c r="AB265">
        <f>AA264*$G$52</f>
        <v/>
      </c>
      <c r="AC265">
        <f>IF(AC264&gt;1E-9,IF(AC264*(1+$G$53)-MAX($B$9,0.01*AC264+AC264*$G$53)&gt;1E-9,AC264*(1+$G$53)-MAX($B$9,0.01*AC264+AC264*$G$53),0),0)</f>
        <v/>
      </c>
      <c r="AD265">
        <f>AC264*$G$53</f>
        <v/>
      </c>
      <c r="AE265">
        <f>IF(AE264&gt;1E-9,IF(AE264*(1+$G$54)-MAX($B$9,0.01*AE264+AE264*$G$54)&gt;1E-9,AE264*(1+$G$54)-MAX($B$9,0.01*AE264+AE264*$G$54),0),0)</f>
        <v/>
      </c>
      <c r="AF265">
        <f>AE264*$G$54</f>
        <v/>
      </c>
      <c r="AG265">
        <f>IF(AG264&gt;1E-9,IF(AG264*(1+$G$55)-MAX($B$9,0.01*AG264+AG264*$G$55)&gt;1E-9,AG264*(1+$G$55)-MAX($B$9,0.01*AG264+AG264*$G$55),0),0)</f>
        <v/>
      </c>
      <c r="AH265">
        <f>AG264*$G$55</f>
        <v/>
      </c>
      <c r="AI265">
        <f>G265+K265+O265+S265+W265</f>
        <v/>
      </c>
      <c r="AJ265">
        <f>AI264+AK265-AI265</f>
        <v/>
      </c>
      <c r="AK265">
        <f>H265+L265+P265+T265+X265</f>
        <v/>
      </c>
      <c r="AL265">
        <f>TEXT(EDATE($B$5,D265-1),"mmm yyyy")</f>
        <v/>
      </c>
      <c r="AM265">
        <f>AI265</f>
        <v/>
      </c>
    </row>
    <row r="266">
      <c r="D266" t="n">
        <v>205</v>
      </c>
      <c r="E266">
        <f>IF(G265&gt;0,MAX(0,G265*(1+$G$51)-$H$51),0)</f>
        <v/>
      </c>
      <c r="F266">
        <f>$B$6+IF($D266=$B$8,$B$7,0)</f>
        <v/>
      </c>
      <c r="G266">
        <f>IF(E266-F266&gt;1E-9,E266-F266,0)</f>
        <v/>
      </c>
      <c r="H266">
        <f>G265*$G$51</f>
        <v/>
      </c>
      <c r="I266">
        <f>IF(K265&gt;0,MAX(0,K265*(1+$G$52)-$H$52),0)</f>
        <v/>
      </c>
      <c r="J266">
        <f>MAX(0,F266-E266)</f>
        <v/>
      </c>
      <c r="K266">
        <f>IF(I266-J266&gt;1E-9,I266-J266,0)</f>
        <v/>
      </c>
      <c r="L266">
        <f>K265*$G$52</f>
        <v/>
      </c>
      <c r="M266">
        <f>IF(O265&gt;0,MAX(0,O265*(1+$G$53)-$H$53),0)</f>
        <v/>
      </c>
      <c r="N266">
        <f>MAX(0,J266-I266)</f>
        <v/>
      </c>
      <c r="O266">
        <f>IF(M266-N266&gt;1E-9,M266-N266,0)</f>
        <v/>
      </c>
      <c r="P266">
        <f>O265*$G$53</f>
        <v/>
      </c>
      <c r="Q266">
        <f>IF(S265&gt;0,MAX(0,S265*(1+$G$54)-$H$54),0)</f>
        <v/>
      </c>
      <c r="R266">
        <f>MAX(0,N266-M266)</f>
        <v/>
      </c>
      <c r="S266">
        <f>IF(Q266-R266&gt;1E-9,Q266-R266,0)</f>
        <v/>
      </c>
      <c r="T266">
        <f>S265*$G$54</f>
        <v/>
      </c>
      <c r="U266">
        <f>IF(W265&gt;0,MAX(0,W265*(1+$G$55)-$H$55),0)</f>
        <v/>
      </c>
      <c r="V266">
        <f>MAX(0,R266-Q266)</f>
        <v/>
      </c>
      <c r="W266">
        <f>IF(U266-V266&gt;1E-9,U266-V266,0)</f>
        <v/>
      </c>
      <c r="X266">
        <f>W265*$G$55</f>
        <v/>
      </c>
      <c r="Y266">
        <f>IF(Y265&gt;1E-9,IF(Y265*(1+$G$51)-MAX($B$9,0.01*Y265+Y265*$G$51)&gt;1E-9,Y265*(1+$G$51)-MAX($B$9,0.01*Y265+Y265*$G$51),0),0)</f>
        <v/>
      </c>
      <c r="Z266">
        <f>Y265*$G$51</f>
        <v/>
      </c>
      <c r="AA266">
        <f>IF(AA265&gt;1E-9,IF(AA265*(1+$G$52)-MAX($B$9,0.01*AA265+AA265*$G$52)&gt;1E-9,AA265*(1+$G$52)-MAX($B$9,0.01*AA265+AA265*$G$52),0),0)</f>
        <v/>
      </c>
      <c r="AB266">
        <f>AA265*$G$52</f>
        <v/>
      </c>
      <c r="AC266">
        <f>IF(AC265&gt;1E-9,IF(AC265*(1+$G$53)-MAX($B$9,0.01*AC265+AC265*$G$53)&gt;1E-9,AC265*(1+$G$53)-MAX($B$9,0.01*AC265+AC265*$G$53),0),0)</f>
        <v/>
      </c>
      <c r="AD266">
        <f>AC265*$G$53</f>
        <v/>
      </c>
      <c r="AE266">
        <f>IF(AE265&gt;1E-9,IF(AE265*(1+$G$54)-MAX($B$9,0.01*AE265+AE265*$G$54)&gt;1E-9,AE265*(1+$G$54)-MAX($B$9,0.01*AE265+AE265*$G$54),0),0)</f>
        <v/>
      </c>
      <c r="AF266">
        <f>AE265*$G$54</f>
        <v/>
      </c>
      <c r="AG266">
        <f>IF(AG265&gt;1E-9,IF(AG265*(1+$G$55)-MAX($B$9,0.01*AG265+AG265*$G$55)&gt;1E-9,AG265*(1+$G$55)-MAX($B$9,0.01*AG265+AG265*$G$55),0),0)</f>
        <v/>
      </c>
      <c r="AH266">
        <f>AG265*$G$55</f>
        <v/>
      </c>
      <c r="AI266">
        <f>G266+K266+O266+S266+W266</f>
        <v/>
      </c>
      <c r="AJ266">
        <f>AI265+AK266-AI266</f>
        <v/>
      </c>
      <c r="AK266">
        <f>H266+L266+P266+T266+X266</f>
        <v/>
      </c>
      <c r="AL266">
        <f>TEXT(EDATE($B$5,D266-1),"mmm yyyy")</f>
        <v/>
      </c>
      <c r="AM266">
        <f>AI266</f>
        <v/>
      </c>
    </row>
    <row r="267">
      <c r="D267" t="n">
        <v>206</v>
      </c>
      <c r="E267">
        <f>IF(G266&gt;0,MAX(0,G266*(1+$G$51)-$H$51),0)</f>
        <v/>
      </c>
      <c r="F267">
        <f>$B$6+IF($D267=$B$8,$B$7,0)</f>
        <v/>
      </c>
      <c r="G267">
        <f>IF(E267-F267&gt;1E-9,E267-F267,0)</f>
        <v/>
      </c>
      <c r="H267">
        <f>G266*$G$51</f>
        <v/>
      </c>
      <c r="I267">
        <f>IF(K266&gt;0,MAX(0,K266*(1+$G$52)-$H$52),0)</f>
        <v/>
      </c>
      <c r="J267">
        <f>MAX(0,F267-E267)</f>
        <v/>
      </c>
      <c r="K267">
        <f>IF(I267-J267&gt;1E-9,I267-J267,0)</f>
        <v/>
      </c>
      <c r="L267">
        <f>K266*$G$52</f>
        <v/>
      </c>
      <c r="M267">
        <f>IF(O266&gt;0,MAX(0,O266*(1+$G$53)-$H$53),0)</f>
        <v/>
      </c>
      <c r="N267">
        <f>MAX(0,J267-I267)</f>
        <v/>
      </c>
      <c r="O267">
        <f>IF(M267-N267&gt;1E-9,M267-N267,0)</f>
        <v/>
      </c>
      <c r="P267">
        <f>O266*$G$53</f>
        <v/>
      </c>
      <c r="Q267">
        <f>IF(S266&gt;0,MAX(0,S266*(1+$G$54)-$H$54),0)</f>
        <v/>
      </c>
      <c r="R267">
        <f>MAX(0,N267-M267)</f>
        <v/>
      </c>
      <c r="S267">
        <f>IF(Q267-R267&gt;1E-9,Q267-R267,0)</f>
        <v/>
      </c>
      <c r="T267">
        <f>S266*$G$54</f>
        <v/>
      </c>
      <c r="U267">
        <f>IF(W266&gt;0,MAX(0,W266*(1+$G$55)-$H$55),0)</f>
        <v/>
      </c>
      <c r="V267">
        <f>MAX(0,R267-Q267)</f>
        <v/>
      </c>
      <c r="W267">
        <f>IF(U267-V267&gt;1E-9,U267-V267,0)</f>
        <v/>
      </c>
      <c r="X267">
        <f>W266*$G$55</f>
        <v/>
      </c>
      <c r="Y267">
        <f>IF(Y266&gt;1E-9,IF(Y266*(1+$G$51)-MAX($B$9,0.01*Y266+Y266*$G$51)&gt;1E-9,Y266*(1+$G$51)-MAX($B$9,0.01*Y266+Y266*$G$51),0),0)</f>
        <v/>
      </c>
      <c r="Z267">
        <f>Y266*$G$51</f>
        <v/>
      </c>
      <c r="AA267">
        <f>IF(AA266&gt;1E-9,IF(AA266*(1+$G$52)-MAX($B$9,0.01*AA266+AA266*$G$52)&gt;1E-9,AA266*(1+$G$52)-MAX($B$9,0.01*AA266+AA266*$G$52),0),0)</f>
        <v/>
      </c>
      <c r="AB267">
        <f>AA266*$G$52</f>
        <v/>
      </c>
      <c r="AC267">
        <f>IF(AC266&gt;1E-9,IF(AC266*(1+$G$53)-MAX($B$9,0.01*AC266+AC266*$G$53)&gt;1E-9,AC266*(1+$G$53)-MAX($B$9,0.01*AC266+AC266*$G$53),0),0)</f>
        <v/>
      </c>
      <c r="AD267">
        <f>AC266*$G$53</f>
        <v/>
      </c>
      <c r="AE267">
        <f>IF(AE266&gt;1E-9,IF(AE266*(1+$G$54)-MAX($B$9,0.01*AE266+AE266*$G$54)&gt;1E-9,AE266*(1+$G$54)-MAX($B$9,0.01*AE266+AE266*$G$54),0),0)</f>
        <v/>
      </c>
      <c r="AF267">
        <f>AE266*$G$54</f>
        <v/>
      </c>
      <c r="AG267">
        <f>IF(AG266&gt;1E-9,IF(AG266*(1+$G$55)-MAX($B$9,0.01*AG266+AG266*$G$55)&gt;1E-9,AG266*(1+$G$55)-MAX($B$9,0.01*AG266+AG266*$G$55),0),0)</f>
        <v/>
      </c>
      <c r="AH267">
        <f>AG266*$G$55</f>
        <v/>
      </c>
      <c r="AI267">
        <f>G267+K267+O267+S267+W267</f>
        <v/>
      </c>
      <c r="AJ267">
        <f>AI266+AK267-AI267</f>
        <v/>
      </c>
      <c r="AK267">
        <f>H267+L267+P267+T267+X267</f>
        <v/>
      </c>
      <c r="AL267">
        <f>TEXT(EDATE($B$5,D267-1),"mmm yyyy")</f>
        <v/>
      </c>
      <c r="AM267">
        <f>AI267</f>
        <v/>
      </c>
    </row>
    <row r="268">
      <c r="D268" t="n">
        <v>207</v>
      </c>
      <c r="E268">
        <f>IF(G267&gt;0,MAX(0,G267*(1+$G$51)-$H$51),0)</f>
        <v/>
      </c>
      <c r="F268">
        <f>$B$6+IF($D268=$B$8,$B$7,0)</f>
        <v/>
      </c>
      <c r="G268">
        <f>IF(E268-F268&gt;1E-9,E268-F268,0)</f>
        <v/>
      </c>
      <c r="H268">
        <f>G267*$G$51</f>
        <v/>
      </c>
      <c r="I268">
        <f>IF(K267&gt;0,MAX(0,K267*(1+$G$52)-$H$52),0)</f>
        <v/>
      </c>
      <c r="J268">
        <f>MAX(0,F268-E268)</f>
        <v/>
      </c>
      <c r="K268">
        <f>IF(I268-J268&gt;1E-9,I268-J268,0)</f>
        <v/>
      </c>
      <c r="L268">
        <f>K267*$G$52</f>
        <v/>
      </c>
      <c r="M268">
        <f>IF(O267&gt;0,MAX(0,O267*(1+$G$53)-$H$53),0)</f>
        <v/>
      </c>
      <c r="N268">
        <f>MAX(0,J268-I268)</f>
        <v/>
      </c>
      <c r="O268">
        <f>IF(M268-N268&gt;1E-9,M268-N268,0)</f>
        <v/>
      </c>
      <c r="P268">
        <f>O267*$G$53</f>
        <v/>
      </c>
      <c r="Q268">
        <f>IF(S267&gt;0,MAX(0,S267*(1+$G$54)-$H$54),0)</f>
        <v/>
      </c>
      <c r="R268">
        <f>MAX(0,N268-M268)</f>
        <v/>
      </c>
      <c r="S268">
        <f>IF(Q268-R268&gt;1E-9,Q268-R268,0)</f>
        <v/>
      </c>
      <c r="T268">
        <f>S267*$G$54</f>
        <v/>
      </c>
      <c r="U268">
        <f>IF(W267&gt;0,MAX(0,W267*(1+$G$55)-$H$55),0)</f>
        <v/>
      </c>
      <c r="V268">
        <f>MAX(0,R268-Q268)</f>
        <v/>
      </c>
      <c r="W268">
        <f>IF(U268-V268&gt;1E-9,U268-V268,0)</f>
        <v/>
      </c>
      <c r="X268">
        <f>W267*$G$55</f>
        <v/>
      </c>
      <c r="Y268">
        <f>IF(Y267&gt;1E-9,IF(Y267*(1+$G$51)-MAX($B$9,0.01*Y267+Y267*$G$51)&gt;1E-9,Y267*(1+$G$51)-MAX($B$9,0.01*Y267+Y267*$G$51),0),0)</f>
        <v/>
      </c>
      <c r="Z268">
        <f>Y267*$G$51</f>
        <v/>
      </c>
      <c r="AA268">
        <f>IF(AA267&gt;1E-9,IF(AA267*(1+$G$52)-MAX($B$9,0.01*AA267+AA267*$G$52)&gt;1E-9,AA267*(1+$G$52)-MAX($B$9,0.01*AA267+AA267*$G$52),0),0)</f>
        <v/>
      </c>
      <c r="AB268">
        <f>AA267*$G$52</f>
        <v/>
      </c>
      <c r="AC268">
        <f>IF(AC267&gt;1E-9,IF(AC267*(1+$G$53)-MAX($B$9,0.01*AC267+AC267*$G$53)&gt;1E-9,AC267*(1+$G$53)-MAX($B$9,0.01*AC267+AC267*$G$53),0),0)</f>
        <v/>
      </c>
      <c r="AD268">
        <f>AC267*$G$53</f>
        <v/>
      </c>
      <c r="AE268">
        <f>IF(AE267&gt;1E-9,IF(AE267*(1+$G$54)-MAX($B$9,0.01*AE267+AE267*$G$54)&gt;1E-9,AE267*(1+$G$54)-MAX($B$9,0.01*AE267+AE267*$G$54),0),0)</f>
        <v/>
      </c>
      <c r="AF268">
        <f>AE267*$G$54</f>
        <v/>
      </c>
      <c r="AG268">
        <f>IF(AG267&gt;1E-9,IF(AG267*(1+$G$55)-MAX($B$9,0.01*AG267+AG267*$G$55)&gt;1E-9,AG267*(1+$G$55)-MAX($B$9,0.01*AG267+AG267*$G$55),0),0)</f>
        <v/>
      </c>
      <c r="AH268">
        <f>AG267*$G$55</f>
        <v/>
      </c>
      <c r="AI268">
        <f>G268+K268+O268+S268+W268</f>
        <v/>
      </c>
      <c r="AJ268">
        <f>AI267+AK268-AI268</f>
        <v/>
      </c>
      <c r="AK268">
        <f>H268+L268+P268+T268+X268</f>
        <v/>
      </c>
      <c r="AL268">
        <f>TEXT(EDATE($B$5,D268-1),"mmm yyyy")</f>
        <v/>
      </c>
      <c r="AM268">
        <f>AI268</f>
        <v/>
      </c>
    </row>
    <row r="269">
      <c r="D269" t="n">
        <v>208</v>
      </c>
      <c r="E269">
        <f>IF(G268&gt;0,MAX(0,G268*(1+$G$51)-$H$51),0)</f>
        <v/>
      </c>
      <c r="F269">
        <f>$B$6+IF($D269=$B$8,$B$7,0)</f>
        <v/>
      </c>
      <c r="G269">
        <f>IF(E269-F269&gt;1E-9,E269-F269,0)</f>
        <v/>
      </c>
      <c r="H269">
        <f>G268*$G$51</f>
        <v/>
      </c>
      <c r="I269">
        <f>IF(K268&gt;0,MAX(0,K268*(1+$G$52)-$H$52),0)</f>
        <v/>
      </c>
      <c r="J269">
        <f>MAX(0,F269-E269)</f>
        <v/>
      </c>
      <c r="K269">
        <f>IF(I269-J269&gt;1E-9,I269-J269,0)</f>
        <v/>
      </c>
      <c r="L269">
        <f>K268*$G$52</f>
        <v/>
      </c>
      <c r="M269">
        <f>IF(O268&gt;0,MAX(0,O268*(1+$G$53)-$H$53),0)</f>
        <v/>
      </c>
      <c r="N269">
        <f>MAX(0,J269-I269)</f>
        <v/>
      </c>
      <c r="O269">
        <f>IF(M269-N269&gt;1E-9,M269-N269,0)</f>
        <v/>
      </c>
      <c r="P269">
        <f>O268*$G$53</f>
        <v/>
      </c>
      <c r="Q269">
        <f>IF(S268&gt;0,MAX(0,S268*(1+$G$54)-$H$54),0)</f>
        <v/>
      </c>
      <c r="R269">
        <f>MAX(0,N269-M269)</f>
        <v/>
      </c>
      <c r="S269">
        <f>IF(Q269-R269&gt;1E-9,Q269-R269,0)</f>
        <v/>
      </c>
      <c r="T269">
        <f>S268*$G$54</f>
        <v/>
      </c>
      <c r="U269">
        <f>IF(W268&gt;0,MAX(0,W268*(1+$G$55)-$H$55),0)</f>
        <v/>
      </c>
      <c r="V269">
        <f>MAX(0,R269-Q269)</f>
        <v/>
      </c>
      <c r="W269">
        <f>IF(U269-V269&gt;1E-9,U269-V269,0)</f>
        <v/>
      </c>
      <c r="X269">
        <f>W268*$G$55</f>
        <v/>
      </c>
      <c r="Y269">
        <f>IF(Y268&gt;1E-9,IF(Y268*(1+$G$51)-MAX($B$9,0.01*Y268+Y268*$G$51)&gt;1E-9,Y268*(1+$G$51)-MAX($B$9,0.01*Y268+Y268*$G$51),0),0)</f>
        <v/>
      </c>
      <c r="Z269">
        <f>Y268*$G$51</f>
        <v/>
      </c>
      <c r="AA269">
        <f>IF(AA268&gt;1E-9,IF(AA268*(1+$G$52)-MAX($B$9,0.01*AA268+AA268*$G$52)&gt;1E-9,AA268*(1+$G$52)-MAX($B$9,0.01*AA268+AA268*$G$52),0),0)</f>
        <v/>
      </c>
      <c r="AB269">
        <f>AA268*$G$52</f>
        <v/>
      </c>
      <c r="AC269">
        <f>IF(AC268&gt;1E-9,IF(AC268*(1+$G$53)-MAX($B$9,0.01*AC268+AC268*$G$53)&gt;1E-9,AC268*(1+$G$53)-MAX($B$9,0.01*AC268+AC268*$G$53),0),0)</f>
        <v/>
      </c>
      <c r="AD269">
        <f>AC268*$G$53</f>
        <v/>
      </c>
      <c r="AE269">
        <f>IF(AE268&gt;1E-9,IF(AE268*(1+$G$54)-MAX($B$9,0.01*AE268+AE268*$G$54)&gt;1E-9,AE268*(1+$G$54)-MAX($B$9,0.01*AE268+AE268*$G$54),0),0)</f>
        <v/>
      </c>
      <c r="AF269">
        <f>AE268*$G$54</f>
        <v/>
      </c>
      <c r="AG269">
        <f>IF(AG268&gt;1E-9,IF(AG268*(1+$G$55)-MAX($B$9,0.01*AG268+AG268*$G$55)&gt;1E-9,AG268*(1+$G$55)-MAX($B$9,0.01*AG268+AG268*$G$55),0),0)</f>
        <v/>
      </c>
      <c r="AH269">
        <f>AG268*$G$55</f>
        <v/>
      </c>
      <c r="AI269">
        <f>G269+K269+O269+S269+W269</f>
        <v/>
      </c>
      <c r="AJ269">
        <f>AI268+AK269-AI269</f>
        <v/>
      </c>
      <c r="AK269">
        <f>H269+L269+P269+T269+X269</f>
        <v/>
      </c>
      <c r="AL269">
        <f>TEXT(EDATE($B$5,D269-1),"mmm yyyy")</f>
        <v/>
      </c>
      <c r="AM269">
        <f>AI269</f>
        <v/>
      </c>
    </row>
    <row r="270">
      <c r="D270" t="n">
        <v>209</v>
      </c>
      <c r="E270">
        <f>IF(G269&gt;0,MAX(0,G269*(1+$G$51)-$H$51),0)</f>
        <v/>
      </c>
      <c r="F270">
        <f>$B$6+IF($D270=$B$8,$B$7,0)</f>
        <v/>
      </c>
      <c r="G270">
        <f>IF(E270-F270&gt;1E-9,E270-F270,0)</f>
        <v/>
      </c>
      <c r="H270">
        <f>G269*$G$51</f>
        <v/>
      </c>
      <c r="I270">
        <f>IF(K269&gt;0,MAX(0,K269*(1+$G$52)-$H$52),0)</f>
        <v/>
      </c>
      <c r="J270">
        <f>MAX(0,F270-E270)</f>
        <v/>
      </c>
      <c r="K270">
        <f>IF(I270-J270&gt;1E-9,I270-J270,0)</f>
        <v/>
      </c>
      <c r="L270">
        <f>K269*$G$52</f>
        <v/>
      </c>
      <c r="M270">
        <f>IF(O269&gt;0,MAX(0,O269*(1+$G$53)-$H$53),0)</f>
        <v/>
      </c>
      <c r="N270">
        <f>MAX(0,J270-I270)</f>
        <v/>
      </c>
      <c r="O270">
        <f>IF(M270-N270&gt;1E-9,M270-N270,0)</f>
        <v/>
      </c>
      <c r="P270">
        <f>O269*$G$53</f>
        <v/>
      </c>
      <c r="Q270">
        <f>IF(S269&gt;0,MAX(0,S269*(1+$G$54)-$H$54),0)</f>
        <v/>
      </c>
      <c r="R270">
        <f>MAX(0,N270-M270)</f>
        <v/>
      </c>
      <c r="S270">
        <f>IF(Q270-R270&gt;1E-9,Q270-R270,0)</f>
        <v/>
      </c>
      <c r="T270">
        <f>S269*$G$54</f>
        <v/>
      </c>
      <c r="U270">
        <f>IF(W269&gt;0,MAX(0,W269*(1+$G$55)-$H$55),0)</f>
        <v/>
      </c>
      <c r="V270">
        <f>MAX(0,R270-Q270)</f>
        <v/>
      </c>
      <c r="W270">
        <f>IF(U270-V270&gt;1E-9,U270-V270,0)</f>
        <v/>
      </c>
      <c r="X270">
        <f>W269*$G$55</f>
        <v/>
      </c>
      <c r="Y270">
        <f>IF(Y269&gt;1E-9,IF(Y269*(1+$G$51)-MAX($B$9,0.01*Y269+Y269*$G$51)&gt;1E-9,Y269*(1+$G$51)-MAX($B$9,0.01*Y269+Y269*$G$51),0),0)</f>
        <v/>
      </c>
      <c r="Z270">
        <f>Y269*$G$51</f>
        <v/>
      </c>
      <c r="AA270">
        <f>IF(AA269&gt;1E-9,IF(AA269*(1+$G$52)-MAX($B$9,0.01*AA269+AA269*$G$52)&gt;1E-9,AA269*(1+$G$52)-MAX($B$9,0.01*AA269+AA269*$G$52),0),0)</f>
        <v/>
      </c>
      <c r="AB270">
        <f>AA269*$G$52</f>
        <v/>
      </c>
      <c r="AC270">
        <f>IF(AC269&gt;1E-9,IF(AC269*(1+$G$53)-MAX($B$9,0.01*AC269+AC269*$G$53)&gt;1E-9,AC269*(1+$G$53)-MAX($B$9,0.01*AC269+AC269*$G$53),0),0)</f>
        <v/>
      </c>
      <c r="AD270">
        <f>AC269*$G$53</f>
        <v/>
      </c>
      <c r="AE270">
        <f>IF(AE269&gt;1E-9,IF(AE269*(1+$G$54)-MAX($B$9,0.01*AE269+AE269*$G$54)&gt;1E-9,AE269*(1+$G$54)-MAX($B$9,0.01*AE269+AE269*$G$54),0),0)</f>
        <v/>
      </c>
      <c r="AF270">
        <f>AE269*$G$54</f>
        <v/>
      </c>
      <c r="AG270">
        <f>IF(AG269&gt;1E-9,IF(AG269*(1+$G$55)-MAX($B$9,0.01*AG269+AG269*$G$55)&gt;1E-9,AG269*(1+$G$55)-MAX($B$9,0.01*AG269+AG269*$G$55),0),0)</f>
        <v/>
      </c>
      <c r="AH270">
        <f>AG269*$G$55</f>
        <v/>
      </c>
      <c r="AI270">
        <f>G270+K270+O270+S270+W270</f>
        <v/>
      </c>
      <c r="AJ270">
        <f>AI269+AK270-AI270</f>
        <v/>
      </c>
      <c r="AK270">
        <f>H270+L270+P270+T270+X270</f>
        <v/>
      </c>
      <c r="AL270">
        <f>TEXT(EDATE($B$5,D270-1),"mmm yyyy")</f>
        <v/>
      </c>
      <c r="AM270">
        <f>AI270</f>
        <v/>
      </c>
    </row>
    <row r="271">
      <c r="D271" t="n">
        <v>210</v>
      </c>
      <c r="E271">
        <f>IF(G270&gt;0,MAX(0,G270*(1+$G$51)-$H$51),0)</f>
        <v/>
      </c>
      <c r="F271">
        <f>$B$6+IF($D271=$B$8,$B$7,0)</f>
        <v/>
      </c>
      <c r="G271">
        <f>IF(E271-F271&gt;1E-9,E271-F271,0)</f>
        <v/>
      </c>
      <c r="H271">
        <f>G270*$G$51</f>
        <v/>
      </c>
      <c r="I271">
        <f>IF(K270&gt;0,MAX(0,K270*(1+$G$52)-$H$52),0)</f>
        <v/>
      </c>
      <c r="J271">
        <f>MAX(0,F271-E271)</f>
        <v/>
      </c>
      <c r="K271">
        <f>IF(I271-J271&gt;1E-9,I271-J271,0)</f>
        <v/>
      </c>
      <c r="L271">
        <f>K270*$G$52</f>
        <v/>
      </c>
      <c r="M271">
        <f>IF(O270&gt;0,MAX(0,O270*(1+$G$53)-$H$53),0)</f>
        <v/>
      </c>
      <c r="N271">
        <f>MAX(0,J271-I271)</f>
        <v/>
      </c>
      <c r="O271">
        <f>IF(M271-N271&gt;1E-9,M271-N271,0)</f>
        <v/>
      </c>
      <c r="P271">
        <f>O270*$G$53</f>
        <v/>
      </c>
      <c r="Q271">
        <f>IF(S270&gt;0,MAX(0,S270*(1+$G$54)-$H$54),0)</f>
        <v/>
      </c>
      <c r="R271">
        <f>MAX(0,N271-M271)</f>
        <v/>
      </c>
      <c r="S271">
        <f>IF(Q271-R271&gt;1E-9,Q271-R271,0)</f>
        <v/>
      </c>
      <c r="T271">
        <f>S270*$G$54</f>
        <v/>
      </c>
      <c r="U271">
        <f>IF(W270&gt;0,MAX(0,W270*(1+$G$55)-$H$55),0)</f>
        <v/>
      </c>
      <c r="V271">
        <f>MAX(0,R271-Q271)</f>
        <v/>
      </c>
      <c r="W271">
        <f>IF(U271-V271&gt;1E-9,U271-V271,0)</f>
        <v/>
      </c>
      <c r="X271">
        <f>W270*$G$55</f>
        <v/>
      </c>
      <c r="Y271">
        <f>IF(Y270&gt;1E-9,IF(Y270*(1+$G$51)-MAX($B$9,0.01*Y270+Y270*$G$51)&gt;1E-9,Y270*(1+$G$51)-MAX($B$9,0.01*Y270+Y270*$G$51),0),0)</f>
        <v/>
      </c>
      <c r="Z271">
        <f>Y270*$G$51</f>
        <v/>
      </c>
      <c r="AA271">
        <f>IF(AA270&gt;1E-9,IF(AA270*(1+$G$52)-MAX($B$9,0.01*AA270+AA270*$G$52)&gt;1E-9,AA270*(1+$G$52)-MAX($B$9,0.01*AA270+AA270*$G$52),0),0)</f>
        <v/>
      </c>
      <c r="AB271">
        <f>AA270*$G$52</f>
        <v/>
      </c>
      <c r="AC271">
        <f>IF(AC270&gt;1E-9,IF(AC270*(1+$G$53)-MAX($B$9,0.01*AC270+AC270*$G$53)&gt;1E-9,AC270*(1+$G$53)-MAX($B$9,0.01*AC270+AC270*$G$53),0),0)</f>
        <v/>
      </c>
      <c r="AD271">
        <f>AC270*$G$53</f>
        <v/>
      </c>
      <c r="AE271">
        <f>IF(AE270&gt;1E-9,IF(AE270*(1+$G$54)-MAX($B$9,0.01*AE270+AE270*$G$54)&gt;1E-9,AE270*(1+$G$54)-MAX($B$9,0.01*AE270+AE270*$G$54),0),0)</f>
        <v/>
      </c>
      <c r="AF271">
        <f>AE270*$G$54</f>
        <v/>
      </c>
      <c r="AG271">
        <f>IF(AG270&gt;1E-9,IF(AG270*(1+$G$55)-MAX($B$9,0.01*AG270+AG270*$G$55)&gt;1E-9,AG270*(1+$G$55)-MAX($B$9,0.01*AG270+AG270*$G$55),0),0)</f>
        <v/>
      </c>
      <c r="AH271">
        <f>AG270*$G$55</f>
        <v/>
      </c>
      <c r="AI271">
        <f>G271+K271+O271+S271+W271</f>
        <v/>
      </c>
      <c r="AJ271">
        <f>AI270+AK271-AI271</f>
        <v/>
      </c>
      <c r="AK271">
        <f>H271+L271+P271+T271+X271</f>
        <v/>
      </c>
      <c r="AL271">
        <f>TEXT(EDATE($B$5,D271-1),"mmm yyyy")</f>
        <v/>
      </c>
      <c r="AM271">
        <f>AI271</f>
        <v/>
      </c>
    </row>
    <row r="272">
      <c r="D272" t="n">
        <v>211</v>
      </c>
      <c r="E272">
        <f>IF(G271&gt;0,MAX(0,G271*(1+$G$51)-$H$51),0)</f>
        <v/>
      </c>
      <c r="F272">
        <f>$B$6+IF($D272=$B$8,$B$7,0)</f>
        <v/>
      </c>
      <c r="G272">
        <f>IF(E272-F272&gt;1E-9,E272-F272,0)</f>
        <v/>
      </c>
      <c r="H272">
        <f>G271*$G$51</f>
        <v/>
      </c>
      <c r="I272">
        <f>IF(K271&gt;0,MAX(0,K271*(1+$G$52)-$H$52),0)</f>
        <v/>
      </c>
      <c r="J272">
        <f>MAX(0,F272-E272)</f>
        <v/>
      </c>
      <c r="K272">
        <f>IF(I272-J272&gt;1E-9,I272-J272,0)</f>
        <v/>
      </c>
      <c r="L272">
        <f>K271*$G$52</f>
        <v/>
      </c>
      <c r="M272">
        <f>IF(O271&gt;0,MAX(0,O271*(1+$G$53)-$H$53),0)</f>
        <v/>
      </c>
      <c r="N272">
        <f>MAX(0,J272-I272)</f>
        <v/>
      </c>
      <c r="O272">
        <f>IF(M272-N272&gt;1E-9,M272-N272,0)</f>
        <v/>
      </c>
      <c r="P272">
        <f>O271*$G$53</f>
        <v/>
      </c>
      <c r="Q272">
        <f>IF(S271&gt;0,MAX(0,S271*(1+$G$54)-$H$54),0)</f>
        <v/>
      </c>
      <c r="R272">
        <f>MAX(0,N272-M272)</f>
        <v/>
      </c>
      <c r="S272">
        <f>IF(Q272-R272&gt;1E-9,Q272-R272,0)</f>
        <v/>
      </c>
      <c r="T272">
        <f>S271*$G$54</f>
        <v/>
      </c>
      <c r="U272">
        <f>IF(W271&gt;0,MAX(0,W271*(1+$G$55)-$H$55),0)</f>
        <v/>
      </c>
      <c r="V272">
        <f>MAX(0,R272-Q272)</f>
        <v/>
      </c>
      <c r="W272">
        <f>IF(U272-V272&gt;1E-9,U272-V272,0)</f>
        <v/>
      </c>
      <c r="X272">
        <f>W271*$G$55</f>
        <v/>
      </c>
      <c r="Y272">
        <f>IF(Y271&gt;1E-9,IF(Y271*(1+$G$51)-MAX($B$9,0.01*Y271+Y271*$G$51)&gt;1E-9,Y271*(1+$G$51)-MAX($B$9,0.01*Y271+Y271*$G$51),0),0)</f>
        <v/>
      </c>
      <c r="Z272">
        <f>Y271*$G$51</f>
        <v/>
      </c>
      <c r="AA272">
        <f>IF(AA271&gt;1E-9,IF(AA271*(1+$G$52)-MAX($B$9,0.01*AA271+AA271*$G$52)&gt;1E-9,AA271*(1+$G$52)-MAX($B$9,0.01*AA271+AA271*$G$52),0),0)</f>
        <v/>
      </c>
      <c r="AB272">
        <f>AA271*$G$52</f>
        <v/>
      </c>
      <c r="AC272">
        <f>IF(AC271&gt;1E-9,IF(AC271*(1+$G$53)-MAX($B$9,0.01*AC271+AC271*$G$53)&gt;1E-9,AC271*(1+$G$53)-MAX($B$9,0.01*AC271+AC271*$G$53),0),0)</f>
        <v/>
      </c>
      <c r="AD272">
        <f>AC271*$G$53</f>
        <v/>
      </c>
      <c r="AE272">
        <f>IF(AE271&gt;1E-9,IF(AE271*(1+$G$54)-MAX($B$9,0.01*AE271+AE271*$G$54)&gt;1E-9,AE271*(1+$G$54)-MAX($B$9,0.01*AE271+AE271*$G$54),0),0)</f>
        <v/>
      </c>
      <c r="AF272">
        <f>AE271*$G$54</f>
        <v/>
      </c>
      <c r="AG272">
        <f>IF(AG271&gt;1E-9,IF(AG271*(1+$G$55)-MAX($B$9,0.01*AG271+AG271*$G$55)&gt;1E-9,AG271*(1+$G$55)-MAX($B$9,0.01*AG271+AG271*$G$55),0),0)</f>
        <v/>
      </c>
      <c r="AH272">
        <f>AG271*$G$55</f>
        <v/>
      </c>
      <c r="AI272">
        <f>G272+K272+O272+S272+W272</f>
        <v/>
      </c>
      <c r="AJ272">
        <f>AI271+AK272-AI272</f>
        <v/>
      </c>
      <c r="AK272">
        <f>H272+L272+P272+T272+X272</f>
        <v/>
      </c>
      <c r="AL272">
        <f>TEXT(EDATE($B$5,D272-1),"mmm yyyy")</f>
        <v/>
      </c>
      <c r="AM272">
        <f>AI272</f>
        <v/>
      </c>
    </row>
    <row r="273">
      <c r="D273" t="n">
        <v>212</v>
      </c>
      <c r="E273">
        <f>IF(G272&gt;0,MAX(0,G272*(1+$G$51)-$H$51),0)</f>
        <v/>
      </c>
      <c r="F273">
        <f>$B$6+IF($D273=$B$8,$B$7,0)</f>
        <v/>
      </c>
      <c r="G273">
        <f>IF(E273-F273&gt;1E-9,E273-F273,0)</f>
        <v/>
      </c>
      <c r="H273">
        <f>G272*$G$51</f>
        <v/>
      </c>
      <c r="I273">
        <f>IF(K272&gt;0,MAX(0,K272*(1+$G$52)-$H$52),0)</f>
        <v/>
      </c>
      <c r="J273">
        <f>MAX(0,F273-E273)</f>
        <v/>
      </c>
      <c r="K273">
        <f>IF(I273-J273&gt;1E-9,I273-J273,0)</f>
        <v/>
      </c>
      <c r="L273">
        <f>K272*$G$52</f>
        <v/>
      </c>
      <c r="M273">
        <f>IF(O272&gt;0,MAX(0,O272*(1+$G$53)-$H$53),0)</f>
        <v/>
      </c>
      <c r="N273">
        <f>MAX(0,J273-I273)</f>
        <v/>
      </c>
      <c r="O273">
        <f>IF(M273-N273&gt;1E-9,M273-N273,0)</f>
        <v/>
      </c>
      <c r="P273">
        <f>O272*$G$53</f>
        <v/>
      </c>
      <c r="Q273">
        <f>IF(S272&gt;0,MAX(0,S272*(1+$G$54)-$H$54),0)</f>
        <v/>
      </c>
      <c r="R273">
        <f>MAX(0,N273-M273)</f>
        <v/>
      </c>
      <c r="S273">
        <f>IF(Q273-R273&gt;1E-9,Q273-R273,0)</f>
        <v/>
      </c>
      <c r="T273">
        <f>S272*$G$54</f>
        <v/>
      </c>
      <c r="U273">
        <f>IF(W272&gt;0,MAX(0,W272*(1+$G$55)-$H$55),0)</f>
        <v/>
      </c>
      <c r="V273">
        <f>MAX(0,R273-Q273)</f>
        <v/>
      </c>
      <c r="W273">
        <f>IF(U273-V273&gt;1E-9,U273-V273,0)</f>
        <v/>
      </c>
      <c r="X273">
        <f>W272*$G$55</f>
        <v/>
      </c>
      <c r="Y273">
        <f>IF(Y272&gt;1E-9,IF(Y272*(1+$G$51)-MAX($B$9,0.01*Y272+Y272*$G$51)&gt;1E-9,Y272*(1+$G$51)-MAX($B$9,0.01*Y272+Y272*$G$51),0),0)</f>
        <v/>
      </c>
      <c r="Z273">
        <f>Y272*$G$51</f>
        <v/>
      </c>
      <c r="AA273">
        <f>IF(AA272&gt;1E-9,IF(AA272*(1+$G$52)-MAX($B$9,0.01*AA272+AA272*$G$52)&gt;1E-9,AA272*(1+$G$52)-MAX($B$9,0.01*AA272+AA272*$G$52),0),0)</f>
        <v/>
      </c>
      <c r="AB273">
        <f>AA272*$G$52</f>
        <v/>
      </c>
      <c r="AC273">
        <f>IF(AC272&gt;1E-9,IF(AC272*(1+$G$53)-MAX($B$9,0.01*AC272+AC272*$G$53)&gt;1E-9,AC272*(1+$G$53)-MAX($B$9,0.01*AC272+AC272*$G$53),0),0)</f>
        <v/>
      </c>
      <c r="AD273">
        <f>AC272*$G$53</f>
        <v/>
      </c>
      <c r="AE273">
        <f>IF(AE272&gt;1E-9,IF(AE272*(1+$G$54)-MAX($B$9,0.01*AE272+AE272*$G$54)&gt;1E-9,AE272*(1+$G$54)-MAX($B$9,0.01*AE272+AE272*$G$54),0),0)</f>
        <v/>
      </c>
      <c r="AF273">
        <f>AE272*$G$54</f>
        <v/>
      </c>
      <c r="AG273">
        <f>IF(AG272&gt;1E-9,IF(AG272*(1+$G$55)-MAX($B$9,0.01*AG272+AG272*$G$55)&gt;1E-9,AG272*(1+$G$55)-MAX($B$9,0.01*AG272+AG272*$G$55),0),0)</f>
        <v/>
      </c>
      <c r="AH273">
        <f>AG272*$G$55</f>
        <v/>
      </c>
      <c r="AI273">
        <f>G273+K273+O273+S273+W273</f>
        <v/>
      </c>
      <c r="AJ273">
        <f>AI272+AK273-AI273</f>
        <v/>
      </c>
      <c r="AK273">
        <f>H273+L273+P273+T273+X273</f>
        <v/>
      </c>
      <c r="AL273">
        <f>TEXT(EDATE($B$5,D273-1),"mmm yyyy")</f>
        <v/>
      </c>
      <c r="AM273">
        <f>AI273</f>
        <v/>
      </c>
    </row>
    <row r="274">
      <c r="D274" t="n">
        <v>213</v>
      </c>
      <c r="E274">
        <f>IF(G273&gt;0,MAX(0,G273*(1+$G$51)-$H$51),0)</f>
        <v/>
      </c>
      <c r="F274">
        <f>$B$6+IF($D274=$B$8,$B$7,0)</f>
        <v/>
      </c>
      <c r="G274">
        <f>IF(E274-F274&gt;1E-9,E274-F274,0)</f>
        <v/>
      </c>
      <c r="H274">
        <f>G273*$G$51</f>
        <v/>
      </c>
      <c r="I274">
        <f>IF(K273&gt;0,MAX(0,K273*(1+$G$52)-$H$52),0)</f>
        <v/>
      </c>
      <c r="J274">
        <f>MAX(0,F274-E274)</f>
        <v/>
      </c>
      <c r="K274">
        <f>IF(I274-J274&gt;1E-9,I274-J274,0)</f>
        <v/>
      </c>
      <c r="L274">
        <f>K273*$G$52</f>
        <v/>
      </c>
      <c r="M274">
        <f>IF(O273&gt;0,MAX(0,O273*(1+$G$53)-$H$53),0)</f>
        <v/>
      </c>
      <c r="N274">
        <f>MAX(0,J274-I274)</f>
        <v/>
      </c>
      <c r="O274">
        <f>IF(M274-N274&gt;1E-9,M274-N274,0)</f>
        <v/>
      </c>
      <c r="P274">
        <f>O273*$G$53</f>
        <v/>
      </c>
      <c r="Q274">
        <f>IF(S273&gt;0,MAX(0,S273*(1+$G$54)-$H$54),0)</f>
        <v/>
      </c>
      <c r="R274">
        <f>MAX(0,N274-M274)</f>
        <v/>
      </c>
      <c r="S274">
        <f>IF(Q274-R274&gt;1E-9,Q274-R274,0)</f>
        <v/>
      </c>
      <c r="T274">
        <f>S273*$G$54</f>
        <v/>
      </c>
      <c r="U274">
        <f>IF(W273&gt;0,MAX(0,W273*(1+$G$55)-$H$55),0)</f>
        <v/>
      </c>
      <c r="V274">
        <f>MAX(0,R274-Q274)</f>
        <v/>
      </c>
      <c r="W274">
        <f>IF(U274-V274&gt;1E-9,U274-V274,0)</f>
        <v/>
      </c>
      <c r="X274">
        <f>W273*$G$55</f>
        <v/>
      </c>
      <c r="Y274">
        <f>IF(Y273&gt;1E-9,IF(Y273*(1+$G$51)-MAX($B$9,0.01*Y273+Y273*$G$51)&gt;1E-9,Y273*(1+$G$51)-MAX($B$9,0.01*Y273+Y273*$G$51),0),0)</f>
        <v/>
      </c>
      <c r="Z274">
        <f>Y273*$G$51</f>
        <v/>
      </c>
      <c r="AA274">
        <f>IF(AA273&gt;1E-9,IF(AA273*(1+$G$52)-MAX($B$9,0.01*AA273+AA273*$G$52)&gt;1E-9,AA273*(1+$G$52)-MAX($B$9,0.01*AA273+AA273*$G$52),0),0)</f>
        <v/>
      </c>
      <c r="AB274">
        <f>AA273*$G$52</f>
        <v/>
      </c>
      <c r="AC274">
        <f>IF(AC273&gt;1E-9,IF(AC273*(1+$G$53)-MAX($B$9,0.01*AC273+AC273*$G$53)&gt;1E-9,AC273*(1+$G$53)-MAX($B$9,0.01*AC273+AC273*$G$53),0),0)</f>
        <v/>
      </c>
      <c r="AD274">
        <f>AC273*$G$53</f>
        <v/>
      </c>
      <c r="AE274">
        <f>IF(AE273&gt;1E-9,IF(AE273*(1+$G$54)-MAX($B$9,0.01*AE273+AE273*$G$54)&gt;1E-9,AE273*(1+$G$54)-MAX($B$9,0.01*AE273+AE273*$G$54),0),0)</f>
        <v/>
      </c>
      <c r="AF274">
        <f>AE273*$G$54</f>
        <v/>
      </c>
      <c r="AG274">
        <f>IF(AG273&gt;1E-9,IF(AG273*(1+$G$55)-MAX($B$9,0.01*AG273+AG273*$G$55)&gt;1E-9,AG273*(1+$G$55)-MAX($B$9,0.01*AG273+AG273*$G$55),0),0)</f>
        <v/>
      </c>
      <c r="AH274">
        <f>AG273*$G$55</f>
        <v/>
      </c>
      <c r="AI274">
        <f>G274+K274+O274+S274+W274</f>
        <v/>
      </c>
      <c r="AJ274">
        <f>AI273+AK274-AI274</f>
        <v/>
      </c>
      <c r="AK274">
        <f>H274+L274+P274+T274+X274</f>
        <v/>
      </c>
      <c r="AL274">
        <f>TEXT(EDATE($B$5,D274-1),"mmm yyyy")</f>
        <v/>
      </c>
      <c r="AM274">
        <f>AI274</f>
        <v/>
      </c>
    </row>
    <row r="275">
      <c r="D275" t="n">
        <v>214</v>
      </c>
      <c r="E275">
        <f>IF(G274&gt;0,MAX(0,G274*(1+$G$51)-$H$51),0)</f>
        <v/>
      </c>
      <c r="F275">
        <f>$B$6+IF($D275=$B$8,$B$7,0)</f>
        <v/>
      </c>
      <c r="G275">
        <f>IF(E275-F275&gt;1E-9,E275-F275,0)</f>
        <v/>
      </c>
      <c r="H275">
        <f>G274*$G$51</f>
        <v/>
      </c>
      <c r="I275">
        <f>IF(K274&gt;0,MAX(0,K274*(1+$G$52)-$H$52),0)</f>
        <v/>
      </c>
      <c r="J275">
        <f>MAX(0,F275-E275)</f>
        <v/>
      </c>
      <c r="K275">
        <f>IF(I275-J275&gt;1E-9,I275-J275,0)</f>
        <v/>
      </c>
      <c r="L275">
        <f>K274*$G$52</f>
        <v/>
      </c>
      <c r="M275">
        <f>IF(O274&gt;0,MAX(0,O274*(1+$G$53)-$H$53),0)</f>
        <v/>
      </c>
      <c r="N275">
        <f>MAX(0,J275-I275)</f>
        <v/>
      </c>
      <c r="O275">
        <f>IF(M275-N275&gt;1E-9,M275-N275,0)</f>
        <v/>
      </c>
      <c r="P275">
        <f>O274*$G$53</f>
        <v/>
      </c>
      <c r="Q275">
        <f>IF(S274&gt;0,MAX(0,S274*(1+$G$54)-$H$54),0)</f>
        <v/>
      </c>
      <c r="R275">
        <f>MAX(0,N275-M275)</f>
        <v/>
      </c>
      <c r="S275">
        <f>IF(Q275-R275&gt;1E-9,Q275-R275,0)</f>
        <v/>
      </c>
      <c r="T275">
        <f>S274*$G$54</f>
        <v/>
      </c>
      <c r="U275">
        <f>IF(W274&gt;0,MAX(0,W274*(1+$G$55)-$H$55),0)</f>
        <v/>
      </c>
      <c r="V275">
        <f>MAX(0,R275-Q275)</f>
        <v/>
      </c>
      <c r="W275">
        <f>IF(U275-V275&gt;1E-9,U275-V275,0)</f>
        <v/>
      </c>
      <c r="X275">
        <f>W274*$G$55</f>
        <v/>
      </c>
      <c r="Y275">
        <f>IF(Y274&gt;1E-9,IF(Y274*(1+$G$51)-MAX($B$9,0.01*Y274+Y274*$G$51)&gt;1E-9,Y274*(1+$G$51)-MAX($B$9,0.01*Y274+Y274*$G$51),0),0)</f>
        <v/>
      </c>
      <c r="Z275">
        <f>Y274*$G$51</f>
        <v/>
      </c>
      <c r="AA275">
        <f>IF(AA274&gt;1E-9,IF(AA274*(1+$G$52)-MAX($B$9,0.01*AA274+AA274*$G$52)&gt;1E-9,AA274*(1+$G$52)-MAX($B$9,0.01*AA274+AA274*$G$52),0),0)</f>
        <v/>
      </c>
      <c r="AB275">
        <f>AA274*$G$52</f>
        <v/>
      </c>
      <c r="AC275">
        <f>IF(AC274&gt;1E-9,IF(AC274*(1+$G$53)-MAX($B$9,0.01*AC274+AC274*$G$53)&gt;1E-9,AC274*(1+$G$53)-MAX($B$9,0.01*AC274+AC274*$G$53),0),0)</f>
        <v/>
      </c>
      <c r="AD275">
        <f>AC274*$G$53</f>
        <v/>
      </c>
      <c r="AE275">
        <f>IF(AE274&gt;1E-9,IF(AE274*(1+$G$54)-MAX($B$9,0.01*AE274+AE274*$G$54)&gt;1E-9,AE274*(1+$G$54)-MAX($B$9,0.01*AE274+AE274*$G$54),0),0)</f>
        <v/>
      </c>
      <c r="AF275">
        <f>AE274*$G$54</f>
        <v/>
      </c>
      <c r="AG275">
        <f>IF(AG274&gt;1E-9,IF(AG274*(1+$G$55)-MAX($B$9,0.01*AG274+AG274*$G$55)&gt;1E-9,AG274*(1+$G$55)-MAX($B$9,0.01*AG274+AG274*$G$55),0),0)</f>
        <v/>
      </c>
      <c r="AH275">
        <f>AG274*$G$55</f>
        <v/>
      </c>
      <c r="AI275">
        <f>G275+K275+O275+S275+W275</f>
        <v/>
      </c>
      <c r="AJ275">
        <f>AI274+AK275-AI275</f>
        <v/>
      </c>
      <c r="AK275">
        <f>H275+L275+P275+T275+X275</f>
        <v/>
      </c>
      <c r="AL275">
        <f>TEXT(EDATE($B$5,D275-1),"mmm yyyy")</f>
        <v/>
      </c>
      <c r="AM275">
        <f>AI275</f>
        <v/>
      </c>
    </row>
    <row r="276">
      <c r="D276" t="n">
        <v>215</v>
      </c>
      <c r="E276">
        <f>IF(G275&gt;0,MAX(0,G275*(1+$G$51)-$H$51),0)</f>
        <v/>
      </c>
      <c r="F276">
        <f>$B$6+IF($D276=$B$8,$B$7,0)</f>
        <v/>
      </c>
      <c r="G276">
        <f>IF(E276-F276&gt;1E-9,E276-F276,0)</f>
        <v/>
      </c>
      <c r="H276">
        <f>G275*$G$51</f>
        <v/>
      </c>
      <c r="I276">
        <f>IF(K275&gt;0,MAX(0,K275*(1+$G$52)-$H$52),0)</f>
        <v/>
      </c>
      <c r="J276">
        <f>MAX(0,F276-E276)</f>
        <v/>
      </c>
      <c r="K276">
        <f>IF(I276-J276&gt;1E-9,I276-J276,0)</f>
        <v/>
      </c>
      <c r="L276">
        <f>K275*$G$52</f>
        <v/>
      </c>
      <c r="M276">
        <f>IF(O275&gt;0,MAX(0,O275*(1+$G$53)-$H$53),0)</f>
        <v/>
      </c>
      <c r="N276">
        <f>MAX(0,J276-I276)</f>
        <v/>
      </c>
      <c r="O276">
        <f>IF(M276-N276&gt;1E-9,M276-N276,0)</f>
        <v/>
      </c>
      <c r="P276">
        <f>O275*$G$53</f>
        <v/>
      </c>
      <c r="Q276">
        <f>IF(S275&gt;0,MAX(0,S275*(1+$G$54)-$H$54),0)</f>
        <v/>
      </c>
      <c r="R276">
        <f>MAX(0,N276-M276)</f>
        <v/>
      </c>
      <c r="S276">
        <f>IF(Q276-R276&gt;1E-9,Q276-R276,0)</f>
        <v/>
      </c>
      <c r="T276">
        <f>S275*$G$54</f>
        <v/>
      </c>
      <c r="U276">
        <f>IF(W275&gt;0,MAX(0,W275*(1+$G$55)-$H$55),0)</f>
        <v/>
      </c>
      <c r="V276">
        <f>MAX(0,R276-Q276)</f>
        <v/>
      </c>
      <c r="W276">
        <f>IF(U276-V276&gt;1E-9,U276-V276,0)</f>
        <v/>
      </c>
      <c r="X276">
        <f>W275*$G$55</f>
        <v/>
      </c>
      <c r="Y276">
        <f>IF(Y275&gt;1E-9,IF(Y275*(1+$G$51)-MAX($B$9,0.01*Y275+Y275*$G$51)&gt;1E-9,Y275*(1+$G$51)-MAX($B$9,0.01*Y275+Y275*$G$51),0),0)</f>
        <v/>
      </c>
      <c r="Z276">
        <f>Y275*$G$51</f>
        <v/>
      </c>
      <c r="AA276">
        <f>IF(AA275&gt;1E-9,IF(AA275*(1+$G$52)-MAX($B$9,0.01*AA275+AA275*$G$52)&gt;1E-9,AA275*(1+$G$52)-MAX($B$9,0.01*AA275+AA275*$G$52),0),0)</f>
        <v/>
      </c>
      <c r="AB276">
        <f>AA275*$G$52</f>
        <v/>
      </c>
      <c r="AC276">
        <f>IF(AC275&gt;1E-9,IF(AC275*(1+$G$53)-MAX($B$9,0.01*AC275+AC275*$G$53)&gt;1E-9,AC275*(1+$G$53)-MAX($B$9,0.01*AC275+AC275*$G$53),0),0)</f>
        <v/>
      </c>
      <c r="AD276">
        <f>AC275*$G$53</f>
        <v/>
      </c>
      <c r="AE276">
        <f>IF(AE275&gt;1E-9,IF(AE275*(1+$G$54)-MAX($B$9,0.01*AE275+AE275*$G$54)&gt;1E-9,AE275*(1+$G$54)-MAX($B$9,0.01*AE275+AE275*$G$54),0),0)</f>
        <v/>
      </c>
      <c r="AF276">
        <f>AE275*$G$54</f>
        <v/>
      </c>
      <c r="AG276">
        <f>IF(AG275&gt;1E-9,IF(AG275*(1+$G$55)-MAX($B$9,0.01*AG275+AG275*$G$55)&gt;1E-9,AG275*(1+$G$55)-MAX($B$9,0.01*AG275+AG275*$G$55),0),0)</f>
        <v/>
      </c>
      <c r="AH276">
        <f>AG275*$G$55</f>
        <v/>
      </c>
      <c r="AI276">
        <f>G276+K276+O276+S276+W276</f>
        <v/>
      </c>
      <c r="AJ276">
        <f>AI275+AK276-AI276</f>
        <v/>
      </c>
      <c r="AK276">
        <f>H276+L276+P276+T276+X276</f>
        <v/>
      </c>
      <c r="AL276">
        <f>TEXT(EDATE($B$5,D276-1),"mmm yyyy")</f>
        <v/>
      </c>
      <c r="AM276">
        <f>AI276</f>
        <v/>
      </c>
    </row>
    <row r="277">
      <c r="D277" t="n">
        <v>216</v>
      </c>
      <c r="E277">
        <f>IF(G276&gt;0,MAX(0,G276*(1+$G$51)-$H$51),0)</f>
        <v/>
      </c>
      <c r="F277">
        <f>$B$6+IF($D277=$B$8,$B$7,0)</f>
        <v/>
      </c>
      <c r="G277">
        <f>IF(E277-F277&gt;1E-9,E277-F277,0)</f>
        <v/>
      </c>
      <c r="H277">
        <f>G276*$G$51</f>
        <v/>
      </c>
      <c r="I277">
        <f>IF(K276&gt;0,MAX(0,K276*(1+$G$52)-$H$52),0)</f>
        <v/>
      </c>
      <c r="J277">
        <f>MAX(0,F277-E277)</f>
        <v/>
      </c>
      <c r="K277">
        <f>IF(I277-J277&gt;1E-9,I277-J277,0)</f>
        <v/>
      </c>
      <c r="L277">
        <f>K276*$G$52</f>
        <v/>
      </c>
      <c r="M277">
        <f>IF(O276&gt;0,MAX(0,O276*(1+$G$53)-$H$53),0)</f>
        <v/>
      </c>
      <c r="N277">
        <f>MAX(0,J277-I277)</f>
        <v/>
      </c>
      <c r="O277">
        <f>IF(M277-N277&gt;1E-9,M277-N277,0)</f>
        <v/>
      </c>
      <c r="P277">
        <f>O276*$G$53</f>
        <v/>
      </c>
      <c r="Q277">
        <f>IF(S276&gt;0,MAX(0,S276*(1+$G$54)-$H$54),0)</f>
        <v/>
      </c>
      <c r="R277">
        <f>MAX(0,N277-M277)</f>
        <v/>
      </c>
      <c r="S277">
        <f>IF(Q277-R277&gt;1E-9,Q277-R277,0)</f>
        <v/>
      </c>
      <c r="T277">
        <f>S276*$G$54</f>
        <v/>
      </c>
      <c r="U277">
        <f>IF(W276&gt;0,MAX(0,W276*(1+$G$55)-$H$55),0)</f>
        <v/>
      </c>
      <c r="V277">
        <f>MAX(0,R277-Q277)</f>
        <v/>
      </c>
      <c r="W277">
        <f>IF(U277-V277&gt;1E-9,U277-V277,0)</f>
        <v/>
      </c>
      <c r="X277">
        <f>W276*$G$55</f>
        <v/>
      </c>
      <c r="Y277">
        <f>IF(Y276&gt;1E-9,IF(Y276*(1+$G$51)-MAX($B$9,0.01*Y276+Y276*$G$51)&gt;1E-9,Y276*(1+$G$51)-MAX($B$9,0.01*Y276+Y276*$G$51),0),0)</f>
        <v/>
      </c>
      <c r="Z277">
        <f>Y276*$G$51</f>
        <v/>
      </c>
      <c r="AA277">
        <f>IF(AA276&gt;1E-9,IF(AA276*(1+$G$52)-MAX($B$9,0.01*AA276+AA276*$G$52)&gt;1E-9,AA276*(1+$G$52)-MAX($B$9,0.01*AA276+AA276*$G$52),0),0)</f>
        <v/>
      </c>
      <c r="AB277">
        <f>AA276*$G$52</f>
        <v/>
      </c>
      <c r="AC277">
        <f>IF(AC276&gt;1E-9,IF(AC276*(1+$G$53)-MAX($B$9,0.01*AC276+AC276*$G$53)&gt;1E-9,AC276*(1+$G$53)-MAX($B$9,0.01*AC276+AC276*$G$53),0),0)</f>
        <v/>
      </c>
      <c r="AD277">
        <f>AC276*$G$53</f>
        <v/>
      </c>
      <c r="AE277">
        <f>IF(AE276&gt;1E-9,IF(AE276*(1+$G$54)-MAX($B$9,0.01*AE276+AE276*$G$54)&gt;1E-9,AE276*(1+$G$54)-MAX($B$9,0.01*AE276+AE276*$G$54),0),0)</f>
        <v/>
      </c>
      <c r="AF277">
        <f>AE276*$G$54</f>
        <v/>
      </c>
      <c r="AG277">
        <f>IF(AG276&gt;1E-9,IF(AG276*(1+$G$55)-MAX($B$9,0.01*AG276+AG276*$G$55)&gt;1E-9,AG276*(1+$G$55)-MAX($B$9,0.01*AG276+AG276*$G$55),0),0)</f>
        <v/>
      </c>
      <c r="AH277">
        <f>AG276*$G$55</f>
        <v/>
      </c>
      <c r="AI277">
        <f>G277+K277+O277+S277+W277</f>
        <v/>
      </c>
      <c r="AJ277">
        <f>AI276+AK277-AI277</f>
        <v/>
      </c>
      <c r="AK277">
        <f>H277+L277+P277+T277+X277</f>
        <v/>
      </c>
      <c r="AL277">
        <f>TEXT(EDATE($B$5,D277-1),"mmm yyyy")</f>
        <v/>
      </c>
      <c r="AM277">
        <f>AI277</f>
        <v/>
      </c>
    </row>
    <row r="278">
      <c r="D278" t="n">
        <v>217</v>
      </c>
      <c r="E278">
        <f>IF(G277&gt;0,MAX(0,G277*(1+$G$51)-$H$51),0)</f>
        <v/>
      </c>
      <c r="F278">
        <f>$B$6+IF($D278=$B$8,$B$7,0)</f>
        <v/>
      </c>
      <c r="G278">
        <f>IF(E278-F278&gt;1E-9,E278-F278,0)</f>
        <v/>
      </c>
      <c r="H278">
        <f>G277*$G$51</f>
        <v/>
      </c>
      <c r="I278">
        <f>IF(K277&gt;0,MAX(0,K277*(1+$G$52)-$H$52),0)</f>
        <v/>
      </c>
      <c r="J278">
        <f>MAX(0,F278-E278)</f>
        <v/>
      </c>
      <c r="K278">
        <f>IF(I278-J278&gt;1E-9,I278-J278,0)</f>
        <v/>
      </c>
      <c r="L278">
        <f>K277*$G$52</f>
        <v/>
      </c>
      <c r="M278">
        <f>IF(O277&gt;0,MAX(0,O277*(1+$G$53)-$H$53),0)</f>
        <v/>
      </c>
      <c r="N278">
        <f>MAX(0,J278-I278)</f>
        <v/>
      </c>
      <c r="O278">
        <f>IF(M278-N278&gt;1E-9,M278-N278,0)</f>
        <v/>
      </c>
      <c r="P278">
        <f>O277*$G$53</f>
        <v/>
      </c>
      <c r="Q278">
        <f>IF(S277&gt;0,MAX(0,S277*(1+$G$54)-$H$54),0)</f>
        <v/>
      </c>
      <c r="R278">
        <f>MAX(0,N278-M278)</f>
        <v/>
      </c>
      <c r="S278">
        <f>IF(Q278-R278&gt;1E-9,Q278-R278,0)</f>
        <v/>
      </c>
      <c r="T278">
        <f>S277*$G$54</f>
        <v/>
      </c>
      <c r="U278">
        <f>IF(W277&gt;0,MAX(0,W277*(1+$G$55)-$H$55),0)</f>
        <v/>
      </c>
      <c r="V278">
        <f>MAX(0,R278-Q278)</f>
        <v/>
      </c>
      <c r="W278">
        <f>IF(U278-V278&gt;1E-9,U278-V278,0)</f>
        <v/>
      </c>
      <c r="X278">
        <f>W277*$G$55</f>
        <v/>
      </c>
      <c r="Y278">
        <f>IF(Y277&gt;1E-9,IF(Y277*(1+$G$51)-MAX($B$9,0.01*Y277+Y277*$G$51)&gt;1E-9,Y277*(1+$G$51)-MAX($B$9,0.01*Y277+Y277*$G$51),0),0)</f>
        <v/>
      </c>
      <c r="Z278">
        <f>Y277*$G$51</f>
        <v/>
      </c>
      <c r="AA278">
        <f>IF(AA277&gt;1E-9,IF(AA277*(1+$G$52)-MAX($B$9,0.01*AA277+AA277*$G$52)&gt;1E-9,AA277*(1+$G$52)-MAX($B$9,0.01*AA277+AA277*$G$52),0),0)</f>
        <v/>
      </c>
      <c r="AB278">
        <f>AA277*$G$52</f>
        <v/>
      </c>
      <c r="AC278">
        <f>IF(AC277&gt;1E-9,IF(AC277*(1+$G$53)-MAX($B$9,0.01*AC277+AC277*$G$53)&gt;1E-9,AC277*(1+$G$53)-MAX($B$9,0.01*AC277+AC277*$G$53),0),0)</f>
        <v/>
      </c>
      <c r="AD278">
        <f>AC277*$G$53</f>
        <v/>
      </c>
      <c r="AE278">
        <f>IF(AE277&gt;1E-9,IF(AE277*(1+$G$54)-MAX($B$9,0.01*AE277+AE277*$G$54)&gt;1E-9,AE277*(1+$G$54)-MAX($B$9,0.01*AE277+AE277*$G$54),0),0)</f>
        <v/>
      </c>
      <c r="AF278">
        <f>AE277*$G$54</f>
        <v/>
      </c>
      <c r="AG278">
        <f>IF(AG277&gt;1E-9,IF(AG277*(1+$G$55)-MAX($B$9,0.01*AG277+AG277*$G$55)&gt;1E-9,AG277*(1+$G$55)-MAX($B$9,0.01*AG277+AG277*$G$55),0),0)</f>
        <v/>
      </c>
      <c r="AH278">
        <f>AG277*$G$55</f>
        <v/>
      </c>
      <c r="AI278">
        <f>G278+K278+O278+S278+W278</f>
        <v/>
      </c>
      <c r="AJ278">
        <f>AI277+AK278-AI278</f>
        <v/>
      </c>
      <c r="AK278">
        <f>H278+L278+P278+T278+X278</f>
        <v/>
      </c>
      <c r="AL278">
        <f>TEXT(EDATE($B$5,D278-1),"mmm yyyy")</f>
        <v/>
      </c>
      <c r="AM278">
        <f>AI278</f>
        <v/>
      </c>
    </row>
    <row r="279">
      <c r="D279" t="n">
        <v>218</v>
      </c>
      <c r="E279">
        <f>IF(G278&gt;0,MAX(0,G278*(1+$G$51)-$H$51),0)</f>
        <v/>
      </c>
      <c r="F279">
        <f>$B$6+IF($D279=$B$8,$B$7,0)</f>
        <v/>
      </c>
      <c r="G279">
        <f>IF(E279-F279&gt;1E-9,E279-F279,0)</f>
        <v/>
      </c>
      <c r="H279">
        <f>G278*$G$51</f>
        <v/>
      </c>
      <c r="I279">
        <f>IF(K278&gt;0,MAX(0,K278*(1+$G$52)-$H$52),0)</f>
        <v/>
      </c>
      <c r="J279">
        <f>MAX(0,F279-E279)</f>
        <v/>
      </c>
      <c r="K279">
        <f>IF(I279-J279&gt;1E-9,I279-J279,0)</f>
        <v/>
      </c>
      <c r="L279">
        <f>K278*$G$52</f>
        <v/>
      </c>
      <c r="M279">
        <f>IF(O278&gt;0,MAX(0,O278*(1+$G$53)-$H$53),0)</f>
        <v/>
      </c>
      <c r="N279">
        <f>MAX(0,J279-I279)</f>
        <v/>
      </c>
      <c r="O279">
        <f>IF(M279-N279&gt;1E-9,M279-N279,0)</f>
        <v/>
      </c>
      <c r="P279">
        <f>O278*$G$53</f>
        <v/>
      </c>
      <c r="Q279">
        <f>IF(S278&gt;0,MAX(0,S278*(1+$G$54)-$H$54),0)</f>
        <v/>
      </c>
      <c r="R279">
        <f>MAX(0,N279-M279)</f>
        <v/>
      </c>
      <c r="S279">
        <f>IF(Q279-R279&gt;1E-9,Q279-R279,0)</f>
        <v/>
      </c>
      <c r="T279">
        <f>S278*$G$54</f>
        <v/>
      </c>
      <c r="U279">
        <f>IF(W278&gt;0,MAX(0,W278*(1+$G$55)-$H$55),0)</f>
        <v/>
      </c>
      <c r="V279">
        <f>MAX(0,R279-Q279)</f>
        <v/>
      </c>
      <c r="W279">
        <f>IF(U279-V279&gt;1E-9,U279-V279,0)</f>
        <v/>
      </c>
      <c r="X279">
        <f>W278*$G$55</f>
        <v/>
      </c>
      <c r="Y279">
        <f>IF(Y278&gt;1E-9,IF(Y278*(1+$G$51)-MAX($B$9,0.01*Y278+Y278*$G$51)&gt;1E-9,Y278*(1+$G$51)-MAX($B$9,0.01*Y278+Y278*$G$51),0),0)</f>
        <v/>
      </c>
      <c r="Z279">
        <f>Y278*$G$51</f>
        <v/>
      </c>
      <c r="AA279">
        <f>IF(AA278&gt;1E-9,IF(AA278*(1+$G$52)-MAX($B$9,0.01*AA278+AA278*$G$52)&gt;1E-9,AA278*(1+$G$52)-MAX($B$9,0.01*AA278+AA278*$G$52),0),0)</f>
        <v/>
      </c>
      <c r="AB279">
        <f>AA278*$G$52</f>
        <v/>
      </c>
      <c r="AC279">
        <f>IF(AC278&gt;1E-9,IF(AC278*(1+$G$53)-MAX($B$9,0.01*AC278+AC278*$G$53)&gt;1E-9,AC278*(1+$G$53)-MAX($B$9,0.01*AC278+AC278*$G$53),0),0)</f>
        <v/>
      </c>
      <c r="AD279">
        <f>AC278*$G$53</f>
        <v/>
      </c>
      <c r="AE279">
        <f>IF(AE278&gt;1E-9,IF(AE278*(1+$G$54)-MAX($B$9,0.01*AE278+AE278*$G$54)&gt;1E-9,AE278*(1+$G$54)-MAX($B$9,0.01*AE278+AE278*$G$54),0),0)</f>
        <v/>
      </c>
      <c r="AF279">
        <f>AE278*$G$54</f>
        <v/>
      </c>
      <c r="AG279">
        <f>IF(AG278&gt;1E-9,IF(AG278*(1+$G$55)-MAX($B$9,0.01*AG278+AG278*$G$55)&gt;1E-9,AG278*(1+$G$55)-MAX($B$9,0.01*AG278+AG278*$G$55),0),0)</f>
        <v/>
      </c>
      <c r="AH279">
        <f>AG278*$G$55</f>
        <v/>
      </c>
      <c r="AI279">
        <f>G279+K279+O279+S279+W279</f>
        <v/>
      </c>
      <c r="AJ279">
        <f>AI278+AK279-AI279</f>
        <v/>
      </c>
      <c r="AK279">
        <f>H279+L279+P279+T279+X279</f>
        <v/>
      </c>
      <c r="AL279">
        <f>TEXT(EDATE($B$5,D279-1),"mmm yyyy")</f>
        <v/>
      </c>
      <c r="AM279">
        <f>AI279</f>
        <v/>
      </c>
    </row>
    <row r="280">
      <c r="D280" t="n">
        <v>219</v>
      </c>
      <c r="E280">
        <f>IF(G279&gt;0,MAX(0,G279*(1+$G$51)-$H$51),0)</f>
        <v/>
      </c>
      <c r="F280">
        <f>$B$6+IF($D280=$B$8,$B$7,0)</f>
        <v/>
      </c>
      <c r="G280">
        <f>IF(E280-F280&gt;1E-9,E280-F280,0)</f>
        <v/>
      </c>
      <c r="H280">
        <f>G279*$G$51</f>
        <v/>
      </c>
      <c r="I280">
        <f>IF(K279&gt;0,MAX(0,K279*(1+$G$52)-$H$52),0)</f>
        <v/>
      </c>
      <c r="J280">
        <f>MAX(0,F280-E280)</f>
        <v/>
      </c>
      <c r="K280">
        <f>IF(I280-J280&gt;1E-9,I280-J280,0)</f>
        <v/>
      </c>
      <c r="L280">
        <f>K279*$G$52</f>
        <v/>
      </c>
      <c r="M280">
        <f>IF(O279&gt;0,MAX(0,O279*(1+$G$53)-$H$53),0)</f>
        <v/>
      </c>
      <c r="N280">
        <f>MAX(0,J280-I280)</f>
        <v/>
      </c>
      <c r="O280">
        <f>IF(M280-N280&gt;1E-9,M280-N280,0)</f>
        <v/>
      </c>
      <c r="P280">
        <f>O279*$G$53</f>
        <v/>
      </c>
      <c r="Q280">
        <f>IF(S279&gt;0,MAX(0,S279*(1+$G$54)-$H$54),0)</f>
        <v/>
      </c>
      <c r="R280">
        <f>MAX(0,N280-M280)</f>
        <v/>
      </c>
      <c r="S280">
        <f>IF(Q280-R280&gt;1E-9,Q280-R280,0)</f>
        <v/>
      </c>
      <c r="T280">
        <f>S279*$G$54</f>
        <v/>
      </c>
      <c r="U280">
        <f>IF(W279&gt;0,MAX(0,W279*(1+$G$55)-$H$55),0)</f>
        <v/>
      </c>
      <c r="V280">
        <f>MAX(0,R280-Q280)</f>
        <v/>
      </c>
      <c r="W280">
        <f>IF(U280-V280&gt;1E-9,U280-V280,0)</f>
        <v/>
      </c>
      <c r="X280">
        <f>W279*$G$55</f>
        <v/>
      </c>
      <c r="Y280">
        <f>IF(Y279&gt;1E-9,IF(Y279*(1+$G$51)-MAX($B$9,0.01*Y279+Y279*$G$51)&gt;1E-9,Y279*(1+$G$51)-MAX($B$9,0.01*Y279+Y279*$G$51),0),0)</f>
        <v/>
      </c>
      <c r="Z280">
        <f>Y279*$G$51</f>
        <v/>
      </c>
      <c r="AA280">
        <f>IF(AA279&gt;1E-9,IF(AA279*(1+$G$52)-MAX($B$9,0.01*AA279+AA279*$G$52)&gt;1E-9,AA279*(1+$G$52)-MAX($B$9,0.01*AA279+AA279*$G$52),0),0)</f>
        <v/>
      </c>
      <c r="AB280">
        <f>AA279*$G$52</f>
        <v/>
      </c>
      <c r="AC280">
        <f>IF(AC279&gt;1E-9,IF(AC279*(1+$G$53)-MAX($B$9,0.01*AC279+AC279*$G$53)&gt;1E-9,AC279*(1+$G$53)-MAX($B$9,0.01*AC279+AC279*$G$53),0),0)</f>
        <v/>
      </c>
      <c r="AD280">
        <f>AC279*$G$53</f>
        <v/>
      </c>
      <c r="AE280">
        <f>IF(AE279&gt;1E-9,IF(AE279*(1+$G$54)-MAX($B$9,0.01*AE279+AE279*$G$54)&gt;1E-9,AE279*(1+$G$54)-MAX($B$9,0.01*AE279+AE279*$G$54),0),0)</f>
        <v/>
      </c>
      <c r="AF280">
        <f>AE279*$G$54</f>
        <v/>
      </c>
      <c r="AG280">
        <f>IF(AG279&gt;1E-9,IF(AG279*(1+$G$55)-MAX($B$9,0.01*AG279+AG279*$G$55)&gt;1E-9,AG279*(1+$G$55)-MAX($B$9,0.01*AG279+AG279*$G$55),0),0)</f>
        <v/>
      </c>
      <c r="AH280">
        <f>AG279*$G$55</f>
        <v/>
      </c>
      <c r="AI280">
        <f>G280+K280+O280+S280+W280</f>
        <v/>
      </c>
      <c r="AJ280">
        <f>AI279+AK280-AI280</f>
        <v/>
      </c>
      <c r="AK280">
        <f>H280+L280+P280+T280+X280</f>
        <v/>
      </c>
      <c r="AL280">
        <f>TEXT(EDATE($B$5,D280-1),"mmm yyyy")</f>
        <v/>
      </c>
      <c r="AM280">
        <f>AI280</f>
        <v/>
      </c>
    </row>
    <row r="281">
      <c r="D281" t="n">
        <v>220</v>
      </c>
      <c r="E281">
        <f>IF(G280&gt;0,MAX(0,G280*(1+$G$51)-$H$51),0)</f>
        <v/>
      </c>
      <c r="F281">
        <f>$B$6+IF($D281=$B$8,$B$7,0)</f>
        <v/>
      </c>
      <c r="G281">
        <f>IF(E281-F281&gt;1E-9,E281-F281,0)</f>
        <v/>
      </c>
      <c r="H281">
        <f>G280*$G$51</f>
        <v/>
      </c>
      <c r="I281">
        <f>IF(K280&gt;0,MAX(0,K280*(1+$G$52)-$H$52),0)</f>
        <v/>
      </c>
      <c r="J281">
        <f>MAX(0,F281-E281)</f>
        <v/>
      </c>
      <c r="K281">
        <f>IF(I281-J281&gt;1E-9,I281-J281,0)</f>
        <v/>
      </c>
      <c r="L281">
        <f>K280*$G$52</f>
        <v/>
      </c>
      <c r="M281">
        <f>IF(O280&gt;0,MAX(0,O280*(1+$G$53)-$H$53),0)</f>
        <v/>
      </c>
      <c r="N281">
        <f>MAX(0,J281-I281)</f>
        <v/>
      </c>
      <c r="O281">
        <f>IF(M281-N281&gt;1E-9,M281-N281,0)</f>
        <v/>
      </c>
      <c r="P281">
        <f>O280*$G$53</f>
        <v/>
      </c>
      <c r="Q281">
        <f>IF(S280&gt;0,MAX(0,S280*(1+$G$54)-$H$54),0)</f>
        <v/>
      </c>
      <c r="R281">
        <f>MAX(0,N281-M281)</f>
        <v/>
      </c>
      <c r="S281">
        <f>IF(Q281-R281&gt;1E-9,Q281-R281,0)</f>
        <v/>
      </c>
      <c r="T281">
        <f>S280*$G$54</f>
        <v/>
      </c>
      <c r="U281">
        <f>IF(W280&gt;0,MAX(0,W280*(1+$G$55)-$H$55),0)</f>
        <v/>
      </c>
      <c r="V281">
        <f>MAX(0,R281-Q281)</f>
        <v/>
      </c>
      <c r="W281">
        <f>IF(U281-V281&gt;1E-9,U281-V281,0)</f>
        <v/>
      </c>
      <c r="X281">
        <f>W280*$G$55</f>
        <v/>
      </c>
      <c r="Y281">
        <f>IF(Y280&gt;1E-9,IF(Y280*(1+$G$51)-MAX($B$9,0.01*Y280+Y280*$G$51)&gt;1E-9,Y280*(1+$G$51)-MAX($B$9,0.01*Y280+Y280*$G$51),0),0)</f>
        <v/>
      </c>
      <c r="Z281">
        <f>Y280*$G$51</f>
        <v/>
      </c>
      <c r="AA281">
        <f>IF(AA280&gt;1E-9,IF(AA280*(1+$G$52)-MAX($B$9,0.01*AA280+AA280*$G$52)&gt;1E-9,AA280*(1+$G$52)-MAX($B$9,0.01*AA280+AA280*$G$52),0),0)</f>
        <v/>
      </c>
      <c r="AB281">
        <f>AA280*$G$52</f>
        <v/>
      </c>
      <c r="AC281">
        <f>IF(AC280&gt;1E-9,IF(AC280*(1+$G$53)-MAX($B$9,0.01*AC280+AC280*$G$53)&gt;1E-9,AC280*(1+$G$53)-MAX($B$9,0.01*AC280+AC280*$G$53),0),0)</f>
        <v/>
      </c>
      <c r="AD281">
        <f>AC280*$G$53</f>
        <v/>
      </c>
      <c r="AE281">
        <f>IF(AE280&gt;1E-9,IF(AE280*(1+$G$54)-MAX($B$9,0.01*AE280+AE280*$G$54)&gt;1E-9,AE280*(1+$G$54)-MAX($B$9,0.01*AE280+AE280*$G$54),0),0)</f>
        <v/>
      </c>
      <c r="AF281">
        <f>AE280*$G$54</f>
        <v/>
      </c>
      <c r="AG281">
        <f>IF(AG280&gt;1E-9,IF(AG280*(1+$G$55)-MAX($B$9,0.01*AG280+AG280*$G$55)&gt;1E-9,AG280*(1+$G$55)-MAX($B$9,0.01*AG280+AG280*$G$55),0),0)</f>
        <v/>
      </c>
      <c r="AH281">
        <f>AG280*$G$55</f>
        <v/>
      </c>
      <c r="AI281">
        <f>G281+K281+O281+S281+W281</f>
        <v/>
      </c>
      <c r="AJ281">
        <f>AI280+AK281-AI281</f>
        <v/>
      </c>
      <c r="AK281">
        <f>H281+L281+P281+T281+X281</f>
        <v/>
      </c>
      <c r="AL281">
        <f>TEXT(EDATE($B$5,D281-1),"mmm yyyy")</f>
        <v/>
      </c>
      <c r="AM281">
        <f>AI281</f>
        <v/>
      </c>
    </row>
    <row r="282">
      <c r="D282" t="n">
        <v>221</v>
      </c>
      <c r="E282">
        <f>IF(G281&gt;0,MAX(0,G281*(1+$G$51)-$H$51),0)</f>
        <v/>
      </c>
      <c r="F282">
        <f>$B$6+IF($D282=$B$8,$B$7,0)</f>
        <v/>
      </c>
      <c r="G282">
        <f>IF(E282-F282&gt;1E-9,E282-F282,0)</f>
        <v/>
      </c>
      <c r="H282">
        <f>G281*$G$51</f>
        <v/>
      </c>
      <c r="I282">
        <f>IF(K281&gt;0,MAX(0,K281*(1+$G$52)-$H$52),0)</f>
        <v/>
      </c>
      <c r="J282">
        <f>MAX(0,F282-E282)</f>
        <v/>
      </c>
      <c r="K282">
        <f>IF(I282-J282&gt;1E-9,I282-J282,0)</f>
        <v/>
      </c>
      <c r="L282">
        <f>K281*$G$52</f>
        <v/>
      </c>
      <c r="M282">
        <f>IF(O281&gt;0,MAX(0,O281*(1+$G$53)-$H$53),0)</f>
        <v/>
      </c>
      <c r="N282">
        <f>MAX(0,J282-I282)</f>
        <v/>
      </c>
      <c r="O282">
        <f>IF(M282-N282&gt;1E-9,M282-N282,0)</f>
        <v/>
      </c>
      <c r="P282">
        <f>O281*$G$53</f>
        <v/>
      </c>
      <c r="Q282">
        <f>IF(S281&gt;0,MAX(0,S281*(1+$G$54)-$H$54),0)</f>
        <v/>
      </c>
      <c r="R282">
        <f>MAX(0,N282-M282)</f>
        <v/>
      </c>
      <c r="S282">
        <f>IF(Q282-R282&gt;1E-9,Q282-R282,0)</f>
        <v/>
      </c>
      <c r="T282">
        <f>S281*$G$54</f>
        <v/>
      </c>
      <c r="U282">
        <f>IF(W281&gt;0,MAX(0,W281*(1+$G$55)-$H$55),0)</f>
        <v/>
      </c>
      <c r="V282">
        <f>MAX(0,R282-Q282)</f>
        <v/>
      </c>
      <c r="W282">
        <f>IF(U282-V282&gt;1E-9,U282-V282,0)</f>
        <v/>
      </c>
      <c r="X282">
        <f>W281*$G$55</f>
        <v/>
      </c>
      <c r="Y282">
        <f>IF(Y281&gt;1E-9,IF(Y281*(1+$G$51)-MAX($B$9,0.01*Y281+Y281*$G$51)&gt;1E-9,Y281*(1+$G$51)-MAX($B$9,0.01*Y281+Y281*$G$51),0),0)</f>
        <v/>
      </c>
      <c r="Z282">
        <f>Y281*$G$51</f>
        <v/>
      </c>
      <c r="AA282">
        <f>IF(AA281&gt;1E-9,IF(AA281*(1+$G$52)-MAX($B$9,0.01*AA281+AA281*$G$52)&gt;1E-9,AA281*(1+$G$52)-MAX($B$9,0.01*AA281+AA281*$G$52),0),0)</f>
        <v/>
      </c>
      <c r="AB282">
        <f>AA281*$G$52</f>
        <v/>
      </c>
      <c r="AC282">
        <f>IF(AC281&gt;1E-9,IF(AC281*(1+$G$53)-MAX($B$9,0.01*AC281+AC281*$G$53)&gt;1E-9,AC281*(1+$G$53)-MAX($B$9,0.01*AC281+AC281*$G$53),0),0)</f>
        <v/>
      </c>
      <c r="AD282">
        <f>AC281*$G$53</f>
        <v/>
      </c>
      <c r="AE282">
        <f>IF(AE281&gt;1E-9,IF(AE281*(1+$G$54)-MAX($B$9,0.01*AE281+AE281*$G$54)&gt;1E-9,AE281*(1+$G$54)-MAX($B$9,0.01*AE281+AE281*$G$54),0),0)</f>
        <v/>
      </c>
      <c r="AF282">
        <f>AE281*$G$54</f>
        <v/>
      </c>
      <c r="AG282">
        <f>IF(AG281&gt;1E-9,IF(AG281*(1+$G$55)-MAX($B$9,0.01*AG281+AG281*$G$55)&gt;1E-9,AG281*(1+$G$55)-MAX($B$9,0.01*AG281+AG281*$G$55),0),0)</f>
        <v/>
      </c>
      <c r="AH282">
        <f>AG281*$G$55</f>
        <v/>
      </c>
      <c r="AI282">
        <f>G282+K282+O282+S282+W282</f>
        <v/>
      </c>
      <c r="AJ282">
        <f>AI281+AK282-AI282</f>
        <v/>
      </c>
      <c r="AK282">
        <f>H282+L282+P282+T282+X282</f>
        <v/>
      </c>
      <c r="AL282">
        <f>TEXT(EDATE($B$5,D282-1),"mmm yyyy")</f>
        <v/>
      </c>
      <c r="AM282">
        <f>AI282</f>
        <v/>
      </c>
    </row>
    <row r="283">
      <c r="D283" t="n">
        <v>222</v>
      </c>
      <c r="E283">
        <f>IF(G282&gt;0,MAX(0,G282*(1+$G$51)-$H$51),0)</f>
        <v/>
      </c>
      <c r="F283">
        <f>$B$6+IF($D283=$B$8,$B$7,0)</f>
        <v/>
      </c>
      <c r="G283">
        <f>IF(E283-F283&gt;1E-9,E283-F283,0)</f>
        <v/>
      </c>
      <c r="H283">
        <f>G282*$G$51</f>
        <v/>
      </c>
      <c r="I283">
        <f>IF(K282&gt;0,MAX(0,K282*(1+$G$52)-$H$52),0)</f>
        <v/>
      </c>
      <c r="J283">
        <f>MAX(0,F283-E283)</f>
        <v/>
      </c>
      <c r="K283">
        <f>IF(I283-J283&gt;1E-9,I283-J283,0)</f>
        <v/>
      </c>
      <c r="L283">
        <f>K282*$G$52</f>
        <v/>
      </c>
      <c r="M283">
        <f>IF(O282&gt;0,MAX(0,O282*(1+$G$53)-$H$53),0)</f>
        <v/>
      </c>
      <c r="N283">
        <f>MAX(0,J283-I283)</f>
        <v/>
      </c>
      <c r="O283">
        <f>IF(M283-N283&gt;1E-9,M283-N283,0)</f>
        <v/>
      </c>
      <c r="P283">
        <f>O282*$G$53</f>
        <v/>
      </c>
      <c r="Q283">
        <f>IF(S282&gt;0,MAX(0,S282*(1+$G$54)-$H$54),0)</f>
        <v/>
      </c>
      <c r="R283">
        <f>MAX(0,N283-M283)</f>
        <v/>
      </c>
      <c r="S283">
        <f>IF(Q283-R283&gt;1E-9,Q283-R283,0)</f>
        <v/>
      </c>
      <c r="T283">
        <f>S282*$G$54</f>
        <v/>
      </c>
      <c r="U283">
        <f>IF(W282&gt;0,MAX(0,W282*(1+$G$55)-$H$55),0)</f>
        <v/>
      </c>
      <c r="V283">
        <f>MAX(0,R283-Q283)</f>
        <v/>
      </c>
      <c r="W283">
        <f>IF(U283-V283&gt;1E-9,U283-V283,0)</f>
        <v/>
      </c>
      <c r="X283">
        <f>W282*$G$55</f>
        <v/>
      </c>
      <c r="Y283">
        <f>IF(Y282&gt;1E-9,IF(Y282*(1+$G$51)-MAX($B$9,0.01*Y282+Y282*$G$51)&gt;1E-9,Y282*(1+$G$51)-MAX($B$9,0.01*Y282+Y282*$G$51),0),0)</f>
        <v/>
      </c>
      <c r="Z283">
        <f>Y282*$G$51</f>
        <v/>
      </c>
      <c r="AA283">
        <f>IF(AA282&gt;1E-9,IF(AA282*(1+$G$52)-MAX($B$9,0.01*AA282+AA282*$G$52)&gt;1E-9,AA282*(1+$G$52)-MAX($B$9,0.01*AA282+AA282*$G$52),0),0)</f>
        <v/>
      </c>
      <c r="AB283">
        <f>AA282*$G$52</f>
        <v/>
      </c>
      <c r="AC283">
        <f>IF(AC282&gt;1E-9,IF(AC282*(1+$G$53)-MAX($B$9,0.01*AC282+AC282*$G$53)&gt;1E-9,AC282*(1+$G$53)-MAX($B$9,0.01*AC282+AC282*$G$53),0),0)</f>
        <v/>
      </c>
      <c r="AD283">
        <f>AC282*$G$53</f>
        <v/>
      </c>
      <c r="AE283">
        <f>IF(AE282&gt;1E-9,IF(AE282*(1+$G$54)-MAX($B$9,0.01*AE282+AE282*$G$54)&gt;1E-9,AE282*(1+$G$54)-MAX($B$9,0.01*AE282+AE282*$G$54),0),0)</f>
        <v/>
      </c>
      <c r="AF283">
        <f>AE282*$G$54</f>
        <v/>
      </c>
      <c r="AG283">
        <f>IF(AG282&gt;1E-9,IF(AG282*(1+$G$55)-MAX($B$9,0.01*AG282+AG282*$G$55)&gt;1E-9,AG282*(1+$G$55)-MAX($B$9,0.01*AG282+AG282*$G$55),0),0)</f>
        <v/>
      </c>
      <c r="AH283">
        <f>AG282*$G$55</f>
        <v/>
      </c>
      <c r="AI283">
        <f>G283+K283+O283+S283+W283</f>
        <v/>
      </c>
      <c r="AJ283">
        <f>AI282+AK283-AI283</f>
        <v/>
      </c>
      <c r="AK283">
        <f>H283+L283+P283+T283+X283</f>
        <v/>
      </c>
      <c r="AL283">
        <f>TEXT(EDATE($B$5,D283-1),"mmm yyyy")</f>
        <v/>
      </c>
      <c r="AM283">
        <f>AI283</f>
        <v/>
      </c>
    </row>
    <row r="284">
      <c r="D284" t="n">
        <v>223</v>
      </c>
      <c r="E284">
        <f>IF(G283&gt;0,MAX(0,G283*(1+$G$51)-$H$51),0)</f>
        <v/>
      </c>
      <c r="F284">
        <f>$B$6+IF($D284=$B$8,$B$7,0)</f>
        <v/>
      </c>
      <c r="G284">
        <f>IF(E284-F284&gt;1E-9,E284-F284,0)</f>
        <v/>
      </c>
      <c r="H284">
        <f>G283*$G$51</f>
        <v/>
      </c>
      <c r="I284">
        <f>IF(K283&gt;0,MAX(0,K283*(1+$G$52)-$H$52),0)</f>
        <v/>
      </c>
      <c r="J284">
        <f>MAX(0,F284-E284)</f>
        <v/>
      </c>
      <c r="K284">
        <f>IF(I284-J284&gt;1E-9,I284-J284,0)</f>
        <v/>
      </c>
      <c r="L284">
        <f>K283*$G$52</f>
        <v/>
      </c>
      <c r="M284">
        <f>IF(O283&gt;0,MAX(0,O283*(1+$G$53)-$H$53),0)</f>
        <v/>
      </c>
      <c r="N284">
        <f>MAX(0,J284-I284)</f>
        <v/>
      </c>
      <c r="O284">
        <f>IF(M284-N284&gt;1E-9,M284-N284,0)</f>
        <v/>
      </c>
      <c r="P284">
        <f>O283*$G$53</f>
        <v/>
      </c>
      <c r="Q284">
        <f>IF(S283&gt;0,MAX(0,S283*(1+$G$54)-$H$54),0)</f>
        <v/>
      </c>
      <c r="R284">
        <f>MAX(0,N284-M284)</f>
        <v/>
      </c>
      <c r="S284">
        <f>IF(Q284-R284&gt;1E-9,Q284-R284,0)</f>
        <v/>
      </c>
      <c r="T284">
        <f>S283*$G$54</f>
        <v/>
      </c>
      <c r="U284">
        <f>IF(W283&gt;0,MAX(0,W283*(1+$G$55)-$H$55),0)</f>
        <v/>
      </c>
      <c r="V284">
        <f>MAX(0,R284-Q284)</f>
        <v/>
      </c>
      <c r="W284">
        <f>IF(U284-V284&gt;1E-9,U284-V284,0)</f>
        <v/>
      </c>
      <c r="X284">
        <f>W283*$G$55</f>
        <v/>
      </c>
      <c r="Y284">
        <f>IF(Y283&gt;1E-9,IF(Y283*(1+$G$51)-MAX($B$9,0.01*Y283+Y283*$G$51)&gt;1E-9,Y283*(1+$G$51)-MAX($B$9,0.01*Y283+Y283*$G$51),0),0)</f>
        <v/>
      </c>
      <c r="Z284">
        <f>Y283*$G$51</f>
        <v/>
      </c>
      <c r="AA284">
        <f>IF(AA283&gt;1E-9,IF(AA283*(1+$G$52)-MAX($B$9,0.01*AA283+AA283*$G$52)&gt;1E-9,AA283*(1+$G$52)-MAX($B$9,0.01*AA283+AA283*$G$52),0),0)</f>
        <v/>
      </c>
      <c r="AB284">
        <f>AA283*$G$52</f>
        <v/>
      </c>
      <c r="AC284">
        <f>IF(AC283&gt;1E-9,IF(AC283*(1+$G$53)-MAX($B$9,0.01*AC283+AC283*$G$53)&gt;1E-9,AC283*(1+$G$53)-MAX($B$9,0.01*AC283+AC283*$G$53),0),0)</f>
        <v/>
      </c>
      <c r="AD284">
        <f>AC283*$G$53</f>
        <v/>
      </c>
      <c r="AE284">
        <f>IF(AE283&gt;1E-9,IF(AE283*(1+$G$54)-MAX($B$9,0.01*AE283+AE283*$G$54)&gt;1E-9,AE283*(1+$G$54)-MAX($B$9,0.01*AE283+AE283*$G$54),0),0)</f>
        <v/>
      </c>
      <c r="AF284">
        <f>AE283*$G$54</f>
        <v/>
      </c>
      <c r="AG284">
        <f>IF(AG283&gt;1E-9,IF(AG283*(1+$G$55)-MAX($B$9,0.01*AG283+AG283*$G$55)&gt;1E-9,AG283*(1+$G$55)-MAX($B$9,0.01*AG283+AG283*$G$55),0),0)</f>
        <v/>
      </c>
      <c r="AH284">
        <f>AG283*$G$55</f>
        <v/>
      </c>
      <c r="AI284">
        <f>G284+K284+O284+S284+W284</f>
        <v/>
      </c>
      <c r="AJ284">
        <f>AI283+AK284-AI284</f>
        <v/>
      </c>
      <c r="AK284">
        <f>H284+L284+P284+T284+X284</f>
        <v/>
      </c>
      <c r="AL284">
        <f>TEXT(EDATE($B$5,D284-1),"mmm yyyy")</f>
        <v/>
      </c>
      <c r="AM284">
        <f>AI284</f>
        <v/>
      </c>
    </row>
    <row r="285">
      <c r="D285" t="n">
        <v>224</v>
      </c>
      <c r="E285">
        <f>IF(G284&gt;0,MAX(0,G284*(1+$G$51)-$H$51),0)</f>
        <v/>
      </c>
      <c r="F285">
        <f>$B$6+IF($D285=$B$8,$B$7,0)</f>
        <v/>
      </c>
      <c r="G285">
        <f>IF(E285-F285&gt;1E-9,E285-F285,0)</f>
        <v/>
      </c>
      <c r="H285">
        <f>G284*$G$51</f>
        <v/>
      </c>
      <c r="I285">
        <f>IF(K284&gt;0,MAX(0,K284*(1+$G$52)-$H$52),0)</f>
        <v/>
      </c>
      <c r="J285">
        <f>MAX(0,F285-E285)</f>
        <v/>
      </c>
      <c r="K285">
        <f>IF(I285-J285&gt;1E-9,I285-J285,0)</f>
        <v/>
      </c>
      <c r="L285">
        <f>K284*$G$52</f>
        <v/>
      </c>
      <c r="M285">
        <f>IF(O284&gt;0,MAX(0,O284*(1+$G$53)-$H$53),0)</f>
        <v/>
      </c>
      <c r="N285">
        <f>MAX(0,J285-I285)</f>
        <v/>
      </c>
      <c r="O285">
        <f>IF(M285-N285&gt;1E-9,M285-N285,0)</f>
        <v/>
      </c>
      <c r="P285">
        <f>O284*$G$53</f>
        <v/>
      </c>
      <c r="Q285">
        <f>IF(S284&gt;0,MAX(0,S284*(1+$G$54)-$H$54),0)</f>
        <v/>
      </c>
      <c r="R285">
        <f>MAX(0,N285-M285)</f>
        <v/>
      </c>
      <c r="S285">
        <f>IF(Q285-R285&gt;1E-9,Q285-R285,0)</f>
        <v/>
      </c>
      <c r="T285">
        <f>S284*$G$54</f>
        <v/>
      </c>
      <c r="U285">
        <f>IF(W284&gt;0,MAX(0,W284*(1+$G$55)-$H$55),0)</f>
        <v/>
      </c>
      <c r="V285">
        <f>MAX(0,R285-Q285)</f>
        <v/>
      </c>
      <c r="W285">
        <f>IF(U285-V285&gt;1E-9,U285-V285,0)</f>
        <v/>
      </c>
      <c r="X285">
        <f>W284*$G$55</f>
        <v/>
      </c>
      <c r="Y285">
        <f>IF(Y284&gt;1E-9,IF(Y284*(1+$G$51)-MAX($B$9,0.01*Y284+Y284*$G$51)&gt;1E-9,Y284*(1+$G$51)-MAX($B$9,0.01*Y284+Y284*$G$51),0),0)</f>
        <v/>
      </c>
      <c r="Z285">
        <f>Y284*$G$51</f>
        <v/>
      </c>
      <c r="AA285">
        <f>IF(AA284&gt;1E-9,IF(AA284*(1+$G$52)-MAX($B$9,0.01*AA284+AA284*$G$52)&gt;1E-9,AA284*(1+$G$52)-MAX($B$9,0.01*AA284+AA284*$G$52),0),0)</f>
        <v/>
      </c>
      <c r="AB285">
        <f>AA284*$G$52</f>
        <v/>
      </c>
      <c r="AC285">
        <f>IF(AC284&gt;1E-9,IF(AC284*(1+$G$53)-MAX($B$9,0.01*AC284+AC284*$G$53)&gt;1E-9,AC284*(1+$G$53)-MAX($B$9,0.01*AC284+AC284*$G$53),0),0)</f>
        <v/>
      </c>
      <c r="AD285">
        <f>AC284*$G$53</f>
        <v/>
      </c>
      <c r="AE285">
        <f>IF(AE284&gt;1E-9,IF(AE284*(1+$G$54)-MAX($B$9,0.01*AE284+AE284*$G$54)&gt;1E-9,AE284*(1+$G$54)-MAX($B$9,0.01*AE284+AE284*$G$54),0),0)</f>
        <v/>
      </c>
      <c r="AF285">
        <f>AE284*$G$54</f>
        <v/>
      </c>
      <c r="AG285">
        <f>IF(AG284&gt;1E-9,IF(AG284*(1+$G$55)-MAX($B$9,0.01*AG284+AG284*$G$55)&gt;1E-9,AG284*(1+$G$55)-MAX($B$9,0.01*AG284+AG284*$G$55),0),0)</f>
        <v/>
      </c>
      <c r="AH285">
        <f>AG284*$G$55</f>
        <v/>
      </c>
      <c r="AI285">
        <f>G285+K285+O285+S285+W285</f>
        <v/>
      </c>
      <c r="AJ285">
        <f>AI284+AK285-AI285</f>
        <v/>
      </c>
      <c r="AK285">
        <f>H285+L285+P285+T285+X285</f>
        <v/>
      </c>
      <c r="AL285">
        <f>TEXT(EDATE($B$5,D285-1),"mmm yyyy")</f>
        <v/>
      </c>
      <c r="AM285">
        <f>AI285</f>
        <v/>
      </c>
    </row>
    <row r="286">
      <c r="D286" t="n">
        <v>225</v>
      </c>
      <c r="E286">
        <f>IF(G285&gt;0,MAX(0,G285*(1+$G$51)-$H$51),0)</f>
        <v/>
      </c>
      <c r="F286">
        <f>$B$6+IF($D286=$B$8,$B$7,0)</f>
        <v/>
      </c>
      <c r="G286">
        <f>IF(E286-F286&gt;1E-9,E286-F286,0)</f>
        <v/>
      </c>
      <c r="H286">
        <f>G285*$G$51</f>
        <v/>
      </c>
      <c r="I286">
        <f>IF(K285&gt;0,MAX(0,K285*(1+$G$52)-$H$52),0)</f>
        <v/>
      </c>
      <c r="J286">
        <f>MAX(0,F286-E286)</f>
        <v/>
      </c>
      <c r="K286">
        <f>IF(I286-J286&gt;1E-9,I286-J286,0)</f>
        <v/>
      </c>
      <c r="L286">
        <f>K285*$G$52</f>
        <v/>
      </c>
      <c r="M286">
        <f>IF(O285&gt;0,MAX(0,O285*(1+$G$53)-$H$53),0)</f>
        <v/>
      </c>
      <c r="N286">
        <f>MAX(0,J286-I286)</f>
        <v/>
      </c>
      <c r="O286">
        <f>IF(M286-N286&gt;1E-9,M286-N286,0)</f>
        <v/>
      </c>
      <c r="P286">
        <f>O285*$G$53</f>
        <v/>
      </c>
      <c r="Q286">
        <f>IF(S285&gt;0,MAX(0,S285*(1+$G$54)-$H$54),0)</f>
        <v/>
      </c>
      <c r="R286">
        <f>MAX(0,N286-M286)</f>
        <v/>
      </c>
      <c r="S286">
        <f>IF(Q286-R286&gt;1E-9,Q286-R286,0)</f>
        <v/>
      </c>
      <c r="T286">
        <f>S285*$G$54</f>
        <v/>
      </c>
      <c r="U286">
        <f>IF(W285&gt;0,MAX(0,W285*(1+$G$55)-$H$55),0)</f>
        <v/>
      </c>
      <c r="V286">
        <f>MAX(0,R286-Q286)</f>
        <v/>
      </c>
      <c r="W286">
        <f>IF(U286-V286&gt;1E-9,U286-V286,0)</f>
        <v/>
      </c>
      <c r="X286">
        <f>W285*$G$55</f>
        <v/>
      </c>
      <c r="Y286">
        <f>IF(Y285&gt;1E-9,IF(Y285*(1+$G$51)-MAX($B$9,0.01*Y285+Y285*$G$51)&gt;1E-9,Y285*(1+$G$51)-MAX($B$9,0.01*Y285+Y285*$G$51),0),0)</f>
        <v/>
      </c>
      <c r="Z286">
        <f>Y285*$G$51</f>
        <v/>
      </c>
      <c r="AA286">
        <f>IF(AA285&gt;1E-9,IF(AA285*(1+$G$52)-MAX($B$9,0.01*AA285+AA285*$G$52)&gt;1E-9,AA285*(1+$G$52)-MAX($B$9,0.01*AA285+AA285*$G$52),0),0)</f>
        <v/>
      </c>
      <c r="AB286">
        <f>AA285*$G$52</f>
        <v/>
      </c>
      <c r="AC286">
        <f>IF(AC285&gt;1E-9,IF(AC285*(1+$G$53)-MAX($B$9,0.01*AC285+AC285*$G$53)&gt;1E-9,AC285*(1+$G$53)-MAX($B$9,0.01*AC285+AC285*$G$53),0),0)</f>
        <v/>
      </c>
      <c r="AD286">
        <f>AC285*$G$53</f>
        <v/>
      </c>
      <c r="AE286">
        <f>IF(AE285&gt;1E-9,IF(AE285*(1+$G$54)-MAX($B$9,0.01*AE285+AE285*$G$54)&gt;1E-9,AE285*(1+$G$54)-MAX($B$9,0.01*AE285+AE285*$G$54),0),0)</f>
        <v/>
      </c>
      <c r="AF286">
        <f>AE285*$G$54</f>
        <v/>
      </c>
      <c r="AG286">
        <f>IF(AG285&gt;1E-9,IF(AG285*(1+$G$55)-MAX($B$9,0.01*AG285+AG285*$G$55)&gt;1E-9,AG285*(1+$G$55)-MAX($B$9,0.01*AG285+AG285*$G$55),0),0)</f>
        <v/>
      </c>
      <c r="AH286">
        <f>AG285*$G$55</f>
        <v/>
      </c>
      <c r="AI286">
        <f>G286+K286+O286+S286+W286</f>
        <v/>
      </c>
      <c r="AJ286">
        <f>AI285+AK286-AI286</f>
        <v/>
      </c>
      <c r="AK286">
        <f>H286+L286+P286+T286+X286</f>
        <v/>
      </c>
      <c r="AL286">
        <f>TEXT(EDATE($B$5,D286-1),"mmm yyyy")</f>
        <v/>
      </c>
      <c r="AM286">
        <f>AI286</f>
        <v/>
      </c>
    </row>
    <row r="287">
      <c r="D287" t="n">
        <v>226</v>
      </c>
      <c r="E287">
        <f>IF(G286&gt;0,MAX(0,G286*(1+$G$51)-$H$51),0)</f>
        <v/>
      </c>
      <c r="F287">
        <f>$B$6+IF($D287=$B$8,$B$7,0)</f>
        <v/>
      </c>
      <c r="G287">
        <f>IF(E287-F287&gt;1E-9,E287-F287,0)</f>
        <v/>
      </c>
      <c r="H287">
        <f>G286*$G$51</f>
        <v/>
      </c>
      <c r="I287">
        <f>IF(K286&gt;0,MAX(0,K286*(1+$G$52)-$H$52),0)</f>
        <v/>
      </c>
      <c r="J287">
        <f>MAX(0,F287-E287)</f>
        <v/>
      </c>
      <c r="K287">
        <f>IF(I287-J287&gt;1E-9,I287-J287,0)</f>
        <v/>
      </c>
      <c r="L287">
        <f>K286*$G$52</f>
        <v/>
      </c>
      <c r="M287">
        <f>IF(O286&gt;0,MAX(0,O286*(1+$G$53)-$H$53),0)</f>
        <v/>
      </c>
      <c r="N287">
        <f>MAX(0,J287-I287)</f>
        <v/>
      </c>
      <c r="O287">
        <f>IF(M287-N287&gt;1E-9,M287-N287,0)</f>
        <v/>
      </c>
      <c r="P287">
        <f>O286*$G$53</f>
        <v/>
      </c>
      <c r="Q287">
        <f>IF(S286&gt;0,MAX(0,S286*(1+$G$54)-$H$54),0)</f>
        <v/>
      </c>
      <c r="R287">
        <f>MAX(0,N287-M287)</f>
        <v/>
      </c>
      <c r="S287">
        <f>IF(Q287-R287&gt;1E-9,Q287-R287,0)</f>
        <v/>
      </c>
      <c r="T287">
        <f>S286*$G$54</f>
        <v/>
      </c>
      <c r="U287">
        <f>IF(W286&gt;0,MAX(0,W286*(1+$G$55)-$H$55),0)</f>
        <v/>
      </c>
      <c r="V287">
        <f>MAX(0,R287-Q287)</f>
        <v/>
      </c>
      <c r="W287">
        <f>IF(U287-V287&gt;1E-9,U287-V287,0)</f>
        <v/>
      </c>
      <c r="X287">
        <f>W286*$G$55</f>
        <v/>
      </c>
      <c r="Y287">
        <f>IF(Y286&gt;1E-9,IF(Y286*(1+$G$51)-MAX($B$9,0.01*Y286+Y286*$G$51)&gt;1E-9,Y286*(1+$G$51)-MAX($B$9,0.01*Y286+Y286*$G$51),0),0)</f>
        <v/>
      </c>
      <c r="Z287">
        <f>Y286*$G$51</f>
        <v/>
      </c>
      <c r="AA287">
        <f>IF(AA286&gt;1E-9,IF(AA286*(1+$G$52)-MAX($B$9,0.01*AA286+AA286*$G$52)&gt;1E-9,AA286*(1+$G$52)-MAX($B$9,0.01*AA286+AA286*$G$52),0),0)</f>
        <v/>
      </c>
      <c r="AB287">
        <f>AA286*$G$52</f>
        <v/>
      </c>
      <c r="AC287">
        <f>IF(AC286&gt;1E-9,IF(AC286*(1+$G$53)-MAX($B$9,0.01*AC286+AC286*$G$53)&gt;1E-9,AC286*(1+$G$53)-MAX($B$9,0.01*AC286+AC286*$G$53),0),0)</f>
        <v/>
      </c>
      <c r="AD287">
        <f>AC286*$G$53</f>
        <v/>
      </c>
      <c r="AE287">
        <f>IF(AE286&gt;1E-9,IF(AE286*(1+$G$54)-MAX($B$9,0.01*AE286+AE286*$G$54)&gt;1E-9,AE286*(1+$G$54)-MAX($B$9,0.01*AE286+AE286*$G$54),0),0)</f>
        <v/>
      </c>
      <c r="AF287">
        <f>AE286*$G$54</f>
        <v/>
      </c>
      <c r="AG287">
        <f>IF(AG286&gt;1E-9,IF(AG286*(1+$G$55)-MAX($B$9,0.01*AG286+AG286*$G$55)&gt;1E-9,AG286*(1+$G$55)-MAX($B$9,0.01*AG286+AG286*$G$55),0),0)</f>
        <v/>
      </c>
      <c r="AH287">
        <f>AG286*$G$55</f>
        <v/>
      </c>
      <c r="AI287">
        <f>G287+K287+O287+S287+W287</f>
        <v/>
      </c>
      <c r="AJ287">
        <f>AI286+AK287-AI287</f>
        <v/>
      </c>
      <c r="AK287">
        <f>H287+L287+P287+T287+X287</f>
        <v/>
      </c>
      <c r="AL287">
        <f>TEXT(EDATE($B$5,D287-1),"mmm yyyy")</f>
        <v/>
      </c>
      <c r="AM287">
        <f>AI287</f>
        <v/>
      </c>
    </row>
    <row r="288">
      <c r="D288" t="n">
        <v>227</v>
      </c>
      <c r="E288">
        <f>IF(G287&gt;0,MAX(0,G287*(1+$G$51)-$H$51),0)</f>
        <v/>
      </c>
      <c r="F288">
        <f>$B$6+IF($D288=$B$8,$B$7,0)</f>
        <v/>
      </c>
      <c r="G288">
        <f>IF(E288-F288&gt;1E-9,E288-F288,0)</f>
        <v/>
      </c>
      <c r="H288">
        <f>G287*$G$51</f>
        <v/>
      </c>
      <c r="I288">
        <f>IF(K287&gt;0,MAX(0,K287*(1+$G$52)-$H$52),0)</f>
        <v/>
      </c>
      <c r="J288">
        <f>MAX(0,F288-E288)</f>
        <v/>
      </c>
      <c r="K288">
        <f>IF(I288-J288&gt;1E-9,I288-J288,0)</f>
        <v/>
      </c>
      <c r="L288">
        <f>K287*$G$52</f>
        <v/>
      </c>
      <c r="M288">
        <f>IF(O287&gt;0,MAX(0,O287*(1+$G$53)-$H$53),0)</f>
        <v/>
      </c>
      <c r="N288">
        <f>MAX(0,J288-I288)</f>
        <v/>
      </c>
      <c r="O288">
        <f>IF(M288-N288&gt;1E-9,M288-N288,0)</f>
        <v/>
      </c>
      <c r="P288">
        <f>O287*$G$53</f>
        <v/>
      </c>
      <c r="Q288">
        <f>IF(S287&gt;0,MAX(0,S287*(1+$G$54)-$H$54),0)</f>
        <v/>
      </c>
      <c r="R288">
        <f>MAX(0,N288-M288)</f>
        <v/>
      </c>
      <c r="S288">
        <f>IF(Q288-R288&gt;1E-9,Q288-R288,0)</f>
        <v/>
      </c>
      <c r="T288">
        <f>S287*$G$54</f>
        <v/>
      </c>
      <c r="U288">
        <f>IF(W287&gt;0,MAX(0,W287*(1+$G$55)-$H$55),0)</f>
        <v/>
      </c>
      <c r="V288">
        <f>MAX(0,R288-Q288)</f>
        <v/>
      </c>
      <c r="W288">
        <f>IF(U288-V288&gt;1E-9,U288-V288,0)</f>
        <v/>
      </c>
      <c r="X288">
        <f>W287*$G$55</f>
        <v/>
      </c>
      <c r="Y288">
        <f>IF(Y287&gt;1E-9,IF(Y287*(1+$G$51)-MAX($B$9,0.01*Y287+Y287*$G$51)&gt;1E-9,Y287*(1+$G$51)-MAX($B$9,0.01*Y287+Y287*$G$51),0),0)</f>
        <v/>
      </c>
      <c r="Z288">
        <f>Y287*$G$51</f>
        <v/>
      </c>
      <c r="AA288">
        <f>IF(AA287&gt;1E-9,IF(AA287*(1+$G$52)-MAX($B$9,0.01*AA287+AA287*$G$52)&gt;1E-9,AA287*(1+$G$52)-MAX($B$9,0.01*AA287+AA287*$G$52),0),0)</f>
        <v/>
      </c>
      <c r="AB288">
        <f>AA287*$G$52</f>
        <v/>
      </c>
      <c r="AC288">
        <f>IF(AC287&gt;1E-9,IF(AC287*(1+$G$53)-MAX($B$9,0.01*AC287+AC287*$G$53)&gt;1E-9,AC287*(1+$G$53)-MAX($B$9,0.01*AC287+AC287*$G$53),0),0)</f>
        <v/>
      </c>
      <c r="AD288">
        <f>AC287*$G$53</f>
        <v/>
      </c>
      <c r="AE288">
        <f>IF(AE287&gt;1E-9,IF(AE287*(1+$G$54)-MAX($B$9,0.01*AE287+AE287*$G$54)&gt;1E-9,AE287*(1+$G$54)-MAX($B$9,0.01*AE287+AE287*$G$54),0),0)</f>
        <v/>
      </c>
      <c r="AF288">
        <f>AE287*$G$54</f>
        <v/>
      </c>
      <c r="AG288">
        <f>IF(AG287&gt;1E-9,IF(AG287*(1+$G$55)-MAX($B$9,0.01*AG287+AG287*$G$55)&gt;1E-9,AG287*(1+$G$55)-MAX($B$9,0.01*AG287+AG287*$G$55),0),0)</f>
        <v/>
      </c>
      <c r="AH288">
        <f>AG287*$G$55</f>
        <v/>
      </c>
      <c r="AI288">
        <f>G288+K288+O288+S288+W288</f>
        <v/>
      </c>
      <c r="AJ288">
        <f>AI287+AK288-AI288</f>
        <v/>
      </c>
      <c r="AK288">
        <f>H288+L288+P288+T288+X288</f>
        <v/>
      </c>
      <c r="AL288">
        <f>TEXT(EDATE($B$5,D288-1),"mmm yyyy")</f>
        <v/>
      </c>
      <c r="AM288">
        <f>AI288</f>
        <v/>
      </c>
    </row>
    <row r="289">
      <c r="D289" t="n">
        <v>228</v>
      </c>
      <c r="E289">
        <f>IF(G288&gt;0,MAX(0,G288*(1+$G$51)-$H$51),0)</f>
        <v/>
      </c>
      <c r="F289">
        <f>$B$6+IF($D289=$B$8,$B$7,0)</f>
        <v/>
      </c>
      <c r="G289">
        <f>IF(E289-F289&gt;1E-9,E289-F289,0)</f>
        <v/>
      </c>
      <c r="H289">
        <f>G288*$G$51</f>
        <v/>
      </c>
      <c r="I289">
        <f>IF(K288&gt;0,MAX(0,K288*(1+$G$52)-$H$52),0)</f>
        <v/>
      </c>
      <c r="J289">
        <f>MAX(0,F289-E289)</f>
        <v/>
      </c>
      <c r="K289">
        <f>IF(I289-J289&gt;1E-9,I289-J289,0)</f>
        <v/>
      </c>
      <c r="L289">
        <f>K288*$G$52</f>
        <v/>
      </c>
      <c r="M289">
        <f>IF(O288&gt;0,MAX(0,O288*(1+$G$53)-$H$53),0)</f>
        <v/>
      </c>
      <c r="N289">
        <f>MAX(0,J289-I289)</f>
        <v/>
      </c>
      <c r="O289">
        <f>IF(M289-N289&gt;1E-9,M289-N289,0)</f>
        <v/>
      </c>
      <c r="P289">
        <f>O288*$G$53</f>
        <v/>
      </c>
      <c r="Q289">
        <f>IF(S288&gt;0,MAX(0,S288*(1+$G$54)-$H$54),0)</f>
        <v/>
      </c>
      <c r="R289">
        <f>MAX(0,N289-M289)</f>
        <v/>
      </c>
      <c r="S289">
        <f>IF(Q289-R289&gt;1E-9,Q289-R289,0)</f>
        <v/>
      </c>
      <c r="T289">
        <f>S288*$G$54</f>
        <v/>
      </c>
      <c r="U289">
        <f>IF(W288&gt;0,MAX(0,W288*(1+$G$55)-$H$55),0)</f>
        <v/>
      </c>
      <c r="V289">
        <f>MAX(0,R289-Q289)</f>
        <v/>
      </c>
      <c r="W289">
        <f>IF(U289-V289&gt;1E-9,U289-V289,0)</f>
        <v/>
      </c>
      <c r="X289">
        <f>W288*$G$55</f>
        <v/>
      </c>
      <c r="Y289">
        <f>IF(Y288&gt;1E-9,IF(Y288*(1+$G$51)-MAX($B$9,0.01*Y288+Y288*$G$51)&gt;1E-9,Y288*(1+$G$51)-MAX($B$9,0.01*Y288+Y288*$G$51),0),0)</f>
        <v/>
      </c>
      <c r="Z289">
        <f>Y288*$G$51</f>
        <v/>
      </c>
      <c r="AA289">
        <f>IF(AA288&gt;1E-9,IF(AA288*(1+$G$52)-MAX($B$9,0.01*AA288+AA288*$G$52)&gt;1E-9,AA288*(1+$G$52)-MAX($B$9,0.01*AA288+AA288*$G$52),0),0)</f>
        <v/>
      </c>
      <c r="AB289">
        <f>AA288*$G$52</f>
        <v/>
      </c>
      <c r="AC289">
        <f>IF(AC288&gt;1E-9,IF(AC288*(1+$G$53)-MAX($B$9,0.01*AC288+AC288*$G$53)&gt;1E-9,AC288*(1+$G$53)-MAX($B$9,0.01*AC288+AC288*$G$53),0),0)</f>
        <v/>
      </c>
      <c r="AD289">
        <f>AC288*$G$53</f>
        <v/>
      </c>
      <c r="AE289">
        <f>IF(AE288&gt;1E-9,IF(AE288*(1+$G$54)-MAX($B$9,0.01*AE288+AE288*$G$54)&gt;1E-9,AE288*(1+$G$54)-MAX($B$9,0.01*AE288+AE288*$G$54),0),0)</f>
        <v/>
      </c>
      <c r="AF289">
        <f>AE288*$G$54</f>
        <v/>
      </c>
      <c r="AG289">
        <f>IF(AG288&gt;1E-9,IF(AG288*(1+$G$55)-MAX($B$9,0.01*AG288+AG288*$G$55)&gt;1E-9,AG288*(1+$G$55)-MAX($B$9,0.01*AG288+AG288*$G$55),0),0)</f>
        <v/>
      </c>
      <c r="AH289">
        <f>AG288*$G$55</f>
        <v/>
      </c>
      <c r="AI289">
        <f>G289+K289+O289+S289+W289</f>
        <v/>
      </c>
      <c r="AJ289">
        <f>AI288+AK289-AI289</f>
        <v/>
      </c>
      <c r="AK289">
        <f>H289+L289+P289+T289+X289</f>
        <v/>
      </c>
      <c r="AL289">
        <f>TEXT(EDATE($B$5,D289-1),"mmm yyyy")</f>
        <v/>
      </c>
      <c r="AM289">
        <f>AI289</f>
        <v/>
      </c>
    </row>
    <row r="290">
      <c r="D290" t="n">
        <v>229</v>
      </c>
      <c r="E290">
        <f>IF(G289&gt;0,MAX(0,G289*(1+$G$51)-$H$51),0)</f>
        <v/>
      </c>
      <c r="F290">
        <f>$B$6+IF($D290=$B$8,$B$7,0)</f>
        <v/>
      </c>
      <c r="G290">
        <f>IF(E290-F290&gt;1E-9,E290-F290,0)</f>
        <v/>
      </c>
      <c r="H290">
        <f>G289*$G$51</f>
        <v/>
      </c>
      <c r="I290">
        <f>IF(K289&gt;0,MAX(0,K289*(1+$G$52)-$H$52),0)</f>
        <v/>
      </c>
      <c r="J290">
        <f>MAX(0,F290-E290)</f>
        <v/>
      </c>
      <c r="K290">
        <f>IF(I290-J290&gt;1E-9,I290-J290,0)</f>
        <v/>
      </c>
      <c r="L290">
        <f>K289*$G$52</f>
        <v/>
      </c>
      <c r="M290">
        <f>IF(O289&gt;0,MAX(0,O289*(1+$G$53)-$H$53),0)</f>
        <v/>
      </c>
      <c r="N290">
        <f>MAX(0,J290-I290)</f>
        <v/>
      </c>
      <c r="O290">
        <f>IF(M290-N290&gt;1E-9,M290-N290,0)</f>
        <v/>
      </c>
      <c r="P290">
        <f>O289*$G$53</f>
        <v/>
      </c>
      <c r="Q290">
        <f>IF(S289&gt;0,MAX(0,S289*(1+$G$54)-$H$54),0)</f>
        <v/>
      </c>
      <c r="R290">
        <f>MAX(0,N290-M290)</f>
        <v/>
      </c>
      <c r="S290">
        <f>IF(Q290-R290&gt;1E-9,Q290-R290,0)</f>
        <v/>
      </c>
      <c r="T290">
        <f>S289*$G$54</f>
        <v/>
      </c>
      <c r="U290">
        <f>IF(W289&gt;0,MAX(0,W289*(1+$G$55)-$H$55),0)</f>
        <v/>
      </c>
      <c r="V290">
        <f>MAX(0,R290-Q290)</f>
        <v/>
      </c>
      <c r="W290">
        <f>IF(U290-V290&gt;1E-9,U290-V290,0)</f>
        <v/>
      </c>
      <c r="X290">
        <f>W289*$G$55</f>
        <v/>
      </c>
      <c r="Y290">
        <f>IF(Y289&gt;1E-9,IF(Y289*(1+$G$51)-MAX($B$9,0.01*Y289+Y289*$G$51)&gt;1E-9,Y289*(1+$G$51)-MAX($B$9,0.01*Y289+Y289*$G$51),0),0)</f>
        <v/>
      </c>
      <c r="Z290">
        <f>Y289*$G$51</f>
        <v/>
      </c>
      <c r="AA290">
        <f>IF(AA289&gt;1E-9,IF(AA289*(1+$G$52)-MAX($B$9,0.01*AA289+AA289*$G$52)&gt;1E-9,AA289*(1+$G$52)-MAX($B$9,0.01*AA289+AA289*$G$52),0),0)</f>
        <v/>
      </c>
      <c r="AB290">
        <f>AA289*$G$52</f>
        <v/>
      </c>
      <c r="AC290">
        <f>IF(AC289&gt;1E-9,IF(AC289*(1+$G$53)-MAX($B$9,0.01*AC289+AC289*$G$53)&gt;1E-9,AC289*(1+$G$53)-MAX($B$9,0.01*AC289+AC289*$G$53),0),0)</f>
        <v/>
      </c>
      <c r="AD290">
        <f>AC289*$G$53</f>
        <v/>
      </c>
      <c r="AE290">
        <f>IF(AE289&gt;1E-9,IF(AE289*(1+$G$54)-MAX($B$9,0.01*AE289+AE289*$G$54)&gt;1E-9,AE289*(1+$G$54)-MAX($B$9,0.01*AE289+AE289*$G$54),0),0)</f>
        <v/>
      </c>
      <c r="AF290">
        <f>AE289*$G$54</f>
        <v/>
      </c>
      <c r="AG290">
        <f>IF(AG289&gt;1E-9,IF(AG289*(1+$G$55)-MAX($B$9,0.01*AG289+AG289*$G$55)&gt;1E-9,AG289*(1+$G$55)-MAX($B$9,0.01*AG289+AG289*$G$55),0),0)</f>
        <v/>
      </c>
      <c r="AH290">
        <f>AG289*$G$55</f>
        <v/>
      </c>
      <c r="AI290">
        <f>G290+K290+O290+S290+W290</f>
        <v/>
      </c>
      <c r="AJ290">
        <f>AI289+AK290-AI290</f>
        <v/>
      </c>
      <c r="AK290">
        <f>H290+L290+P290+T290+X290</f>
        <v/>
      </c>
      <c r="AL290">
        <f>TEXT(EDATE($B$5,D290-1),"mmm yyyy")</f>
        <v/>
      </c>
      <c r="AM290">
        <f>AI290</f>
        <v/>
      </c>
    </row>
    <row r="291">
      <c r="D291" t="n">
        <v>230</v>
      </c>
      <c r="E291">
        <f>IF(G290&gt;0,MAX(0,G290*(1+$G$51)-$H$51),0)</f>
        <v/>
      </c>
      <c r="F291">
        <f>$B$6+IF($D291=$B$8,$B$7,0)</f>
        <v/>
      </c>
      <c r="G291">
        <f>IF(E291-F291&gt;1E-9,E291-F291,0)</f>
        <v/>
      </c>
      <c r="H291">
        <f>G290*$G$51</f>
        <v/>
      </c>
      <c r="I291">
        <f>IF(K290&gt;0,MAX(0,K290*(1+$G$52)-$H$52),0)</f>
        <v/>
      </c>
      <c r="J291">
        <f>MAX(0,F291-E291)</f>
        <v/>
      </c>
      <c r="K291">
        <f>IF(I291-J291&gt;1E-9,I291-J291,0)</f>
        <v/>
      </c>
      <c r="L291">
        <f>K290*$G$52</f>
        <v/>
      </c>
      <c r="M291">
        <f>IF(O290&gt;0,MAX(0,O290*(1+$G$53)-$H$53),0)</f>
        <v/>
      </c>
      <c r="N291">
        <f>MAX(0,J291-I291)</f>
        <v/>
      </c>
      <c r="O291">
        <f>IF(M291-N291&gt;1E-9,M291-N291,0)</f>
        <v/>
      </c>
      <c r="P291">
        <f>O290*$G$53</f>
        <v/>
      </c>
      <c r="Q291">
        <f>IF(S290&gt;0,MAX(0,S290*(1+$G$54)-$H$54),0)</f>
        <v/>
      </c>
      <c r="R291">
        <f>MAX(0,N291-M291)</f>
        <v/>
      </c>
      <c r="S291">
        <f>IF(Q291-R291&gt;1E-9,Q291-R291,0)</f>
        <v/>
      </c>
      <c r="T291">
        <f>S290*$G$54</f>
        <v/>
      </c>
      <c r="U291">
        <f>IF(W290&gt;0,MAX(0,W290*(1+$G$55)-$H$55),0)</f>
        <v/>
      </c>
      <c r="V291">
        <f>MAX(0,R291-Q291)</f>
        <v/>
      </c>
      <c r="W291">
        <f>IF(U291-V291&gt;1E-9,U291-V291,0)</f>
        <v/>
      </c>
      <c r="X291">
        <f>W290*$G$55</f>
        <v/>
      </c>
      <c r="Y291">
        <f>IF(Y290&gt;1E-9,IF(Y290*(1+$G$51)-MAX($B$9,0.01*Y290+Y290*$G$51)&gt;1E-9,Y290*(1+$G$51)-MAX($B$9,0.01*Y290+Y290*$G$51),0),0)</f>
        <v/>
      </c>
      <c r="Z291">
        <f>Y290*$G$51</f>
        <v/>
      </c>
      <c r="AA291">
        <f>IF(AA290&gt;1E-9,IF(AA290*(1+$G$52)-MAX($B$9,0.01*AA290+AA290*$G$52)&gt;1E-9,AA290*(1+$G$52)-MAX($B$9,0.01*AA290+AA290*$G$52),0),0)</f>
        <v/>
      </c>
      <c r="AB291">
        <f>AA290*$G$52</f>
        <v/>
      </c>
      <c r="AC291">
        <f>IF(AC290&gt;1E-9,IF(AC290*(1+$G$53)-MAX($B$9,0.01*AC290+AC290*$G$53)&gt;1E-9,AC290*(1+$G$53)-MAX($B$9,0.01*AC290+AC290*$G$53),0),0)</f>
        <v/>
      </c>
      <c r="AD291">
        <f>AC290*$G$53</f>
        <v/>
      </c>
      <c r="AE291">
        <f>IF(AE290&gt;1E-9,IF(AE290*(1+$G$54)-MAX($B$9,0.01*AE290+AE290*$G$54)&gt;1E-9,AE290*(1+$G$54)-MAX($B$9,0.01*AE290+AE290*$G$54),0),0)</f>
        <v/>
      </c>
      <c r="AF291">
        <f>AE290*$G$54</f>
        <v/>
      </c>
      <c r="AG291">
        <f>IF(AG290&gt;1E-9,IF(AG290*(1+$G$55)-MAX($B$9,0.01*AG290+AG290*$G$55)&gt;1E-9,AG290*(1+$G$55)-MAX($B$9,0.01*AG290+AG290*$G$55),0),0)</f>
        <v/>
      </c>
      <c r="AH291">
        <f>AG290*$G$55</f>
        <v/>
      </c>
      <c r="AI291">
        <f>G291+K291+O291+S291+W291</f>
        <v/>
      </c>
      <c r="AJ291">
        <f>AI290+AK291-AI291</f>
        <v/>
      </c>
      <c r="AK291">
        <f>H291+L291+P291+T291+X291</f>
        <v/>
      </c>
      <c r="AL291">
        <f>TEXT(EDATE($B$5,D291-1),"mmm yyyy")</f>
        <v/>
      </c>
      <c r="AM291">
        <f>AI291</f>
        <v/>
      </c>
    </row>
    <row r="292">
      <c r="D292" t="n">
        <v>231</v>
      </c>
      <c r="E292">
        <f>IF(G291&gt;0,MAX(0,G291*(1+$G$51)-$H$51),0)</f>
        <v/>
      </c>
      <c r="F292">
        <f>$B$6+IF($D292=$B$8,$B$7,0)</f>
        <v/>
      </c>
      <c r="G292">
        <f>IF(E292-F292&gt;1E-9,E292-F292,0)</f>
        <v/>
      </c>
      <c r="H292">
        <f>G291*$G$51</f>
        <v/>
      </c>
      <c r="I292">
        <f>IF(K291&gt;0,MAX(0,K291*(1+$G$52)-$H$52),0)</f>
        <v/>
      </c>
      <c r="J292">
        <f>MAX(0,F292-E292)</f>
        <v/>
      </c>
      <c r="K292">
        <f>IF(I292-J292&gt;1E-9,I292-J292,0)</f>
        <v/>
      </c>
      <c r="L292">
        <f>K291*$G$52</f>
        <v/>
      </c>
      <c r="M292">
        <f>IF(O291&gt;0,MAX(0,O291*(1+$G$53)-$H$53),0)</f>
        <v/>
      </c>
      <c r="N292">
        <f>MAX(0,J292-I292)</f>
        <v/>
      </c>
      <c r="O292">
        <f>IF(M292-N292&gt;1E-9,M292-N292,0)</f>
        <v/>
      </c>
      <c r="P292">
        <f>O291*$G$53</f>
        <v/>
      </c>
      <c r="Q292">
        <f>IF(S291&gt;0,MAX(0,S291*(1+$G$54)-$H$54),0)</f>
        <v/>
      </c>
      <c r="R292">
        <f>MAX(0,N292-M292)</f>
        <v/>
      </c>
      <c r="S292">
        <f>IF(Q292-R292&gt;1E-9,Q292-R292,0)</f>
        <v/>
      </c>
      <c r="T292">
        <f>S291*$G$54</f>
        <v/>
      </c>
      <c r="U292">
        <f>IF(W291&gt;0,MAX(0,W291*(1+$G$55)-$H$55),0)</f>
        <v/>
      </c>
      <c r="V292">
        <f>MAX(0,R292-Q292)</f>
        <v/>
      </c>
      <c r="W292">
        <f>IF(U292-V292&gt;1E-9,U292-V292,0)</f>
        <v/>
      </c>
      <c r="X292">
        <f>W291*$G$55</f>
        <v/>
      </c>
      <c r="Y292">
        <f>IF(Y291&gt;1E-9,IF(Y291*(1+$G$51)-MAX($B$9,0.01*Y291+Y291*$G$51)&gt;1E-9,Y291*(1+$G$51)-MAX($B$9,0.01*Y291+Y291*$G$51),0),0)</f>
        <v/>
      </c>
      <c r="Z292">
        <f>Y291*$G$51</f>
        <v/>
      </c>
      <c r="AA292">
        <f>IF(AA291&gt;1E-9,IF(AA291*(1+$G$52)-MAX($B$9,0.01*AA291+AA291*$G$52)&gt;1E-9,AA291*(1+$G$52)-MAX($B$9,0.01*AA291+AA291*$G$52),0),0)</f>
        <v/>
      </c>
      <c r="AB292">
        <f>AA291*$G$52</f>
        <v/>
      </c>
      <c r="AC292">
        <f>IF(AC291&gt;1E-9,IF(AC291*(1+$G$53)-MAX($B$9,0.01*AC291+AC291*$G$53)&gt;1E-9,AC291*(1+$G$53)-MAX($B$9,0.01*AC291+AC291*$G$53),0),0)</f>
        <v/>
      </c>
      <c r="AD292">
        <f>AC291*$G$53</f>
        <v/>
      </c>
      <c r="AE292">
        <f>IF(AE291&gt;1E-9,IF(AE291*(1+$G$54)-MAX($B$9,0.01*AE291+AE291*$G$54)&gt;1E-9,AE291*(1+$G$54)-MAX($B$9,0.01*AE291+AE291*$G$54),0),0)</f>
        <v/>
      </c>
      <c r="AF292">
        <f>AE291*$G$54</f>
        <v/>
      </c>
      <c r="AG292">
        <f>IF(AG291&gt;1E-9,IF(AG291*(1+$G$55)-MAX($B$9,0.01*AG291+AG291*$G$55)&gt;1E-9,AG291*(1+$G$55)-MAX($B$9,0.01*AG291+AG291*$G$55),0),0)</f>
        <v/>
      </c>
      <c r="AH292">
        <f>AG291*$G$55</f>
        <v/>
      </c>
      <c r="AI292">
        <f>G292+K292+O292+S292+W292</f>
        <v/>
      </c>
      <c r="AJ292">
        <f>AI291+AK292-AI292</f>
        <v/>
      </c>
      <c r="AK292">
        <f>H292+L292+P292+T292+X292</f>
        <v/>
      </c>
      <c r="AL292">
        <f>TEXT(EDATE($B$5,D292-1),"mmm yyyy")</f>
        <v/>
      </c>
      <c r="AM292">
        <f>AI292</f>
        <v/>
      </c>
    </row>
    <row r="293">
      <c r="D293" t="n">
        <v>232</v>
      </c>
      <c r="E293">
        <f>IF(G292&gt;0,MAX(0,G292*(1+$G$51)-$H$51),0)</f>
        <v/>
      </c>
      <c r="F293">
        <f>$B$6+IF($D293=$B$8,$B$7,0)</f>
        <v/>
      </c>
      <c r="G293">
        <f>IF(E293-F293&gt;1E-9,E293-F293,0)</f>
        <v/>
      </c>
      <c r="H293">
        <f>G292*$G$51</f>
        <v/>
      </c>
      <c r="I293">
        <f>IF(K292&gt;0,MAX(0,K292*(1+$G$52)-$H$52),0)</f>
        <v/>
      </c>
      <c r="J293">
        <f>MAX(0,F293-E293)</f>
        <v/>
      </c>
      <c r="K293">
        <f>IF(I293-J293&gt;1E-9,I293-J293,0)</f>
        <v/>
      </c>
      <c r="L293">
        <f>K292*$G$52</f>
        <v/>
      </c>
      <c r="M293">
        <f>IF(O292&gt;0,MAX(0,O292*(1+$G$53)-$H$53),0)</f>
        <v/>
      </c>
      <c r="N293">
        <f>MAX(0,J293-I293)</f>
        <v/>
      </c>
      <c r="O293">
        <f>IF(M293-N293&gt;1E-9,M293-N293,0)</f>
        <v/>
      </c>
      <c r="P293">
        <f>O292*$G$53</f>
        <v/>
      </c>
      <c r="Q293">
        <f>IF(S292&gt;0,MAX(0,S292*(1+$G$54)-$H$54),0)</f>
        <v/>
      </c>
      <c r="R293">
        <f>MAX(0,N293-M293)</f>
        <v/>
      </c>
      <c r="S293">
        <f>IF(Q293-R293&gt;1E-9,Q293-R293,0)</f>
        <v/>
      </c>
      <c r="T293">
        <f>S292*$G$54</f>
        <v/>
      </c>
      <c r="U293">
        <f>IF(W292&gt;0,MAX(0,W292*(1+$G$55)-$H$55),0)</f>
        <v/>
      </c>
      <c r="V293">
        <f>MAX(0,R293-Q293)</f>
        <v/>
      </c>
      <c r="W293">
        <f>IF(U293-V293&gt;1E-9,U293-V293,0)</f>
        <v/>
      </c>
      <c r="X293">
        <f>W292*$G$55</f>
        <v/>
      </c>
      <c r="Y293">
        <f>IF(Y292&gt;1E-9,IF(Y292*(1+$G$51)-MAX($B$9,0.01*Y292+Y292*$G$51)&gt;1E-9,Y292*(1+$G$51)-MAX($B$9,0.01*Y292+Y292*$G$51),0),0)</f>
        <v/>
      </c>
      <c r="Z293">
        <f>Y292*$G$51</f>
        <v/>
      </c>
      <c r="AA293">
        <f>IF(AA292&gt;1E-9,IF(AA292*(1+$G$52)-MAX($B$9,0.01*AA292+AA292*$G$52)&gt;1E-9,AA292*(1+$G$52)-MAX($B$9,0.01*AA292+AA292*$G$52),0),0)</f>
        <v/>
      </c>
      <c r="AB293">
        <f>AA292*$G$52</f>
        <v/>
      </c>
      <c r="AC293">
        <f>IF(AC292&gt;1E-9,IF(AC292*(1+$G$53)-MAX($B$9,0.01*AC292+AC292*$G$53)&gt;1E-9,AC292*(1+$G$53)-MAX($B$9,0.01*AC292+AC292*$G$53),0),0)</f>
        <v/>
      </c>
      <c r="AD293">
        <f>AC292*$G$53</f>
        <v/>
      </c>
      <c r="AE293">
        <f>IF(AE292&gt;1E-9,IF(AE292*(1+$G$54)-MAX($B$9,0.01*AE292+AE292*$G$54)&gt;1E-9,AE292*(1+$G$54)-MAX($B$9,0.01*AE292+AE292*$G$54),0),0)</f>
        <v/>
      </c>
      <c r="AF293">
        <f>AE292*$G$54</f>
        <v/>
      </c>
      <c r="AG293">
        <f>IF(AG292&gt;1E-9,IF(AG292*(1+$G$55)-MAX($B$9,0.01*AG292+AG292*$G$55)&gt;1E-9,AG292*(1+$G$55)-MAX($B$9,0.01*AG292+AG292*$G$55),0),0)</f>
        <v/>
      </c>
      <c r="AH293">
        <f>AG292*$G$55</f>
        <v/>
      </c>
      <c r="AI293">
        <f>G293+K293+O293+S293+W293</f>
        <v/>
      </c>
      <c r="AJ293">
        <f>AI292+AK293-AI293</f>
        <v/>
      </c>
      <c r="AK293">
        <f>H293+L293+P293+T293+X293</f>
        <v/>
      </c>
      <c r="AL293">
        <f>TEXT(EDATE($B$5,D293-1),"mmm yyyy")</f>
        <v/>
      </c>
      <c r="AM293">
        <f>AI293</f>
        <v/>
      </c>
    </row>
    <row r="294">
      <c r="D294" t="n">
        <v>233</v>
      </c>
      <c r="E294">
        <f>IF(G293&gt;0,MAX(0,G293*(1+$G$51)-$H$51),0)</f>
        <v/>
      </c>
      <c r="F294">
        <f>$B$6+IF($D294=$B$8,$B$7,0)</f>
        <v/>
      </c>
      <c r="G294">
        <f>IF(E294-F294&gt;1E-9,E294-F294,0)</f>
        <v/>
      </c>
      <c r="H294">
        <f>G293*$G$51</f>
        <v/>
      </c>
      <c r="I294">
        <f>IF(K293&gt;0,MAX(0,K293*(1+$G$52)-$H$52),0)</f>
        <v/>
      </c>
      <c r="J294">
        <f>MAX(0,F294-E294)</f>
        <v/>
      </c>
      <c r="K294">
        <f>IF(I294-J294&gt;1E-9,I294-J294,0)</f>
        <v/>
      </c>
      <c r="L294">
        <f>K293*$G$52</f>
        <v/>
      </c>
      <c r="M294">
        <f>IF(O293&gt;0,MAX(0,O293*(1+$G$53)-$H$53),0)</f>
        <v/>
      </c>
      <c r="N294">
        <f>MAX(0,J294-I294)</f>
        <v/>
      </c>
      <c r="O294">
        <f>IF(M294-N294&gt;1E-9,M294-N294,0)</f>
        <v/>
      </c>
      <c r="P294">
        <f>O293*$G$53</f>
        <v/>
      </c>
      <c r="Q294">
        <f>IF(S293&gt;0,MAX(0,S293*(1+$G$54)-$H$54),0)</f>
        <v/>
      </c>
      <c r="R294">
        <f>MAX(0,N294-M294)</f>
        <v/>
      </c>
      <c r="S294">
        <f>IF(Q294-R294&gt;1E-9,Q294-R294,0)</f>
        <v/>
      </c>
      <c r="T294">
        <f>S293*$G$54</f>
        <v/>
      </c>
      <c r="U294">
        <f>IF(W293&gt;0,MAX(0,W293*(1+$G$55)-$H$55),0)</f>
        <v/>
      </c>
      <c r="V294">
        <f>MAX(0,R294-Q294)</f>
        <v/>
      </c>
      <c r="W294">
        <f>IF(U294-V294&gt;1E-9,U294-V294,0)</f>
        <v/>
      </c>
      <c r="X294">
        <f>W293*$G$55</f>
        <v/>
      </c>
      <c r="Y294">
        <f>IF(Y293&gt;1E-9,IF(Y293*(1+$G$51)-MAX($B$9,0.01*Y293+Y293*$G$51)&gt;1E-9,Y293*(1+$G$51)-MAX($B$9,0.01*Y293+Y293*$G$51),0),0)</f>
        <v/>
      </c>
      <c r="Z294">
        <f>Y293*$G$51</f>
        <v/>
      </c>
      <c r="AA294">
        <f>IF(AA293&gt;1E-9,IF(AA293*(1+$G$52)-MAX($B$9,0.01*AA293+AA293*$G$52)&gt;1E-9,AA293*(1+$G$52)-MAX($B$9,0.01*AA293+AA293*$G$52),0),0)</f>
        <v/>
      </c>
      <c r="AB294">
        <f>AA293*$G$52</f>
        <v/>
      </c>
      <c r="AC294">
        <f>IF(AC293&gt;1E-9,IF(AC293*(1+$G$53)-MAX($B$9,0.01*AC293+AC293*$G$53)&gt;1E-9,AC293*(1+$G$53)-MAX($B$9,0.01*AC293+AC293*$G$53),0),0)</f>
        <v/>
      </c>
      <c r="AD294">
        <f>AC293*$G$53</f>
        <v/>
      </c>
      <c r="AE294">
        <f>IF(AE293&gt;1E-9,IF(AE293*(1+$G$54)-MAX($B$9,0.01*AE293+AE293*$G$54)&gt;1E-9,AE293*(1+$G$54)-MAX($B$9,0.01*AE293+AE293*$G$54),0),0)</f>
        <v/>
      </c>
      <c r="AF294">
        <f>AE293*$G$54</f>
        <v/>
      </c>
      <c r="AG294">
        <f>IF(AG293&gt;1E-9,IF(AG293*(1+$G$55)-MAX($B$9,0.01*AG293+AG293*$G$55)&gt;1E-9,AG293*(1+$G$55)-MAX($B$9,0.01*AG293+AG293*$G$55),0),0)</f>
        <v/>
      </c>
      <c r="AH294">
        <f>AG293*$G$55</f>
        <v/>
      </c>
      <c r="AI294">
        <f>G294+K294+O294+S294+W294</f>
        <v/>
      </c>
      <c r="AJ294">
        <f>AI293+AK294-AI294</f>
        <v/>
      </c>
      <c r="AK294">
        <f>H294+L294+P294+T294+X294</f>
        <v/>
      </c>
      <c r="AL294">
        <f>TEXT(EDATE($B$5,D294-1),"mmm yyyy")</f>
        <v/>
      </c>
      <c r="AM294">
        <f>AI294</f>
        <v/>
      </c>
    </row>
    <row r="295">
      <c r="D295" t="n">
        <v>234</v>
      </c>
      <c r="E295">
        <f>IF(G294&gt;0,MAX(0,G294*(1+$G$51)-$H$51),0)</f>
        <v/>
      </c>
      <c r="F295">
        <f>$B$6+IF($D295=$B$8,$B$7,0)</f>
        <v/>
      </c>
      <c r="G295">
        <f>IF(E295-F295&gt;1E-9,E295-F295,0)</f>
        <v/>
      </c>
      <c r="H295">
        <f>G294*$G$51</f>
        <v/>
      </c>
      <c r="I295">
        <f>IF(K294&gt;0,MAX(0,K294*(1+$G$52)-$H$52),0)</f>
        <v/>
      </c>
      <c r="J295">
        <f>MAX(0,F295-E295)</f>
        <v/>
      </c>
      <c r="K295">
        <f>IF(I295-J295&gt;1E-9,I295-J295,0)</f>
        <v/>
      </c>
      <c r="L295">
        <f>K294*$G$52</f>
        <v/>
      </c>
      <c r="M295">
        <f>IF(O294&gt;0,MAX(0,O294*(1+$G$53)-$H$53),0)</f>
        <v/>
      </c>
      <c r="N295">
        <f>MAX(0,J295-I295)</f>
        <v/>
      </c>
      <c r="O295">
        <f>IF(M295-N295&gt;1E-9,M295-N295,0)</f>
        <v/>
      </c>
      <c r="P295">
        <f>O294*$G$53</f>
        <v/>
      </c>
      <c r="Q295">
        <f>IF(S294&gt;0,MAX(0,S294*(1+$G$54)-$H$54),0)</f>
        <v/>
      </c>
      <c r="R295">
        <f>MAX(0,N295-M295)</f>
        <v/>
      </c>
      <c r="S295">
        <f>IF(Q295-R295&gt;1E-9,Q295-R295,0)</f>
        <v/>
      </c>
      <c r="T295">
        <f>S294*$G$54</f>
        <v/>
      </c>
      <c r="U295">
        <f>IF(W294&gt;0,MAX(0,W294*(1+$G$55)-$H$55),0)</f>
        <v/>
      </c>
      <c r="V295">
        <f>MAX(0,R295-Q295)</f>
        <v/>
      </c>
      <c r="W295">
        <f>IF(U295-V295&gt;1E-9,U295-V295,0)</f>
        <v/>
      </c>
      <c r="X295">
        <f>W294*$G$55</f>
        <v/>
      </c>
      <c r="Y295">
        <f>IF(Y294&gt;1E-9,IF(Y294*(1+$G$51)-MAX($B$9,0.01*Y294+Y294*$G$51)&gt;1E-9,Y294*(1+$G$51)-MAX($B$9,0.01*Y294+Y294*$G$51),0),0)</f>
        <v/>
      </c>
      <c r="Z295">
        <f>Y294*$G$51</f>
        <v/>
      </c>
      <c r="AA295">
        <f>IF(AA294&gt;1E-9,IF(AA294*(1+$G$52)-MAX($B$9,0.01*AA294+AA294*$G$52)&gt;1E-9,AA294*(1+$G$52)-MAX($B$9,0.01*AA294+AA294*$G$52),0),0)</f>
        <v/>
      </c>
      <c r="AB295">
        <f>AA294*$G$52</f>
        <v/>
      </c>
      <c r="AC295">
        <f>IF(AC294&gt;1E-9,IF(AC294*(1+$G$53)-MAX($B$9,0.01*AC294+AC294*$G$53)&gt;1E-9,AC294*(1+$G$53)-MAX($B$9,0.01*AC294+AC294*$G$53),0),0)</f>
        <v/>
      </c>
      <c r="AD295">
        <f>AC294*$G$53</f>
        <v/>
      </c>
      <c r="AE295">
        <f>IF(AE294&gt;1E-9,IF(AE294*(1+$G$54)-MAX($B$9,0.01*AE294+AE294*$G$54)&gt;1E-9,AE294*(1+$G$54)-MAX($B$9,0.01*AE294+AE294*$G$54),0),0)</f>
        <v/>
      </c>
      <c r="AF295">
        <f>AE294*$G$54</f>
        <v/>
      </c>
      <c r="AG295">
        <f>IF(AG294&gt;1E-9,IF(AG294*(1+$G$55)-MAX($B$9,0.01*AG294+AG294*$G$55)&gt;1E-9,AG294*(1+$G$55)-MAX($B$9,0.01*AG294+AG294*$G$55),0),0)</f>
        <v/>
      </c>
      <c r="AH295">
        <f>AG294*$G$55</f>
        <v/>
      </c>
      <c r="AI295">
        <f>G295+K295+O295+S295+W295</f>
        <v/>
      </c>
      <c r="AJ295">
        <f>AI294+AK295-AI295</f>
        <v/>
      </c>
      <c r="AK295">
        <f>H295+L295+P295+T295+X295</f>
        <v/>
      </c>
      <c r="AL295">
        <f>TEXT(EDATE($B$5,D295-1),"mmm yyyy")</f>
        <v/>
      </c>
      <c r="AM295">
        <f>AI295</f>
        <v/>
      </c>
    </row>
    <row r="296">
      <c r="D296" t="n">
        <v>235</v>
      </c>
      <c r="E296">
        <f>IF(G295&gt;0,MAX(0,G295*(1+$G$51)-$H$51),0)</f>
        <v/>
      </c>
      <c r="F296">
        <f>$B$6+IF($D296=$B$8,$B$7,0)</f>
        <v/>
      </c>
      <c r="G296">
        <f>IF(E296-F296&gt;1E-9,E296-F296,0)</f>
        <v/>
      </c>
      <c r="H296">
        <f>G295*$G$51</f>
        <v/>
      </c>
      <c r="I296">
        <f>IF(K295&gt;0,MAX(0,K295*(1+$G$52)-$H$52),0)</f>
        <v/>
      </c>
      <c r="J296">
        <f>MAX(0,F296-E296)</f>
        <v/>
      </c>
      <c r="K296">
        <f>IF(I296-J296&gt;1E-9,I296-J296,0)</f>
        <v/>
      </c>
      <c r="L296">
        <f>K295*$G$52</f>
        <v/>
      </c>
      <c r="M296">
        <f>IF(O295&gt;0,MAX(0,O295*(1+$G$53)-$H$53),0)</f>
        <v/>
      </c>
      <c r="N296">
        <f>MAX(0,J296-I296)</f>
        <v/>
      </c>
      <c r="O296">
        <f>IF(M296-N296&gt;1E-9,M296-N296,0)</f>
        <v/>
      </c>
      <c r="P296">
        <f>O295*$G$53</f>
        <v/>
      </c>
      <c r="Q296">
        <f>IF(S295&gt;0,MAX(0,S295*(1+$G$54)-$H$54),0)</f>
        <v/>
      </c>
      <c r="R296">
        <f>MAX(0,N296-M296)</f>
        <v/>
      </c>
      <c r="S296">
        <f>IF(Q296-R296&gt;1E-9,Q296-R296,0)</f>
        <v/>
      </c>
      <c r="T296">
        <f>S295*$G$54</f>
        <v/>
      </c>
      <c r="U296">
        <f>IF(W295&gt;0,MAX(0,W295*(1+$G$55)-$H$55),0)</f>
        <v/>
      </c>
      <c r="V296">
        <f>MAX(0,R296-Q296)</f>
        <v/>
      </c>
      <c r="W296">
        <f>IF(U296-V296&gt;1E-9,U296-V296,0)</f>
        <v/>
      </c>
      <c r="X296">
        <f>W295*$G$55</f>
        <v/>
      </c>
      <c r="Y296">
        <f>IF(Y295&gt;1E-9,IF(Y295*(1+$G$51)-MAX($B$9,0.01*Y295+Y295*$G$51)&gt;1E-9,Y295*(1+$G$51)-MAX($B$9,0.01*Y295+Y295*$G$51),0),0)</f>
        <v/>
      </c>
      <c r="Z296">
        <f>Y295*$G$51</f>
        <v/>
      </c>
      <c r="AA296">
        <f>IF(AA295&gt;1E-9,IF(AA295*(1+$G$52)-MAX($B$9,0.01*AA295+AA295*$G$52)&gt;1E-9,AA295*(1+$G$52)-MAX($B$9,0.01*AA295+AA295*$G$52),0),0)</f>
        <v/>
      </c>
      <c r="AB296">
        <f>AA295*$G$52</f>
        <v/>
      </c>
      <c r="AC296">
        <f>IF(AC295&gt;1E-9,IF(AC295*(1+$G$53)-MAX($B$9,0.01*AC295+AC295*$G$53)&gt;1E-9,AC295*(1+$G$53)-MAX($B$9,0.01*AC295+AC295*$G$53),0),0)</f>
        <v/>
      </c>
      <c r="AD296">
        <f>AC295*$G$53</f>
        <v/>
      </c>
      <c r="AE296">
        <f>IF(AE295&gt;1E-9,IF(AE295*(1+$G$54)-MAX($B$9,0.01*AE295+AE295*$G$54)&gt;1E-9,AE295*(1+$G$54)-MAX($B$9,0.01*AE295+AE295*$G$54),0),0)</f>
        <v/>
      </c>
      <c r="AF296">
        <f>AE295*$G$54</f>
        <v/>
      </c>
      <c r="AG296">
        <f>IF(AG295&gt;1E-9,IF(AG295*(1+$G$55)-MAX($B$9,0.01*AG295+AG295*$G$55)&gt;1E-9,AG295*(1+$G$55)-MAX($B$9,0.01*AG295+AG295*$G$55),0),0)</f>
        <v/>
      </c>
      <c r="AH296">
        <f>AG295*$G$55</f>
        <v/>
      </c>
      <c r="AI296">
        <f>G296+K296+O296+S296+W296</f>
        <v/>
      </c>
      <c r="AJ296">
        <f>AI295+AK296-AI296</f>
        <v/>
      </c>
      <c r="AK296">
        <f>H296+L296+P296+T296+X296</f>
        <v/>
      </c>
      <c r="AL296">
        <f>TEXT(EDATE($B$5,D296-1),"mmm yyyy")</f>
        <v/>
      </c>
      <c r="AM296">
        <f>AI296</f>
        <v/>
      </c>
    </row>
    <row r="297">
      <c r="D297" t="n">
        <v>236</v>
      </c>
      <c r="E297">
        <f>IF(G296&gt;0,MAX(0,G296*(1+$G$51)-$H$51),0)</f>
        <v/>
      </c>
      <c r="F297">
        <f>$B$6+IF($D297=$B$8,$B$7,0)</f>
        <v/>
      </c>
      <c r="G297">
        <f>IF(E297-F297&gt;1E-9,E297-F297,0)</f>
        <v/>
      </c>
      <c r="H297">
        <f>G296*$G$51</f>
        <v/>
      </c>
      <c r="I297">
        <f>IF(K296&gt;0,MAX(0,K296*(1+$G$52)-$H$52),0)</f>
        <v/>
      </c>
      <c r="J297">
        <f>MAX(0,F297-E297)</f>
        <v/>
      </c>
      <c r="K297">
        <f>IF(I297-J297&gt;1E-9,I297-J297,0)</f>
        <v/>
      </c>
      <c r="L297">
        <f>K296*$G$52</f>
        <v/>
      </c>
      <c r="M297">
        <f>IF(O296&gt;0,MAX(0,O296*(1+$G$53)-$H$53),0)</f>
        <v/>
      </c>
      <c r="N297">
        <f>MAX(0,J297-I297)</f>
        <v/>
      </c>
      <c r="O297">
        <f>IF(M297-N297&gt;1E-9,M297-N297,0)</f>
        <v/>
      </c>
      <c r="P297">
        <f>O296*$G$53</f>
        <v/>
      </c>
      <c r="Q297">
        <f>IF(S296&gt;0,MAX(0,S296*(1+$G$54)-$H$54),0)</f>
        <v/>
      </c>
      <c r="R297">
        <f>MAX(0,N297-M297)</f>
        <v/>
      </c>
      <c r="S297">
        <f>IF(Q297-R297&gt;1E-9,Q297-R297,0)</f>
        <v/>
      </c>
      <c r="T297">
        <f>S296*$G$54</f>
        <v/>
      </c>
      <c r="U297">
        <f>IF(W296&gt;0,MAX(0,W296*(1+$G$55)-$H$55),0)</f>
        <v/>
      </c>
      <c r="V297">
        <f>MAX(0,R297-Q297)</f>
        <v/>
      </c>
      <c r="W297">
        <f>IF(U297-V297&gt;1E-9,U297-V297,0)</f>
        <v/>
      </c>
      <c r="X297">
        <f>W296*$G$55</f>
        <v/>
      </c>
      <c r="Y297">
        <f>IF(Y296&gt;1E-9,IF(Y296*(1+$G$51)-MAX($B$9,0.01*Y296+Y296*$G$51)&gt;1E-9,Y296*(1+$G$51)-MAX($B$9,0.01*Y296+Y296*$G$51),0),0)</f>
        <v/>
      </c>
      <c r="Z297">
        <f>Y296*$G$51</f>
        <v/>
      </c>
      <c r="AA297">
        <f>IF(AA296&gt;1E-9,IF(AA296*(1+$G$52)-MAX($B$9,0.01*AA296+AA296*$G$52)&gt;1E-9,AA296*(1+$G$52)-MAX($B$9,0.01*AA296+AA296*$G$52),0),0)</f>
        <v/>
      </c>
      <c r="AB297">
        <f>AA296*$G$52</f>
        <v/>
      </c>
      <c r="AC297">
        <f>IF(AC296&gt;1E-9,IF(AC296*(1+$G$53)-MAX($B$9,0.01*AC296+AC296*$G$53)&gt;1E-9,AC296*(1+$G$53)-MAX($B$9,0.01*AC296+AC296*$G$53),0),0)</f>
        <v/>
      </c>
      <c r="AD297">
        <f>AC296*$G$53</f>
        <v/>
      </c>
      <c r="AE297">
        <f>IF(AE296&gt;1E-9,IF(AE296*(1+$G$54)-MAX($B$9,0.01*AE296+AE296*$G$54)&gt;1E-9,AE296*(1+$G$54)-MAX($B$9,0.01*AE296+AE296*$G$54),0),0)</f>
        <v/>
      </c>
      <c r="AF297">
        <f>AE296*$G$54</f>
        <v/>
      </c>
      <c r="AG297">
        <f>IF(AG296&gt;1E-9,IF(AG296*(1+$G$55)-MAX($B$9,0.01*AG296+AG296*$G$55)&gt;1E-9,AG296*(1+$G$55)-MAX($B$9,0.01*AG296+AG296*$G$55),0),0)</f>
        <v/>
      </c>
      <c r="AH297">
        <f>AG296*$G$55</f>
        <v/>
      </c>
      <c r="AI297">
        <f>G297+K297+O297+S297+W297</f>
        <v/>
      </c>
      <c r="AJ297">
        <f>AI296+AK297-AI297</f>
        <v/>
      </c>
      <c r="AK297">
        <f>H297+L297+P297+T297+X297</f>
        <v/>
      </c>
      <c r="AL297">
        <f>TEXT(EDATE($B$5,D297-1),"mmm yyyy")</f>
        <v/>
      </c>
      <c r="AM297">
        <f>AI297</f>
        <v/>
      </c>
    </row>
    <row r="298">
      <c r="D298" t="n">
        <v>237</v>
      </c>
      <c r="E298">
        <f>IF(G297&gt;0,MAX(0,G297*(1+$G$51)-$H$51),0)</f>
        <v/>
      </c>
      <c r="F298">
        <f>$B$6+IF($D298=$B$8,$B$7,0)</f>
        <v/>
      </c>
      <c r="G298">
        <f>IF(E298-F298&gt;1E-9,E298-F298,0)</f>
        <v/>
      </c>
      <c r="H298">
        <f>G297*$G$51</f>
        <v/>
      </c>
      <c r="I298">
        <f>IF(K297&gt;0,MAX(0,K297*(1+$G$52)-$H$52),0)</f>
        <v/>
      </c>
      <c r="J298">
        <f>MAX(0,F298-E298)</f>
        <v/>
      </c>
      <c r="K298">
        <f>IF(I298-J298&gt;1E-9,I298-J298,0)</f>
        <v/>
      </c>
      <c r="L298">
        <f>K297*$G$52</f>
        <v/>
      </c>
      <c r="M298">
        <f>IF(O297&gt;0,MAX(0,O297*(1+$G$53)-$H$53),0)</f>
        <v/>
      </c>
      <c r="N298">
        <f>MAX(0,J298-I298)</f>
        <v/>
      </c>
      <c r="O298">
        <f>IF(M298-N298&gt;1E-9,M298-N298,0)</f>
        <v/>
      </c>
      <c r="P298">
        <f>O297*$G$53</f>
        <v/>
      </c>
      <c r="Q298">
        <f>IF(S297&gt;0,MAX(0,S297*(1+$G$54)-$H$54),0)</f>
        <v/>
      </c>
      <c r="R298">
        <f>MAX(0,N298-M298)</f>
        <v/>
      </c>
      <c r="S298">
        <f>IF(Q298-R298&gt;1E-9,Q298-R298,0)</f>
        <v/>
      </c>
      <c r="T298">
        <f>S297*$G$54</f>
        <v/>
      </c>
      <c r="U298">
        <f>IF(W297&gt;0,MAX(0,W297*(1+$G$55)-$H$55),0)</f>
        <v/>
      </c>
      <c r="V298">
        <f>MAX(0,R298-Q298)</f>
        <v/>
      </c>
      <c r="W298">
        <f>IF(U298-V298&gt;1E-9,U298-V298,0)</f>
        <v/>
      </c>
      <c r="X298">
        <f>W297*$G$55</f>
        <v/>
      </c>
      <c r="Y298">
        <f>IF(Y297&gt;1E-9,IF(Y297*(1+$G$51)-MAX($B$9,0.01*Y297+Y297*$G$51)&gt;1E-9,Y297*(1+$G$51)-MAX($B$9,0.01*Y297+Y297*$G$51),0),0)</f>
        <v/>
      </c>
      <c r="Z298">
        <f>Y297*$G$51</f>
        <v/>
      </c>
      <c r="AA298">
        <f>IF(AA297&gt;1E-9,IF(AA297*(1+$G$52)-MAX($B$9,0.01*AA297+AA297*$G$52)&gt;1E-9,AA297*(1+$G$52)-MAX($B$9,0.01*AA297+AA297*$G$52),0),0)</f>
        <v/>
      </c>
      <c r="AB298">
        <f>AA297*$G$52</f>
        <v/>
      </c>
      <c r="AC298">
        <f>IF(AC297&gt;1E-9,IF(AC297*(1+$G$53)-MAX($B$9,0.01*AC297+AC297*$G$53)&gt;1E-9,AC297*(1+$G$53)-MAX($B$9,0.01*AC297+AC297*$G$53),0),0)</f>
        <v/>
      </c>
      <c r="AD298">
        <f>AC297*$G$53</f>
        <v/>
      </c>
      <c r="AE298">
        <f>IF(AE297&gt;1E-9,IF(AE297*(1+$G$54)-MAX($B$9,0.01*AE297+AE297*$G$54)&gt;1E-9,AE297*(1+$G$54)-MAX($B$9,0.01*AE297+AE297*$G$54),0),0)</f>
        <v/>
      </c>
      <c r="AF298">
        <f>AE297*$G$54</f>
        <v/>
      </c>
      <c r="AG298">
        <f>IF(AG297&gt;1E-9,IF(AG297*(1+$G$55)-MAX($B$9,0.01*AG297+AG297*$G$55)&gt;1E-9,AG297*(1+$G$55)-MAX($B$9,0.01*AG297+AG297*$G$55),0),0)</f>
        <v/>
      </c>
      <c r="AH298">
        <f>AG297*$G$55</f>
        <v/>
      </c>
      <c r="AI298">
        <f>G298+K298+O298+S298+W298</f>
        <v/>
      </c>
      <c r="AJ298">
        <f>AI297+AK298-AI298</f>
        <v/>
      </c>
      <c r="AK298">
        <f>H298+L298+P298+T298+X298</f>
        <v/>
      </c>
      <c r="AL298">
        <f>TEXT(EDATE($B$5,D298-1),"mmm yyyy")</f>
        <v/>
      </c>
      <c r="AM298">
        <f>AI298</f>
        <v/>
      </c>
    </row>
    <row r="299">
      <c r="D299" t="n">
        <v>238</v>
      </c>
      <c r="E299">
        <f>IF(G298&gt;0,MAX(0,G298*(1+$G$51)-$H$51),0)</f>
        <v/>
      </c>
      <c r="F299">
        <f>$B$6+IF($D299=$B$8,$B$7,0)</f>
        <v/>
      </c>
      <c r="G299">
        <f>IF(E299-F299&gt;1E-9,E299-F299,0)</f>
        <v/>
      </c>
      <c r="H299">
        <f>G298*$G$51</f>
        <v/>
      </c>
      <c r="I299">
        <f>IF(K298&gt;0,MAX(0,K298*(1+$G$52)-$H$52),0)</f>
        <v/>
      </c>
      <c r="J299">
        <f>MAX(0,F299-E299)</f>
        <v/>
      </c>
      <c r="K299">
        <f>IF(I299-J299&gt;1E-9,I299-J299,0)</f>
        <v/>
      </c>
      <c r="L299">
        <f>K298*$G$52</f>
        <v/>
      </c>
      <c r="M299">
        <f>IF(O298&gt;0,MAX(0,O298*(1+$G$53)-$H$53),0)</f>
        <v/>
      </c>
      <c r="N299">
        <f>MAX(0,J299-I299)</f>
        <v/>
      </c>
      <c r="O299">
        <f>IF(M299-N299&gt;1E-9,M299-N299,0)</f>
        <v/>
      </c>
      <c r="P299">
        <f>O298*$G$53</f>
        <v/>
      </c>
      <c r="Q299">
        <f>IF(S298&gt;0,MAX(0,S298*(1+$G$54)-$H$54),0)</f>
        <v/>
      </c>
      <c r="R299">
        <f>MAX(0,N299-M299)</f>
        <v/>
      </c>
      <c r="S299">
        <f>IF(Q299-R299&gt;1E-9,Q299-R299,0)</f>
        <v/>
      </c>
      <c r="T299">
        <f>S298*$G$54</f>
        <v/>
      </c>
      <c r="U299">
        <f>IF(W298&gt;0,MAX(0,W298*(1+$G$55)-$H$55),0)</f>
        <v/>
      </c>
      <c r="V299">
        <f>MAX(0,R299-Q299)</f>
        <v/>
      </c>
      <c r="W299">
        <f>IF(U299-V299&gt;1E-9,U299-V299,0)</f>
        <v/>
      </c>
      <c r="X299">
        <f>W298*$G$55</f>
        <v/>
      </c>
      <c r="Y299">
        <f>IF(Y298&gt;1E-9,IF(Y298*(1+$G$51)-MAX($B$9,0.01*Y298+Y298*$G$51)&gt;1E-9,Y298*(1+$G$51)-MAX($B$9,0.01*Y298+Y298*$G$51),0),0)</f>
        <v/>
      </c>
      <c r="Z299">
        <f>Y298*$G$51</f>
        <v/>
      </c>
      <c r="AA299">
        <f>IF(AA298&gt;1E-9,IF(AA298*(1+$G$52)-MAX($B$9,0.01*AA298+AA298*$G$52)&gt;1E-9,AA298*(1+$G$52)-MAX($B$9,0.01*AA298+AA298*$G$52),0),0)</f>
        <v/>
      </c>
      <c r="AB299">
        <f>AA298*$G$52</f>
        <v/>
      </c>
      <c r="AC299">
        <f>IF(AC298&gt;1E-9,IF(AC298*(1+$G$53)-MAX($B$9,0.01*AC298+AC298*$G$53)&gt;1E-9,AC298*(1+$G$53)-MAX($B$9,0.01*AC298+AC298*$G$53),0),0)</f>
        <v/>
      </c>
      <c r="AD299">
        <f>AC298*$G$53</f>
        <v/>
      </c>
      <c r="AE299">
        <f>IF(AE298&gt;1E-9,IF(AE298*(1+$G$54)-MAX($B$9,0.01*AE298+AE298*$G$54)&gt;1E-9,AE298*(1+$G$54)-MAX($B$9,0.01*AE298+AE298*$G$54),0),0)</f>
        <v/>
      </c>
      <c r="AF299">
        <f>AE298*$G$54</f>
        <v/>
      </c>
      <c r="AG299">
        <f>IF(AG298&gt;1E-9,IF(AG298*(1+$G$55)-MAX($B$9,0.01*AG298+AG298*$G$55)&gt;1E-9,AG298*(1+$G$55)-MAX($B$9,0.01*AG298+AG298*$G$55),0),0)</f>
        <v/>
      </c>
      <c r="AH299">
        <f>AG298*$G$55</f>
        <v/>
      </c>
      <c r="AI299">
        <f>G299+K299+O299+S299+W299</f>
        <v/>
      </c>
      <c r="AJ299">
        <f>AI298+AK299-AI299</f>
        <v/>
      </c>
      <c r="AK299">
        <f>H299+L299+P299+T299+X299</f>
        <v/>
      </c>
      <c r="AL299">
        <f>TEXT(EDATE($B$5,D299-1),"mmm yyyy")</f>
        <v/>
      </c>
      <c r="AM299">
        <f>AI299</f>
        <v/>
      </c>
    </row>
    <row r="300">
      <c r="D300" t="n">
        <v>239</v>
      </c>
      <c r="E300">
        <f>IF(G299&gt;0,MAX(0,G299*(1+$G$51)-$H$51),0)</f>
        <v/>
      </c>
      <c r="F300">
        <f>$B$6+IF($D300=$B$8,$B$7,0)</f>
        <v/>
      </c>
      <c r="G300">
        <f>IF(E300-F300&gt;1E-9,E300-F300,0)</f>
        <v/>
      </c>
      <c r="H300">
        <f>G299*$G$51</f>
        <v/>
      </c>
      <c r="I300">
        <f>IF(K299&gt;0,MAX(0,K299*(1+$G$52)-$H$52),0)</f>
        <v/>
      </c>
      <c r="J300">
        <f>MAX(0,F300-E300)</f>
        <v/>
      </c>
      <c r="K300">
        <f>IF(I300-J300&gt;1E-9,I300-J300,0)</f>
        <v/>
      </c>
      <c r="L300">
        <f>K299*$G$52</f>
        <v/>
      </c>
      <c r="M300">
        <f>IF(O299&gt;0,MAX(0,O299*(1+$G$53)-$H$53),0)</f>
        <v/>
      </c>
      <c r="N300">
        <f>MAX(0,J300-I300)</f>
        <v/>
      </c>
      <c r="O300">
        <f>IF(M300-N300&gt;1E-9,M300-N300,0)</f>
        <v/>
      </c>
      <c r="P300">
        <f>O299*$G$53</f>
        <v/>
      </c>
      <c r="Q300">
        <f>IF(S299&gt;0,MAX(0,S299*(1+$G$54)-$H$54),0)</f>
        <v/>
      </c>
      <c r="R300">
        <f>MAX(0,N300-M300)</f>
        <v/>
      </c>
      <c r="S300">
        <f>IF(Q300-R300&gt;1E-9,Q300-R300,0)</f>
        <v/>
      </c>
      <c r="T300">
        <f>S299*$G$54</f>
        <v/>
      </c>
      <c r="U300">
        <f>IF(W299&gt;0,MAX(0,W299*(1+$G$55)-$H$55),0)</f>
        <v/>
      </c>
      <c r="V300">
        <f>MAX(0,R300-Q300)</f>
        <v/>
      </c>
      <c r="W300">
        <f>IF(U300-V300&gt;1E-9,U300-V300,0)</f>
        <v/>
      </c>
      <c r="X300">
        <f>W299*$G$55</f>
        <v/>
      </c>
      <c r="Y300">
        <f>IF(Y299&gt;1E-9,IF(Y299*(1+$G$51)-MAX($B$9,0.01*Y299+Y299*$G$51)&gt;1E-9,Y299*(1+$G$51)-MAX($B$9,0.01*Y299+Y299*$G$51),0),0)</f>
        <v/>
      </c>
      <c r="Z300">
        <f>Y299*$G$51</f>
        <v/>
      </c>
      <c r="AA300">
        <f>IF(AA299&gt;1E-9,IF(AA299*(1+$G$52)-MAX($B$9,0.01*AA299+AA299*$G$52)&gt;1E-9,AA299*(1+$G$52)-MAX($B$9,0.01*AA299+AA299*$G$52),0),0)</f>
        <v/>
      </c>
      <c r="AB300">
        <f>AA299*$G$52</f>
        <v/>
      </c>
      <c r="AC300">
        <f>IF(AC299&gt;1E-9,IF(AC299*(1+$G$53)-MAX($B$9,0.01*AC299+AC299*$G$53)&gt;1E-9,AC299*(1+$G$53)-MAX($B$9,0.01*AC299+AC299*$G$53),0),0)</f>
        <v/>
      </c>
      <c r="AD300">
        <f>AC299*$G$53</f>
        <v/>
      </c>
      <c r="AE300">
        <f>IF(AE299&gt;1E-9,IF(AE299*(1+$G$54)-MAX($B$9,0.01*AE299+AE299*$G$54)&gt;1E-9,AE299*(1+$G$54)-MAX($B$9,0.01*AE299+AE299*$G$54),0),0)</f>
        <v/>
      </c>
      <c r="AF300">
        <f>AE299*$G$54</f>
        <v/>
      </c>
      <c r="AG300">
        <f>IF(AG299&gt;1E-9,IF(AG299*(1+$G$55)-MAX($B$9,0.01*AG299+AG299*$G$55)&gt;1E-9,AG299*(1+$G$55)-MAX($B$9,0.01*AG299+AG299*$G$55),0),0)</f>
        <v/>
      </c>
      <c r="AH300">
        <f>AG299*$G$55</f>
        <v/>
      </c>
      <c r="AI300">
        <f>G300+K300+O300+S300+W300</f>
        <v/>
      </c>
      <c r="AJ300">
        <f>AI299+AK300-AI300</f>
        <v/>
      </c>
      <c r="AK300">
        <f>H300+L300+P300+T300+X300</f>
        <v/>
      </c>
      <c r="AL300">
        <f>TEXT(EDATE($B$5,D300-1),"mmm yyyy")</f>
        <v/>
      </c>
      <c r="AM300">
        <f>AI300</f>
        <v/>
      </c>
    </row>
    <row r="301">
      <c r="D301" t="n">
        <v>240</v>
      </c>
      <c r="E301">
        <f>IF(G300&gt;0,MAX(0,G300*(1+$G$51)-$H$51),0)</f>
        <v/>
      </c>
      <c r="F301">
        <f>$B$6+IF($D301=$B$8,$B$7,0)</f>
        <v/>
      </c>
      <c r="G301">
        <f>IF(E301-F301&gt;1E-9,E301-F301,0)</f>
        <v/>
      </c>
      <c r="H301">
        <f>G300*$G$51</f>
        <v/>
      </c>
      <c r="I301">
        <f>IF(K300&gt;0,MAX(0,K300*(1+$G$52)-$H$52),0)</f>
        <v/>
      </c>
      <c r="J301">
        <f>MAX(0,F301-E301)</f>
        <v/>
      </c>
      <c r="K301">
        <f>IF(I301-J301&gt;1E-9,I301-J301,0)</f>
        <v/>
      </c>
      <c r="L301">
        <f>K300*$G$52</f>
        <v/>
      </c>
      <c r="M301">
        <f>IF(O300&gt;0,MAX(0,O300*(1+$G$53)-$H$53),0)</f>
        <v/>
      </c>
      <c r="N301">
        <f>MAX(0,J301-I301)</f>
        <v/>
      </c>
      <c r="O301">
        <f>IF(M301-N301&gt;1E-9,M301-N301,0)</f>
        <v/>
      </c>
      <c r="P301">
        <f>O300*$G$53</f>
        <v/>
      </c>
      <c r="Q301">
        <f>IF(S300&gt;0,MAX(0,S300*(1+$G$54)-$H$54),0)</f>
        <v/>
      </c>
      <c r="R301">
        <f>MAX(0,N301-M301)</f>
        <v/>
      </c>
      <c r="S301">
        <f>IF(Q301-R301&gt;1E-9,Q301-R301,0)</f>
        <v/>
      </c>
      <c r="T301">
        <f>S300*$G$54</f>
        <v/>
      </c>
      <c r="U301">
        <f>IF(W300&gt;0,MAX(0,W300*(1+$G$55)-$H$55),0)</f>
        <v/>
      </c>
      <c r="V301">
        <f>MAX(0,R301-Q301)</f>
        <v/>
      </c>
      <c r="W301">
        <f>IF(U301-V301&gt;1E-9,U301-V301,0)</f>
        <v/>
      </c>
      <c r="X301">
        <f>W300*$G$55</f>
        <v/>
      </c>
      <c r="Y301">
        <f>IF(Y300&gt;1E-9,IF(Y300*(1+$G$51)-MAX($B$9,0.01*Y300+Y300*$G$51)&gt;1E-9,Y300*(1+$G$51)-MAX($B$9,0.01*Y300+Y300*$G$51),0),0)</f>
        <v/>
      </c>
      <c r="Z301">
        <f>Y300*$G$51</f>
        <v/>
      </c>
      <c r="AA301">
        <f>IF(AA300&gt;1E-9,IF(AA300*(1+$G$52)-MAX($B$9,0.01*AA300+AA300*$G$52)&gt;1E-9,AA300*(1+$G$52)-MAX($B$9,0.01*AA300+AA300*$G$52),0),0)</f>
        <v/>
      </c>
      <c r="AB301">
        <f>AA300*$G$52</f>
        <v/>
      </c>
      <c r="AC301">
        <f>IF(AC300&gt;1E-9,IF(AC300*(1+$G$53)-MAX($B$9,0.01*AC300+AC300*$G$53)&gt;1E-9,AC300*(1+$G$53)-MAX($B$9,0.01*AC300+AC300*$G$53),0),0)</f>
        <v/>
      </c>
      <c r="AD301">
        <f>AC300*$G$53</f>
        <v/>
      </c>
      <c r="AE301">
        <f>IF(AE300&gt;1E-9,IF(AE300*(1+$G$54)-MAX($B$9,0.01*AE300+AE300*$G$54)&gt;1E-9,AE300*(1+$G$54)-MAX($B$9,0.01*AE300+AE300*$G$54),0),0)</f>
        <v/>
      </c>
      <c r="AF301">
        <f>AE300*$G$54</f>
        <v/>
      </c>
      <c r="AG301">
        <f>IF(AG300&gt;1E-9,IF(AG300*(1+$G$55)-MAX($B$9,0.01*AG300+AG300*$G$55)&gt;1E-9,AG300*(1+$G$55)-MAX($B$9,0.01*AG300+AG300*$G$55),0),0)</f>
        <v/>
      </c>
      <c r="AH301">
        <f>AG300*$G$55</f>
        <v/>
      </c>
      <c r="AI301">
        <f>G301+K301+O301+S301+W301</f>
        <v/>
      </c>
      <c r="AJ301">
        <f>AI300+AK301-AI301</f>
        <v/>
      </c>
      <c r="AK301">
        <f>H301+L301+P301+T301+X301</f>
        <v/>
      </c>
      <c r="AL301">
        <f>TEXT(EDATE($B$5,D301-1),"mmm yyyy")</f>
        <v/>
      </c>
      <c r="AM301">
        <f>AI301</f>
        <v/>
      </c>
    </row>
    <row r="302">
      <c r="D302" t="n">
        <v>241</v>
      </c>
      <c r="E302">
        <f>IF(G301&gt;0,MAX(0,G301*(1+$G$51)-$H$51),0)</f>
        <v/>
      </c>
      <c r="F302">
        <f>$B$6+IF($D302=$B$8,$B$7,0)</f>
        <v/>
      </c>
      <c r="G302">
        <f>IF(E302-F302&gt;1E-9,E302-F302,0)</f>
        <v/>
      </c>
      <c r="H302">
        <f>G301*$G$51</f>
        <v/>
      </c>
      <c r="I302">
        <f>IF(K301&gt;0,MAX(0,K301*(1+$G$52)-$H$52),0)</f>
        <v/>
      </c>
      <c r="J302">
        <f>MAX(0,F302-E302)</f>
        <v/>
      </c>
      <c r="K302">
        <f>IF(I302-J302&gt;1E-9,I302-J302,0)</f>
        <v/>
      </c>
      <c r="L302">
        <f>K301*$G$52</f>
        <v/>
      </c>
      <c r="M302">
        <f>IF(O301&gt;0,MAX(0,O301*(1+$G$53)-$H$53),0)</f>
        <v/>
      </c>
      <c r="N302">
        <f>MAX(0,J302-I302)</f>
        <v/>
      </c>
      <c r="O302">
        <f>IF(M302-N302&gt;1E-9,M302-N302,0)</f>
        <v/>
      </c>
      <c r="P302">
        <f>O301*$G$53</f>
        <v/>
      </c>
      <c r="Q302">
        <f>IF(S301&gt;0,MAX(0,S301*(1+$G$54)-$H$54),0)</f>
        <v/>
      </c>
      <c r="R302">
        <f>MAX(0,N302-M302)</f>
        <v/>
      </c>
      <c r="S302">
        <f>IF(Q302-R302&gt;1E-9,Q302-R302,0)</f>
        <v/>
      </c>
      <c r="T302">
        <f>S301*$G$54</f>
        <v/>
      </c>
      <c r="U302">
        <f>IF(W301&gt;0,MAX(0,W301*(1+$G$55)-$H$55),0)</f>
        <v/>
      </c>
      <c r="V302">
        <f>MAX(0,R302-Q302)</f>
        <v/>
      </c>
      <c r="W302">
        <f>IF(U302-V302&gt;1E-9,U302-V302,0)</f>
        <v/>
      </c>
      <c r="X302">
        <f>W301*$G$55</f>
        <v/>
      </c>
      <c r="Y302">
        <f>IF(Y301&gt;1E-9,IF(Y301*(1+$G$51)-MAX($B$9,0.01*Y301+Y301*$G$51)&gt;1E-9,Y301*(1+$G$51)-MAX($B$9,0.01*Y301+Y301*$G$51),0),0)</f>
        <v/>
      </c>
      <c r="Z302">
        <f>Y301*$G$51</f>
        <v/>
      </c>
      <c r="AA302">
        <f>IF(AA301&gt;1E-9,IF(AA301*(1+$G$52)-MAX($B$9,0.01*AA301+AA301*$G$52)&gt;1E-9,AA301*(1+$G$52)-MAX($B$9,0.01*AA301+AA301*$G$52),0),0)</f>
        <v/>
      </c>
      <c r="AB302">
        <f>AA301*$G$52</f>
        <v/>
      </c>
      <c r="AC302">
        <f>IF(AC301&gt;1E-9,IF(AC301*(1+$G$53)-MAX($B$9,0.01*AC301+AC301*$G$53)&gt;1E-9,AC301*(1+$G$53)-MAX($B$9,0.01*AC301+AC301*$G$53),0),0)</f>
        <v/>
      </c>
      <c r="AD302">
        <f>AC301*$G$53</f>
        <v/>
      </c>
      <c r="AE302">
        <f>IF(AE301&gt;1E-9,IF(AE301*(1+$G$54)-MAX($B$9,0.01*AE301+AE301*$G$54)&gt;1E-9,AE301*(1+$G$54)-MAX($B$9,0.01*AE301+AE301*$G$54),0),0)</f>
        <v/>
      </c>
      <c r="AF302">
        <f>AE301*$G$54</f>
        <v/>
      </c>
      <c r="AG302">
        <f>IF(AG301&gt;1E-9,IF(AG301*(1+$G$55)-MAX($B$9,0.01*AG301+AG301*$G$55)&gt;1E-9,AG301*(1+$G$55)-MAX($B$9,0.01*AG301+AG301*$G$55),0),0)</f>
        <v/>
      </c>
      <c r="AH302">
        <f>AG301*$G$55</f>
        <v/>
      </c>
      <c r="AI302">
        <f>G302+K302+O302+S302+W302</f>
        <v/>
      </c>
      <c r="AJ302">
        <f>AI301+AK302-AI302</f>
        <v/>
      </c>
      <c r="AK302">
        <f>H302+L302+P302+T302+X302</f>
        <v/>
      </c>
      <c r="AL302">
        <f>TEXT(EDATE($B$5,D302-1),"mmm yyyy")</f>
        <v/>
      </c>
      <c r="AM302">
        <f>AI302</f>
        <v/>
      </c>
    </row>
    <row r="303">
      <c r="D303" t="n">
        <v>242</v>
      </c>
      <c r="E303">
        <f>IF(G302&gt;0,MAX(0,G302*(1+$G$51)-$H$51),0)</f>
        <v/>
      </c>
      <c r="F303">
        <f>$B$6+IF($D303=$B$8,$B$7,0)</f>
        <v/>
      </c>
      <c r="G303">
        <f>IF(E303-F303&gt;1E-9,E303-F303,0)</f>
        <v/>
      </c>
      <c r="H303">
        <f>G302*$G$51</f>
        <v/>
      </c>
      <c r="I303">
        <f>IF(K302&gt;0,MAX(0,K302*(1+$G$52)-$H$52),0)</f>
        <v/>
      </c>
      <c r="J303">
        <f>MAX(0,F303-E303)</f>
        <v/>
      </c>
      <c r="K303">
        <f>IF(I303-J303&gt;1E-9,I303-J303,0)</f>
        <v/>
      </c>
      <c r="L303">
        <f>K302*$G$52</f>
        <v/>
      </c>
      <c r="M303">
        <f>IF(O302&gt;0,MAX(0,O302*(1+$G$53)-$H$53),0)</f>
        <v/>
      </c>
      <c r="N303">
        <f>MAX(0,J303-I303)</f>
        <v/>
      </c>
      <c r="O303">
        <f>IF(M303-N303&gt;1E-9,M303-N303,0)</f>
        <v/>
      </c>
      <c r="P303">
        <f>O302*$G$53</f>
        <v/>
      </c>
      <c r="Q303">
        <f>IF(S302&gt;0,MAX(0,S302*(1+$G$54)-$H$54),0)</f>
        <v/>
      </c>
      <c r="R303">
        <f>MAX(0,N303-M303)</f>
        <v/>
      </c>
      <c r="S303">
        <f>IF(Q303-R303&gt;1E-9,Q303-R303,0)</f>
        <v/>
      </c>
      <c r="T303">
        <f>S302*$G$54</f>
        <v/>
      </c>
      <c r="U303">
        <f>IF(W302&gt;0,MAX(0,W302*(1+$G$55)-$H$55),0)</f>
        <v/>
      </c>
      <c r="V303">
        <f>MAX(0,R303-Q303)</f>
        <v/>
      </c>
      <c r="W303">
        <f>IF(U303-V303&gt;1E-9,U303-V303,0)</f>
        <v/>
      </c>
      <c r="X303">
        <f>W302*$G$55</f>
        <v/>
      </c>
      <c r="Y303">
        <f>IF(Y302&gt;1E-9,IF(Y302*(1+$G$51)-MAX($B$9,0.01*Y302+Y302*$G$51)&gt;1E-9,Y302*(1+$G$51)-MAX($B$9,0.01*Y302+Y302*$G$51),0),0)</f>
        <v/>
      </c>
      <c r="Z303">
        <f>Y302*$G$51</f>
        <v/>
      </c>
      <c r="AA303">
        <f>IF(AA302&gt;1E-9,IF(AA302*(1+$G$52)-MAX($B$9,0.01*AA302+AA302*$G$52)&gt;1E-9,AA302*(1+$G$52)-MAX($B$9,0.01*AA302+AA302*$G$52),0),0)</f>
        <v/>
      </c>
      <c r="AB303">
        <f>AA302*$G$52</f>
        <v/>
      </c>
      <c r="AC303">
        <f>IF(AC302&gt;1E-9,IF(AC302*(1+$G$53)-MAX($B$9,0.01*AC302+AC302*$G$53)&gt;1E-9,AC302*(1+$G$53)-MAX($B$9,0.01*AC302+AC302*$G$53),0),0)</f>
        <v/>
      </c>
      <c r="AD303">
        <f>AC302*$G$53</f>
        <v/>
      </c>
      <c r="AE303">
        <f>IF(AE302&gt;1E-9,IF(AE302*(1+$G$54)-MAX($B$9,0.01*AE302+AE302*$G$54)&gt;1E-9,AE302*(1+$G$54)-MAX($B$9,0.01*AE302+AE302*$G$54),0),0)</f>
        <v/>
      </c>
      <c r="AF303">
        <f>AE302*$G$54</f>
        <v/>
      </c>
      <c r="AG303">
        <f>IF(AG302&gt;1E-9,IF(AG302*(1+$G$55)-MAX($B$9,0.01*AG302+AG302*$G$55)&gt;1E-9,AG302*(1+$G$55)-MAX($B$9,0.01*AG302+AG302*$G$55),0),0)</f>
        <v/>
      </c>
      <c r="AH303">
        <f>AG302*$G$55</f>
        <v/>
      </c>
      <c r="AI303">
        <f>G303+K303+O303+S303+W303</f>
        <v/>
      </c>
      <c r="AJ303">
        <f>AI302+AK303-AI303</f>
        <v/>
      </c>
      <c r="AK303">
        <f>H303+L303+P303+T303+X303</f>
        <v/>
      </c>
      <c r="AL303">
        <f>TEXT(EDATE($B$5,D303-1),"mmm yyyy")</f>
        <v/>
      </c>
      <c r="AM303">
        <f>AI303</f>
        <v/>
      </c>
    </row>
    <row r="304">
      <c r="D304" t="n">
        <v>243</v>
      </c>
      <c r="E304">
        <f>IF(G303&gt;0,MAX(0,G303*(1+$G$51)-$H$51),0)</f>
        <v/>
      </c>
      <c r="F304">
        <f>$B$6+IF($D304=$B$8,$B$7,0)</f>
        <v/>
      </c>
      <c r="G304">
        <f>IF(E304-F304&gt;1E-9,E304-F304,0)</f>
        <v/>
      </c>
      <c r="H304">
        <f>G303*$G$51</f>
        <v/>
      </c>
      <c r="I304">
        <f>IF(K303&gt;0,MAX(0,K303*(1+$G$52)-$H$52),0)</f>
        <v/>
      </c>
      <c r="J304">
        <f>MAX(0,F304-E304)</f>
        <v/>
      </c>
      <c r="K304">
        <f>IF(I304-J304&gt;1E-9,I304-J304,0)</f>
        <v/>
      </c>
      <c r="L304">
        <f>K303*$G$52</f>
        <v/>
      </c>
      <c r="M304">
        <f>IF(O303&gt;0,MAX(0,O303*(1+$G$53)-$H$53),0)</f>
        <v/>
      </c>
      <c r="N304">
        <f>MAX(0,J304-I304)</f>
        <v/>
      </c>
      <c r="O304">
        <f>IF(M304-N304&gt;1E-9,M304-N304,0)</f>
        <v/>
      </c>
      <c r="P304">
        <f>O303*$G$53</f>
        <v/>
      </c>
      <c r="Q304">
        <f>IF(S303&gt;0,MAX(0,S303*(1+$G$54)-$H$54),0)</f>
        <v/>
      </c>
      <c r="R304">
        <f>MAX(0,N304-M304)</f>
        <v/>
      </c>
      <c r="S304">
        <f>IF(Q304-R304&gt;1E-9,Q304-R304,0)</f>
        <v/>
      </c>
      <c r="T304">
        <f>S303*$G$54</f>
        <v/>
      </c>
      <c r="U304">
        <f>IF(W303&gt;0,MAX(0,W303*(1+$G$55)-$H$55),0)</f>
        <v/>
      </c>
      <c r="V304">
        <f>MAX(0,R304-Q304)</f>
        <v/>
      </c>
      <c r="W304">
        <f>IF(U304-V304&gt;1E-9,U304-V304,0)</f>
        <v/>
      </c>
      <c r="X304">
        <f>W303*$G$55</f>
        <v/>
      </c>
      <c r="Y304">
        <f>IF(Y303&gt;1E-9,IF(Y303*(1+$G$51)-MAX($B$9,0.01*Y303+Y303*$G$51)&gt;1E-9,Y303*(1+$G$51)-MAX($B$9,0.01*Y303+Y303*$G$51),0),0)</f>
        <v/>
      </c>
      <c r="Z304">
        <f>Y303*$G$51</f>
        <v/>
      </c>
      <c r="AA304">
        <f>IF(AA303&gt;1E-9,IF(AA303*(1+$G$52)-MAX($B$9,0.01*AA303+AA303*$G$52)&gt;1E-9,AA303*(1+$G$52)-MAX($B$9,0.01*AA303+AA303*$G$52),0),0)</f>
        <v/>
      </c>
      <c r="AB304">
        <f>AA303*$G$52</f>
        <v/>
      </c>
      <c r="AC304">
        <f>IF(AC303&gt;1E-9,IF(AC303*(1+$G$53)-MAX($B$9,0.01*AC303+AC303*$G$53)&gt;1E-9,AC303*(1+$G$53)-MAX($B$9,0.01*AC303+AC303*$G$53),0),0)</f>
        <v/>
      </c>
      <c r="AD304">
        <f>AC303*$G$53</f>
        <v/>
      </c>
      <c r="AE304">
        <f>IF(AE303&gt;1E-9,IF(AE303*(1+$G$54)-MAX($B$9,0.01*AE303+AE303*$G$54)&gt;1E-9,AE303*(1+$G$54)-MAX($B$9,0.01*AE303+AE303*$G$54),0),0)</f>
        <v/>
      </c>
      <c r="AF304">
        <f>AE303*$G$54</f>
        <v/>
      </c>
      <c r="AG304">
        <f>IF(AG303&gt;1E-9,IF(AG303*(1+$G$55)-MAX($B$9,0.01*AG303+AG303*$G$55)&gt;1E-9,AG303*(1+$G$55)-MAX($B$9,0.01*AG303+AG303*$G$55),0),0)</f>
        <v/>
      </c>
      <c r="AH304">
        <f>AG303*$G$55</f>
        <v/>
      </c>
      <c r="AI304">
        <f>G304+K304+O304+S304+W304</f>
        <v/>
      </c>
      <c r="AJ304">
        <f>AI303+AK304-AI304</f>
        <v/>
      </c>
      <c r="AK304">
        <f>H304+L304+P304+T304+X304</f>
        <v/>
      </c>
      <c r="AL304">
        <f>TEXT(EDATE($B$5,D304-1),"mmm yyyy")</f>
        <v/>
      </c>
      <c r="AM304">
        <f>AI304</f>
        <v/>
      </c>
    </row>
    <row r="305">
      <c r="D305" t="n">
        <v>244</v>
      </c>
      <c r="E305">
        <f>IF(G304&gt;0,MAX(0,G304*(1+$G$51)-$H$51),0)</f>
        <v/>
      </c>
      <c r="F305">
        <f>$B$6+IF($D305=$B$8,$B$7,0)</f>
        <v/>
      </c>
      <c r="G305">
        <f>IF(E305-F305&gt;1E-9,E305-F305,0)</f>
        <v/>
      </c>
      <c r="H305">
        <f>G304*$G$51</f>
        <v/>
      </c>
      <c r="I305">
        <f>IF(K304&gt;0,MAX(0,K304*(1+$G$52)-$H$52),0)</f>
        <v/>
      </c>
      <c r="J305">
        <f>MAX(0,F305-E305)</f>
        <v/>
      </c>
      <c r="K305">
        <f>IF(I305-J305&gt;1E-9,I305-J305,0)</f>
        <v/>
      </c>
      <c r="L305">
        <f>K304*$G$52</f>
        <v/>
      </c>
      <c r="M305">
        <f>IF(O304&gt;0,MAX(0,O304*(1+$G$53)-$H$53),0)</f>
        <v/>
      </c>
      <c r="N305">
        <f>MAX(0,J305-I305)</f>
        <v/>
      </c>
      <c r="O305">
        <f>IF(M305-N305&gt;1E-9,M305-N305,0)</f>
        <v/>
      </c>
      <c r="P305">
        <f>O304*$G$53</f>
        <v/>
      </c>
      <c r="Q305">
        <f>IF(S304&gt;0,MAX(0,S304*(1+$G$54)-$H$54),0)</f>
        <v/>
      </c>
      <c r="R305">
        <f>MAX(0,N305-M305)</f>
        <v/>
      </c>
      <c r="S305">
        <f>IF(Q305-R305&gt;1E-9,Q305-R305,0)</f>
        <v/>
      </c>
      <c r="T305">
        <f>S304*$G$54</f>
        <v/>
      </c>
      <c r="U305">
        <f>IF(W304&gt;0,MAX(0,W304*(1+$G$55)-$H$55),0)</f>
        <v/>
      </c>
      <c r="V305">
        <f>MAX(0,R305-Q305)</f>
        <v/>
      </c>
      <c r="W305">
        <f>IF(U305-V305&gt;1E-9,U305-V305,0)</f>
        <v/>
      </c>
      <c r="X305">
        <f>W304*$G$55</f>
        <v/>
      </c>
      <c r="Y305">
        <f>IF(Y304&gt;1E-9,IF(Y304*(1+$G$51)-MAX($B$9,0.01*Y304+Y304*$G$51)&gt;1E-9,Y304*(1+$G$51)-MAX($B$9,0.01*Y304+Y304*$G$51),0),0)</f>
        <v/>
      </c>
      <c r="Z305">
        <f>Y304*$G$51</f>
        <v/>
      </c>
      <c r="AA305">
        <f>IF(AA304&gt;1E-9,IF(AA304*(1+$G$52)-MAX($B$9,0.01*AA304+AA304*$G$52)&gt;1E-9,AA304*(1+$G$52)-MAX($B$9,0.01*AA304+AA304*$G$52),0),0)</f>
        <v/>
      </c>
      <c r="AB305">
        <f>AA304*$G$52</f>
        <v/>
      </c>
      <c r="AC305">
        <f>IF(AC304&gt;1E-9,IF(AC304*(1+$G$53)-MAX($B$9,0.01*AC304+AC304*$G$53)&gt;1E-9,AC304*(1+$G$53)-MAX($B$9,0.01*AC304+AC304*$G$53),0),0)</f>
        <v/>
      </c>
      <c r="AD305">
        <f>AC304*$G$53</f>
        <v/>
      </c>
      <c r="AE305">
        <f>IF(AE304&gt;1E-9,IF(AE304*(1+$G$54)-MAX($B$9,0.01*AE304+AE304*$G$54)&gt;1E-9,AE304*(1+$G$54)-MAX($B$9,0.01*AE304+AE304*$G$54),0),0)</f>
        <v/>
      </c>
      <c r="AF305">
        <f>AE304*$G$54</f>
        <v/>
      </c>
      <c r="AG305">
        <f>IF(AG304&gt;1E-9,IF(AG304*(1+$G$55)-MAX($B$9,0.01*AG304+AG304*$G$55)&gt;1E-9,AG304*(1+$G$55)-MAX($B$9,0.01*AG304+AG304*$G$55),0),0)</f>
        <v/>
      </c>
      <c r="AH305">
        <f>AG304*$G$55</f>
        <v/>
      </c>
      <c r="AI305">
        <f>G305+K305+O305+S305+W305</f>
        <v/>
      </c>
      <c r="AJ305">
        <f>AI304+AK305-AI305</f>
        <v/>
      </c>
      <c r="AK305">
        <f>H305+L305+P305+T305+X305</f>
        <v/>
      </c>
      <c r="AL305">
        <f>TEXT(EDATE($B$5,D305-1),"mmm yyyy")</f>
        <v/>
      </c>
      <c r="AM305">
        <f>AI305</f>
        <v/>
      </c>
    </row>
    <row r="306">
      <c r="D306" t="n">
        <v>245</v>
      </c>
      <c r="E306">
        <f>IF(G305&gt;0,MAX(0,G305*(1+$G$51)-$H$51),0)</f>
        <v/>
      </c>
      <c r="F306">
        <f>$B$6+IF($D306=$B$8,$B$7,0)</f>
        <v/>
      </c>
      <c r="G306">
        <f>IF(E306-F306&gt;1E-9,E306-F306,0)</f>
        <v/>
      </c>
      <c r="H306">
        <f>G305*$G$51</f>
        <v/>
      </c>
      <c r="I306">
        <f>IF(K305&gt;0,MAX(0,K305*(1+$G$52)-$H$52),0)</f>
        <v/>
      </c>
      <c r="J306">
        <f>MAX(0,F306-E306)</f>
        <v/>
      </c>
      <c r="K306">
        <f>IF(I306-J306&gt;1E-9,I306-J306,0)</f>
        <v/>
      </c>
      <c r="L306">
        <f>K305*$G$52</f>
        <v/>
      </c>
      <c r="M306">
        <f>IF(O305&gt;0,MAX(0,O305*(1+$G$53)-$H$53),0)</f>
        <v/>
      </c>
      <c r="N306">
        <f>MAX(0,J306-I306)</f>
        <v/>
      </c>
      <c r="O306">
        <f>IF(M306-N306&gt;1E-9,M306-N306,0)</f>
        <v/>
      </c>
      <c r="P306">
        <f>O305*$G$53</f>
        <v/>
      </c>
      <c r="Q306">
        <f>IF(S305&gt;0,MAX(0,S305*(1+$G$54)-$H$54),0)</f>
        <v/>
      </c>
      <c r="R306">
        <f>MAX(0,N306-M306)</f>
        <v/>
      </c>
      <c r="S306">
        <f>IF(Q306-R306&gt;1E-9,Q306-R306,0)</f>
        <v/>
      </c>
      <c r="T306">
        <f>S305*$G$54</f>
        <v/>
      </c>
      <c r="U306">
        <f>IF(W305&gt;0,MAX(0,W305*(1+$G$55)-$H$55),0)</f>
        <v/>
      </c>
      <c r="V306">
        <f>MAX(0,R306-Q306)</f>
        <v/>
      </c>
      <c r="W306">
        <f>IF(U306-V306&gt;1E-9,U306-V306,0)</f>
        <v/>
      </c>
      <c r="X306">
        <f>W305*$G$55</f>
        <v/>
      </c>
      <c r="Y306">
        <f>IF(Y305&gt;1E-9,IF(Y305*(1+$G$51)-MAX($B$9,0.01*Y305+Y305*$G$51)&gt;1E-9,Y305*(1+$G$51)-MAX($B$9,0.01*Y305+Y305*$G$51),0),0)</f>
        <v/>
      </c>
      <c r="Z306">
        <f>Y305*$G$51</f>
        <v/>
      </c>
      <c r="AA306">
        <f>IF(AA305&gt;1E-9,IF(AA305*(1+$G$52)-MAX($B$9,0.01*AA305+AA305*$G$52)&gt;1E-9,AA305*(1+$G$52)-MAX($B$9,0.01*AA305+AA305*$G$52),0),0)</f>
        <v/>
      </c>
      <c r="AB306">
        <f>AA305*$G$52</f>
        <v/>
      </c>
      <c r="AC306">
        <f>IF(AC305&gt;1E-9,IF(AC305*(1+$G$53)-MAX($B$9,0.01*AC305+AC305*$G$53)&gt;1E-9,AC305*(1+$G$53)-MAX($B$9,0.01*AC305+AC305*$G$53),0),0)</f>
        <v/>
      </c>
      <c r="AD306">
        <f>AC305*$G$53</f>
        <v/>
      </c>
      <c r="AE306">
        <f>IF(AE305&gt;1E-9,IF(AE305*(1+$G$54)-MAX($B$9,0.01*AE305+AE305*$G$54)&gt;1E-9,AE305*(1+$G$54)-MAX($B$9,0.01*AE305+AE305*$G$54),0),0)</f>
        <v/>
      </c>
      <c r="AF306">
        <f>AE305*$G$54</f>
        <v/>
      </c>
      <c r="AG306">
        <f>IF(AG305&gt;1E-9,IF(AG305*(1+$G$55)-MAX($B$9,0.01*AG305+AG305*$G$55)&gt;1E-9,AG305*(1+$G$55)-MAX($B$9,0.01*AG305+AG305*$G$55),0),0)</f>
        <v/>
      </c>
      <c r="AH306">
        <f>AG305*$G$55</f>
        <v/>
      </c>
      <c r="AI306">
        <f>G306+K306+O306+S306+W306</f>
        <v/>
      </c>
      <c r="AJ306">
        <f>AI305+AK306-AI306</f>
        <v/>
      </c>
      <c r="AK306">
        <f>H306+L306+P306+T306+X306</f>
        <v/>
      </c>
      <c r="AL306">
        <f>TEXT(EDATE($B$5,D306-1),"mmm yyyy")</f>
        <v/>
      </c>
      <c r="AM306">
        <f>AI306</f>
        <v/>
      </c>
    </row>
    <row r="307">
      <c r="D307" t="n">
        <v>246</v>
      </c>
      <c r="E307">
        <f>IF(G306&gt;0,MAX(0,G306*(1+$G$51)-$H$51),0)</f>
        <v/>
      </c>
      <c r="F307">
        <f>$B$6+IF($D307=$B$8,$B$7,0)</f>
        <v/>
      </c>
      <c r="G307">
        <f>IF(E307-F307&gt;1E-9,E307-F307,0)</f>
        <v/>
      </c>
      <c r="H307">
        <f>G306*$G$51</f>
        <v/>
      </c>
      <c r="I307">
        <f>IF(K306&gt;0,MAX(0,K306*(1+$G$52)-$H$52),0)</f>
        <v/>
      </c>
      <c r="J307">
        <f>MAX(0,F307-E307)</f>
        <v/>
      </c>
      <c r="K307">
        <f>IF(I307-J307&gt;1E-9,I307-J307,0)</f>
        <v/>
      </c>
      <c r="L307">
        <f>K306*$G$52</f>
        <v/>
      </c>
      <c r="M307">
        <f>IF(O306&gt;0,MAX(0,O306*(1+$G$53)-$H$53),0)</f>
        <v/>
      </c>
      <c r="N307">
        <f>MAX(0,J307-I307)</f>
        <v/>
      </c>
      <c r="O307">
        <f>IF(M307-N307&gt;1E-9,M307-N307,0)</f>
        <v/>
      </c>
      <c r="P307">
        <f>O306*$G$53</f>
        <v/>
      </c>
      <c r="Q307">
        <f>IF(S306&gt;0,MAX(0,S306*(1+$G$54)-$H$54),0)</f>
        <v/>
      </c>
      <c r="R307">
        <f>MAX(0,N307-M307)</f>
        <v/>
      </c>
      <c r="S307">
        <f>IF(Q307-R307&gt;1E-9,Q307-R307,0)</f>
        <v/>
      </c>
      <c r="T307">
        <f>S306*$G$54</f>
        <v/>
      </c>
      <c r="U307">
        <f>IF(W306&gt;0,MAX(0,W306*(1+$G$55)-$H$55),0)</f>
        <v/>
      </c>
      <c r="V307">
        <f>MAX(0,R307-Q307)</f>
        <v/>
      </c>
      <c r="W307">
        <f>IF(U307-V307&gt;1E-9,U307-V307,0)</f>
        <v/>
      </c>
      <c r="X307">
        <f>W306*$G$55</f>
        <v/>
      </c>
      <c r="Y307">
        <f>IF(Y306&gt;1E-9,IF(Y306*(1+$G$51)-MAX($B$9,0.01*Y306+Y306*$G$51)&gt;1E-9,Y306*(1+$G$51)-MAX($B$9,0.01*Y306+Y306*$G$51),0),0)</f>
        <v/>
      </c>
      <c r="Z307">
        <f>Y306*$G$51</f>
        <v/>
      </c>
      <c r="AA307">
        <f>IF(AA306&gt;1E-9,IF(AA306*(1+$G$52)-MAX($B$9,0.01*AA306+AA306*$G$52)&gt;1E-9,AA306*(1+$G$52)-MAX($B$9,0.01*AA306+AA306*$G$52),0),0)</f>
        <v/>
      </c>
      <c r="AB307">
        <f>AA306*$G$52</f>
        <v/>
      </c>
      <c r="AC307">
        <f>IF(AC306&gt;1E-9,IF(AC306*(1+$G$53)-MAX($B$9,0.01*AC306+AC306*$G$53)&gt;1E-9,AC306*(1+$G$53)-MAX($B$9,0.01*AC306+AC306*$G$53),0),0)</f>
        <v/>
      </c>
      <c r="AD307">
        <f>AC306*$G$53</f>
        <v/>
      </c>
      <c r="AE307">
        <f>IF(AE306&gt;1E-9,IF(AE306*(1+$G$54)-MAX($B$9,0.01*AE306+AE306*$G$54)&gt;1E-9,AE306*(1+$G$54)-MAX($B$9,0.01*AE306+AE306*$G$54),0),0)</f>
        <v/>
      </c>
      <c r="AF307">
        <f>AE306*$G$54</f>
        <v/>
      </c>
      <c r="AG307">
        <f>IF(AG306&gt;1E-9,IF(AG306*(1+$G$55)-MAX($B$9,0.01*AG306+AG306*$G$55)&gt;1E-9,AG306*(1+$G$55)-MAX($B$9,0.01*AG306+AG306*$G$55),0),0)</f>
        <v/>
      </c>
      <c r="AH307">
        <f>AG306*$G$55</f>
        <v/>
      </c>
      <c r="AI307">
        <f>G307+K307+O307+S307+W307</f>
        <v/>
      </c>
      <c r="AJ307">
        <f>AI306+AK307-AI307</f>
        <v/>
      </c>
      <c r="AK307">
        <f>H307+L307+P307+T307+X307</f>
        <v/>
      </c>
      <c r="AL307">
        <f>TEXT(EDATE($B$5,D307-1),"mmm yyyy")</f>
        <v/>
      </c>
      <c r="AM307">
        <f>AI307</f>
        <v/>
      </c>
    </row>
    <row r="308">
      <c r="D308" t="n">
        <v>247</v>
      </c>
      <c r="E308">
        <f>IF(G307&gt;0,MAX(0,G307*(1+$G$51)-$H$51),0)</f>
        <v/>
      </c>
      <c r="F308">
        <f>$B$6+IF($D308=$B$8,$B$7,0)</f>
        <v/>
      </c>
      <c r="G308">
        <f>IF(E308-F308&gt;1E-9,E308-F308,0)</f>
        <v/>
      </c>
      <c r="H308">
        <f>G307*$G$51</f>
        <v/>
      </c>
      <c r="I308">
        <f>IF(K307&gt;0,MAX(0,K307*(1+$G$52)-$H$52),0)</f>
        <v/>
      </c>
      <c r="J308">
        <f>MAX(0,F308-E308)</f>
        <v/>
      </c>
      <c r="K308">
        <f>IF(I308-J308&gt;1E-9,I308-J308,0)</f>
        <v/>
      </c>
      <c r="L308">
        <f>K307*$G$52</f>
        <v/>
      </c>
      <c r="M308">
        <f>IF(O307&gt;0,MAX(0,O307*(1+$G$53)-$H$53),0)</f>
        <v/>
      </c>
      <c r="N308">
        <f>MAX(0,J308-I308)</f>
        <v/>
      </c>
      <c r="O308">
        <f>IF(M308-N308&gt;1E-9,M308-N308,0)</f>
        <v/>
      </c>
      <c r="P308">
        <f>O307*$G$53</f>
        <v/>
      </c>
      <c r="Q308">
        <f>IF(S307&gt;0,MAX(0,S307*(1+$G$54)-$H$54),0)</f>
        <v/>
      </c>
      <c r="R308">
        <f>MAX(0,N308-M308)</f>
        <v/>
      </c>
      <c r="S308">
        <f>IF(Q308-R308&gt;1E-9,Q308-R308,0)</f>
        <v/>
      </c>
      <c r="T308">
        <f>S307*$G$54</f>
        <v/>
      </c>
      <c r="U308">
        <f>IF(W307&gt;0,MAX(0,W307*(1+$G$55)-$H$55),0)</f>
        <v/>
      </c>
      <c r="V308">
        <f>MAX(0,R308-Q308)</f>
        <v/>
      </c>
      <c r="W308">
        <f>IF(U308-V308&gt;1E-9,U308-V308,0)</f>
        <v/>
      </c>
      <c r="X308">
        <f>W307*$G$55</f>
        <v/>
      </c>
      <c r="Y308">
        <f>IF(Y307&gt;1E-9,IF(Y307*(1+$G$51)-MAX($B$9,0.01*Y307+Y307*$G$51)&gt;1E-9,Y307*(1+$G$51)-MAX($B$9,0.01*Y307+Y307*$G$51),0),0)</f>
        <v/>
      </c>
      <c r="Z308">
        <f>Y307*$G$51</f>
        <v/>
      </c>
      <c r="AA308">
        <f>IF(AA307&gt;1E-9,IF(AA307*(1+$G$52)-MAX($B$9,0.01*AA307+AA307*$G$52)&gt;1E-9,AA307*(1+$G$52)-MAX($B$9,0.01*AA307+AA307*$G$52),0),0)</f>
        <v/>
      </c>
      <c r="AB308">
        <f>AA307*$G$52</f>
        <v/>
      </c>
      <c r="AC308">
        <f>IF(AC307&gt;1E-9,IF(AC307*(1+$G$53)-MAX($B$9,0.01*AC307+AC307*$G$53)&gt;1E-9,AC307*(1+$G$53)-MAX($B$9,0.01*AC307+AC307*$G$53),0),0)</f>
        <v/>
      </c>
      <c r="AD308">
        <f>AC307*$G$53</f>
        <v/>
      </c>
      <c r="AE308">
        <f>IF(AE307&gt;1E-9,IF(AE307*(1+$G$54)-MAX($B$9,0.01*AE307+AE307*$G$54)&gt;1E-9,AE307*(1+$G$54)-MAX($B$9,0.01*AE307+AE307*$G$54),0),0)</f>
        <v/>
      </c>
      <c r="AF308">
        <f>AE307*$G$54</f>
        <v/>
      </c>
      <c r="AG308">
        <f>IF(AG307&gt;1E-9,IF(AG307*(1+$G$55)-MAX($B$9,0.01*AG307+AG307*$G$55)&gt;1E-9,AG307*(1+$G$55)-MAX($B$9,0.01*AG307+AG307*$G$55),0),0)</f>
        <v/>
      </c>
      <c r="AH308">
        <f>AG307*$G$55</f>
        <v/>
      </c>
      <c r="AI308">
        <f>G308+K308+O308+S308+W308</f>
        <v/>
      </c>
      <c r="AJ308">
        <f>AI307+AK308-AI308</f>
        <v/>
      </c>
      <c r="AK308">
        <f>H308+L308+P308+T308+X308</f>
        <v/>
      </c>
      <c r="AL308">
        <f>TEXT(EDATE($B$5,D308-1),"mmm yyyy")</f>
        <v/>
      </c>
      <c r="AM308">
        <f>AI308</f>
        <v/>
      </c>
    </row>
    <row r="309">
      <c r="D309" t="n">
        <v>248</v>
      </c>
      <c r="E309">
        <f>IF(G308&gt;0,MAX(0,G308*(1+$G$51)-$H$51),0)</f>
        <v/>
      </c>
      <c r="F309">
        <f>$B$6+IF($D309=$B$8,$B$7,0)</f>
        <v/>
      </c>
      <c r="G309">
        <f>IF(E309-F309&gt;1E-9,E309-F309,0)</f>
        <v/>
      </c>
      <c r="H309">
        <f>G308*$G$51</f>
        <v/>
      </c>
      <c r="I309">
        <f>IF(K308&gt;0,MAX(0,K308*(1+$G$52)-$H$52),0)</f>
        <v/>
      </c>
      <c r="J309">
        <f>MAX(0,F309-E309)</f>
        <v/>
      </c>
      <c r="K309">
        <f>IF(I309-J309&gt;1E-9,I309-J309,0)</f>
        <v/>
      </c>
      <c r="L309">
        <f>K308*$G$52</f>
        <v/>
      </c>
      <c r="M309">
        <f>IF(O308&gt;0,MAX(0,O308*(1+$G$53)-$H$53),0)</f>
        <v/>
      </c>
      <c r="N309">
        <f>MAX(0,J309-I309)</f>
        <v/>
      </c>
      <c r="O309">
        <f>IF(M309-N309&gt;1E-9,M309-N309,0)</f>
        <v/>
      </c>
      <c r="P309">
        <f>O308*$G$53</f>
        <v/>
      </c>
      <c r="Q309">
        <f>IF(S308&gt;0,MAX(0,S308*(1+$G$54)-$H$54),0)</f>
        <v/>
      </c>
      <c r="R309">
        <f>MAX(0,N309-M309)</f>
        <v/>
      </c>
      <c r="S309">
        <f>IF(Q309-R309&gt;1E-9,Q309-R309,0)</f>
        <v/>
      </c>
      <c r="T309">
        <f>S308*$G$54</f>
        <v/>
      </c>
      <c r="U309">
        <f>IF(W308&gt;0,MAX(0,W308*(1+$G$55)-$H$55),0)</f>
        <v/>
      </c>
      <c r="V309">
        <f>MAX(0,R309-Q309)</f>
        <v/>
      </c>
      <c r="W309">
        <f>IF(U309-V309&gt;1E-9,U309-V309,0)</f>
        <v/>
      </c>
      <c r="X309">
        <f>W308*$G$55</f>
        <v/>
      </c>
      <c r="Y309">
        <f>IF(Y308&gt;1E-9,IF(Y308*(1+$G$51)-MAX($B$9,0.01*Y308+Y308*$G$51)&gt;1E-9,Y308*(1+$G$51)-MAX($B$9,0.01*Y308+Y308*$G$51),0),0)</f>
        <v/>
      </c>
      <c r="Z309">
        <f>Y308*$G$51</f>
        <v/>
      </c>
      <c r="AA309">
        <f>IF(AA308&gt;1E-9,IF(AA308*(1+$G$52)-MAX($B$9,0.01*AA308+AA308*$G$52)&gt;1E-9,AA308*(1+$G$52)-MAX($B$9,0.01*AA308+AA308*$G$52),0),0)</f>
        <v/>
      </c>
      <c r="AB309">
        <f>AA308*$G$52</f>
        <v/>
      </c>
      <c r="AC309">
        <f>IF(AC308&gt;1E-9,IF(AC308*(1+$G$53)-MAX($B$9,0.01*AC308+AC308*$G$53)&gt;1E-9,AC308*(1+$G$53)-MAX($B$9,0.01*AC308+AC308*$G$53),0),0)</f>
        <v/>
      </c>
      <c r="AD309">
        <f>AC308*$G$53</f>
        <v/>
      </c>
      <c r="AE309">
        <f>IF(AE308&gt;1E-9,IF(AE308*(1+$G$54)-MAX($B$9,0.01*AE308+AE308*$G$54)&gt;1E-9,AE308*(1+$G$54)-MAX($B$9,0.01*AE308+AE308*$G$54),0),0)</f>
        <v/>
      </c>
      <c r="AF309">
        <f>AE308*$G$54</f>
        <v/>
      </c>
      <c r="AG309">
        <f>IF(AG308&gt;1E-9,IF(AG308*(1+$G$55)-MAX($B$9,0.01*AG308+AG308*$G$55)&gt;1E-9,AG308*(1+$G$55)-MAX($B$9,0.01*AG308+AG308*$G$55),0),0)</f>
        <v/>
      </c>
      <c r="AH309">
        <f>AG308*$G$55</f>
        <v/>
      </c>
      <c r="AI309">
        <f>G309+K309+O309+S309+W309</f>
        <v/>
      </c>
      <c r="AJ309">
        <f>AI308+AK309-AI309</f>
        <v/>
      </c>
      <c r="AK309">
        <f>H309+L309+P309+T309+X309</f>
        <v/>
      </c>
      <c r="AL309">
        <f>TEXT(EDATE($B$5,D309-1),"mmm yyyy")</f>
        <v/>
      </c>
      <c r="AM309">
        <f>AI309</f>
        <v/>
      </c>
    </row>
    <row r="310">
      <c r="D310" t="n">
        <v>249</v>
      </c>
      <c r="E310">
        <f>IF(G309&gt;0,MAX(0,G309*(1+$G$51)-$H$51),0)</f>
        <v/>
      </c>
      <c r="F310">
        <f>$B$6+IF($D310=$B$8,$B$7,0)</f>
        <v/>
      </c>
      <c r="G310">
        <f>IF(E310-F310&gt;1E-9,E310-F310,0)</f>
        <v/>
      </c>
      <c r="H310">
        <f>G309*$G$51</f>
        <v/>
      </c>
      <c r="I310">
        <f>IF(K309&gt;0,MAX(0,K309*(1+$G$52)-$H$52),0)</f>
        <v/>
      </c>
      <c r="J310">
        <f>MAX(0,F310-E310)</f>
        <v/>
      </c>
      <c r="K310">
        <f>IF(I310-J310&gt;1E-9,I310-J310,0)</f>
        <v/>
      </c>
      <c r="L310">
        <f>K309*$G$52</f>
        <v/>
      </c>
      <c r="M310">
        <f>IF(O309&gt;0,MAX(0,O309*(1+$G$53)-$H$53),0)</f>
        <v/>
      </c>
      <c r="N310">
        <f>MAX(0,J310-I310)</f>
        <v/>
      </c>
      <c r="O310">
        <f>IF(M310-N310&gt;1E-9,M310-N310,0)</f>
        <v/>
      </c>
      <c r="P310">
        <f>O309*$G$53</f>
        <v/>
      </c>
      <c r="Q310">
        <f>IF(S309&gt;0,MAX(0,S309*(1+$G$54)-$H$54),0)</f>
        <v/>
      </c>
      <c r="R310">
        <f>MAX(0,N310-M310)</f>
        <v/>
      </c>
      <c r="S310">
        <f>IF(Q310-R310&gt;1E-9,Q310-R310,0)</f>
        <v/>
      </c>
      <c r="T310">
        <f>S309*$G$54</f>
        <v/>
      </c>
      <c r="U310">
        <f>IF(W309&gt;0,MAX(0,W309*(1+$G$55)-$H$55),0)</f>
        <v/>
      </c>
      <c r="V310">
        <f>MAX(0,R310-Q310)</f>
        <v/>
      </c>
      <c r="W310">
        <f>IF(U310-V310&gt;1E-9,U310-V310,0)</f>
        <v/>
      </c>
      <c r="X310">
        <f>W309*$G$55</f>
        <v/>
      </c>
      <c r="Y310">
        <f>IF(Y309&gt;1E-9,IF(Y309*(1+$G$51)-MAX($B$9,0.01*Y309+Y309*$G$51)&gt;1E-9,Y309*(1+$G$51)-MAX($B$9,0.01*Y309+Y309*$G$51),0),0)</f>
        <v/>
      </c>
      <c r="Z310">
        <f>Y309*$G$51</f>
        <v/>
      </c>
      <c r="AA310">
        <f>IF(AA309&gt;1E-9,IF(AA309*(1+$G$52)-MAX($B$9,0.01*AA309+AA309*$G$52)&gt;1E-9,AA309*(1+$G$52)-MAX($B$9,0.01*AA309+AA309*$G$52),0),0)</f>
        <v/>
      </c>
      <c r="AB310">
        <f>AA309*$G$52</f>
        <v/>
      </c>
      <c r="AC310">
        <f>IF(AC309&gt;1E-9,IF(AC309*(1+$G$53)-MAX($B$9,0.01*AC309+AC309*$G$53)&gt;1E-9,AC309*(1+$G$53)-MAX($B$9,0.01*AC309+AC309*$G$53),0),0)</f>
        <v/>
      </c>
      <c r="AD310">
        <f>AC309*$G$53</f>
        <v/>
      </c>
      <c r="AE310">
        <f>IF(AE309&gt;1E-9,IF(AE309*(1+$G$54)-MAX($B$9,0.01*AE309+AE309*$G$54)&gt;1E-9,AE309*(1+$G$54)-MAX($B$9,0.01*AE309+AE309*$G$54),0),0)</f>
        <v/>
      </c>
      <c r="AF310">
        <f>AE309*$G$54</f>
        <v/>
      </c>
      <c r="AG310">
        <f>IF(AG309&gt;1E-9,IF(AG309*(1+$G$55)-MAX($B$9,0.01*AG309+AG309*$G$55)&gt;1E-9,AG309*(1+$G$55)-MAX($B$9,0.01*AG309+AG309*$G$55),0),0)</f>
        <v/>
      </c>
      <c r="AH310">
        <f>AG309*$G$55</f>
        <v/>
      </c>
      <c r="AI310">
        <f>G310+K310+O310+S310+W310</f>
        <v/>
      </c>
      <c r="AJ310">
        <f>AI309+AK310-AI310</f>
        <v/>
      </c>
      <c r="AK310">
        <f>H310+L310+P310+T310+X310</f>
        <v/>
      </c>
      <c r="AL310">
        <f>TEXT(EDATE($B$5,D310-1),"mmm yyyy")</f>
        <v/>
      </c>
      <c r="AM310">
        <f>AI310</f>
        <v/>
      </c>
    </row>
    <row r="311">
      <c r="D311" t="n">
        <v>250</v>
      </c>
      <c r="E311">
        <f>IF(G310&gt;0,MAX(0,G310*(1+$G$51)-$H$51),0)</f>
        <v/>
      </c>
      <c r="F311">
        <f>$B$6+IF($D311=$B$8,$B$7,0)</f>
        <v/>
      </c>
      <c r="G311">
        <f>IF(E311-F311&gt;1E-9,E311-F311,0)</f>
        <v/>
      </c>
      <c r="H311">
        <f>G310*$G$51</f>
        <v/>
      </c>
      <c r="I311">
        <f>IF(K310&gt;0,MAX(0,K310*(1+$G$52)-$H$52),0)</f>
        <v/>
      </c>
      <c r="J311">
        <f>MAX(0,F311-E311)</f>
        <v/>
      </c>
      <c r="K311">
        <f>IF(I311-J311&gt;1E-9,I311-J311,0)</f>
        <v/>
      </c>
      <c r="L311">
        <f>K310*$G$52</f>
        <v/>
      </c>
      <c r="M311">
        <f>IF(O310&gt;0,MAX(0,O310*(1+$G$53)-$H$53),0)</f>
        <v/>
      </c>
      <c r="N311">
        <f>MAX(0,J311-I311)</f>
        <v/>
      </c>
      <c r="O311">
        <f>IF(M311-N311&gt;1E-9,M311-N311,0)</f>
        <v/>
      </c>
      <c r="P311">
        <f>O310*$G$53</f>
        <v/>
      </c>
      <c r="Q311">
        <f>IF(S310&gt;0,MAX(0,S310*(1+$G$54)-$H$54),0)</f>
        <v/>
      </c>
      <c r="R311">
        <f>MAX(0,N311-M311)</f>
        <v/>
      </c>
      <c r="S311">
        <f>IF(Q311-R311&gt;1E-9,Q311-R311,0)</f>
        <v/>
      </c>
      <c r="T311">
        <f>S310*$G$54</f>
        <v/>
      </c>
      <c r="U311">
        <f>IF(W310&gt;0,MAX(0,W310*(1+$G$55)-$H$55),0)</f>
        <v/>
      </c>
      <c r="V311">
        <f>MAX(0,R311-Q311)</f>
        <v/>
      </c>
      <c r="W311">
        <f>IF(U311-V311&gt;1E-9,U311-V311,0)</f>
        <v/>
      </c>
      <c r="X311">
        <f>W310*$G$55</f>
        <v/>
      </c>
      <c r="Y311">
        <f>IF(Y310&gt;1E-9,IF(Y310*(1+$G$51)-MAX($B$9,0.01*Y310+Y310*$G$51)&gt;1E-9,Y310*(1+$G$51)-MAX($B$9,0.01*Y310+Y310*$G$51),0),0)</f>
        <v/>
      </c>
      <c r="Z311">
        <f>Y310*$G$51</f>
        <v/>
      </c>
      <c r="AA311">
        <f>IF(AA310&gt;1E-9,IF(AA310*(1+$G$52)-MAX($B$9,0.01*AA310+AA310*$G$52)&gt;1E-9,AA310*(1+$G$52)-MAX($B$9,0.01*AA310+AA310*$G$52),0),0)</f>
        <v/>
      </c>
      <c r="AB311">
        <f>AA310*$G$52</f>
        <v/>
      </c>
      <c r="AC311">
        <f>IF(AC310&gt;1E-9,IF(AC310*(1+$G$53)-MAX($B$9,0.01*AC310+AC310*$G$53)&gt;1E-9,AC310*(1+$G$53)-MAX($B$9,0.01*AC310+AC310*$G$53),0),0)</f>
        <v/>
      </c>
      <c r="AD311">
        <f>AC310*$G$53</f>
        <v/>
      </c>
      <c r="AE311">
        <f>IF(AE310&gt;1E-9,IF(AE310*(1+$G$54)-MAX($B$9,0.01*AE310+AE310*$G$54)&gt;1E-9,AE310*(1+$G$54)-MAX($B$9,0.01*AE310+AE310*$G$54),0),0)</f>
        <v/>
      </c>
      <c r="AF311">
        <f>AE310*$G$54</f>
        <v/>
      </c>
      <c r="AG311">
        <f>IF(AG310&gt;1E-9,IF(AG310*(1+$G$55)-MAX($B$9,0.01*AG310+AG310*$G$55)&gt;1E-9,AG310*(1+$G$55)-MAX($B$9,0.01*AG310+AG310*$G$55),0),0)</f>
        <v/>
      </c>
      <c r="AH311">
        <f>AG310*$G$55</f>
        <v/>
      </c>
      <c r="AI311">
        <f>G311+K311+O311+S311+W311</f>
        <v/>
      </c>
      <c r="AJ311">
        <f>AI310+AK311-AI311</f>
        <v/>
      </c>
      <c r="AK311">
        <f>H311+L311+P311+T311+X311</f>
        <v/>
      </c>
      <c r="AL311">
        <f>TEXT(EDATE($B$5,D311-1),"mmm yyyy")</f>
        <v/>
      </c>
      <c r="AM311">
        <f>AI311</f>
        <v/>
      </c>
    </row>
    <row r="312">
      <c r="D312" t="n">
        <v>251</v>
      </c>
      <c r="E312">
        <f>IF(G311&gt;0,MAX(0,G311*(1+$G$51)-$H$51),0)</f>
        <v/>
      </c>
      <c r="F312">
        <f>$B$6+IF($D312=$B$8,$B$7,0)</f>
        <v/>
      </c>
      <c r="G312">
        <f>IF(E312-F312&gt;1E-9,E312-F312,0)</f>
        <v/>
      </c>
      <c r="H312">
        <f>G311*$G$51</f>
        <v/>
      </c>
      <c r="I312">
        <f>IF(K311&gt;0,MAX(0,K311*(1+$G$52)-$H$52),0)</f>
        <v/>
      </c>
      <c r="J312">
        <f>MAX(0,F312-E312)</f>
        <v/>
      </c>
      <c r="K312">
        <f>IF(I312-J312&gt;1E-9,I312-J312,0)</f>
        <v/>
      </c>
      <c r="L312">
        <f>K311*$G$52</f>
        <v/>
      </c>
      <c r="M312">
        <f>IF(O311&gt;0,MAX(0,O311*(1+$G$53)-$H$53),0)</f>
        <v/>
      </c>
      <c r="N312">
        <f>MAX(0,J312-I312)</f>
        <v/>
      </c>
      <c r="O312">
        <f>IF(M312-N312&gt;1E-9,M312-N312,0)</f>
        <v/>
      </c>
      <c r="P312">
        <f>O311*$G$53</f>
        <v/>
      </c>
      <c r="Q312">
        <f>IF(S311&gt;0,MAX(0,S311*(1+$G$54)-$H$54),0)</f>
        <v/>
      </c>
      <c r="R312">
        <f>MAX(0,N312-M312)</f>
        <v/>
      </c>
      <c r="S312">
        <f>IF(Q312-R312&gt;1E-9,Q312-R312,0)</f>
        <v/>
      </c>
      <c r="T312">
        <f>S311*$G$54</f>
        <v/>
      </c>
      <c r="U312">
        <f>IF(W311&gt;0,MAX(0,W311*(1+$G$55)-$H$55),0)</f>
        <v/>
      </c>
      <c r="V312">
        <f>MAX(0,R312-Q312)</f>
        <v/>
      </c>
      <c r="W312">
        <f>IF(U312-V312&gt;1E-9,U312-V312,0)</f>
        <v/>
      </c>
      <c r="X312">
        <f>W311*$G$55</f>
        <v/>
      </c>
      <c r="Y312">
        <f>IF(Y311&gt;1E-9,IF(Y311*(1+$G$51)-MAX($B$9,0.01*Y311+Y311*$G$51)&gt;1E-9,Y311*(1+$G$51)-MAX($B$9,0.01*Y311+Y311*$G$51),0),0)</f>
        <v/>
      </c>
      <c r="Z312">
        <f>Y311*$G$51</f>
        <v/>
      </c>
      <c r="AA312">
        <f>IF(AA311&gt;1E-9,IF(AA311*(1+$G$52)-MAX($B$9,0.01*AA311+AA311*$G$52)&gt;1E-9,AA311*(1+$G$52)-MAX($B$9,0.01*AA311+AA311*$G$52),0),0)</f>
        <v/>
      </c>
      <c r="AB312">
        <f>AA311*$G$52</f>
        <v/>
      </c>
      <c r="AC312">
        <f>IF(AC311&gt;1E-9,IF(AC311*(1+$G$53)-MAX($B$9,0.01*AC311+AC311*$G$53)&gt;1E-9,AC311*(1+$G$53)-MAX($B$9,0.01*AC311+AC311*$G$53),0),0)</f>
        <v/>
      </c>
      <c r="AD312">
        <f>AC311*$G$53</f>
        <v/>
      </c>
      <c r="AE312">
        <f>IF(AE311&gt;1E-9,IF(AE311*(1+$G$54)-MAX($B$9,0.01*AE311+AE311*$G$54)&gt;1E-9,AE311*(1+$G$54)-MAX($B$9,0.01*AE311+AE311*$G$54),0),0)</f>
        <v/>
      </c>
      <c r="AF312">
        <f>AE311*$G$54</f>
        <v/>
      </c>
      <c r="AG312">
        <f>IF(AG311&gt;1E-9,IF(AG311*(1+$G$55)-MAX($B$9,0.01*AG311+AG311*$G$55)&gt;1E-9,AG311*(1+$G$55)-MAX($B$9,0.01*AG311+AG311*$G$55),0),0)</f>
        <v/>
      </c>
      <c r="AH312">
        <f>AG311*$G$55</f>
        <v/>
      </c>
      <c r="AI312">
        <f>G312+K312+O312+S312+W312</f>
        <v/>
      </c>
      <c r="AJ312">
        <f>AI311+AK312-AI312</f>
        <v/>
      </c>
      <c r="AK312">
        <f>H312+L312+P312+T312+X312</f>
        <v/>
      </c>
      <c r="AL312">
        <f>TEXT(EDATE($B$5,D312-1),"mmm yyyy")</f>
        <v/>
      </c>
      <c r="AM312">
        <f>AI312</f>
        <v/>
      </c>
    </row>
    <row r="313">
      <c r="D313" t="n">
        <v>252</v>
      </c>
      <c r="E313">
        <f>IF(G312&gt;0,MAX(0,G312*(1+$G$51)-$H$51),0)</f>
        <v/>
      </c>
      <c r="F313">
        <f>$B$6+IF($D313=$B$8,$B$7,0)</f>
        <v/>
      </c>
      <c r="G313">
        <f>IF(E313-F313&gt;1E-9,E313-F313,0)</f>
        <v/>
      </c>
      <c r="H313">
        <f>G312*$G$51</f>
        <v/>
      </c>
      <c r="I313">
        <f>IF(K312&gt;0,MAX(0,K312*(1+$G$52)-$H$52),0)</f>
        <v/>
      </c>
      <c r="J313">
        <f>MAX(0,F313-E313)</f>
        <v/>
      </c>
      <c r="K313">
        <f>IF(I313-J313&gt;1E-9,I313-J313,0)</f>
        <v/>
      </c>
      <c r="L313">
        <f>K312*$G$52</f>
        <v/>
      </c>
      <c r="M313">
        <f>IF(O312&gt;0,MAX(0,O312*(1+$G$53)-$H$53),0)</f>
        <v/>
      </c>
      <c r="N313">
        <f>MAX(0,J313-I313)</f>
        <v/>
      </c>
      <c r="O313">
        <f>IF(M313-N313&gt;1E-9,M313-N313,0)</f>
        <v/>
      </c>
      <c r="P313">
        <f>O312*$G$53</f>
        <v/>
      </c>
      <c r="Q313">
        <f>IF(S312&gt;0,MAX(0,S312*(1+$G$54)-$H$54),0)</f>
        <v/>
      </c>
      <c r="R313">
        <f>MAX(0,N313-M313)</f>
        <v/>
      </c>
      <c r="S313">
        <f>IF(Q313-R313&gt;1E-9,Q313-R313,0)</f>
        <v/>
      </c>
      <c r="T313">
        <f>S312*$G$54</f>
        <v/>
      </c>
      <c r="U313">
        <f>IF(W312&gt;0,MAX(0,W312*(1+$G$55)-$H$55),0)</f>
        <v/>
      </c>
      <c r="V313">
        <f>MAX(0,R313-Q313)</f>
        <v/>
      </c>
      <c r="W313">
        <f>IF(U313-V313&gt;1E-9,U313-V313,0)</f>
        <v/>
      </c>
      <c r="X313">
        <f>W312*$G$55</f>
        <v/>
      </c>
      <c r="Y313">
        <f>IF(Y312&gt;1E-9,IF(Y312*(1+$G$51)-MAX($B$9,0.01*Y312+Y312*$G$51)&gt;1E-9,Y312*(1+$G$51)-MAX($B$9,0.01*Y312+Y312*$G$51),0),0)</f>
        <v/>
      </c>
      <c r="Z313">
        <f>Y312*$G$51</f>
        <v/>
      </c>
      <c r="AA313">
        <f>IF(AA312&gt;1E-9,IF(AA312*(1+$G$52)-MAX($B$9,0.01*AA312+AA312*$G$52)&gt;1E-9,AA312*(1+$G$52)-MAX($B$9,0.01*AA312+AA312*$G$52),0),0)</f>
        <v/>
      </c>
      <c r="AB313">
        <f>AA312*$G$52</f>
        <v/>
      </c>
      <c r="AC313">
        <f>IF(AC312&gt;1E-9,IF(AC312*(1+$G$53)-MAX($B$9,0.01*AC312+AC312*$G$53)&gt;1E-9,AC312*(1+$G$53)-MAX($B$9,0.01*AC312+AC312*$G$53),0),0)</f>
        <v/>
      </c>
      <c r="AD313">
        <f>AC312*$G$53</f>
        <v/>
      </c>
      <c r="AE313">
        <f>IF(AE312&gt;1E-9,IF(AE312*(1+$G$54)-MAX($B$9,0.01*AE312+AE312*$G$54)&gt;1E-9,AE312*(1+$G$54)-MAX($B$9,0.01*AE312+AE312*$G$54),0),0)</f>
        <v/>
      </c>
      <c r="AF313">
        <f>AE312*$G$54</f>
        <v/>
      </c>
      <c r="AG313">
        <f>IF(AG312&gt;1E-9,IF(AG312*(1+$G$55)-MAX($B$9,0.01*AG312+AG312*$G$55)&gt;1E-9,AG312*(1+$G$55)-MAX($B$9,0.01*AG312+AG312*$G$55),0),0)</f>
        <v/>
      </c>
      <c r="AH313">
        <f>AG312*$G$55</f>
        <v/>
      </c>
      <c r="AI313">
        <f>G313+K313+O313+S313+W313</f>
        <v/>
      </c>
      <c r="AJ313">
        <f>AI312+AK313-AI313</f>
        <v/>
      </c>
      <c r="AK313">
        <f>H313+L313+P313+T313+X313</f>
        <v/>
      </c>
      <c r="AL313">
        <f>TEXT(EDATE($B$5,D313-1),"mmm yyyy")</f>
        <v/>
      </c>
      <c r="AM313">
        <f>AI313</f>
        <v/>
      </c>
    </row>
    <row r="314">
      <c r="D314" t="n">
        <v>253</v>
      </c>
      <c r="E314">
        <f>IF(G313&gt;0,MAX(0,G313*(1+$G$51)-$H$51),0)</f>
        <v/>
      </c>
      <c r="F314">
        <f>$B$6+IF($D314=$B$8,$B$7,0)</f>
        <v/>
      </c>
      <c r="G314">
        <f>IF(E314-F314&gt;1E-9,E314-F314,0)</f>
        <v/>
      </c>
      <c r="H314">
        <f>G313*$G$51</f>
        <v/>
      </c>
      <c r="I314">
        <f>IF(K313&gt;0,MAX(0,K313*(1+$G$52)-$H$52),0)</f>
        <v/>
      </c>
      <c r="J314">
        <f>MAX(0,F314-E314)</f>
        <v/>
      </c>
      <c r="K314">
        <f>IF(I314-J314&gt;1E-9,I314-J314,0)</f>
        <v/>
      </c>
      <c r="L314">
        <f>K313*$G$52</f>
        <v/>
      </c>
      <c r="M314">
        <f>IF(O313&gt;0,MAX(0,O313*(1+$G$53)-$H$53),0)</f>
        <v/>
      </c>
      <c r="N314">
        <f>MAX(0,J314-I314)</f>
        <v/>
      </c>
      <c r="O314">
        <f>IF(M314-N314&gt;1E-9,M314-N314,0)</f>
        <v/>
      </c>
      <c r="P314">
        <f>O313*$G$53</f>
        <v/>
      </c>
      <c r="Q314">
        <f>IF(S313&gt;0,MAX(0,S313*(1+$G$54)-$H$54),0)</f>
        <v/>
      </c>
      <c r="R314">
        <f>MAX(0,N314-M314)</f>
        <v/>
      </c>
      <c r="S314">
        <f>IF(Q314-R314&gt;1E-9,Q314-R314,0)</f>
        <v/>
      </c>
      <c r="T314">
        <f>S313*$G$54</f>
        <v/>
      </c>
      <c r="U314">
        <f>IF(W313&gt;0,MAX(0,W313*(1+$G$55)-$H$55),0)</f>
        <v/>
      </c>
      <c r="V314">
        <f>MAX(0,R314-Q314)</f>
        <v/>
      </c>
      <c r="W314">
        <f>IF(U314-V314&gt;1E-9,U314-V314,0)</f>
        <v/>
      </c>
      <c r="X314">
        <f>W313*$G$55</f>
        <v/>
      </c>
      <c r="Y314">
        <f>IF(Y313&gt;1E-9,IF(Y313*(1+$G$51)-MAX($B$9,0.01*Y313+Y313*$G$51)&gt;1E-9,Y313*(1+$G$51)-MAX($B$9,0.01*Y313+Y313*$G$51),0),0)</f>
        <v/>
      </c>
      <c r="Z314">
        <f>Y313*$G$51</f>
        <v/>
      </c>
      <c r="AA314">
        <f>IF(AA313&gt;1E-9,IF(AA313*(1+$G$52)-MAX($B$9,0.01*AA313+AA313*$G$52)&gt;1E-9,AA313*(1+$G$52)-MAX($B$9,0.01*AA313+AA313*$G$52),0),0)</f>
        <v/>
      </c>
      <c r="AB314">
        <f>AA313*$G$52</f>
        <v/>
      </c>
      <c r="AC314">
        <f>IF(AC313&gt;1E-9,IF(AC313*(1+$G$53)-MAX($B$9,0.01*AC313+AC313*$G$53)&gt;1E-9,AC313*(1+$G$53)-MAX($B$9,0.01*AC313+AC313*$G$53),0),0)</f>
        <v/>
      </c>
      <c r="AD314">
        <f>AC313*$G$53</f>
        <v/>
      </c>
      <c r="AE314">
        <f>IF(AE313&gt;1E-9,IF(AE313*(1+$G$54)-MAX($B$9,0.01*AE313+AE313*$G$54)&gt;1E-9,AE313*(1+$G$54)-MAX($B$9,0.01*AE313+AE313*$G$54),0),0)</f>
        <v/>
      </c>
      <c r="AF314">
        <f>AE313*$G$54</f>
        <v/>
      </c>
      <c r="AG314">
        <f>IF(AG313&gt;1E-9,IF(AG313*(1+$G$55)-MAX($B$9,0.01*AG313+AG313*$G$55)&gt;1E-9,AG313*(1+$G$55)-MAX($B$9,0.01*AG313+AG313*$G$55),0),0)</f>
        <v/>
      </c>
      <c r="AH314">
        <f>AG313*$G$55</f>
        <v/>
      </c>
      <c r="AI314">
        <f>G314+K314+O314+S314+W314</f>
        <v/>
      </c>
      <c r="AJ314">
        <f>AI313+AK314-AI314</f>
        <v/>
      </c>
      <c r="AK314">
        <f>H314+L314+P314+T314+X314</f>
        <v/>
      </c>
      <c r="AL314">
        <f>TEXT(EDATE($B$5,D314-1),"mmm yyyy")</f>
        <v/>
      </c>
      <c r="AM314">
        <f>AI314</f>
        <v/>
      </c>
    </row>
    <row r="315">
      <c r="D315" t="n">
        <v>254</v>
      </c>
      <c r="E315">
        <f>IF(G314&gt;0,MAX(0,G314*(1+$G$51)-$H$51),0)</f>
        <v/>
      </c>
      <c r="F315">
        <f>$B$6+IF($D315=$B$8,$B$7,0)</f>
        <v/>
      </c>
      <c r="G315">
        <f>IF(E315-F315&gt;1E-9,E315-F315,0)</f>
        <v/>
      </c>
      <c r="H315">
        <f>G314*$G$51</f>
        <v/>
      </c>
      <c r="I315">
        <f>IF(K314&gt;0,MAX(0,K314*(1+$G$52)-$H$52),0)</f>
        <v/>
      </c>
      <c r="J315">
        <f>MAX(0,F315-E315)</f>
        <v/>
      </c>
      <c r="K315">
        <f>IF(I315-J315&gt;1E-9,I315-J315,0)</f>
        <v/>
      </c>
      <c r="L315">
        <f>K314*$G$52</f>
        <v/>
      </c>
      <c r="M315">
        <f>IF(O314&gt;0,MAX(0,O314*(1+$G$53)-$H$53),0)</f>
        <v/>
      </c>
      <c r="N315">
        <f>MAX(0,J315-I315)</f>
        <v/>
      </c>
      <c r="O315">
        <f>IF(M315-N315&gt;1E-9,M315-N315,0)</f>
        <v/>
      </c>
      <c r="P315">
        <f>O314*$G$53</f>
        <v/>
      </c>
      <c r="Q315">
        <f>IF(S314&gt;0,MAX(0,S314*(1+$G$54)-$H$54),0)</f>
        <v/>
      </c>
      <c r="R315">
        <f>MAX(0,N315-M315)</f>
        <v/>
      </c>
      <c r="S315">
        <f>IF(Q315-R315&gt;1E-9,Q315-R315,0)</f>
        <v/>
      </c>
      <c r="T315">
        <f>S314*$G$54</f>
        <v/>
      </c>
      <c r="U315">
        <f>IF(W314&gt;0,MAX(0,W314*(1+$G$55)-$H$55),0)</f>
        <v/>
      </c>
      <c r="V315">
        <f>MAX(0,R315-Q315)</f>
        <v/>
      </c>
      <c r="W315">
        <f>IF(U315-V315&gt;1E-9,U315-V315,0)</f>
        <v/>
      </c>
      <c r="X315">
        <f>W314*$G$55</f>
        <v/>
      </c>
      <c r="Y315">
        <f>IF(Y314&gt;1E-9,IF(Y314*(1+$G$51)-MAX($B$9,0.01*Y314+Y314*$G$51)&gt;1E-9,Y314*(1+$G$51)-MAX($B$9,0.01*Y314+Y314*$G$51),0),0)</f>
        <v/>
      </c>
      <c r="Z315">
        <f>Y314*$G$51</f>
        <v/>
      </c>
      <c r="AA315">
        <f>IF(AA314&gt;1E-9,IF(AA314*(1+$G$52)-MAX($B$9,0.01*AA314+AA314*$G$52)&gt;1E-9,AA314*(1+$G$52)-MAX($B$9,0.01*AA314+AA314*$G$52),0),0)</f>
        <v/>
      </c>
      <c r="AB315">
        <f>AA314*$G$52</f>
        <v/>
      </c>
      <c r="AC315">
        <f>IF(AC314&gt;1E-9,IF(AC314*(1+$G$53)-MAX($B$9,0.01*AC314+AC314*$G$53)&gt;1E-9,AC314*(1+$G$53)-MAX($B$9,0.01*AC314+AC314*$G$53),0),0)</f>
        <v/>
      </c>
      <c r="AD315">
        <f>AC314*$G$53</f>
        <v/>
      </c>
      <c r="AE315">
        <f>IF(AE314&gt;1E-9,IF(AE314*(1+$G$54)-MAX($B$9,0.01*AE314+AE314*$G$54)&gt;1E-9,AE314*(1+$G$54)-MAX($B$9,0.01*AE314+AE314*$G$54),0),0)</f>
        <v/>
      </c>
      <c r="AF315">
        <f>AE314*$G$54</f>
        <v/>
      </c>
      <c r="AG315">
        <f>IF(AG314&gt;1E-9,IF(AG314*(1+$G$55)-MAX($B$9,0.01*AG314+AG314*$G$55)&gt;1E-9,AG314*(1+$G$55)-MAX($B$9,0.01*AG314+AG314*$G$55),0),0)</f>
        <v/>
      </c>
      <c r="AH315">
        <f>AG314*$G$55</f>
        <v/>
      </c>
      <c r="AI315">
        <f>G315+K315+O315+S315+W315</f>
        <v/>
      </c>
      <c r="AJ315">
        <f>AI314+AK315-AI315</f>
        <v/>
      </c>
      <c r="AK315">
        <f>H315+L315+P315+T315+X315</f>
        <v/>
      </c>
      <c r="AL315">
        <f>TEXT(EDATE($B$5,D315-1),"mmm yyyy")</f>
        <v/>
      </c>
      <c r="AM315">
        <f>AI315</f>
        <v/>
      </c>
    </row>
    <row r="316">
      <c r="D316" t="n">
        <v>255</v>
      </c>
      <c r="E316">
        <f>IF(G315&gt;0,MAX(0,G315*(1+$G$51)-$H$51),0)</f>
        <v/>
      </c>
      <c r="F316">
        <f>$B$6+IF($D316=$B$8,$B$7,0)</f>
        <v/>
      </c>
      <c r="G316">
        <f>IF(E316-F316&gt;1E-9,E316-F316,0)</f>
        <v/>
      </c>
      <c r="H316">
        <f>G315*$G$51</f>
        <v/>
      </c>
      <c r="I316">
        <f>IF(K315&gt;0,MAX(0,K315*(1+$G$52)-$H$52),0)</f>
        <v/>
      </c>
      <c r="J316">
        <f>MAX(0,F316-E316)</f>
        <v/>
      </c>
      <c r="K316">
        <f>IF(I316-J316&gt;1E-9,I316-J316,0)</f>
        <v/>
      </c>
      <c r="L316">
        <f>K315*$G$52</f>
        <v/>
      </c>
      <c r="M316">
        <f>IF(O315&gt;0,MAX(0,O315*(1+$G$53)-$H$53),0)</f>
        <v/>
      </c>
      <c r="N316">
        <f>MAX(0,J316-I316)</f>
        <v/>
      </c>
      <c r="O316">
        <f>IF(M316-N316&gt;1E-9,M316-N316,0)</f>
        <v/>
      </c>
      <c r="P316">
        <f>O315*$G$53</f>
        <v/>
      </c>
      <c r="Q316">
        <f>IF(S315&gt;0,MAX(0,S315*(1+$G$54)-$H$54),0)</f>
        <v/>
      </c>
      <c r="R316">
        <f>MAX(0,N316-M316)</f>
        <v/>
      </c>
      <c r="S316">
        <f>IF(Q316-R316&gt;1E-9,Q316-R316,0)</f>
        <v/>
      </c>
      <c r="T316">
        <f>S315*$G$54</f>
        <v/>
      </c>
      <c r="U316">
        <f>IF(W315&gt;0,MAX(0,W315*(1+$G$55)-$H$55),0)</f>
        <v/>
      </c>
      <c r="V316">
        <f>MAX(0,R316-Q316)</f>
        <v/>
      </c>
      <c r="W316">
        <f>IF(U316-V316&gt;1E-9,U316-V316,0)</f>
        <v/>
      </c>
      <c r="X316">
        <f>W315*$G$55</f>
        <v/>
      </c>
      <c r="Y316">
        <f>IF(Y315&gt;1E-9,IF(Y315*(1+$G$51)-MAX($B$9,0.01*Y315+Y315*$G$51)&gt;1E-9,Y315*(1+$G$51)-MAX($B$9,0.01*Y315+Y315*$G$51),0),0)</f>
        <v/>
      </c>
      <c r="Z316">
        <f>Y315*$G$51</f>
        <v/>
      </c>
      <c r="AA316">
        <f>IF(AA315&gt;1E-9,IF(AA315*(1+$G$52)-MAX($B$9,0.01*AA315+AA315*$G$52)&gt;1E-9,AA315*(1+$G$52)-MAX($B$9,0.01*AA315+AA315*$G$52),0),0)</f>
        <v/>
      </c>
      <c r="AB316">
        <f>AA315*$G$52</f>
        <v/>
      </c>
      <c r="AC316">
        <f>IF(AC315&gt;1E-9,IF(AC315*(1+$G$53)-MAX($B$9,0.01*AC315+AC315*$G$53)&gt;1E-9,AC315*(1+$G$53)-MAX($B$9,0.01*AC315+AC315*$G$53),0),0)</f>
        <v/>
      </c>
      <c r="AD316">
        <f>AC315*$G$53</f>
        <v/>
      </c>
      <c r="AE316">
        <f>IF(AE315&gt;1E-9,IF(AE315*(1+$G$54)-MAX($B$9,0.01*AE315+AE315*$G$54)&gt;1E-9,AE315*(1+$G$54)-MAX($B$9,0.01*AE315+AE315*$G$54),0),0)</f>
        <v/>
      </c>
      <c r="AF316">
        <f>AE315*$G$54</f>
        <v/>
      </c>
      <c r="AG316">
        <f>IF(AG315&gt;1E-9,IF(AG315*(1+$G$55)-MAX($B$9,0.01*AG315+AG315*$G$55)&gt;1E-9,AG315*(1+$G$55)-MAX($B$9,0.01*AG315+AG315*$G$55),0),0)</f>
        <v/>
      </c>
      <c r="AH316">
        <f>AG315*$G$55</f>
        <v/>
      </c>
      <c r="AI316">
        <f>G316+K316+O316+S316+W316</f>
        <v/>
      </c>
      <c r="AJ316">
        <f>AI315+AK316-AI316</f>
        <v/>
      </c>
      <c r="AK316">
        <f>H316+L316+P316+T316+X316</f>
        <v/>
      </c>
      <c r="AL316">
        <f>TEXT(EDATE($B$5,D316-1),"mmm yyyy")</f>
        <v/>
      </c>
      <c r="AM316">
        <f>AI316</f>
        <v/>
      </c>
    </row>
    <row r="317">
      <c r="D317" t="n">
        <v>256</v>
      </c>
      <c r="E317">
        <f>IF(G316&gt;0,MAX(0,G316*(1+$G$51)-$H$51),0)</f>
        <v/>
      </c>
      <c r="F317">
        <f>$B$6+IF($D317=$B$8,$B$7,0)</f>
        <v/>
      </c>
      <c r="G317">
        <f>IF(E317-F317&gt;1E-9,E317-F317,0)</f>
        <v/>
      </c>
      <c r="H317">
        <f>G316*$G$51</f>
        <v/>
      </c>
      <c r="I317">
        <f>IF(K316&gt;0,MAX(0,K316*(1+$G$52)-$H$52),0)</f>
        <v/>
      </c>
      <c r="J317">
        <f>MAX(0,F317-E317)</f>
        <v/>
      </c>
      <c r="K317">
        <f>IF(I317-J317&gt;1E-9,I317-J317,0)</f>
        <v/>
      </c>
      <c r="L317">
        <f>K316*$G$52</f>
        <v/>
      </c>
      <c r="M317">
        <f>IF(O316&gt;0,MAX(0,O316*(1+$G$53)-$H$53),0)</f>
        <v/>
      </c>
      <c r="N317">
        <f>MAX(0,J317-I317)</f>
        <v/>
      </c>
      <c r="O317">
        <f>IF(M317-N317&gt;1E-9,M317-N317,0)</f>
        <v/>
      </c>
      <c r="P317">
        <f>O316*$G$53</f>
        <v/>
      </c>
      <c r="Q317">
        <f>IF(S316&gt;0,MAX(0,S316*(1+$G$54)-$H$54),0)</f>
        <v/>
      </c>
      <c r="R317">
        <f>MAX(0,N317-M317)</f>
        <v/>
      </c>
      <c r="S317">
        <f>IF(Q317-R317&gt;1E-9,Q317-R317,0)</f>
        <v/>
      </c>
      <c r="T317">
        <f>S316*$G$54</f>
        <v/>
      </c>
      <c r="U317">
        <f>IF(W316&gt;0,MAX(0,W316*(1+$G$55)-$H$55),0)</f>
        <v/>
      </c>
      <c r="V317">
        <f>MAX(0,R317-Q317)</f>
        <v/>
      </c>
      <c r="W317">
        <f>IF(U317-V317&gt;1E-9,U317-V317,0)</f>
        <v/>
      </c>
      <c r="X317">
        <f>W316*$G$55</f>
        <v/>
      </c>
      <c r="Y317">
        <f>IF(Y316&gt;1E-9,IF(Y316*(1+$G$51)-MAX($B$9,0.01*Y316+Y316*$G$51)&gt;1E-9,Y316*(1+$G$51)-MAX($B$9,0.01*Y316+Y316*$G$51),0),0)</f>
        <v/>
      </c>
      <c r="Z317">
        <f>Y316*$G$51</f>
        <v/>
      </c>
      <c r="AA317">
        <f>IF(AA316&gt;1E-9,IF(AA316*(1+$G$52)-MAX($B$9,0.01*AA316+AA316*$G$52)&gt;1E-9,AA316*(1+$G$52)-MAX($B$9,0.01*AA316+AA316*$G$52),0),0)</f>
        <v/>
      </c>
      <c r="AB317">
        <f>AA316*$G$52</f>
        <v/>
      </c>
      <c r="AC317">
        <f>IF(AC316&gt;1E-9,IF(AC316*(1+$G$53)-MAX($B$9,0.01*AC316+AC316*$G$53)&gt;1E-9,AC316*(1+$G$53)-MAX($B$9,0.01*AC316+AC316*$G$53),0),0)</f>
        <v/>
      </c>
      <c r="AD317">
        <f>AC316*$G$53</f>
        <v/>
      </c>
      <c r="AE317">
        <f>IF(AE316&gt;1E-9,IF(AE316*(1+$G$54)-MAX($B$9,0.01*AE316+AE316*$G$54)&gt;1E-9,AE316*(1+$G$54)-MAX($B$9,0.01*AE316+AE316*$G$54),0),0)</f>
        <v/>
      </c>
      <c r="AF317">
        <f>AE316*$G$54</f>
        <v/>
      </c>
      <c r="AG317">
        <f>IF(AG316&gt;1E-9,IF(AG316*(1+$G$55)-MAX($B$9,0.01*AG316+AG316*$G$55)&gt;1E-9,AG316*(1+$G$55)-MAX($B$9,0.01*AG316+AG316*$G$55),0),0)</f>
        <v/>
      </c>
      <c r="AH317">
        <f>AG316*$G$55</f>
        <v/>
      </c>
      <c r="AI317">
        <f>G317+K317+O317+S317+W317</f>
        <v/>
      </c>
      <c r="AJ317">
        <f>AI316+AK317-AI317</f>
        <v/>
      </c>
      <c r="AK317">
        <f>H317+L317+P317+T317+X317</f>
        <v/>
      </c>
      <c r="AL317">
        <f>TEXT(EDATE($B$5,D317-1),"mmm yyyy")</f>
        <v/>
      </c>
      <c r="AM317">
        <f>AI317</f>
        <v/>
      </c>
    </row>
    <row r="318">
      <c r="D318" t="n">
        <v>257</v>
      </c>
      <c r="E318">
        <f>IF(G317&gt;0,MAX(0,G317*(1+$G$51)-$H$51),0)</f>
        <v/>
      </c>
      <c r="F318">
        <f>$B$6+IF($D318=$B$8,$B$7,0)</f>
        <v/>
      </c>
      <c r="G318">
        <f>IF(E318-F318&gt;1E-9,E318-F318,0)</f>
        <v/>
      </c>
      <c r="H318">
        <f>G317*$G$51</f>
        <v/>
      </c>
      <c r="I318">
        <f>IF(K317&gt;0,MAX(0,K317*(1+$G$52)-$H$52),0)</f>
        <v/>
      </c>
      <c r="J318">
        <f>MAX(0,F318-E318)</f>
        <v/>
      </c>
      <c r="K318">
        <f>IF(I318-J318&gt;1E-9,I318-J318,0)</f>
        <v/>
      </c>
      <c r="L318">
        <f>K317*$G$52</f>
        <v/>
      </c>
      <c r="M318">
        <f>IF(O317&gt;0,MAX(0,O317*(1+$G$53)-$H$53),0)</f>
        <v/>
      </c>
      <c r="N318">
        <f>MAX(0,J318-I318)</f>
        <v/>
      </c>
      <c r="O318">
        <f>IF(M318-N318&gt;1E-9,M318-N318,0)</f>
        <v/>
      </c>
      <c r="P318">
        <f>O317*$G$53</f>
        <v/>
      </c>
      <c r="Q318">
        <f>IF(S317&gt;0,MAX(0,S317*(1+$G$54)-$H$54),0)</f>
        <v/>
      </c>
      <c r="R318">
        <f>MAX(0,N318-M318)</f>
        <v/>
      </c>
      <c r="S318">
        <f>IF(Q318-R318&gt;1E-9,Q318-R318,0)</f>
        <v/>
      </c>
      <c r="T318">
        <f>S317*$G$54</f>
        <v/>
      </c>
      <c r="U318">
        <f>IF(W317&gt;0,MAX(0,W317*(1+$G$55)-$H$55),0)</f>
        <v/>
      </c>
      <c r="V318">
        <f>MAX(0,R318-Q318)</f>
        <v/>
      </c>
      <c r="W318">
        <f>IF(U318-V318&gt;1E-9,U318-V318,0)</f>
        <v/>
      </c>
      <c r="X318">
        <f>W317*$G$55</f>
        <v/>
      </c>
      <c r="Y318">
        <f>IF(Y317&gt;1E-9,IF(Y317*(1+$G$51)-MAX($B$9,0.01*Y317+Y317*$G$51)&gt;1E-9,Y317*(1+$G$51)-MAX($B$9,0.01*Y317+Y317*$G$51),0),0)</f>
        <v/>
      </c>
      <c r="Z318">
        <f>Y317*$G$51</f>
        <v/>
      </c>
      <c r="AA318">
        <f>IF(AA317&gt;1E-9,IF(AA317*(1+$G$52)-MAX($B$9,0.01*AA317+AA317*$G$52)&gt;1E-9,AA317*(1+$G$52)-MAX($B$9,0.01*AA317+AA317*$G$52),0),0)</f>
        <v/>
      </c>
      <c r="AB318">
        <f>AA317*$G$52</f>
        <v/>
      </c>
      <c r="AC318">
        <f>IF(AC317&gt;1E-9,IF(AC317*(1+$G$53)-MAX($B$9,0.01*AC317+AC317*$G$53)&gt;1E-9,AC317*(1+$G$53)-MAX($B$9,0.01*AC317+AC317*$G$53),0),0)</f>
        <v/>
      </c>
      <c r="AD318">
        <f>AC317*$G$53</f>
        <v/>
      </c>
      <c r="AE318">
        <f>IF(AE317&gt;1E-9,IF(AE317*(1+$G$54)-MAX($B$9,0.01*AE317+AE317*$G$54)&gt;1E-9,AE317*(1+$G$54)-MAX($B$9,0.01*AE317+AE317*$G$54),0),0)</f>
        <v/>
      </c>
      <c r="AF318">
        <f>AE317*$G$54</f>
        <v/>
      </c>
      <c r="AG318">
        <f>IF(AG317&gt;1E-9,IF(AG317*(1+$G$55)-MAX($B$9,0.01*AG317+AG317*$G$55)&gt;1E-9,AG317*(1+$G$55)-MAX($B$9,0.01*AG317+AG317*$G$55),0),0)</f>
        <v/>
      </c>
      <c r="AH318">
        <f>AG317*$G$55</f>
        <v/>
      </c>
      <c r="AI318">
        <f>G318+K318+O318+S318+W318</f>
        <v/>
      </c>
      <c r="AJ318">
        <f>AI317+AK318-AI318</f>
        <v/>
      </c>
      <c r="AK318">
        <f>H318+L318+P318+T318+X318</f>
        <v/>
      </c>
      <c r="AL318">
        <f>TEXT(EDATE($B$5,D318-1),"mmm yyyy")</f>
        <v/>
      </c>
      <c r="AM318">
        <f>AI318</f>
        <v/>
      </c>
    </row>
    <row r="319">
      <c r="D319" t="n">
        <v>258</v>
      </c>
      <c r="E319">
        <f>IF(G318&gt;0,MAX(0,G318*(1+$G$51)-$H$51),0)</f>
        <v/>
      </c>
      <c r="F319">
        <f>$B$6+IF($D319=$B$8,$B$7,0)</f>
        <v/>
      </c>
      <c r="G319">
        <f>IF(E319-F319&gt;1E-9,E319-F319,0)</f>
        <v/>
      </c>
      <c r="H319">
        <f>G318*$G$51</f>
        <v/>
      </c>
      <c r="I319">
        <f>IF(K318&gt;0,MAX(0,K318*(1+$G$52)-$H$52),0)</f>
        <v/>
      </c>
      <c r="J319">
        <f>MAX(0,F319-E319)</f>
        <v/>
      </c>
      <c r="K319">
        <f>IF(I319-J319&gt;1E-9,I319-J319,0)</f>
        <v/>
      </c>
      <c r="L319">
        <f>K318*$G$52</f>
        <v/>
      </c>
      <c r="M319">
        <f>IF(O318&gt;0,MAX(0,O318*(1+$G$53)-$H$53),0)</f>
        <v/>
      </c>
      <c r="N319">
        <f>MAX(0,J319-I319)</f>
        <v/>
      </c>
      <c r="O319">
        <f>IF(M319-N319&gt;1E-9,M319-N319,0)</f>
        <v/>
      </c>
      <c r="P319">
        <f>O318*$G$53</f>
        <v/>
      </c>
      <c r="Q319">
        <f>IF(S318&gt;0,MAX(0,S318*(1+$G$54)-$H$54),0)</f>
        <v/>
      </c>
      <c r="R319">
        <f>MAX(0,N319-M319)</f>
        <v/>
      </c>
      <c r="S319">
        <f>IF(Q319-R319&gt;1E-9,Q319-R319,0)</f>
        <v/>
      </c>
      <c r="T319">
        <f>S318*$G$54</f>
        <v/>
      </c>
      <c r="U319">
        <f>IF(W318&gt;0,MAX(0,W318*(1+$G$55)-$H$55),0)</f>
        <v/>
      </c>
      <c r="V319">
        <f>MAX(0,R319-Q319)</f>
        <v/>
      </c>
      <c r="W319">
        <f>IF(U319-V319&gt;1E-9,U319-V319,0)</f>
        <v/>
      </c>
      <c r="X319">
        <f>W318*$G$55</f>
        <v/>
      </c>
      <c r="Y319">
        <f>IF(Y318&gt;1E-9,IF(Y318*(1+$G$51)-MAX($B$9,0.01*Y318+Y318*$G$51)&gt;1E-9,Y318*(1+$G$51)-MAX($B$9,0.01*Y318+Y318*$G$51),0),0)</f>
        <v/>
      </c>
      <c r="Z319">
        <f>Y318*$G$51</f>
        <v/>
      </c>
      <c r="AA319">
        <f>IF(AA318&gt;1E-9,IF(AA318*(1+$G$52)-MAX($B$9,0.01*AA318+AA318*$G$52)&gt;1E-9,AA318*(1+$G$52)-MAX($B$9,0.01*AA318+AA318*$G$52),0),0)</f>
        <v/>
      </c>
      <c r="AB319">
        <f>AA318*$G$52</f>
        <v/>
      </c>
      <c r="AC319">
        <f>IF(AC318&gt;1E-9,IF(AC318*(1+$G$53)-MAX($B$9,0.01*AC318+AC318*$G$53)&gt;1E-9,AC318*(1+$G$53)-MAX($B$9,0.01*AC318+AC318*$G$53),0),0)</f>
        <v/>
      </c>
      <c r="AD319">
        <f>AC318*$G$53</f>
        <v/>
      </c>
      <c r="AE319">
        <f>IF(AE318&gt;1E-9,IF(AE318*(1+$G$54)-MAX($B$9,0.01*AE318+AE318*$G$54)&gt;1E-9,AE318*(1+$G$54)-MAX($B$9,0.01*AE318+AE318*$G$54),0),0)</f>
        <v/>
      </c>
      <c r="AF319">
        <f>AE318*$G$54</f>
        <v/>
      </c>
      <c r="AG319">
        <f>IF(AG318&gt;1E-9,IF(AG318*(1+$G$55)-MAX($B$9,0.01*AG318+AG318*$G$55)&gt;1E-9,AG318*(1+$G$55)-MAX($B$9,0.01*AG318+AG318*$G$55),0),0)</f>
        <v/>
      </c>
      <c r="AH319">
        <f>AG318*$G$55</f>
        <v/>
      </c>
      <c r="AI319">
        <f>G319+K319+O319+S319+W319</f>
        <v/>
      </c>
      <c r="AJ319">
        <f>AI318+AK319-AI319</f>
        <v/>
      </c>
      <c r="AK319">
        <f>H319+L319+P319+T319+X319</f>
        <v/>
      </c>
      <c r="AL319">
        <f>TEXT(EDATE($B$5,D319-1),"mmm yyyy")</f>
        <v/>
      </c>
      <c r="AM319">
        <f>AI319</f>
        <v/>
      </c>
    </row>
    <row r="320">
      <c r="D320" t="n">
        <v>259</v>
      </c>
      <c r="E320">
        <f>IF(G319&gt;0,MAX(0,G319*(1+$G$51)-$H$51),0)</f>
        <v/>
      </c>
      <c r="F320">
        <f>$B$6+IF($D320=$B$8,$B$7,0)</f>
        <v/>
      </c>
      <c r="G320">
        <f>IF(E320-F320&gt;1E-9,E320-F320,0)</f>
        <v/>
      </c>
      <c r="H320">
        <f>G319*$G$51</f>
        <v/>
      </c>
      <c r="I320">
        <f>IF(K319&gt;0,MAX(0,K319*(1+$G$52)-$H$52),0)</f>
        <v/>
      </c>
      <c r="J320">
        <f>MAX(0,F320-E320)</f>
        <v/>
      </c>
      <c r="K320">
        <f>IF(I320-J320&gt;1E-9,I320-J320,0)</f>
        <v/>
      </c>
      <c r="L320">
        <f>K319*$G$52</f>
        <v/>
      </c>
      <c r="M320">
        <f>IF(O319&gt;0,MAX(0,O319*(1+$G$53)-$H$53),0)</f>
        <v/>
      </c>
      <c r="N320">
        <f>MAX(0,J320-I320)</f>
        <v/>
      </c>
      <c r="O320">
        <f>IF(M320-N320&gt;1E-9,M320-N320,0)</f>
        <v/>
      </c>
      <c r="P320">
        <f>O319*$G$53</f>
        <v/>
      </c>
      <c r="Q320">
        <f>IF(S319&gt;0,MAX(0,S319*(1+$G$54)-$H$54),0)</f>
        <v/>
      </c>
      <c r="R320">
        <f>MAX(0,N320-M320)</f>
        <v/>
      </c>
      <c r="S320">
        <f>IF(Q320-R320&gt;1E-9,Q320-R320,0)</f>
        <v/>
      </c>
      <c r="T320">
        <f>S319*$G$54</f>
        <v/>
      </c>
      <c r="U320">
        <f>IF(W319&gt;0,MAX(0,W319*(1+$G$55)-$H$55),0)</f>
        <v/>
      </c>
      <c r="V320">
        <f>MAX(0,R320-Q320)</f>
        <v/>
      </c>
      <c r="W320">
        <f>IF(U320-V320&gt;1E-9,U320-V320,0)</f>
        <v/>
      </c>
      <c r="X320">
        <f>W319*$G$55</f>
        <v/>
      </c>
      <c r="Y320">
        <f>IF(Y319&gt;1E-9,IF(Y319*(1+$G$51)-MAX($B$9,0.01*Y319+Y319*$G$51)&gt;1E-9,Y319*(1+$G$51)-MAX($B$9,0.01*Y319+Y319*$G$51),0),0)</f>
        <v/>
      </c>
      <c r="Z320">
        <f>Y319*$G$51</f>
        <v/>
      </c>
      <c r="AA320">
        <f>IF(AA319&gt;1E-9,IF(AA319*(1+$G$52)-MAX($B$9,0.01*AA319+AA319*$G$52)&gt;1E-9,AA319*(1+$G$52)-MAX($B$9,0.01*AA319+AA319*$G$52),0),0)</f>
        <v/>
      </c>
      <c r="AB320">
        <f>AA319*$G$52</f>
        <v/>
      </c>
      <c r="AC320">
        <f>IF(AC319&gt;1E-9,IF(AC319*(1+$G$53)-MAX($B$9,0.01*AC319+AC319*$G$53)&gt;1E-9,AC319*(1+$G$53)-MAX($B$9,0.01*AC319+AC319*$G$53),0),0)</f>
        <v/>
      </c>
      <c r="AD320">
        <f>AC319*$G$53</f>
        <v/>
      </c>
      <c r="AE320">
        <f>IF(AE319&gt;1E-9,IF(AE319*(1+$G$54)-MAX($B$9,0.01*AE319+AE319*$G$54)&gt;1E-9,AE319*(1+$G$54)-MAX($B$9,0.01*AE319+AE319*$G$54),0),0)</f>
        <v/>
      </c>
      <c r="AF320">
        <f>AE319*$G$54</f>
        <v/>
      </c>
      <c r="AG320">
        <f>IF(AG319&gt;1E-9,IF(AG319*(1+$G$55)-MAX($B$9,0.01*AG319+AG319*$G$55)&gt;1E-9,AG319*(1+$G$55)-MAX($B$9,0.01*AG319+AG319*$G$55),0),0)</f>
        <v/>
      </c>
      <c r="AH320">
        <f>AG319*$G$55</f>
        <v/>
      </c>
      <c r="AI320">
        <f>G320+K320+O320+S320+W320</f>
        <v/>
      </c>
      <c r="AJ320">
        <f>AI319+AK320-AI320</f>
        <v/>
      </c>
      <c r="AK320">
        <f>H320+L320+P320+T320+X320</f>
        <v/>
      </c>
      <c r="AL320">
        <f>TEXT(EDATE($B$5,D320-1),"mmm yyyy")</f>
        <v/>
      </c>
      <c r="AM320">
        <f>AI320</f>
        <v/>
      </c>
    </row>
    <row r="321">
      <c r="D321" t="n">
        <v>260</v>
      </c>
      <c r="E321">
        <f>IF(G320&gt;0,MAX(0,G320*(1+$G$51)-$H$51),0)</f>
        <v/>
      </c>
      <c r="F321">
        <f>$B$6+IF($D321=$B$8,$B$7,0)</f>
        <v/>
      </c>
      <c r="G321">
        <f>IF(E321-F321&gt;1E-9,E321-F321,0)</f>
        <v/>
      </c>
      <c r="H321">
        <f>G320*$G$51</f>
        <v/>
      </c>
      <c r="I321">
        <f>IF(K320&gt;0,MAX(0,K320*(1+$G$52)-$H$52),0)</f>
        <v/>
      </c>
      <c r="J321">
        <f>MAX(0,F321-E321)</f>
        <v/>
      </c>
      <c r="K321">
        <f>IF(I321-J321&gt;1E-9,I321-J321,0)</f>
        <v/>
      </c>
      <c r="L321">
        <f>K320*$G$52</f>
        <v/>
      </c>
      <c r="M321">
        <f>IF(O320&gt;0,MAX(0,O320*(1+$G$53)-$H$53),0)</f>
        <v/>
      </c>
      <c r="N321">
        <f>MAX(0,J321-I321)</f>
        <v/>
      </c>
      <c r="O321">
        <f>IF(M321-N321&gt;1E-9,M321-N321,0)</f>
        <v/>
      </c>
      <c r="P321">
        <f>O320*$G$53</f>
        <v/>
      </c>
      <c r="Q321">
        <f>IF(S320&gt;0,MAX(0,S320*(1+$G$54)-$H$54),0)</f>
        <v/>
      </c>
      <c r="R321">
        <f>MAX(0,N321-M321)</f>
        <v/>
      </c>
      <c r="S321">
        <f>IF(Q321-R321&gt;1E-9,Q321-R321,0)</f>
        <v/>
      </c>
      <c r="T321">
        <f>S320*$G$54</f>
        <v/>
      </c>
      <c r="U321">
        <f>IF(W320&gt;0,MAX(0,W320*(1+$G$55)-$H$55),0)</f>
        <v/>
      </c>
      <c r="V321">
        <f>MAX(0,R321-Q321)</f>
        <v/>
      </c>
      <c r="W321">
        <f>IF(U321-V321&gt;1E-9,U321-V321,0)</f>
        <v/>
      </c>
      <c r="X321">
        <f>W320*$G$55</f>
        <v/>
      </c>
      <c r="Y321">
        <f>IF(Y320&gt;1E-9,IF(Y320*(1+$G$51)-MAX($B$9,0.01*Y320+Y320*$G$51)&gt;1E-9,Y320*(1+$G$51)-MAX($B$9,0.01*Y320+Y320*$G$51),0),0)</f>
        <v/>
      </c>
      <c r="Z321">
        <f>Y320*$G$51</f>
        <v/>
      </c>
      <c r="AA321">
        <f>IF(AA320&gt;1E-9,IF(AA320*(1+$G$52)-MAX($B$9,0.01*AA320+AA320*$G$52)&gt;1E-9,AA320*(1+$G$52)-MAX($B$9,0.01*AA320+AA320*$G$52),0),0)</f>
        <v/>
      </c>
      <c r="AB321">
        <f>AA320*$G$52</f>
        <v/>
      </c>
      <c r="AC321">
        <f>IF(AC320&gt;1E-9,IF(AC320*(1+$G$53)-MAX($B$9,0.01*AC320+AC320*$G$53)&gt;1E-9,AC320*(1+$G$53)-MAX($B$9,0.01*AC320+AC320*$G$53),0),0)</f>
        <v/>
      </c>
      <c r="AD321">
        <f>AC320*$G$53</f>
        <v/>
      </c>
      <c r="AE321">
        <f>IF(AE320&gt;1E-9,IF(AE320*(1+$G$54)-MAX($B$9,0.01*AE320+AE320*$G$54)&gt;1E-9,AE320*(1+$G$54)-MAX($B$9,0.01*AE320+AE320*$G$54),0),0)</f>
        <v/>
      </c>
      <c r="AF321">
        <f>AE320*$G$54</f>
        <v/>
      </c>
      <c r="AG321">
        <f>IF(AG320&gt;1E-9,IF(AG320*(1+$G$55)-MAX($B$9,0.01*AG320+AG320*$G$55)&gt;1E-9,AG320*(1+$G$55)-MAX($B$9,0.01*AG320+AG320*$G$55),0),0)</f>
        <v/>
      </c>
      <c r="AH321">
        <f>AG320*$G$55</f>
        <v/>
      </c>
      <c r="AI321">
        <f>G321+K321+O321+S321+W321</f>
        <v/>
      </c>
      <c r="AJ321">
        <f>AI320+AK321-AI321</f>
        <v/>
      </c>
      <c r="AK321">
        <f>H321+L321+P321+T321+X321</f>
        <v/>
      </c>
      <c r="AL321">
        <f>TEXT(EDATE($B$5,D321-1),"mmm yyyy")</f>
        <v/>
      </c>
      <c r="AM321">
        <f>AI321</f>
        <v/>
      </c>
    </row>
    <row r="322">
      <c r="D322" t="n">
        <v>261</v>
      </c>
      <c r="E322">
        <f>IF(G321&gt;0,MAX(0,G321*(1+$G$51)-$H$51),0)</f>
        <v/>
      </c>
      <c r="F322">
        <f>$B$6+IF($D322=$B$8,$B$7,0)</f>
        <v/>
      </c>
      <c r="G322">
        <f>IF(E322-F322&gt;1E-9,E322-F322,0)</f>
        <v/>
      </c>
      <c r="H322">
        <f>G321*$G$51</f>
        <v/>
      </c>
      <c r="I322">
        <f>IF(K321&gt;0,MAX(0,K321*(1+$G$52)-$H$52),0)</f>
        <v/>
      </c>
      <c r="J322">
        <f>MAX(0,F322-E322)</f>
        <v/>
      </c>
      <c r="K322">
        <f>IF(I322-J322&gt;1E-9,I322-J322,0)</f>
        <v/>
      </c>
      <c r="L322">
        <f>K321*$G$52</f>
        <v/>
      </c>
      <c r="M322">
        <f>IF(O321&gt;0,MAX(0,O321*(1+$G$53)-$H$53),0)</f>
        <v/>
      </c>
      <c r="N322">
        <f>MAX(0,J322-I322)</f>
        <v/>
      </c>
      <c r="O322">
        <f>IF(M322-N322&gt;1E-9,M322-N322,0)</f>
        <v/>
      </c>
      <c r="P322">
        <f>O321*$G$53</f>
        <v/>
      </c>
      <c r="Q322">
        <f>IF(S321&gt;0,MAX(0,S321*(1+$G$54)-$H$54),0)</f>
        <v/>
      </c>
      <c r="R322">
        <f>MAX(0,N322-M322)</f>
        <v/>
      </c>
      <c r="S322">
        <f>IF(Q322-R322&gt;1E-9,Q322-R322,0)</f>
        <v/>
      </c>
      <c r="T322">
        <f>S321*$G$54</f>
        <v/>
      </c>
      <c r="U322">
        <f>IF(W321&gt;0,MAX(0,W321*(1+$G$55)-$H$55),0)</f>
        <v/>
      </c>
      <c r="V322">
        <f>MAX(0,R322-Q322)</f>
        <v/>
      </c>
      <c r="W322">
        <f>IF(U322-V322&gt;1E-9,U322-V322,0)</f>
        <v/>
      </c>
      <c r="X322">
        <f>W321*$G$55</f>
        <v/>
      </c>
      <c r="Y322">
        <f>IF(Y321&gt;1E-9,IF(Y321*(1+$G$51)-MAX($B$9,0.01*Y321+Y321*$G$51)&gt;1E-9,Y321*(1+$G$51)-MAX($B$9,0.01*Y321+Y321*$G$51),0),0)</f>
        <v/>
      </c>
      <c r="Z322">
        <f>Y321*$G$51</f>
        <v/>
      </c>
      <c r="AA322">
        <f>IF(AA321&gt;1E-9,IF(AA321*(1+$G$52)-MAX($B$9,0.01*AA321+AA321*$G$52)&gt;1E-9,AA321*(1+$G$52)-MAX($B$9,0.01*AA321+AA321*$G$52),0),0)</f>
        <v/>
      </c>
      <c r="AB322">
        <f>AA321*$G$52</f>
        <v/>
      </c>
      <c r="AC322">
        <f>IF(AC321&gt;1E-9,IF(AC321*(1+$G$53)-MAX($B$9,0.01*AC321+AC321*$G$53)&gt;1E-9,AC321*(1+$G$53)-MAX($B$9,0.01*AC321+AC321*$G$53),0),0)</f>
        <v/>
      </c>
      <c r="AD322">
        <f>AC321*$G$53</f>
        <v/>
      </c>
      <c r="AE322">
        <f>IF(AE321&gt;1E-9,IF(AE321*(1+$G$54)-MAX($B$9,0.01*AE321+AE321*$G$54)&gt;1E-9,AE321*(1+$G$54)-MAX($B$9,0.01*AE321+AE321*$G$54),0),0)</f>
        <v/>
      </c>
      <c r="AF322">
        <f>AE321*$G$54</f>
        <v/>
      </c>
      <c r="AG322">
        <f>IF(AG321&gt;1E-9,IF(AG321*(1+$G$55)-MAX($B$9,0.01*AG321+AG321*$G$55)&gt;1E-9,AG321*(1+$G$55)-MAX($B$9,0.01*AG321+AG321*$G$55),0),0)</f>
        <v/>
      </c>
      <c r="AH322">
        <f>AG321*$G$55</f>
        <v/>
      </c>
      <c r="AI322">
        <f>G322+K322+O322+S322+W322</f>
        <v/>
      </c>
      <c r="AJ322">
        <f>AI321+AK322-AI322</f>
        <v/>
      </c>
      <c r="AK322">
        <f>H322+L322+P322+T322+X322</f>
        <v/>
      </c>
      <c r="AL322">
        <f>TEXT(EDATE($B$5,D322-1),"mmm yyyy")</f>
        <v/>
      </c>
      <c r="AM322">
        <f>AI322</f>
        <v/>
      </c>
    </row>
    <row r="323">
      <c r="D323" t="n">
        <v>262</v>
      </c>
      <c r="E323">
        <f>IF(G322&gt;0,MAX(0,G322*(1+$G$51)-$H$51),0)</f>
        <v/>
      </c>
      <c r="F323">
        <f>$B$6+IF($D323=$B$8,$B$7,0)</f>
        <v/>
      </c>
      <c r="G323">
        <f>IF(E323-F323&gt;1E-9,E323-F323,0)</f>
        <v/>
      </c>
      <c r="H323">
        <f>G322*$G$51</f>
        <v/>
      </c>
      <c r="I323">
        <f>IF(K322&gt;0,MAX(0,K322*(1+$G$52)-$H$52),0)</f>
        <v/>
      </c>
      <c r="J323">
        <f>MAX(0,F323-E323)</f>
        <v/>
      </c>
      <c r="K323">
        <f>IF(I323-J323&gt;1E-9,I323-J323,0)</f>
        <v/>
      </c>
      <c r="L323">
        <f>K322*$G$52</f>
        <v/>
      </c>
      <c r="M323">
        <f>IF(O322&gt;0,MAX(0,O322*(1+$G$53)-$H$53),0)</f>
        <v/>
      </c>
      <c r="N323">
        <f>MAX(0,J323-I323)</f>
        <v/>
      </c>
      <c r="O323">
        <f>IF(M323-N323&gt;1E-9,M323-N323,0)</f>
        <v/>
      </c>
      <c r="P323">
        <f>O322*$G$53</f>
        <v/>
      </c>
      <c r="Q323">
        <f>IF(S322&gt;0,MAX(0,S322*(1+$G$54)-$H$54),0)</f>
        <v/>
      </c>
      <c r="R323">
        <f>MAX(0,N323-M323)</f>
        <v/>
      </c>
      <c r="S323">
        <f>IF(Q323-R323&gt;1E-9,Q323-R323,0)</f>
        <v/>
      </c>
      <c r="T323">
        <f>S322*$G$54</f>
        <v/>
      </c>
      <c r="U323">
        <f>IF(W322&gt;0,MAX(0,W322*(1+$G$55)-$H$55),0)</f>
        <v/>
      </c>
      <c r="V323">
        <f>MAX(0,R323-Q323)</f>
        <v/>
      </c>
      <c r="W323">
        <f>IF(U323-V323&gt;1E-9,U323-V323,0)</f>
        <v/>
      </c>
      <c r="X323">
        <f>W322*$G$55</f>
        <v/>
      </c>
      <c r="Y323">
        <f>IF(Y322&gt;1E-9,IF(Y322*(1+$G$51)-MAX($B$9,0.01*Y322+Y322*$G$51)&gt;1E-9,Y322*(1+$G$51)-MAX($B$9,0.01*Y322+Y322*$G$51),0),0)</f>
        <v/>
      </c>
      <c r="Z323">
        <f>Y322*$G$51</f>
        <v/>
      </c>
      <c r="AA323">
        <f>IF(AA322&gt;1E-9,IF(AA322*(1+$G$52)-MAX($B$9,0.01*AA322+AA322*$G$52)&gt;1E-9,AA322*(1+$G$52)-MAX($B$9,0.01*AA322+AA322*$G$52),0),0)</f>
        <v/>
      </c>
      <c r="AB323">
        <f>AA322*$G$52</f>
        <v/>
      </c>
      <c r="AC323">
        <f>IF(AC322&gt;1E-9,IF(AC322*(1+$G$53)-MAX($B$9,0.01*AC322+AC322*$G$53)&gt;1E-9,AC322*(1+$G$53)-MAX($B$9,0.01*AC322+AC322*$G$53),0),0)</f>
        <v/>
      </c>
      <c r="AD323">
        <f>AC322*$G$53</f>
        <v/>
      </c>
      <c r="AE323">
        <f>IF(AE322&gt;1E-9,IF(AE322*(1+$G$54)-MAX($B$9,0.01*AE322+AE322*$G$54)&gt;1E-9,AE322*(1+$G$54)-MAX($B$9,0.01*AE322+AE322*$G$54),0),0)</f>
        <v/>
      </c>
      <c r="AF323">
        <f>AE322*$G$54</f>
        <v/>
      </c>
      <c r="AG323">
        <f>IF(AG322&gt;1E-9,IF(AG322*(1+$G$55)-MAX($B$9,0.01*AG322+AG322*$G$55)&gt;1E-9,AG322*(1+$G$55)-MAX($B$9,0.01*AG322+AG322*$G$55),0),0)</f>
        <v/>
      </c>
      <c r="AH323">
        <f>AG322*$G$55</f>
        <v/>
      </c>
      <c r="AI323">
        <f>G323+K323+O323+S323+W323</f>
        <v/>
      </c>
      <c r="AJ323">
        <f>AI322+AK323-AI323</f>
        <v/>
      </c>
      <c r="AK323">
        <f>H323+L323+P323+T323+X323</f>
        <v/>
      </c>
      <c r="AL323">
        <f>TEXT(EDATE($B$5,D323-1),"mmm yyyy")</f>
        <v/>
      </c>
      <c r="AM323">
        <f>AI323</f>
        <v/>
      </c>
    </row>
    <row r="324">
      <c r="D324" t="n">
        <v>263</v>
      </c>
      <c r="E324">
        <f>IF(G323&gt;0,MAX(0,G323*(1+$G$51)-$H$51),0)</f>
        <v/>
      </c>
      <c r="F324">
        <f>$B$6+IF($D324=$B$8,$B$7,0)</f>
        <v/>
      </c>
      <c r="G324">
        <f>IF(E324-F324&gt;1E-9,E324-F324,0)</f>
        <v/>
      </c>
      <c r="H324">
        <f>G323*$G$51</f>
        <v/>
      </c>
      <c r="I324">
        <f>IF(K323&gt;0,MAX(0,K323*(1+$G$52)-$H$52),0)</f>
        <v/>
      </c>
      <c r="J324">
        <f>MAX(0,F324-E324)</f>
        <v/>
      </c>
      <c r="K324">
        <f>IF(I324-J324&gt;1E-9,I324-J324,0)</f>
        <v/>
      </c>
      <c r="L324">
        <f>K323*$G$52</f>
        <v/>
      </c>
      <c r="M324">
        <f>IF(O323&gt;0,MAX(0,O323*(1+$G$53)-$H$53),0)</f>
        <v/>
      </c>
      <c r="N324">
        <f>MAX(0,J324-I324)</f>
        <v/>
      </c>
      <c r="O324">
        <f>IF(M324-N324&gt;1E-9,M324-N324,0)</f>
        <v/>
      </c>
      <c r="P324">
        <f>O323*$G$53</f>
        <v/>
      </c>
      <c r="Q324">
        <f>IF(S323&gt;0,MAX(0,S323*(1+$G$54)-$H$54),0)</f>
        <v/>
      </c>
      <c r="R324">
        <f>MAX(0,N324-M324)</f>
        <v/>
      </c>
      <c r="S324">
        <f>IF(Q324-R324&gt;1E-9,Q324-R324,0)</f>
        <v/>
      </c>
      <c r="T324">
        <f>S323*$G$54</f>
        <v/>
      </c>
      <c r="U324">
        <f>IF(W323&gt;0,MAX(0,W323*(1+$G$55)-$H$55),0)</f>
        <v/>
      </c>
      <c r="V324">
        <f>MAX(0,R324-Q324)</f>
        <v/>
      </c>
      <c r="W324">
        <f>IF(U324-V324&gt;1E-9,U324-V324,0)</f>
        <v/>
      </c>
      <c r="X324">
        <f>W323*$G$55</f>
        <v/>
      </c>
      <c r="Y324">
        <f>IF(Y323&gt;1E-9,IF(Y323*(1+$G$51)-MAX($B$9,0.01*Y323+Y323*$G$51)&gt;1E-9,Y323*(1+$G$51)-MAX($B$9,0.01*Y323+Y323*$G$51),0),0)</f>
        <v/>
      </c>
      <c r="Z324">
        <f>Y323*$G$51</f>
        <v/>
      </c>
      <c r="AA324">
        <f>IF(AA323&gt;1E-9,IF(AA323*(1+$G$52)-MAX($B$9,0.01*AA323+AA323*$G$52)&gt;1E-9,AA323*(1+$G$52)-MAX($B$9,0.01*AA323+AA323*$G$52),0),0)</f>
        <v/>
      </c>
      <c r="AB324">
        <f>AA323*$G$52</f>
        <v/>
      </c>
      <c r="AC324">
        <f>IF(AC323&gt;1E-9,IF(AC323*(1+$G$53)-MAX($B$9,0.01*AC323+AC323*$G$53)&gt;1E-9,AC323*(1+$G$53)-MAX($B$9,0.01*AC323+AC323*$G$53),0),0)</f>
        <v/>
      </c>
      <c r="AD324">
        <f>AC323*$G$53</f>
        <v/>
      </c>
      <c r="AE324">
        <f>IF(AE323&gt;1E-9,IF(AE323*(1+$G$54)-MAX($B$9,0.01*AE323+AE323*$G$54)&gt;1E-9,AE323*(1+$G$54)-MAX($B$9,0.01*AE323+AE323*$G$54),0),0)</f>
        <v/>
      </c>
      <c r="AF324">
        <f>AE323*$G$54</f>
        <v/>
      </c>
      <c r="AG324">
        <f>IF(AG323&gt;1E-9,IF(AG323*(1+$G$55)-MAX($B$9,0.01*AG323+AG323*$G$55)&gt;1E-9,AG323*(1+$G$55)-MAX($B$9,0.01*AG323+AG323*$G$55),0),0)</f>
        <v/>
      </c>
      <c r="AH324">
        <f>AG323*$G$55</f>
        <v/>
      </c>
      <c r="AI324">
        <f>G324+K324+O324+S324+W324</f>
        <v/>
      </c>
      <c r="AJ324">
        <f>AI323+AK324-AI324</f>
        <v/>
      </c>
      <c r="AK324">
        <f>H324+L324+P324+T324+X324</f>
        <v/>
      </c>
      <c r="AL324">
        <f>TEXT(EDATE($B$5,D324-1),"mmm yyyy")</f>
        <v/>
      </c>
      <c r="AM324">
        <f>AI324</f>
        <v/>
      </c>
    </row>
    <row r="325">
      <c r="D325" t="n">
        <v>264</v>
      </c>
      <c r="E325">
        <f>IF(G324&gt;0,MAX(0,G324*(1+$G$51)-$H$51),0)</f>
        <v/>
      </c>
      <c r="F325">
        <f>$B$6+IF($D325=$B$8,$B$7,0)</f>
        <v/>
      </c>
      <c r="G325">
        <f>IF(E325-F325&gt;1E-9,E325-F325,0)</f>
        <v/>
      </c>
      <c r="H325">
        <f>G324*$G$51</f>
        <v/>
      </c>
      <c r="I325">
        <f>IF(K324&gt;0,MAX(0,K324*(1+$G$52)-$H$52),0)</f>
        <v/>
      </c>
      <c r="J325">
        <f>MAX(0,F325-E325)</f>
        <v/>
      </c>
      <c r="K325">
        <f>IF(I325-J325&gt;1E-9,I325-J325,0)</f>
        <v/>
      </c>
      <c r="L325">
        <f>K324*$G$52</f>
        <v/>
      </c>
      <c r="M325">
        <f>IF(O324&gt;0,MAX(0,O324*(1+$G$53)-$H$53),0)</f>
        <v/>
      </c>
      <c r="N325">
        <f>MAX(0,J325-I325)</f>
        <v/>
      </c>
      <c r="O325">
        <f>IF(M325-N325&gt;1E-9,M325-N325,0)</f>
        <v/>
      </c>
      <c r="P325">
        <f>O324*$G$53</f>
        <v/>
      </c>
      <c r="Q325">
        <f>IF(S324&gt;0,MAX(0,S324*(1+$G$54)-$H$54),0)</f>
        <v/>
      </c>
      <c r="R325">
        <f>MAX(0,N325-M325)</f>
        <v/>
      </c>
      <c r="S325">
        <f>IF(Q325-R325&gt;1E-9,Q325-R325,0)</f>
        <v/>
      </c>
      <c r="T325">
        <f>S324*$G$54</f>
        <v/>
      </c>
      <c r="U325">
        <f>IF(W324&gt;0,MAX(0,W324*(1+$G$55)-$H$55),0)</f>
        <v/>
      </c>
      <c r="V325">
        <f>MAX(0,R325-Q325)</f>
        <v/>
      </c>
      <c r="W325">
        <f>IF(U325-V325&gt;1E-9,U325-V325,0)</f>
        <v/>
      </c>
      <c r="X325">
        <f>W324*$G$55</f>
        <v/>
      </c>
      <c r="Y325">
        <f>IF(Y324&gt;1E-9,IF(Y324*(1+$G$51)-MAX($B$9,0.01*Y324+Y324*$G$51)&gt;1E-9,Y324*(1+$G$51)-MAX($B$9,0.01*Y324+Y324*$G$51),0),0)</f>
        <v/>
      </c>
      <c r="Z325">
        <f>Y324*$G$51</f>
        <v/>
      </c>
      <c r="AA325">
        <f>IF(AA324&gt;1E-9,IF(AA324*(1+$G$52)-MAX($B$9,0.01*AA324+AA324*$G$52)&gt;1E-9,AA324*(1+$G$52)-MAX($B$9,0.01*AA324+AA324*$G$52),0),0)</f>
        <v/>
      </c>
      <c r="AB325">
        <f>AA324*$G$52</f>
        <v/>
      </c>
      <c r="AC325">
        <f>IF(AC324&gt;1E-9,IF(AC324*(1+$G$53)-MAX($B$9,0.01*AC324+AC324*$G$53)&gt;1E-9,AC324*(1+$G$53)-MAX($B$9,0.01*AC324+AC324*$G$53),0),0)</f>
        <v/>
      </c>
      <c r="AD325">
        <f>AC324*$G$53</f>
        <v/>
      </c>
      <c r="AE325">
        <f>IF(AE324&gt;1E-9,IF(AE324*(1+$G$54)-MAX($B$9,0.01*AE324+AE324*$G$54)&gt;1E-9,AE324*(1+$G$54)-MAX($B$9,0.01*AE324+AE324*$G$54),0),0)</f>
        <v/>
      </c>
      <c r="AF325">
        <f>AE324*$G$54</f>
        <v/>
      </c>
      <c r="AG325">
        <f>IF(AG324&gt;1E-9,IF(AG324*(1+$G$55)-MAX($B$9,0.01*AG324+AG324*$G$55)&gt;1E-9,AG324*(1+$G$55)-MAX($B$9,0.01*AG324+AG324*$G$55),0),0)</f>
        <v/>
      </c>
      <c r="AH325">
        <f>AG324*$G$55</f>
        <v/>
      </c>
      <c r="AI325">
        <f>G325+K325+O325+S325+W325</f>
        <v/>
      </c>
      <c r="AJ325">
        <f>AI324+AK325-AI325</f>
        <v/>
      </c>
      <c r="AK325">
        <f>H325+L325+P325+T325+X325</f>
        <v/>
      </c>
      <c r="AL325">
        <f>TEXT(EDATE($B$5,D325-1),"mmm yyyy")</f>
        <v/>
      </c>
      <c r="AM325">
        <f>AI325</f>
        <v/>
      </c>
    </row>
    <row r="326">
      <c r="D326" t="n">
        <v>265</v>
      </c>
      <c r="E326">
        <f>IF(G325&gt;0,MAX(0,G325*(1+$G$51)-$H$51),0)</f>
        <v/>
      </c>
      <c r="F326">
        <f>$B$6+IF($D326=$B$8,$B$7,0)</f>
        <v/>
      </c>
      <c r="G326">
        <f>IF(E326-F326&gt;1E-9,E326-F326,0)</f>
        <v/>
      </c>
      <c r="H326">
        <f>G325*$G$51</f>
        <v/>
      </c>
      <c r="I326">
        <f>IF(K325&gt;0,MAX(0,K325*(1+$G$52)-$H$52),0)</f>
        <v/>
      </c>
      <c r="J326">
        <f>MAX(0,F326-E326)</f>
        <v/>
      </c>
      <c r="K326">
        <f>IF(I326-J326&gt;1E-9,I326-J326,0)</f>
        <v/>
      </c>
      <c r="L326">
        <f>K325*$G$52</f>
        <v/>
      </c>
      <c r="M326">
        <f>IF(O325&gt;0,MAX(0,O325*(1+$G$53)-$H$53),0)</f>
        <v/>
      </c>
      <c r="N326">
        <f>MAX(0,J326-I326)</f>
        <v/>
      </c>
      <c r="O326">
        <f>IF(M326-N326&gt;1E-9,M326-N326,0)</f>
        <v/>
      </c>
      <c r="P326">
        <f>O325*$G$53</f>
        <v/>
      </c>
      <c r="Q326">
        <f>IF(S325&gt;0,MAX(0,S325*(1+$G$54)-$H$54),0)</f>
        <v/>
      </c>
      <c r="R326">
        <f>MAX(0,N326-M326)</f>
        <v/>
      </c>
      <c r="S326">
        <f>IF(Q326-R326&gt;1E-9,Q326-R326,0)</f>
        <v/>
      </c>
      <c r="T326">
        <f>S325*$G$54</f>
        <v/>
      </c>
      <c r="U326">
        <f>IF(W325&gt;0,MAX(0,W325*(1+$G$55)-$H$55),0)</f>
        <v/>
      </c>
      <c r="V326">
        <f>MAX(0,R326-Q326)</f>
        <v/>
      </c>
      <c r="W326">
        <f>IF(U326-V326&gt;1E-9,U326-V326,0)</f>
        <v/>
      </c>
      <c r="X326">
        <f>W325*$G$55</f>
        <v/>
      </c>
      <c r="Y326">
        <f>IF(Y325&gt;1E-9,IF(Y325*(1+$G$51)-MAX($B$9,0.01*Y325+Y325*$G$51)&gt;1E-9,Y325*(1+$G$51)-MAX($B$9,0.01*Y325+Y325*$G$51),0),0)</f>
        <v/>
      </c>
      <c r="Z326">
        <f>Y325*$G$51</f>
        <v/>
      </c>
      <c r="AA326">
        <f>IF(AA325&gt;1E-9,IF(AA325*(1+$G$52)-MAX($B$9,0.01*AA325+AA325*$G$52)&gt;1E-9,AA325*(1+$G$52)-MAX($B$9,0.01*AA325+AA325*$G$52),0),0)</f>
        <v/>
      </c>
      <c r="AB326">
        <f>AA325*$G$52</f>
        <v/>
      </c>
      <c r="AC326">
        <f>IF(AC325&gt;1E-9,IF(AC325*(1+$G$53)-MAX($B$9,0.01*AC325+AC325*$G$53)&gt;1E-9,AC325*(1+$G$53)-MAX($B$9,0.01*AC325+AC325*$G$53),0),0)</f>
        <v/>
      </c>
      <c r="AD326">
        <f>AC325*$G$53</f>
        <v/>
      </c>
      <c r="AE326">
        <f>IF(AE325&gt;1E-9,IF(AE325*(1+$G$54)-MAX($B$9,0.01*AE325+AE325*$G$54)&gt;1E-9,AE325*(1+$G$54)-MAX($B$9,0.01*AE325+AE325*$G$54),0),0)</f>
        <v/>
      </c>
      <c r="AF326">
        <f>AE325*$G$54</f>
        <v/>
      </c>
      <c r="AG326">
        <f>IF(AG325&gt;1E-9,IF(AG325*(1+$G$55)-MAX($B$9,0.01*AG325+AG325*$G$55)&gt;1E-9,AG325*(1+$G$55)-MAX($B$9,0.01*AG325+AG325*$G$55),0),0)</f>
        <v/>
      </c>
      <c r="AH326">
        <f>AG325*$G$55</f>
        <v/>
      </c>
      <c r="AI326">
        <f>G326+K326+O326+S326+W326</f>
        <v/>
      </c>
      <c r="AJ326">
        <f>AI325+AK326-AI326</f>
        <v/>
      </c>
      <c r="AK326">
        <f>H326+L326+P326+T326+X326</f>
        <v/>
      </c>
      <c r="AL326">
        <f>TEXT(EDATE($B$5,D326-1),"mmm yyyy")</f>
        <v/>
      </c>
      <c r="AM326">
        <f>AI326</f>
        <v/>
      </c>
    </row>
    <row r="327">
      <c r="D327" t="n">
        <v>266</v>
      </c>
      <c r="E327">
        <f>IF(G326&gt;0,MAX(0,G326*(1+$G$51)-$H$51),0)</f>
        <v/>
      </c>
      <c r="F327">
        <f>$B$6+IF($D327=$B$8,$B$7,0)</f>
        <v/>
      </c>
      <c r="G327">
        <f>IF(E327-F327&gt;1E-9,E327-F327,0)</f>
        <v/>
      </c>
      <c r="H327">
        <f>G326*$G$51</f>
        <v/>
      </c>
      <c r="I327">
        <f>IF(K326&gt;0,MAX(0,K326*(1+$G$52)-$H$52),0)</f>
        <v/>
      </c>
      <c r="J327">
        <f>MAX(0,F327-E327)</f>
        <v/>
      </c>
      <c r="K327">
        <f>IF(I327-J327&gt;1E-9,I327-J327,0)</f>
        <v/>
      </c>
      <c r="L327">
        <f>K326*$G$52</f>
        <v/>
      </c>
      <c r="M327">
        <f>IF(O326&gt;0,MAX(0,O326*(1+$G$53)-$H$53),0)</f>
        <v/>
      </c>
      <c r="N327">
        <f>MAX(0,J327-I327)</f>
        <v/>
      </c>
      <c r="O327">
        <f>IF(M327-N327&gt;1E-9,M327-N327,0)</f>
        <v/>
      </c>
      <c r="P327">
        <f>O326*$G$53</f>
        <v/>
      </c>
      <c r="Q327">
        <f>IF(S326&gt;0,MAX(0,S326*(1+$G$54)-$H$54),0)</f>
        <v/>
      </c>
      <c r="R327">
        <f>MAX(0,N327-M327)</f>
        <v/>
      </c>
      <c r="S327">
        <f>IF(Q327-R327&gt;1E-9,Q327-R327,0)</f>
        <v/>
      </c>
      <c r="T327">
        <f>S326*$G$54</f>
        <v/>
      </c>
      <c r="U327">
        <f>IF(W326&gt;0,MAX(0,W326*(1+$G$55)-$H$55),0)</f>
        <v/>
      </c>
      <c r="V327">
        <f>MAX(0,R327-Q327)</f>
        <v/>
      </c>
      <c r="W327">
        <f>IF(U327-V327&gt;1E-9,U327-V327,0)</f>
        <v/>
      </c>
      <c r="X327">
        <f>W326*$G$55</f>
        <v/>
      </c>
      <c r="Y327">
        <f>IF(Y326&gt;1E-9,IF(Y326*(1+$G$51)-MAX($B$9,0.01*Y326+Y326*$G$51)&gt;1E-9,Y326*(1+$G$51)-MAX($B$9,0.01*Y326+Y326*$G$51),0),0)</f>
        <v/>
      </c>
      <c r="Z327">
        <f>Y326*$G$51</f>
        <v/>
      </c>
      <c r="AA327">
        <f>IF(AA326&gt;1E-9,IF(AA326*(1+$G$52)-MAX($B$9,0.01*AA326+AA326*$G$52)&gt;1E-9,AA326*(1+$G$52)-MAX($B$9,0.01*AA326+AA326*$G$52),0),0)</f>
        <v/>
      </c>
      <c r="AB327">
        <f>AA326*$G$52</f>
        <v/>
      </c>
      <c r="AC327">
        <f>IF(AC326&gt;1E-9,IF(AC326*(1+$G$53)-MAX($B$9,0.01*AC326+AC326*$G$53)&gt;1E-9,AC326*(1+$G$53)-MAX($B$9,0.01*AC326+AC326*$G$53),0),0)</f>
        <v/>
      </c>
      <c r="AD327">
        <f>AC326*$G$53</f>
        <v/>
      </c>
      <c r="AE327">
        <f>IF(AE326&gt;1E-9,IF(AE326*(1+$G$54)-MAX($B$9,0.01*AE326+AE326*$G$54)&gt;1E-9,AE326*(1+$G$54)-MAX($B$9,0.01*AE326+AE326*$G$54),0),0)</f>
        <v/>
      </c>
      <c r="AF327">
        <f>AE326*$G$54</f>
        <v/>
      </c>
      <c r="AG327">
        <f>IF(AG326&gt;1E-9,IF(AG326*(1+$G$55)-MAX($B$9,0.01*AG326+AG326*$G$55)&gt;1E-9,AG326*(1+$G$55)-MAX($B$9,0.01*AG326+AG326*$G$55),0),0)</f>
        <v/>
      </c>
      <c r="AH327">
        <f>AG326*$G$55</f>
        <v/>
      </c>
      <c r="AI327">
        <f>G327+K327+O327+S327+W327</f>
        <v/>
      </c>
      <c r="AJ327">
        <f>AI326+AK327-AI327</f>
        <v/>
      </c>
      <c r="AK327">
        <f>H327+L327+P327+T327+X327</f>
        <v/>
      </c>
      <c r="AL327">
        <f>TEXT(EDATE($B$5,D327-1),"mmm yyyy")</f>
        <v/>
      </c>
      <c r="AM327">
        <f>AI327</f>
        <v/>
      </c>
    </row>
    <row r="328">
      <c r="D328" t="n">
        <v>267</v>
      </c>
      <c r="E328">
        <f>IF(G327&gt;0,MAX(0,G327*(1+$G$51)-$H$51),0)</f>
        <v/>
      </c>
      <c r="F328">
        <f>$B$6+IF($D328=$B$8,$B$7,0)</f>
        <v/>
      </c>
      <c r="G328">
        <f>IF(E328-F328&gt;1E-9,E328-F328,0)</f>
        <v/>
      </c>
      <c r="H328">
        <f>G327*$G$51</f>
        <v/>
      </c>
      <c r="I328">
        <f>IF(K327&gt;0,MAX(0,K327*(1+$G$52)-$H$52),0)</f>
        <v/>
      </c>
      <c r="J328">
        <f>MAX(0,F328-E328)</f>
        <v/>
      </c>
      <c r="K328">
        <f>IF(I328-J328&gt;1E-9,I328-J328,0)</f>
        <v/>
      </c>
      <c r="L328">
        <f>K327*$G$52</f>
        <v/>
      </c>
      <c r="M328">
        <f>IF(O327&gt;0,MAX(0,O327*(1+$G$53)-$H$53),0)</f>
        <v/>
      </c>
      <c r="N328">
        <f>MAX(0,J328-I328)</f>
        <v/>
      </c>
      <c r="O328">
        <f>IF(M328-N328&gt;1E-9,M328-N328,0)</f>
        <v/>
      </c>
      <c r="P328">
        <f>O327*$G$53</f>
        <v/>
      </c>
      <c r="Q328">
        <f>IF(S327&gt;0,MAX(0,S327*(1+$G$54)-$H$54),0)</f>
        <v/>
      </c>
      <c r="R328">
        <f>MAX(0,N328-M328)</f>
        <v/>
      </c>
      <c r="S328">
        <f>IF(Q328-R328&gt;1E-9,Q328-R328,0)</f>
        <v/>
      </c>
      <c r="T328">
        <f>S327*$G$54</f>
        <v/>
      </c>
      <c r="U328">
        <f>IF(W327&gt;0,MAX(0,W327*(1+$G$55)-$H$55),0)</f>
        <v/>
      </c>
      <c r="V328">
        <f>MAX(0,R328-Q328)</f>
        <v/>
      </c>
      <c r="W328">
        <f>IF(U328-V328&gt;1E-9,U328-V328,0)</f>
        <v/>
      </c>
      <c r="X328">
        <f>W327*$G$55</f>
        <v/>
      </c>
      <c r="Y328">
        <f>IF(Y327&gt;1E-9,IF(Y327*(1+$G$51)-MAX($B$9,0.01*Y327+Y327*$G$51)&gt;1E-9,Y327*(1+$G$51)-MAX($B$9,0.01*Y327+Y327*$G$51),0),0)</f>
        <v/>
      </c>
      <c r="Z328">
        <f>Y327*$G$51</f>
        <v/>
      </c>
      <c r="AA328">
        <f>IF(AA327&gt;1E-9,IF(AA327*(1+$G$52)-MAX($B$9,0.01*AA327+AA327*$G$52)&gt;1E-9,AA327*(1+$G$52)-MAX($B$9,0.01*AA327+AA327*$G$52),0),0)</f>
        <v/>
      </c>
      <c r="AB328">
        <f>AA327*$G$52</f>
        <v/>
      </c>
      <c r="AC328">
        <f>IF(AC327&gt;1E-9,IF(AC327*(1+$G$53)-MAX($B$9,0.01*AC327+AC327*$G$53)&gt;1E-9,AC327*(1+$G$53)-MAX($B$9,0.01*AC327+AC327*$G$53),0),0)</f>
        <v/>
      </c>
      <c r="AD328">
        <f>AC327*$G$53</f>
        <v/>
      </c>
      <c r="AE328">
        <f>IF(AE327&gt;1E-9,IF(AE327*(1+$G$54)-MAX($B$9,0.01*AE327+AE327*$G$54)&gt;1E-9,AE327*(1+$G$54)-MAX($B$9,0.01*AE327+AE327*$G$54),0),0)</f>
        <v/>
      </c>
      <c r="AF328">
        <f>AE327*$G$54</f>
        <v/>
      </c>
      <c r="AG328">
        <f>IF(AG327&gt;1E-9,IF(AG327*(1+$G$55)-MAX($B$9,0.01*AG327+AG327*$G$55)&gt;1E-9,AG327*(1+$G$55)-MAX($B$9,0.01*AG327+AG327*$G$55),0),0)</f>
        <v/>
      </c>
      <c r="AH328">
        <f>AG327*$G$55</f>
        <v/>
      </c>
      <c r="AI328">
        <f>G328+K328+O328+S328+W328</f>
        <v/>
      </c>
      <c r="AJ328">
        <f>AI327+AK328-AI328</f>
        <v/>
      </c>
      <c r="AK328">
        <f>H328+L328+P328+T328+X328</f>
        <v/>
      </c>
      <c r="AL328">
        <f>TEXT(EDATE($B$5,D328-1),"mmm yyyy")</f>
        <v/>
      </c>
      <c r="AM328">
        <f>AI328</f>
        <v/>
      </c>
    </row>
    <row r="329">
      <c r="D329" t="n">
        <v>268</v>
      </c>
      <c r="E329">
        <f>IF(G328&gt;0,MAX(0,G328*(1+$G$51)-$H$51),0)</f>
        <v/>
      </c>
      <c r="F329">
        <f>$B$6+IF($D329=$B$8,$B$7,0)</f>
        <v/>
      </c>
      <c r="G329">
        <f>IF(E329-F329&gt;1E-9,E329-F329,0)</f>
        <v/>
      </c>
      <c r="H329">
        <f>G328*$G$51</f>
        <v/>
      </c>
      <c r="I329">
        <f>IF(K328&gt;0,MAX(0,K328*(1+$G$52)-$H$52),0)</f>
        <v/>
      </c>
      <c r="J329">
        <f>MAX(0,F329-E329)</f>
        <v/>
      </c>
      <c r="K329">
        <f>IF(I329-J329&gt;1E-9,I329-J329,0)</f>
        <v/>
      </c>
      <c r="L329">
        <f>K328*$G$52</f>
        <v/>
      </c>
      <c r="M329">
        <f>IF(O328&gt;0,MAX(0,O328*(1+$G$53)-$H$53),0)</f>
        <v/>
      </c>
      <c r="N329">
        <f>MAX(0,J329-I329)</f>
        <v/>
      </c>
      <c r="O329">
        <f>IF(M329-N329&gt;1E-9,M329-N329,0)</f>
        <v/>
      </c>
      <c r="P329">
        <f>O328*$G$53</f>
        <v/>
      </c>
      <c r="Q329">
        <f>IF(S328&gt;0,MAX(0,S328*(1+$G$54)-$H$54),0)</f>
        <v/>
      </c>
      <c r="R329">
        <f>MAX(0,N329-M329)</f>
        <v/>
      </c>
      <c r="S329">
        <f>IF(Q329-R329&gt;1E-9,Q329-R329,0)</f>
        <v/>
      </c>
      <c r="T329">
        <f>S328*$G$54</f>
        <v/>
      </c>
      <c r="U329">
        <f>IF(W328&gt;0,MAX(0,W328*(1+$G$55)-$H$55),0)</f>
        <v/>
      </c>
      <c r="V329">
        <f>MAX(0,R329-Q329)</f>
        <v/>
      </c>
      <c r="W329">
        <f>IF(U329-V329&gt;1E-9,U329-V329,0)</f>
        <v/>
      </c>
      <c r="X329">
        <f>W328*$G$55</f>
        <v/>
      </c>
      <c r="Y329">
        <f>IF(Y328&gt;1E-9,IF(Y328*(1+$G$51)-MAX($B$9,0.01*Y328+Y328*$G$51)&gt;1E-9,Y328*(1+$G$51)-MAX($B$9,0.01*Y328+Y328*$G$51),0),0)</f>
        <v/>
      </c>
      <c r="Z329">
        <f>Y328*$G$51</f>
        <v/>
      </c>
      <c r="AA329">
        <f>IF(AA328&gt;1E-9,IF(AA328*(1+$G$52)-MAX($B$9,0.01*AA328+AA328*$G$52)&gt;1E-9,AA328*(1+$G$52)-MAX($B$9,0.01*AA328+AA328*$G$52),0),0)</f>
        <v/>
      </c>
      <c r="AB329">
        <f>AA328*$G$52</f>
        <v/>
      </c>
      <c r="AC329">
        <f>IF(AC328&gt;1E-9,IF(AC328*(1+$G$53)-MAX($B$9,0.01*AC328+AC328*$G$53)&gt;1E-9,AC328*(1+$G$53)-MAX($B$9,0.01*AC328+AC328*$G$53),0),0)</f>
        <v/>
      </c>
      <c r="AD329">
        <f>AC328*$G$53</f>
        <v/>
      </c>
      <c r="AE329">
        <f>IF(AE328&gt;1E-9,IF(AE328*(1+$G$54)-MAX($B$9,0.01*AE328+AE328*$G$54)&gt;1E-9,AE328*(1+$G$54)-MAX($B$9,0.01*AE328+AE328*$G$54),0),0)</f>
        <v/>
      </c>
      <c r="AF329">
        <f>AE328*$G$54</f>
        <v/>
      </c>
      <c r="AG329">
        <f>IF(AG328&gt;1E-9,IF(AG328*(1+$G$55)-MAX($B$9,0.01*AG328+AG328*$G$55)&gt;1E-9,AG328*(1+$G$55)-MAX($B$9,0.01*AG328+AG328*$G$55),0),0)</f>
        <v/>
      </c>
      <c r="AH329">
        <f>AG328*$G$55</f>
        <v/>
      </c>
      <c r="AI329">
        <f>G329+K329+O329+S329+W329</f>
        <v/>
      </c>
      <c r="AJ329">
        <f>AI328+AK329-AI329</f>
        <v/>
      </c>
      <c r="AK329">
        <f>H329+L329+P329+T329+X329</f>
        <v/>
      </c>
      <c r="AL329">
        <f>TEXT(EDATE($B$5,D329-1),"mmm yyyy")</f>
        <v/>
      </c>
      <c r="AM329">
        <f>AI329</f>
        <v/>
      </c>
    </row>
    <row r="330">
      <c r="D330" t="n">
        <v>269</v>
      </c>
      <c r="E330">
        <f>IF(G329&gt;0,MAX(0,G329*(1+$G$51)-$H$51),0)</f>
        <v/>
      </c>
      <c r="F330">
        <f>$B$6+IF($D330=$B$8,$B$7,0)</f>
        <v/>
      </c>
      <c r="G330">
        <f>IF(E330-F330&gt;1E-9,E330-F330,0)</f>
        <v/>
      </c>
      <c r="H330">
        <f>G329*$G$51</f>
        <v/>
      </c>
      <c r="I330">
        <f>IF(K329&gt;0,MAX(0,K329*(1+$G$52)-$H$52),0)</f>
        <v/>
      </c>
      <c r="J330">
        <f>MAX(0,F330-E330)</f>
        <v/>
      </c>
      <c r="K330">
        <f>IF(I330-J330&gt;1E-9,I330-J330,0)</f>
        <v/>
      </c>
      <c r="L330">
        <f>K329*$G$52</f>
        <v/>
      </c>
      <c r="M330">
        <f>IF(O329&gt;0,MAX(0,O329*(1+$G$53)-$H$53),0)</f>
        <v/>
      </c>
      <c r="N330">
        <f>MAX(0,J330-I330)</f>
        <v/>
      </c>
      <c r="O330">
        <f>IF(M330-N330&gt;1E-9,M330-N330,0)</f>
        <v/>
      </c>
      <c r="P330">
        <f>O329*$G$53</f>
        <v/>
      </c>
      <c r="Q330">
        <f>IF(S329&gt;0,MAX(0,S329*(1+$G$54)-$H$54),0)</f>
        <v/>
      </c>
      <c r="R330">
        <f>MAX(0,N330-M330)</f>
        <v/>
      </c>
      <c r="S330">
        <f>IF(Q330-R330&gt;1E-9,Q330-R330,0)</f>
        <v/>
      </c>
      <c r="T330">
        <f>S329*$G$54</f>
        <v/>
      </c>
      <c r="U330">
        <f>IF(W329&gt;0,MAX(0,W329*(1+$G$55)-$H$55),0)</f>
        <v/>
      </c>
      <c r="V330">
        <f>MAX(0,R330-Q330)</f>
        <v/>
      </c>
      <c r="W330">
        <f>IF(U330-V330&gt;1E-9,U330-V330,0)</f>
        <v/>
      </c>
      <c r="X330">
        <f>W329*$G$55</f>
        <v/>
      </c>
      <c r="Y330">
        <f>IF(Y329&gt;1E-9,IF(Y329*(1+$G$51)-MAX($B$9,0.01*Y329+Y329*$G$51)&gt;1E-9,Y329*(1+$G$51)-MAX($B$9,0.01*Y329+Y329*$G$51),0),0)</f>
        <v/>
      </c>
      <c r="Z330">
        <f>Y329*$G$51</f>
        <v/>
      </c>
      <c r="AA330">
        <f>IF(AA329&gt;1E-9,IF(AA329*(1+$G$52)-MAX($B$9,0.01*AA329+AA329*$G$52)&gt;1E-9,AA329*(1+$G$52)-MAX($B$9,0.01*AA329+AA329*$G$52),0),0)</f>
        <v/>
      </c>
      <c r="AB330">
        <f>AA329*$G$52</f>
        <v/>
      </c>
      <c r="AC330">
        <f>IF(AC329&gt;1E-9,IF(AC329*(1+$G$53)-MAX($B$9,0.01*AC329+AC329*$G$53)&gt;1E-9,AC329*(1+$G$53)-MAX($B$9,0.01*AC329+AC329*$G$53),0),0)</f>
        <v/>
      </c>
      <c r="AD330">
        <f>AC329*$G$53</f>
        <v/>
      </c>
      <c r="AE330">
        <f>IF(AE329&gt;1E-9,IF(AE329*(1+$G$54)-MAX($B$9,0.01*AE329+AE329*$G$54)&gt;1E-9,AE329*(1+$G$54)-MAX($B$9,0.01*AE329+AE329*$G$54),0),0)</f>
        <v/>
      </c>
      <c r="AF330">
        <f>AE329*$G$54</f>
        <v/>
      </c>
      <c r="AG330">
        <f>IF(AG329&gt;1E-9,IF(AG329*(1+$G$55)-MAX($B$9,0.01*AG329+AG329*$G$55)&gt;1E-9,AG329*(1+$G$55)-MAX($B$9,0.01*AG329+AG329*$G$55),0),0)</f>
        <v/>
      </c>
      <c r="AH330">
        <f>AG329*$G$55</f>
        <v/>
      </c>
      <c r="AI330">
        <f>G330+K330+O330+S330+W330</f>
        <v/>
      </c>
      <c r="AJ330">
        <f>AI329+AK330-AI330</f>
        <v/>
      </c>
      <c r="AK330">
        <f>H330+L330+P330+T330+X330</f>
        <v/>
      </c>
      <c r="AL330">
        <f>TEXT(EDATE($B$5,D330-1),"mmm yyyy")</f>
        <v/>
      </c>
      <c r="AM330">
        <f>AI330</f>
        <v/>
      </c>
    </row>
    <row r="331">
      <c r="D331" t="n">
        <v>270</v>
      </c>
      <c r="E331">
        <f>IF(G330&gt;0,MAX(0,G330*(1+$G$51)-$H$51),0)</f>
        <v/>
      </c>
      <c r="F331">
        <f>$B$6+IF($D331=$B$8,$B$7,0)</f>
        <v/>
      </c>
      <c r="G331">
        <f>IF(E331-F331&gt;1E-9,E331-F331,0)</f>
        <v/>
      </c>
      <c r="H331">
        <f>G330*$G$51</f>
        <v/>
      </c>
      <c r="I331">
        <f>IF(K330&gt;0,MAX(0,K330*(1+$G$52)-$H$52),0)</f>
        <v/>
      </c>
      <c r="J331">
        <f>MAX(0,F331-E331)</f>
        <v/>
      </c>
      <c r="K331">
        <f>IF(I331-J331&gt;1E-9,I331-J331,0)</f>
        <v/>
      </c>
      <c r="L331">
        <f>K330*$G$52</f>
        <v/>
      </c>
      <c r="M331">
        <f>IF(O330&gt;0,MAX(0,O330*(1+$G$53)-$H$53),0)</f>
        <v/>
      </c>
      <c r="N331">
        <f>MAX(0,J331-I331)</f>
        <v/>
      </c>
      <c r="O331">
        <f>IF(M331-N331&gt;1E-9,M331-N331,0)</f>
        <v/>
      </c>
      <c r="P331">
        <f>O330*$G$53</f>
        <v/>
      </c>
      <c r="Q331">
        <f>IF(S330&gt;0,MAX(0,S330*(1+$G$54)-$H$54),0)</f>
        <v/>
      </c>
      <c r="R331">
        <f>MAX(0,N331-M331)</f>
        <v/>
      </c>
      <c r="S331">
        <f>IF(Q331-R331&gt;1E-9,Q331-R331,0)</f>
        <v/>
      </c>
      <c r="T331">
        <f>S330*$G$54</f>
        <v/>
      </c>
      <c r="U331">
        <f>IF(W330&gt;0,MAX(0,W330*(1+$G$55)-$H$55),0)</f>
        <v/>
      </c>
      <c r="V331">
        <f>MAX(0,R331-Q331)</f>
        <v/>
      </c>
      <c r="W331">
        <f>IF(U331-V331&gt;1E-9,U331-V331,0)</f>
        <v/>
      </c>
      <c r="X331">
        <f>W330*$G$55</f>
        <v/>
      </c>
      <c r="Y331">
        <f>IF(Y330&gt;1E-9,IF(Y330*(1+$G$51)-MAX($B$9,0.01*Y330+Y330*$G$51)&gt;1E-9,Y330*(1+$G$51)-MAX($B$9,0.01*Y330+Y330*$G$51),0),0)</f>
        <v/>
      </c>
      <c r="Z331">
        <f>Y330*$G$51</f>
        <v/>
      </c>
      <c r="AA331">
        <f>IF(AA330&gt;1E-9,IF(AA330*(1+$G$52)-MAX($B$9,0.01*AA330+AA330*$G$52)&gt;1E-9,AA330*(1+$G$52)-MAX($B$9,0.01*AA330+AA330*$G$52),0),0)</f>
        <v/>
      </c>
      <c r="AB331">
        <f>AA330*$G$52</f>
        <v/>
      </c>
      <c r="AC331">
        <f>IF(AC330&gt;1E-9,IF(AC330*(1+$G$53)-MAX($B$9,0.01*AC330+AC330*$G$53)&gt;1E-9,AC330*(1+$G$53)-MAX($B$9,0.01*AC330+AC330*$G$53),0),0)</f>
        <v/>
      </c>
      <c r="AD331">
        <f>AC330*$G$53</f>
        <v/>
      </c>
      <c r="AE331">
        <f>IF(AE330&gt;1E-9,IF(AE330*(1+$G$54)-MAX($B$9,0.01*AE330+AE330*$G$54)&gt;1E-9,AE330*(1+$G$54)-MAX($B$9,0.01*AE330+AE330*$G$54),0),0)</f>
        <v/>
      </c>
      <c r="AF331">
        <f>AE330*$G$54</f>
        <v/>
      </c>
      <c r="AG331">
        <f>IF(AG330&gt;1E-9,IF(AG330*(1+$G$55)-MAX($B$9,0.01*AG330+AG330*$G$55)&gt;1E-9,AG330*(1+$G$55)-MAX($B$9,0.01*AG330+AG330*$G$55),0),0)</f>
        <v/>
      </c>
      <c r="AH331">
        <f>AG330*$G$55</f>
        <v/>
      </c>
      <c r="AI331">
        <f>G331+K331+O331+S331+W331</f>
        <v/>
      </c>
      <c r="AJ331">
        <f>AI330+AK331-AI331</f>
        <v/>
      </c>
      <c r="AK331">
        <f>H331+L331+P331+T331+X331</f>
        <v/>
      </c>
      <c r="AL331">
        <f>TEXT(EDATE($B$5,D331-1),"mmm yyyy")</f>
        <v/>
      </c>
      <c r="AM331">
        <f>AI331</f>
        <v/>
      </c>
    </row>
    <row r="332">
      <c r="D332" t="n">
        <v>271</v>
      </c>
      <c r="E332">
        <f>IF(G331&gt;0,MAX(0,G331*(1+$G$51)-$H$51),0)</f>
        <v/>
      </c>
      <c r="F332">
        <f>$B$6+IF($D332=$B$8,$B$7,0)</f>
        <v/>
      </c>
      <c r="G332">
        <f>IF(E332-F332&gt;1E-9,E332-F332,0)</f>
        <v/>
      </c>
      <c r="H332">
        <f>G331*$G$51</f>
        <v/>
      </c>
      <c r="I332">
        <f>IF(K331&gt;0,MAX(0,K331*(1+$G$52)-$H$52),0)</f>
        <v/>
      </c>
      <c r="J332">
        <f>MAX(0,F332-E332)</f>
        <v/>
      </c>
      <c r="K332">
        <f>IF(I332-J332&gt;1E-9,I332-J332,0)</f>
        <v/>
      </c>
      <c r="L332">
        <f>K331*$G$52</f>
        <v/>
      </c>
      <c r="M332">
        <f>IF(O331&gt;0,MAX(0,O331*(1+$G$53)-$H$53),0)</f>
        <v/>
      </c>
      <c r="N332">
        <f>MAX(0,J332-I332)</f>
        <v/>
      </c>
      <c r="O332">
        <f>IF(M332-N332&gt;1E-9,M332-N332,0)</f>
        <v/>
      </c>
      <c r="P332">
        <f>O331*$G$53</f>
        <v/>
      </c>
      <c r="Q332">
        <f>IF(S331&gt;0,MAX(0,S331*(1+$G$54)-$H$54),0)</f>
        <v/>
      </c>
      <c r="R332">
        <f>MAX(0,N332-M332)</f>
        <v/>
      </c>
      <c r="S332">
        <f>IF(Q332-R332&gt;1E-9,Q332-R332,0)</f>
        <v/>
      </c>
      <c r="T332">
        <f>S331*$G$54</f>
        <v/>
      </c>
      <c r="U332">
        <f>IF(W331&gt;0,MAX(0,W331*(1+$G$55)-$H$55),0)</f>
        <v/>
      </c>
      <c r="V332">
        <f>MAX(0,R332-Q332)</f>
        <v/>
      </c>
      <c r="W332">
        <f>IF(U332-V332&gt;1E-9,U332-V332,0)</f>
        <v/>
      </c>
      <c r="X332">
        <f>W331*$G$55</f>
        <v/>
      </c>
      <c r="Y332">
        <f>IF(Y331&gt;1E-9,IF(Y331*(1+$G$51)-MAX($B$9,0.01*Y331+Y331*$G$51)&gt;1E-9,Y331*(1+$G$51)-MAX($B$9,0.01*Y331+Y331*$G$51),0),0)</f>
        <v/>
      </c>
      <c r="Z332">
        <f>Y331*$G$51</f>
        <v/>
      </c>
      <c r="AA332">
        <f>IF(AA331&gt;1E-9,IF(AA331*(1+$G$52)-MAX($B$9,0.01*AA331+AA331*$G$52)&gt;1E-9,AA331*(1+$G$52)-MAX($B$9,0.01*AA331+AA331*$G$52),0),0)</f>
        <v/>
      </c>
      <c r="AB332">
        <f>AA331*$G$52</f>
        <v/>
      </c>
      <c r="AC332">
        <f>IF(AC331&gt;1E-9,IF(AC331*(1+$G$53)-MAX($B$9,0.01*AC331+AC331*$G$53)&gt;1E-9,AC331*(1+$G$53)-MAX($B$9,0.01*AC331+AC331*$G$53),0),0)</f>
        <v/>
      </c>
      <c r="AD332">
        <f>AC331*$G$53</f>
        <v/>
      </c>
      <c r="AE332">
        <f>IF(AE331&gt;1E-9,IF(AE331*(1+$G$54)-MAX($B$9,0.01*AE331+AE331*$G$54)&gt;1E-9,AE331*(1+$G$54)-MAX($B$9,0.01*AE331+AE331*$G$54),0),0)</f>
        <v/>
      </c>
      <c r="AF332">
        <f>AE331*$G$54</f>
        <v/>
      </c>
      <c r="AG332">
        <f>IF(AG331&gt;1E-9,IF(AG331*(1+$G$55)-MAX($B$9,0.01*AG331+AG331*$G$55)&gt;1E-9,AG331*(1+$G$55)-MAX($B$9,0.01*AG331+AG331*$G$55),0),0)</f>
        <v/>
      </c>
      <c r="AH332">
        <f>AG331*$G$55</f>
        <v/>
      </c>
      <c r="AI332">
        <f>G332+K332+O332+S332+W332</f>
        <v/>
      </c>
      <c r="AJ332">
        <f>AI331+AK332-AI332</f>
        <v/>
      </c>
      <c r="AK332">
        <f>H332+L332+P332+T332+X332</f>
        <v/>
      </c>
      <c r="AL332">
        <f>TEXT(EDATE($B$5,D332-1),"mmm yyyy")</f>
        <v/>
      </c>
      <c r="AM332">
        <f>AI332</f>
        <v/>
      </c>
    </row>
    <row r="333">
      <c r="D333" t="n">
        <v>272</v>
      </c>
      <c r="E333">
        <f>IF(G332&gt;0,MAX(0,G332*(1+$G$51)-$H$51),0)</f>
        <v/>
      </c>
      <c r="F333">
        <f>$B$6+IF($D333=$B$8,$B$7,0)</f>
        <v/>
      </c>
      <c r="G333">
        <f>IF(E333-F333&gt;1E-9,E333-F333,0)</f>
        <v/>
      </c>
      <c r="H333">
        <f>G332*$G$51</f>
        <v/>
      </c>
      <c r="I333">
        <f>IF(K332&gt;0,MAX(0,K332*(1+$G$52)-$H$52),0)</f>
        <v/>
      </c>
      <c r="J333">
        <f>MAX(0,F333-E333)</f>
        <v/>
      </c>
      <c r="K333">
        <f>IF(I333-J333&gt;1E-9,I333-J333,0)</f>
        <v/>
      </c>
      <c r="L333">
        <f>K332*$G$52</f>
        <v/>
      </c>
      <c r="M333">
        <f>IF(O332&gt;0,MAX(0,O332*(1+$G$53)-$H$53),0)</f>
        <v/>
      </c>
      <c r="N333">
        <f>MAX(0,J333-I333)</f>
        <v/>
      </c>
      <c r="O333">
        <f>IF(M333-N333&gt;1E-9,M333-N333,0)</f>
        <v/>
      </c>
      <c r="P333">
        <f>O332*$G$53</f>
        <v/>
      </c>
      <c r="Q333">
        <f>IF(S332&gt;0,MAX(0,S332*(1+$G$54)-$H$54),0)</f>
        <v/>
      </c>
      <c r="R333">
        <f>MAX(0,N333-M333)</f>
        <v/>
      </c>
      <c r="S333">
        <f>IF(Q333-R333&gt;1E-9,Q333-R333,0)</f>
        <v/>
      </c>
      <c r="T333">
        <f>S332*$G$54</f>
        <v/>
      </c>
      <c r="U333">
        <f>IF(W332&gt;0,MAX(0,W332*(1+$G$55)-$H$55),0)</f>
        <v/>
      </c>
      <c r="V333">
        <f>MAX(0,R333-Q333)</f>
        <v/>
      </c>
      <c r="W333">
        <f>IF(U333-V333&gt;1E-9,U333-V333,0)</f>
        <v/>
      </c>
      <c r="X333">
        <f>W332*$G$55</f>
        <v/>
      </c>
      <c r="Y333">
        <f>IF(Y332&gt;1E-9,IF(Y332*(1+$G$51)-MAX($B$9,0.01*Y332+Y332*$G$51)&gt;1E-9,Y332*(1+$G$51)-MAX($B$9,0.01*Y332+Y332*$G$51),0),0)</f>
        <v/>
      </c>
      <c r="Z333">
        <f>Y332*$G$51</f>
        <v/>
      </c>
      <c r="AA333">
        <f>IF(AA332&gt;1E-9,IF(AA332*(1+$G$52)-MAX($B$9,0.01*AA332+AA332*$G$52)&gt;1E-9,AA332*(1+$G$52)-MAX($B$9,0.01*AA332+AA332*$G$52),0),0)</f>
        <v/>
      </c>
      <c r="AB333">
        <f>AA332*$G$52</f>
        <v/>
      </c>
      <c r="AC333">
        <f>IF(AC332&gt;1E-9,IF(AC332*(1+$G$53)-MAX($B$9,0.01*AC332+AC332*$G$53)&gt;1E-9,AC332*(1+$G$53)-MAX($B$9,0.01*AC332+AC332*$G$53),0),0)</f>
        <v/>
      </c>
      <c r="AD333">
        <f>AC332*$G$53</f>
        <v/>
      </c>
      <c r="AE333">
        <f>IF(AE332&gt;1E-9,IF(AE332*(1+$G$54)-MAX($B$9,0.01*AE332+AE332*$G$54)&gt;1E-9,AE332*(1+$G$54)-MAX($B$9,0.01*AE332+AE332*$G$54),0),0)</f>
        <v/>
      </c>
      <c r="AF333">
        <f>AE332*$G$54</f>
        <v/>
      </c>
      <c r="AG333">
        <f>IF(AG332&gt;1E-9,IF(AG332*(1+$G$55)-MAX($B$9,0.01*AG332+AG332*$G$55)&gt;1E-9,AG332*(1+$G$55)-MAX($B$9,0.01*AG332+AG332*$G$55),0),0)</f>
        <v/>
      </c>
      <c r="AH333">
        <f>AG332*$G$55</f>
        <v/>
      </c>
      <c r="AI333">
        <f>G333+K333+O333+S333+W333</f>
        <v/>
      </c>
      <c r="AJ333">
        <f>AI332+AK333-AI333</f>
        <v/>
      </c>
      <c r="AK333">
        <f>H333+L333+P333+T333+X333</f>
        <v/>
      </c>
      <c r="AL333">
        <f>TEXT(EDATE($B$5,D333-1),"mmm yyyy")</f>
        <v/>
      </c>
      <c r="AM333">
        <f>AI333</f>
        <v/>
      </c>
    </row>
    <row r="334">
      <c r="D334" t="n">
        <v>273</v>
      </c>
      <c r="E334">
        <f>IF(G333&gt;0,MAX(0,G333*(1+$G$51)-$H$51),0)</f>
        <v/>
      </c>
      <c r="F334">
        <f>$B$6+IF($D334=$B$8,$B$7,0)</f>
        <v/>
      </c>
      <c r="G334">
        <f>IF(E334-F334&gt;1E-9,E334-F334,0)</f>
        <v/>
      </c>
      <c r="H334">
        <f>G333*$G$51</f>
        <v/>
      </c>
      <c r="I334">
        <f>IF(K333&gt;0,MAX(0,K333*(1+$G$52)-$H$52),0)</f>
        <v/>
      </c>
      <c r="J334">
        <f>MAX(0,F334-E334)</f>
        <v/>
      </c>
      <c r="K334">
        <f>IF(I334-J334&gt;1E-9,I334-J334,0)</f>
        <v/>
      </c>
      <c r="L334">
        <f>K333*$G$52</f>
        <v/>
      </c>
      <c r="M334">
        <f>IF(O333&gt;0,MAX(0,O333*(1+$G$53)-$H$53),0)</f>
        <v/>
      </c>
      <c r="N334">
        <f>MAX(0,J334-I334)</f>
        <v/>
      </c>
      <c r="O334">
        <f>IF(M334-N334&gt;1E-9,M334-N334,0)</f>
        <v/>
      </c>
      <c r="P334">
        <f>O333*$G$53</f>
        <v/>
      </c>
      <c r="Q334">
        <f>IF(S333&gt;0,MAX(0,S333*(1+$G$54)-$H$54),0)</f>
        <v/>
      </c>
      <c r="R334">
        <f>MAX(0,N334-M334)</f>
        <v/>
      </c>
      <c r="S334">
        <f>IF(Q334-R334&gt;1E-9,Q334-R334,0)</f>
        <v/>
      </c>
      <c r="T334">
        <f>S333*$G$54</f>
        <v/>
      </c>
      <c r="U334">
        <f>IF(W333&gt;0,MAX(0,W333*(1+$G$55)-$H$55),0)</f>
        <v/>
      </c>
      <c r="V334">
        <f>MAX(0,R334-Q334)</f>
        <v/>
      </c>
      <c r="W334">
        <f>IF(U334-V334&gt;1E-9,U334-V334,0)</f>
        <v/>
      </c>
      <c r="X334">
        <f>W333*$G$55</f>
        <v/>
      </c>
      <c r="Y334">
        <f>IF(Y333&gt;1E-9,IF(Y333*(1+$G$51)-MAX($B$9,0.01*Y333+Y333*$G$51)&gt;1E-9,Y333*(1+$G$51)-MAX($B$9,0.01*Y333+Y333*$G$51),0),0)</f>
        <v/>
      </c>
      <c r="Z334">
        <f>Y333*$G$51</f>
        <v/>
      </c>
      <c r="AA334">
        <f>IF(AA333&gt;1E-9,IF(AA333*(1+$G$52)-MAX($B$9,0.01*AA333+AA333*$G$52)&gt;1E-9,AA333*(1+$G$52)-MAX($B$9,0.01*AA333+AA333*$G$52),0),0)</f>
        <v/>
      </c>
      <c r="AB334">
        <f>AA333*$G$52</f>
        <v/>
      </c>
      <c r="AC334">
        <f>IF(AC333&gt;1E-9,IF(AC333*(1+$G$53)-MAX($B$9,0.01*AC333+AC333*$G$53)&gt;1E-9,AC333*(1+$G$53)-MAX($B$9,0.01*AC333+AC333*$G$53),0),0)</f>
        <v/>
      </c>
      <c r="AD334">
        <f>AC333*$G$53</f>
        <v/>
      </c>
      <c r="AE334">
        <f>IF(AE333&gt;1E-9,IF(AE333*(1+$G$54)-MAX($B$9,0.01*AE333+AE333*$G$54)&gt;1E-9,AE333*(1+$G$54)-MAX($B$9,0.01*AE333+AE333*$G$54),0),0)</f>
        <v/>
      </c>
      <c r="AF334">
        <f>AE333*$G$54</f>
        <v/>
      </c>
      <c r="AG334">
        <f>IF(AG333&gt;1E-9,IF(AG333*(1+$G$55)-MAX($B$9,0.01*AG333+AG333*$G$55)&gt;1E-9,AG333*(1+$G$55)-MAX($B$9,0.01*AG333+AG333*$G$55),0),0)</f>
        <v/>
      </c>
      <c r="AH334">
        <f>AG333*$G$55</f>
        <v/>
      </c>
      <c r="AI334">
        <f>G334+K334+O334+S334+W334</f>
        <v/>
      </c>
      <c r="AJ334">
        <f>AI333+AK334-AI334</f>
        <v/>
      </c>
      <c r="AK334">
        <f>H334+L334+P334+T334+X334</f>
        <v/>
      </c>
      <c r="AL334">
        <f>TEXT(EDATE($B$5,D334-1),"mmm yyyy")</f>
        <v/>
      </c>
      <c r="AM334">
        <f>AI334</f>
        <v/>
      </c>
    </row>
    <row r="335">
      <c r="D335" t="n">
        <v>274</v>
      </c>
      <c r="E335">
        <f>IF(G334&gt;0,MAX(0,G334*(1+$G$51)-$H$51),0)</f>
        <v/>
      </c>
      <c r="F335">
        <f>$B$6+IF($D335=$B$8,$B$7,0)</f>
        <v/>
      </c>
      <c r="G335">
        <f>IF(E335-F335&gt;1E-9,E335-F335,0)</f>
        <v/>
      </c>
      <c r="H335">
        <f>G334*$G$51</f>
        <v/>
      </c>
      <c r="I335">
        <f>IF(K334&gt;0,MAX(0,K334*(1+$G$52)-$H$52),0)</f>
        <v/>
      </c>
      <c r="J335">
        <f>MAX(0,F335-E335)</f>
        <v/>
      </c>
      <c r="K335">
        <f>IF(I335-J335&gt;1E-9,I335-J335,0)</f>
        <v/>
      </c>
      <c r="L335">
        <f>K334*$G$52</f>
        <v/>
      </c>
      <c r="M335">
        <f>IF(O334&gt;0,MAX(0,O334*(1+$G$53)-$H$53),0)</f>
        <v/>
      </c>
      <c r="N335">
        <f>MAX(0,J335-I335)</f>
        <v/>
      </c>
      <c r="O335">
        <f>IF(M335-N335&gt;1E-9,M335-N335,0)</f>
        <v/>
      </c>
      <c r="P335">
        <f>O334*$G$53</f>
        <v/>
      </c>
      <c r="Q335">
        <f>IF(S334&gt;0,MAX(0,S334*(1+$G$54)-$H$54),0)</f>
        <v/>
      </c>
      <c r="R335">
        <f>MAX(0,N335-M335)</f>
        <v/>
      </c>
      <c r="S335">
        <f>IF(Q335-R335&gt;1E-9,Q335-R335,0)</f>
        <v/>
      </c>
      <c r="T335">
        <f>S334*$G$54</f>
        <v/>
      </c>
      <c r="U335">
        <f>IF(W334&gt;0,MAX(0,W334*(1+$G$55)-$H$55),0)</f>
        <v/>
      </c>
      <c r="V335">
        <f>MAX(0,R335-Q335)</f>
        <v/>
      </c>
      <c r="W335">
        <f>IF(U335-V335&gt;1E-9,U335-V335,0)</f>
        <v/>
      </c>
      <c r="X335">
        <f>W334*$G$55</f>
        <v/>
      </c>
      <c r="Y335">
        <f>IF(Y334&gt;1E-9,IF(Y334*(1+$G$51)-MAX($B$9,0.01*Y334+Y334*$G$51)&gt;1E-9,Y334*(1+$G$51)-MAX($B$9,0.01*Y334+Y334*$G$51),0),0)</f>
        <v/>
      </c>
      <c r="Z335">
        <f>Y334*$G$51</f>
        <v/>
      </c>
      <c r="AA335">
        <f>IF(AA334&gt;1E-9,IF(AA334*(1+$G$52)-MAX($B$9,0.01*AA334+AA334*$G$52)&gt;1E-9,AA334*(1+$G$52)-MAX($B$9,0.01*AA334+AA334*$G$52),0),0)</f>
        <v/>
      </c>
      <c r="AB335">
        <f>AA334*$G$52</f>
        <v/>
      </c>
      <c r="AC335">
        <f>IF(AC334&gt;1E-9,IF(AC334*(1+$G$53)-MAX($B$9,0.01*AC334+AC334*$G$53)&gt;1E-9,AC334*(1+$G$53)-MAX($B$9,0.01*AC334+AC334*$G$53),0),0)</f>
        <v/>
      </c>
      <c r="AD335">
        <f>AC334*$G$53</f>
        <v/>
      </c>
      <c r="AE335">
        <f>IF(AE334&gt;1E-9,IF(AE334*(1+$G$54)-MAX($B$9,0.01*AE334+AE334*$G$54)&gt;1E-9,AE334*(1+$G$54)-MAX($B$9,0.01*AE334+AE334*$G$54),0),0)</f>
        <v/>
      </c>
      <c r="AF335">
        <f>AE334*$G$54</f>
        <v/>
      </c>
      <c r="AG335">
        <f>IF(AG334&gt;1E-9,IF(AG334*(1+$G$55)-MAX($B$9,0.01*AG334+AG334*$G$55)&gt;1E-9,AG334*(1+$G$55)-MAX($B$9,0.01*AG334+AG334*$G$55),0),0)</f>
        <v/>
      </c>
      <c r="AH335">
        <f>AG334*$G$55</f>
        <v/>
      </c>
      <c r="AI335">
        <f>G335+K335+O335+S335+W335</f>
        <v/>
      </c>
      <c r="AJ335">
        <f>AI334+AK335-AI335</f>
        <v/>
      </c>
      <c r="AK335">
        <f>H335+L335+P335+T335+X335</f>
        <v/>
      </c>
      <c r="AL335">
        <f>TEXT(EDATE($B$5,D335-1),"mmm yyyy")</f>
        <v/>
      </c>
      <c r="AM335">
        <f>AI335</f>
        <v/>
      </c>
    </row>
    <row r="336">
      <c r="D336" t="n">
        <v>275</v>
      </c>
      <c r="E336">
        <f>IF(G335&gt;0,MAX(0,G335*(1+$G$51)-$H$51),0)</f>
        <v/>
      </c>
      <c r="F336">
        <f>$B$6+IF($D336=$B$8,$B$7,0)</f>
        <v/>
      </c>
      <c r="G336">
        <f>IF(E336-F336&gt;1E-9,E336-F336,0)</f>
        <v/>
      </c>
      <c r="H336">
        <f>G335*$G$51</f>
        <v/>
      </c>
      <c r="I336">
        <f>IF(K335&gt;0,MAX(0,K335*(1+$G$52)-$H$52),0)</f>
        <v/>
      </c>
      <c r="J336">
        <f>MAX(0,F336-E336)</f>
        <v/>
      </c>
      <c r="K336">
        <f>IF(I336-J336&gt;1E-9,I336-J336,0)</f>
        <v/>
      </c>
      <c r="L336">
        <f>K335*$G$52</f>
        <v/>
      </c>
      <c r="M336">
        <f>IF(O335&gt;0,MAX(0,O335*(1+$G$53)-$H$53),0)</f>
        <v/>
      </c>
      <c r="N336">
        <f>MAX(0,J336-I336)</f>
        <v/>
      </c>
      <c r="O336">
        <f>IF(M336-N336&gt;1E-9,M336-N336,0)</f>
        <v/>
      </c>
      <c r="P336">
        <f>O335*$G$53</f>
        <v/>
      </c>
      <c r="Q336">
        <f>IF(S335&gt;0,MAX(0,S335*(1+$G$54)-$H$54),0)</f>
        <v/>
      </c>
      <c r="R336">
        <f>MAX(0,N336-M336)</f>
        <v/>
      </c>
      <c r="S336">
        <f>IF(Q336-R336&gt;1E-9,Q336-R336,0)</f>
        <v/>
      </c>
      <c r="T336">
        <f>S335*$G$54</f>
        <v/>
      </c>
      <c r="U336">
        <f>IF(W335&gt;0,MAX(0,W335*(1+$G$55)-$H$55),0)</f>
        <v/>
      </c>
      <c r="V336">
        <f>MAX(0,R336-Q336)</f>
        <v/>
      </c>
      <c r="W336">
        <f>IF(U336-V336&gt;1E-9,U336-V336,0)</f>
        <v/>
      </c>
      <c r="X336">
        <f>W335*$G$55</f>
        <v/>
      </c>
      <c r="Y336">
        <f>IF(Y335&gt;1E-9,IF(Y335*(1+$G$51)-MAX($B$9,0.01*Y335+Y335*$G$51)&gt;1E-9,Y335*(1+$G$51)-MAX($B$9,0.01*Y335+Y335*$G$51),0),0)</f>
        <v/>
      </c>
      <c r="Z336">
        <f>Y335*$G$51</f>
        <v/>
      </c>
      <c r="AA336">
        <f>IF(AA335&gt;1E-9,IF(AA335*(1+$G$52)-MAX($B$9,0.01*AA335+AA335*$G$52)&gt;1E-9,AA335*(1+$G$52)-MAX($B$9,0.01*AA335+AA335*$G$52),0),0)</f>
        <v/>
      </c>
      <c r="AB336">
        <f>AA335*$G$52</f>
        <v/>
      </c>
      <c r="AC336">
        <f>IF(AC335&gt;1E-9,IF(AC335*(1+$G$53)-MAX($B$9,0.01*AC335+AC335*$G$53)&gt;1E-9,AC335*(1+$G$53)-MAX($B$9,0.01*AC335+AC335*$G$53),0),0)</f>
        <v/>
      </c>
      <c r="AD336">
        <f>AC335*$G$53</f>
        <v/>
      </c>
      <c r="AE336">
        <f>IF(AE335&gt;1E-9,IF(AE335*(1+$G$54)-MAX($B$9,0.01*AE335+AE335*$G$54)&gt;1E-9,AE335*(1+$G$54)-MAX($B$9,0.01*AE335+AE335*$G$54),0),0)</f>
        <v/>
      </c>
      <c r="AF336">
        <f>AE335*$G$54</f>
        <v/>
      </c>
      <c r="AG336">
        <f>IF(AG335&gt;1E-9,IF(AG335*(1+$G$55)-MAX($B$9,0.01*AG335+AG335*$G$55)&gt;1E-9,AG335*(1+$G$55)-MAX($B$9,0.01*AG335+AG335*$G$55),0),0)</f>
        <v/>
      </c>
      <c r="AH336">
        <f>AG335*$G$55</f>
        <v/>
      </c>
      <c r="AI336">
        <f>G336+K336+O336+S336+W336</f>
        <v/>
      </c>
      <c r="AJ336">
        <f>AI335+AK336-AI336</f>
        <v/>
      </c>
      <c r="AK336">
        <f>H336+L336+P336+T336+X336</f>
        <v/>
      </c>
      <c r="AL336">
        <f>TEXT(EDATE($B$5,D336-1),"mmm yyyy")</f>
        <v/>
      </c>
      <c r="AM336">
        <f>AI336</f>
        <v/>
      </c>
    </row>
    <row r="337">
      <c r="D337" t="n">
        <v>276</v>
      </c>
      <c r="E337">
        <f>IF(G336&gt;0,MAX(0,G336*(1+$G$51)-$H$51),0)</f>
        <v/>
      </c>
      <c r="F337">
        <f>$B$6+IF($D337=$B$8,$B$7,0)</f>
        <v/>
      </c>
      <c r="G337">
        <f>IF(E337-F337&gt;1E-9,E337-F337,0)</f>
        <v/>
      </c>
      <c r="H337">
        <f>G336*$G$51</f>
        <v/>
      </c>
      <c r="I337">
        <f>IF(K336&gt;0,MAX(0,K336*(1+$G$52)-$H$52),0)</f>
        <v/>
      </c>
      <c r="J337">
        <f>MAX(0,F337-E337)</f>
        <v/>
      </c>
      <c r="K337">
        <f>IF(I337-J337&gt;1E-9,I337-J337,0)</f>
        <v/>
      </c>
      <c r="L337">
        <f>K336*$G$52</f>
        <v/>
      </c>
      <c r="M337">
        <f>IF(O336&gt;0,MAX(0,O336*(1+$G$53)-$H$53),0)</f>
        <v/>
      </c>
      <c r="N337">
        <f>MAX(0,J337-I337)</f>
        <v/>
      </c>
      <c r="O337">
        <f>IF(M337-N337&gt;1E-9,M337-N337,0)</f>
        <v/>
      </c>
      <c r="P337">
        <f>O336*$G$53</f>
        <v/>
      </c>
      <c r="Q337">
        <f>IF(S336&gt;0,MAX(0,S336*(1+$G$54)-$H$54),0)</f>
        <v/>
      </c>
      <c r="R337">
        <f>MAX(0,N337-M337)</f>
        <v/>
      </c>
      <c r="S337">
        <f>IF(Q337-R337&gt;1E-9,Q337-R337,0)</f>
        <v/>
      </c>
      <c r="T337">
        <f>S336*$G$54</f>
        <v/>
      </c>
      <c r="U337">
        <f>IF(W336&gt;0,MAX(0,W336*(1+$G$55)-$H$55),0)</f>
        <v/>
      </c>
      <c r="V337">
        <f>MAX(0,R337-Q337)</f>
        <v/>
      </c>
      <c r="W337">
        <f>IF(U337-V337&gt;1E-9,U337-V337,0)</f>
        <v/>
      </c>
      <c r="X337">
        <f>W336*$G$55</f>
        <v/>
      </c>
      <c r="Y337">
        <f>IF(Y336&gt;1E-9,IF(Y336*(1+$G$51)-MAX($B$9,0.01*Y336+Y336*$G$51)&gt;1E-9,Y336*(1+$G$51)-MAX($B$9,0.01*Y336+Y336*$G$51),0),0)</f>
        <v/>
      </c>
      <c r="Z337">
        <f>Y336*$G$51</f>
        <v/>
      </c>
      <c r="AA337">
        <f>IF(AA336&gt;1E-9,IF(AA336*(1+$G$52)-MAX($B$9,0.01*AA336+AA336*$G$52)&gt;1E-9,AA336*(1+$G$52)-MAX($B$9,0.01*AA336+AA336*$G$52),0),0)</f>
        <v/>
      </c>
      <c r="AB337">
        <f>AA336*$G$52</f>
        <v/>
      </c>
      <c r="AC337">
        <f>IF(AC336&gt;1E-9,IF(AC336*(1+$G$53)-MAX($B$9,0.01*AC336+AC336*$G$53)&gt;1E-9,AC336*(1+$G$53)-MAX($B$9,0.01*AC336+AC336*$G$53),0),0)</f>
        <v/>
      </c>
      <c r="AD337">
        <f>AC336*$G$53</f>
        <v/>
      </c>
      <c r="AE337">
        <f>IF(AE336&gt;1E-9,IF(AE336*(1+$G$54)-MAX($B$9,0.01*AE336+AE336*$G$54)&gt;1E-9,AE336*(1+$G$54)-MAX($B$9,0.01*AE336+AE336*$G$54),0),0)</f>
        <v/>
      </c>
      <c r="AF337">
        <f>AE336*$G$54</f>
        <v/>
      </c>
      <c r="AG337">
        <f>IF(AG336&gt;1E-9,IF(AG336*(1+$G$55)-MAX($B$9,0.01*AG336+AG336*$G$55)&gt;1E-9,AG336*(1+$G$55)-MAX($B$9,0.01*AG336+AG336*$G$55),0),0)</f>
        <v/>
      </c>
      <c r="AH337">
        <f>AG336*$G$55</f>
        <v/>
      </c>
      <c r="AI337">
        <f>G337+K337+O337+S337+W337</f>
        <v/>
      </c>
      <c r="AJ337">
        <f>AI336+AK337-AI337</f>
        <v/>
      </c>
      <c r="AK337">
        <f>H337+L337+P337+T337+X337</f>
        <v/>
      </c>
      <c r="AL337">
        <f>TEXT(EDATE($B$5,D337-1),"mmm yyyy")</f>
        <v/>
      </c>
      <c r="AM337">
        <f>AI337</f>
        <v/>
      </c>
    </row>
    <row r="338">
      <c r="D338" t="n">
        <v>277</v>
      </c>
      <c r="E338">
        <f>IF(G337&gt;0,MAX(0,G337*(1+$G$51)-$H$51),0)</f>
        <v/>
      </c>
      <c r="F338">
        <f>$B$6+IF($D338=$B$8,$B$7,0)</f>
        <v/>
      </c>
      <c r="G338">
        <f>IF(E338-F338&gt;1E-9,E338-F338,0)</f>
        <v/>
      </c>
      <c r="H338">
        <f>G337*$G$51</f>
        <v/>
      </c>
      <c r="I338">
        <f>IF(K337&gt;0,MAX(0,K337*(1+$G$52)-$H$52),0)</f>
        <v/>
      </c>
      <c r="J338">
        <f>MAX(0,F338-E338)</f>
        <v/>
      </c>
      <c r="K338">
        <f>IF(I338-J338&gt;1E-9,I338-J338,0)</f>
        <v/>
      </c>
      <c r="L338">
        <f>K337*$G$52</f>
        <v/>
      </c>
      <c r="M338">
        <f>IF(O337&gt;0,MAX(0,O337*(1+$G$53)-$H$53),0)</f>
        <v/>
      </c>
      <c r="N338">
        <f>MAX(0,J338-I338)</f>
        <v/>
      </c>
      <c r="O338">
        <f>IF(M338-N338&gt;1E-9,M338-N338,0)</f>
        <v/>
      </c>
      <c r="P338">
        <f>O337*$G$53</f>
        <v/>
      </c>
      <c r="Q338">
        <f>IF(S337&gt;0,MAX(0,S337*(1+$G$54)-$H$54),0)</f>
        <v/>
      </c>
      <c r="R338">
        <f>MAX(0,N338-M338)</f>
        <v/>
      </c>
      <c r="S338">
        <f>IF(Q338-R338&gt;1E-9,Q338-R338,0)</f>
        <v/>
      </c>
      <c r="T338">
        <f>S337*$G$54</f>
        <v/>
      </c>
      <c r="U338">
        <f>IF(W337&gt;0,MAX(0,W337*(1+$G$55)-$H$55),0)</f>
        <v/>
      </c>
      <c r="V338">
        <f>MAX(0,R338-Q338)</f>
        <v/>
      </c>
      <c r="W338">
        <f>IF(U338-V338&gt;1E-9,U338-V338,0)</f>
        <v/>
      </c>
      <c r="X338">
        <f>W337*$G$55</f>
        <v/>
      </c>
      <c r="Y338">
        <f>IF(Y337&gt;1E-9,IF(Y337*(1+$G$51)-MAX($B$9,0.01*Y337+Y337*$G$51)&gt;1E-9,Y337*(1+$G$51)-MAX($B$9,0.01*Y337+Y337*$G$51),0),0)</f>
        <v/>
      </c>
      <c r="Z338">
        <f>Y337*$G$51</f>
        <v/>
      </c>
      <c r="AA338">
        <f>IF(AA337&gt;1E-9,IF(AA337*(1+$G$52)-MAX($B$9,0.01*AA337+AA337*$G$52)&gt;1E-9,AA337*(1+$G$52)-MAX($B$9,0.01*AA337+AA337*$G$52),0),0)</f>
        <v/>
      </c>
      <c r="AB338">
        <f>AA337*$G$52</f>
        <v/>
      </c>
      <c r="AC338">
        <f>IF(AC337&gt;1E-9,IF(AC337*(1+$G$53)-MAX($B$9,0.01*AC337+AC337*$G$53)&gt;1E-9,AC337*(1+$G$53)-MAX($B$9,0.01*AC337+AC337*$G$53),0),0)</f>
        <v/>
      </c>
      <c r="AD338">
        <f>AC337*$G$53</f>
        <v/>
      </c>
      <c r="AE338">
        <f>IF(AE337&gt;1E-9,IF(AE337*(1+$G$54)-MAX($B$9,0.01*AE337+AE337*$G$54)&gt;1E-9,AE337*(1+$G$54)-MAX($B$9,0.01*AE337+AE337*$G$54),0),0)</f>
        <v/>
      </c>
      <c r="AF338">
        <f>AE337*$G$54</f>
        <v/>
      </c>
      <c r="AG338">
        <f>IF(AG337&gt;1E-9,IF(AG337*(1+$G$55)-MAX($B$9,0.01*AG337+AG337*$G$55)&gt;1E-9,AG337*(1+$G$55)-MAX($B$9,0.01*AG337+AG337*$G$55),0),0)</f>
        <v/>
      </c>
      <c r="AH338">
        <f>AG337*$G$55</f>
        <v/>
      </c>
      <c r="AI338">
        <f>G338+K338+O338+S338+W338</f>
        <v/>
      </c>
      <c r="AJ338">
        <f>AI337+AK338-AI338</f>
        <v/>
      </c>
      <c r="AK338">
        <f>H338+L338+P338+T338+X338</f>
        <v/>
      </c>
      <c r="AL338">
        <f>TEXT(EDATE($B$5,D338-1),"mmm yyyy")</f>
        <v/>
      </c>
      <c r="AM338">
        <f>AI338</f>
        <v/>
      </c>
    </row>
    <row r="339">
      <c r="D339" t="n">
        <v>278</v>
      </c>
      <c r="E339">
        <f>IF(G338&gt;0,MAX(0,G338*(1+$G$51)-$H$51),0)</f>
        <v/>
      </c>
      <c r="F339">
        <f>$B$6+IF($D339=$B$8,$B$7,0)</f>
        <v/>
      </c>
      <c r="G339">
        <f>IF(E339-F339&gt;1E-9,E339-F339,0)</f>
        <v/>
      </c>
      <c r="H339">
        <f>G338*$G$51</f>
        <v/>
      </c>
      <c r="I339">
        <f>IF(K338&gt;0,MAX(0,K338*(1+$G$52)-$H$52),0)</f>
        <v/>
      </c>
      <c r="J339">
        <f>MAX(0,F339-E339)</f>
        <v/>
      </c>
      <c r="K339">
        <f>IF(I339-J339&gt;1E-9,I339-J339,0)</f>
        <v/>
      </c>
      <c r="L339">
        <f>K338*$G$52</f>
        <v/>
      </c>
      <c r="M339">
        <f>IF(O338&gt;0,MAX(0,O338*(1+$G$53)-$H$53),0)</f>
        <v/>
      </c>
      <c r="N339">
        <f>MAX(0,J339-I339)</f>
        <v/>
      </c>
      <c r="O339">
        <f>IF(M339-N339&gt;1E-9,M339-N339,0)</f>
        <v/>
      </c>
      <c r="P339">
        <f>O338*$G$53</f>
        <v/>
      </c>
      <c r="Q339">
        <f>IF(S338&gt;0,MAX(0,S338*(1+$G$54)-$H$54),0)</f>
        <v/>
      </c>
      <c r="R339">
        <f>MAX(0,N339-M339)</f>
        <v/>
      </c>
      <c r="S339">
        <f>IF(Q339-R339&gt;1E-9,Q339-R339,0)</f>
        <v/>
      </c>
      <c r="T339">
        <f>S338*$G$54</f>
        <v/>
      </c>
      <c r="U339">
        <f>IF(W338&gt;0,MAX(0,W338*(1+$G$55)-$H$55),0)</f>
        <v/>
      </c>
      <c r="V339">
        <f>MAX(0,R339-Q339)</f>
        <v/>
      </c>
      <c r="W339">
        <f>IF(U339-V339&gt;1E-9,U339-V339,0)</f>
        <v/>
      </c>
      <c r="X339">
        <f>W338*$G$55</f>
        <v/>
      </c>
      <c r="Y339">
        <f>IF(Y338&gt;1E-9,IF(Y338*(1+$G$51)-MAX($B$9,0.01*Y338+Y338*$G$51)&gt;1E-9,Y338*(1+$G$51)-MAX($B$9,0.01*Y338+Y338*$G$51),0),0)</f>
        <v/>
      </c>
      <c r="Z339">
        <f>Y338*$G$51</f>
        <v/>
      </c>
      <c r="AA339">
        <f>IF(AA338&gt;1E-9,IF(AA338*(1+$G$52)-MAX($B$9,0.01*AA338+AA338*$G$52)&gt;1E-9,AA338*(1+$G$52)-MAX($B$9,0.01*AA338+AA338*$G$52),0),0)</f>
        <v/>
      </c>
      <c r="AB339">
        <f>AA338*$G$52</f>
        <v/>
      </c>
      <c r="AC339">
        <f>IF(AC338&gt;1E-9,IF(AC338*(1+$G$53)-MAX($B$9,0.01*AC338+AC338*$G$53)&gt;1E-9,AC338*(1+$G$53)-MAX($B$9,0.01*AC338+AC338*$G$53),0),0)</f>
        <v/>
      </c>
      <c r="AD339">
        <f>AC338*$G$53</f>
        <v/>
      </c>
      <c r="AE339">
        <f>IF(AE338&gt;1E-9,IF(AE338*(1+$G$54)-MAX($B$9,0.01*AE338+AE338*$G$54)&gt;1E-9,AE338*(1+$G$54)-MAX($B$9,0.01*AE338+AE338*$G$54),0),0)</f>
        <v/>
      </c>
      <c r="AF339">
        <f>AE338*$G$54</f>
        <v/>
      </c>
      <c r="AG339">
        <f>IF(AG338&gt;1E-9,IF(AG338*(1+$G$55)-MAX($B$9,0.01*AG338+AG338*$G$55)&gt;1E-9,AG338*(1+$G$55)-MAX($B$9,0.01*AG338+AG338*$G$55),0),0)</f>
        <v/>
      </c>
      <c r="AH339">
        <f>AG338*$G$55</f>
        <v/>
      </c>
      <c r="AI339">
        <f>G339+K339+O339+S339+W339</f>
        <v/>
      </c>
      <c r="AJ339">
        <f>AI338+AK339-AI339</f>
        <v/>
      </c>
      <c r="AK339">
        <f>H339+L339+P339+T339+X339</f>
        <v/>
      </c>
      <c r="AL339">
        <f>TEXT(EDATE($B$5,D339-1),"mmm yyyy")</f>
        <v/>
      </c>
      <c r="AM339">
        <f>AI339</f>
        <v/>
      </c>
    </row>
    <row r="340">
      <c r="D340" t="n">
        <v>279</v>
      </c>
      <c r="E340">
        <f>IF(G339&gt;0,MAX(0,G339*(1+$G$51)-$H$51),0)</f>
        <v/>
      </c>
      <c r="F340">
        <f>$B$6+IF($D340=$B$8,$B$7,0)</f>
        <v/>
      </c>
      <c r="G340">
        <f>IF(E340-F340&gt;1E-9,E340-F340,0)</f>
        <v/>
      </c>
      <c r="H340">
        <f>G339*$G$51</f>
        <v/>
      </c>
      <c r="I340">
        <f>IF(K339&gt;0,MAX(0,K339*(1+$G$52)-$H$52),0)</f>
        <v/>
      </c>
      <c r="J340">
        <f>MAX(0,F340-E340)</f>
        <v/>
      </c>
      <c r="K340">
        <f>IF(I340-J340&gt;1E-9,I340-J340,0)</f>
        <v/>
      </c>
      <c r="L340">
        <f>K339*$G$52</f>
        <v/>
      </c>
      <c r="M340">
        <f>IF(O339&gt;0,MAX(0,O339*(1+$G$53)-$H$53),0)</f>
        <v/>
      </c>
      <c r="N340">
        <f>MAX(0,J340-I340)</f>
        <v/>
      </c>
      <c r="O340">
        <f>IF(M340-N340&gt;1E-9,M340-N340,0)</f>
        <v/>
      </c>
      <c r="P340">
        <f>O339*$G$53</f>
        <v/>
      </c>
      <c r="Q340">
        <f>IF(S339&gt;0,MAX(0,S339*(1+$G$54)-$H$54),0)</f>
        <v/>
      </c>
      <c r="R340">
        <f>MAX(0,N340-M340)</f>
        <v/>
      </c>
      <c r="S340">
        <f>IF(Q340-R340&gt;1E-9,Q340-R340,0)</f>
        <v/>
      </c>
      <c r="T340">
        <f>S339*$G$54</f>
        <v/>
      </c>
      <c r="U340">
        <f>IF(W339&gt;0,MAX(0,W339*(1+$G$55)-$H$55),0)</f>
        <v/>
      </c>
      <c r="V340">
        <f>MAX(0,R340-Q340)</f>
        <v/>
      </c>
      <c r="W340">
        <f>IF(U340-V340&gt;1E-9,U340-V340,0)</f>
        <v/>
      </c>
      <c r="X340">
        <f>W339*$G$55</f>
        <v/>
      </c>
      <c r="Y340">
        <f>IF(Y339&gt;1E-9,IF(Y339*(1+$G$51)-MAX($B$9,0.01*Y339+Y339*$G$51)&gt;1E-9,Y339*(1+$G$51)-MAX($B$9,0.01*Y339+Y339*$G$51),0),0)</f>
        <v/>
      </c>
      <c r="Z340">
        <f>Y339*$G$51</f>
        <v/>
      </c>
      <c r="AA340">
        <f>IF(AA339&gt;1E-9,IF(AA339*(1+$G$52)-MAX($B$9,0.01*AA339+AA339*$G$52)&gt;1E-9,AA339*(1+$G$52)-MAX($B$9,0.01*AA339+AA339*$G$52),0),0)</f>
        <v/>
      </c>
      <c r="AB340">
        <f>AA339*$G$52</f>
        <v/>
      </c>
      <c r="AC340">
        <f>IF(AC339&gt;1E-9,IF(AC339*(1+$G$53)-MAX($B$9,0.01*AC339+AC339*$G$53)&gt;1E-9,AC339*(1+$G$53)-MAX($B$9,0.01*AC339+AC339*$G$53),0),0)</f>
        <v/>
      </c>
      <c r="AD340">
        <f>AC339*$G$53</f>
        <v/>
      </c>
      <c r="AE340">
        <f>IF(AE339&gt;1E-9,IF(AE339*(1+$G$54)-MAX($B$9,0.01*AE339+AE339*$G$54)&gt;1E-9,AE339*(1+$G$54)-MAX($B$9,0.01*AE339+AE339*$G$54),0),0)</f>
        <v/>
      </c>
      <c r="AF340">
        <f>AE339*$G$54</f>
        <v/>
      </c>
      <c r="AG340">
        <f>IF(AG339&gt;1E-9,IF(AG339*(1+$G$55)-MAX($B$9,0.01*AG339+AG339*$G$55)&gt;1E-9,AG339*(1+$G$55)-MAX($B$9,0.01*AG339+AG339*$G$55),0),0)</f>
        <v/>
      </c>
      <c r="AH340">
        <f>AG339*$G$55</f>
        <v/>
      </c>
      <c r="AI340">
        <f>G340+K340+O340+S340+W340</f>
        <v/>
      </c>
      <c r="AJ340">
        <f>AI339+AK340-AI340</f>
        <v/>
      </c>
      <c r="AK340">
        <f>H340+L340+P340+T340+X340</f>
        <v/>
      </c>
      <c r="AL340">
        <f>TEXT(EDATE($B$5,D340-1),"mmm yyyy")</f>
        <v/>
      </c>
      <c r="AM340">
        <f>AI340</f>
        <v/>
      </c>
    </row>
    <row r="341">
      <c r="D341" t="n">
        <v>280</v>
      </c>
      <c r="E341">
        <f>IF(G340&gt;0,MAX(0,G340*(1+$G$51)-$H$51),0)</f>
        <v/>
      </c>
      <c r="F341">
        <f>$B$6+IF($D341=$B$8,$B$7,0)</f>
        <v/>
      </c>
      <c r="G341">
        <f>IF(E341-F341&gt;1E-9,E341-F341,0)</f>
        <v/>
      </c>
      <c r="H341">
        <f>G340*$G$51</f>
        <v/>
      </c>
      <c r="I341">
        <f>IF(K340&gt;0,MAX(0,K340*(1+$G$52)-$H$52),0)</f>
        <v/>
      </c>
      <c r="J341">
        <f>MAX(0,F341-E341)</f>
        <v/>
      </c>
      <c r="K341">
        <f>IF(I341-J341&gt;1E-9,I341-J341,0)</f>
        <v/>
      </c>
      <c r="L341">
        <f>K340*$G$52</f>
        <v/>
      </c>
      <c r="M341">
        <f>IF(O340&gt;0,MAX(0,O340*(1+$G$53)-$H$53),0)</f>
        <v/>
      </c>
      <c r="N341">
        <f>MAX(0,J341-I341)</f>
        <v/>
      </c>
      <c r="O341">
        <f>IF(M341-N341&gt;1E-9,M341-N341,0)</f>
        <v/>
      </c>
      <c r="P341">
        <f>O340*$G$53</f>
        <v/>
      </c>
      <c r="Q341">
        <f>IF(S340&gt;0,MAX(0,S340*(1+$G$54)-$H$54),0)</f>
        <v/>
      </c>
      <c r="R341">
        <f>MAX(0,N341-M341)</f>
        <v/>
      </c>
      <c r="S341">
        <f>IF(Q341-R341&gt;1E-9,Q341-R341,0)</f>
        <v/>
      </c>
      <c r="T341">
        <f>S340*$G$54</f>
        <v/>
      </c>
      <c r="U341">
        <f>IF(W340&gt;0,MAX(0,W340*(1+$G$55)-$H$55),0)</f>
        <v/>
      </c>
      <c r="V341">
        <f>MAX(0,R341-Q341)</f>
        <v/>
      </c>
      <c r="W341">
        <f>IF(U341-V341&gt;1E-9,U341-V341,0)</f>
        <v/>
      </c>
      <c r="X341">
        <f>W340*$G$55</f>
        <v/>
      </c>
      <c r="Y341">
        <f>IF(Y340&gt;1E-9,IF(Y340*(1+$G$51)-MAX($B$9,0.01*Y340+Y340*$G$51)&gt;1E-9,Y340*(1+$G$51)-MAX($B$9,0.01*Y340+Y340*$G$51),0),0)</f>
        <v/>
      </c>
      <c r="Z341">
        <f>Y340*$G$51</f>
        <v/>
      </c>
      <c r="AA341">
        <f>IF(AA340&gt;1E-9,IF(AA340*(1+$G$52)-MAX($B$9,0.01*AA340+AA340*$G$52)&gt;1E-9,AA340*(1+$G$52)-MAX($B$9,0.01*AA340+AA340*$G$52),0),0)</f>
        <v/>
      </c>
      <c r="AB341">
        <f>AA340*$G$52</f>
        <v/>
      </c>
      <c r="AC341">
        <f>IF(AC340&gt;1E-9,IF(AC340*(1+$G$53)-MAX($B$9,0.01*AC340+AC340*$G$53)&gt;1E-9,AC340*(1+$G$53)-MAX($B$9,0.01*AC340+AC340*$G$53),0),0)</f>
        <v/>
      </c>
      <c r="AD341">
        <f>AC340*$G$53</f>
        <v/>
      </c>
      <c r="AE341">
        <f>IF(AE340&gt;1E-9,IF(AE340*(1+$G$54)-MAX($B$9,0.01*AE340+AE340*$G$54)&gt;1E-9,AE340*(1+$G$54)-MAX($B$9,0.01*AE340+AE340*$G$54),0),0)</f>
        <v/>
      </c>
      <c r="AF341">
        <f>AE340*$G$54</f>
        <v/>
      </c>
      <c r="AG341">
        <f>IF(AG340&gt;1E-9,IF(AG340*(1+$G$55)-MAX($B$9,0.01*AG340+AG340*$G$55)&gt;1E-9,AG340*(1+$G$55)-MAX($B$9,0.01*AG340+AG340*$G$55),0),0)</f>
        <v/>
      </c>
      <c r="AH341">
        <f>AG340*$G$55</f>
        <v/>
      </c>
      <c r="AI341">
        <f>G341+K341+O341+S341+W341</f>
        <v/>
      </c>
      <c r="AJ341">
        <f>AI340+AK341-AI341</f>
        <v/>
      </c>
      <c r="AK341">
        <f>H341+L341+P341+T341+X341</f>
        <v/>
      </c>
      <c r="AL341">
        <f>TEXT(EDATE($B$5,D341-1),"mmm yyyy")</f>
        <v/>
      </c>
      <c r="AM341">
        <f>AI341</f>
        <v/>
      </c>
    </row>
    <row r="342">
      <c r="D342" t="n">
        <v>281</v>
      </c>
      <c r="E342">
        <f>IF(G341&gt;0,MAX(0,G341*(1+$G$51)-$H$51),0)</f>
        <v/>
      </c>
      <c r="F342">
        <f>$B$6+IF($D342=$B$8,$B$7,0)</f>
        <v/>
      </c>
      <c r="G342">
        <f>IF(E342-F342&gt;1E-9,E342-F342,0)</f>
        <v/>
      </c>
      <c r="H342">
        <f>G341*$G$51</f>
        <v/>
      </c>
      <c r="I342">
        <f>IF(K341&gt;0,MAX(0,K341*(1+$G$52)-$H$52),0)</f>
        <v/>
      </c>
      <c r="J342">
        <f>MAX(0,F342-E342)</f>
        <v/>
      </c>
      <c r="K342">
        <f>IF(I342-J342&gt;1E-9,I342-J342,0)</f>
        <v/>
      </c>
      <c r="L342">
        <f>K341*$G$52</f>
        <v/>
      </c>
      <c r="M342">
        <f>IF(O341&gt;0,MAX(0,O341*(1+$G$53)-$H$53),0)</f>
        <v/>
      </c>
      <c r="N342">
        <f>MAX(0,J342-I342)</f>
        <v/>
      </c>
      <c r="O342">
        <f>IF(M342-N342&gt;1E-9,M342-N342,0)</f>
        <v/>
      </c>
      <c r="P342">
        <f>O341*$G$53</f>
        <v/>
      </c>
      <c r="Q342">
        <f>IF(S341&gt;0,MAX(0,S341*(1+$G$54)-$H$54),0)</f>
        <v/>
      </c>
      <c r="R342">
        <f>MAX(0,N342-M342)</f>
        <v/>
      </c>
      <c r="S342">
        <f>IF(Q342-R342&gt;1E-9,Q342-R342,0)</f>
        <v/>
      </c>
      <c r="T342">
        <f>S341*$G$54</f>
        <v/>
      </c>
      <c r="U342">
        <f>IF(W341&gt;0,MAX(0,W341*(1+$G$55)-$H$55),0)</f>
        <v/>
      </c>
      <c r="V342">
        <f>MAX(0,R342-Q342)</f>
        <v/>
      </c>
      <c r="W342">
        <f>IF(U342-V342&gt;1E-9,U342-V342,0)</f>
        <v/>
      </c>
      <c r="X342">
        <f>W341*$G$55</f>
        <v/>
      </c>
      <c r="Y342">
        <f>IF(Y341&gt;1E-9,IF(Y341*(1+$G$51)-MAX($B$9,0.01*Y341+Y341*$G$51)&gt;1E-9,Y341*(1+$G$51)-MAX($B$9,0.01*Y341+Y341*$G$51),0),0)</f>
        <v/>
      </c>
      <c r="Z342">
        <f>Y341*$G$51</f>
        <v/>
      </c>
      <c r="AA342">
        <f>IF(AA341&gt;1E-9,IF(AA341*(1+$G$52)-MAX($B$9,0.01*AA341+AA341*$G$52)&gt;1E-9,AA341*(1+$G$52)-MAX($B$9,0.01*AA341+AA341*$G$52),0),0)</f>
        <v/>
      </c>
      <c r="AB342">
        <f>AA341*$G$52</f>
        <v/>
      </c>
      <c r="AC342">
        <f>IF(AC341&gt;1E-9,IF(AC341*(1+$G$53)-MAX($B$9,0.01*AC341+AC341*$G$53)&gt;1E-9,AC341*(1+$G$53)-MAX($B$9,0.01*AC341+AC341*$G$53),0),0)</f>
        <v/>
      </c>
      <c r="AD342">
        <f>AC341*$G$53</f>
        <v/>
      </c>
      <c r="AE342">
        <f>IF(AE341&gt;1E-9,IF(AE341*(1+$G$54)-MAX($B$9,0.01*AE341+AE341*$G$54)&gt;1E-9,AE341*(1+$G$54)-MAX($B$9,0.01*AE341+AE341*$G$54),0),0)</f>
        <v/>
      </c>
      <c r="AF342">
        <f>AE341*$G$54</f>
        <v/>
      </c>
      <c r="AG342">
        <f>IF(AG341&gt;1E-9,IF(AG341*(1+$G$55)-MAX($B$9,0.01*AG341+AG341*$G$55)&gt;1E-9,AG341*(1+$G$55)-MAX($B$9,0.01*AG341+AG341*$G$55),0),0)</f>
        <v/>
      </c>
      <c r="AH342">
        <f>AG341*$G$55</f>
        <v/>
      </c>
      <c r="AI342">
        <f>G342+K342+O342+S342+W342</f>
        <v/>
      </c>
      <c r="AJ342">
        <f>AI341+AK342-AI342</f>
        <v/>
      </c>
      <c r="AK342">
        <f>H342+L342+P342+T342+X342</f>
        <v/>
      </c>
      <c r="AL342">
        <f>TEXT(EDATE($B$5,D342-1),"mmm yyyy")</f>
        <v/>
      </c>
      <c r="AM342">
        <f>AI342</f>
        <v/>
      </c>
    </row>
    <row r="343">
      <c r="D343" t="n">
        <v>282</v>
      </c>
      <c r="E343">
        <f>IF(G342&gt;0,MAX(0,G342*(1+$G$51)-$H$51),0)</f>
        <v/>
      </c>
      <c r="F343">
        <f>$B$6+IF($D343=$B$8,$B$7,0)</f>
        <v/>
      </c>
      <c r="G343">
        <f>IF(E343-F343&gt;1E-9,E343-F343,0)</f>
        <v/>
      </c>
      <c r="H343">
        <f>G342*$G$51</f>
        <v/>
      </c>
      <c r="I343">
        <f>IF(K342&gt;0,MAX(0,K342*(1+$G$52)-$H$52),0)</f>
        <v/>
      </c>
      <c r="J343">
        <f>MAX(0,F343-E343)</f>
        <v/>
      </c>
      <c r="K343">
        <f>IF(I343-J343&gt;1E-9,I343-J343,0)</f>
        <v/>
      </c>
      <c r="L343">
        <f>K342*$G$52</f>
        <v/>
      </c>
      <c r="M343">
        <f>IF(O342&gt;0,MAX(0,O342*(1+$G$53)-$H$53),0)</f>
        <v/>
      </c>
      <c r="N343">
        <f>MAX(0,J343-I343)</f>
        <v/>
      </c>
      <c r="O343">
        <f>IF(M343-N343&gt;1E-9,M343-N343,0)</f>
        <v/>
      </c>
      <c r="P343">
        <f>O342*$G$53</f>
        <v/>
      </c>
      <c r="Q343">
        <f>IF(S342&gt;0,MAX(0,S342*(1+$G$54)-$H$54),0)</f>
        <v/>
      </c>
      <c r="R343">
        <f>MAX(0,N343-M343)</f>
        <v/>
      </c>
      <c r="S343">
        <f>IF(Q343-R343&gt;1E-9,Q343-R343,0)</f>
        <v/>
      </c>
      <c r="T343">
        <f>S342*$G$54</f>
        <v/>
      </c>
      <c r="U343">
        <f>IF(W342&gt;0,MAX(0,W342*(1+$G$55)-$H$55),0)</f>
        <v/>
      </c>
      <c r="V343">
        <f>MAX(0,R343-Q343)</f>
        <v/>
      </c>
      <c r="W343">
        <f>IF(U343-V343&gt;1E-9,U343-V343,0)</f>
        <v/>
      </c>
      <c r="X343">
        <f>W342*$G$55</f>
        <v/>
      </c>
      <c r="Y343">
        <f>IF(Y342&gt;1E-9,IF(Y342*(1+$G$51)-MAX($B$9,0.01*Y342+Y342*$G$51)&gt;1E-9,Y342*(1+$G$51)-MAX($B$9,0.01*Y342+Y342*$G$51),0),0)</f>
        <v/>
      </c>
      <c r="Z343">
        <f>Y342*$G$51</f>
        <v/>
      </c>
      <c r="AA343">
        <f>IF(AA342&gt;1E-9,IF(AA342*(1+$G$52)-MAX($B$9,0.01*AA342+AA342*$G$52)&gt;1E-9,AA342*(1+$G$52)-MAX($B$9,0.01*AA342+AA342*$G$52),0),0)</f>
        <v/>
      </c>
      <c r="AB343">
        <f>AA342*$G$52</f>
        <v/>
      </c>
      <c r="AC343">
        <f>IF(AC342&gt;1E-9,IF(AC342*(1+$G$53)-MAX($B$9,0.01*AC342+AC342*$G$53)&gt;1E-9,AC342*(1+$G$53)-MAX($B$9,0.01*AC342+AC342*$G$53),0),0)</f>
        <v/>
      </c>
      <c r="AD343">
        <f>AC342*$G$53</f>
        <v/>
      </c>
      <c r="AE343">
        <f>IF(AE342&gt;1E-9,IF(AE342*(1+$G$54)-MAX($B$9,0.01*AE342+AE342*$G$54)&gt;1E-9,AE342*(1+$G$54)-MAX($B$9,0.01*AE342+AE342*$G$54),0),0)</f>
        <v/>
      </c>
      <c r="AF343">
        <f>AE342*$G$54</f>
        <v/>
      </c>
      <c r="AG343">
        <f>IF(AG342&gt;1E-9,IF(AG342*(1+$G$55)-MAX($B$9,0.01*AG342+AG342*$G$55)&gt;1E-9,AG342*(1+$G$55)-MAX($B$9,0.01*AG342+AG342*$G$55),0),0)</f>
        <v/>
      </c>
      <c r="AH343">
        <f>AG342*$G$55</f>
        <v/>
      </c>
      <c r="AI343">
        <f>G343+K343+O343+S343+W343</f>
        <v/>
      </c>
      <c r="AJ343">
        <f>AI342+AK343-AI343</f>
        <v/>
      </c>
      <c r="AK343">
        <f>H343+L343+P343+T343+X343</f>
        <v/>
      </c>
      <c r="AL343">
        <f>TEXT(EDATE($B$5,D343-1),"mmm yyyy")</f>
        <v/>
      </c>
      <c r="AM343">
        <f>AI343</f>
        <v/>
      </c>
    </row>
    <row r="344">
      <c r="D344" t="n">
        <v>283</v>
      </c>
      <c r="E344">
        <f>IF(G343&gt;0,MAX(0,G343*(1+$G$51)-$H$51),0)</f>
        <v/>
      </c>
      <c r="F344">
        <f>$B$6+IF($D344=$B$8,$B$7,0)</f>
        <v/>
      </c>
      <c r="G344">
        <f>IF(E344-F344&gt;1E-9,E344-F344,0)</f>
        <v/>
      </c>
      <c r="H344">
        <f>G343*$G$51</f>
        <v/>
      </c>
      <c r="I344">
        <f>IF(K343&gt;0,MAX(0,K343*(1+$G$52)-$H$52),0)</f>
        <v/>
      </c>
      <c r="J344">
        <f>MAX(0,F344-E344)</f>
        <v/>
      </c>
      <c r="K344">
        <f>IF(I344-J344&gt;1E-9,I344-J344,0)</f>
        <v/>
      </c>
      <c r="L344">
        <f>K343*$G$52</f>
        <v/>
      </c>
      <c r="M344">
        <f>IF(O343&gt;0,MAX(0,O343*(1+$G$53)-$H$53),0)</f>
        <v/>
      </c>
      <c r="N344">
        <f>MAX(0,J344-I344)</f>
        <v/>
      </c>
      <c r="O344">
        <f>IF(M344-N344&gt;1E-9,M344-N344,0)</f>
        <v/>
      </c>
      <c r="P344">
        <f>O343*$G$53</f>
        <v/>
      </c>
      <c r="Q344">
        <f>IF(S343&gt;0,MAX(0,S343*(1+$G$54)-$H$54),0)</f>
        <v/>
      </c>
      <c r="R344">
        <f>MAX(0,N344-M344)</f>
        <v/>
      </c>
      <c r="S344">
        <f>IF(Q344-R344&gt;1E-9,Q344-R344,0)</f>
        <v/>
      </c>
      <c r="T344">
        <f>S343*$G$54</f>
        <v/>
      </c>
      <c r="U344">
        <f>IF(W343&gt;0,MAX(0,W343*(1+$G$55)-$H$55),0)</f>
        <v/>
      </c>
      <c r="V344">
        <f>MAX(0,R344-Q344)</f>
        <v/>
      </c>
      <c r="W344">
        <f>IF(U344-V344&gt;1E-9,U344-V344,0)</f>
        <v/>
      </c>
      <c r="X344">
        <f>W343*$G$55</f>
        <v/>
      </c>
      <c r="Y344">
        <f>IF(Y343&gt;1E-9,IF(Y343*(1+$G$51)-MAX($B$9,0.01*Y343+Y343*$G$51)&gt;1E-9,Y343*(1+$G$51)-MAX($B$9,0.01*Y343+Y343*$G$51),0),0)</f>
        <v/>
      </c>
      <c r="Z344">
        <f>Y343*$G$51</f>
        <v/>
      </c>
      <c r="AA344">
        <f>IF(AA343&gt;1E-9,IF(AA343*(1+$G$52)-MAX($B$9,0.01*AA343+AA343*$G$52)&gt;1E-9,AA343*(1+$G$52)-MAX($B$9,0.01*AA343+AA343*$G$52),0),0)</f>
        <v/>
      </c>
      <c r="AB344">
        <f>AA343*$G$52</f>
        <v/>
      </c>
      <c r="AC344">
        <f>IF(AC343&gt;1E-9,IF(AC343*(1+$G$53)-MAX($B$9,0.01*AC343+AC343*$G$53)&gt;1E-9,AC343*(1+$G$53)-MAX($B$9,0.01*AC343+AC343*$G$53),0),0)</f>
        <v/>
      </c>
      <c r="AD344">
        <f>AC343*$G$53</f>
        <v/>
      </c>
      <c r="AE344">
        <f>IF(AE343&gt;1E-9,IF(AE343*(1+$G$54)-MAX($B$9,0.01*AE343+AE343*$G$54)&gt;1E-9,AE343*(1+$G$54)-MAX($B$9,0.01*AE343+AE343*$G$54),0),0)</f>
        <v/>
      </c>
      <c r="AF344">
        <f>AE343*$G$54</f>
        <v/>
      </c>
      <c r="AG344">
        <f>IF(AG343&gt;1E-9,IF(AG343*(1+$G$55)-MAX($B$9,0.01*AG343+AG343*$G$55)&gt;1E-9,AG343*(1+$G$55)-MAX($B$9,0.01*AG343+AG343*$G$55),0),0)</f>
        <v/>
      </c>
      <c r="AH344">
        <f>AG343*$G$55</f>
        <v/>
      </c>
      <c r="AI344">
        <f>G344+K344+O344+S344+W344</f>
        <v/>
      </c>
      <c r="AJ344">
        <f>AI343+AK344-AI344</f>
        <v/>
      </c>
      <c r="AK344">
        <f>H344+L344+P344+T344+X344</f>
        <v/>
      </c>
      <c r="AL344">
        <f>TEXT(EDATE($B$5,D344-1),"mmm yyyy")</f>
        <v/>
      </c>
      <c r="AM344">
        <f>AI344</f>
        <v/>
      </c>
    </row>
    <row r="345">
      <c r="D345" t="n">
        <v>284</v>
      </c>
      <c r="E345">
        <f>IF(G344&gt;0,MAX(0,G344*(1+$G$51)-$H$51),0)</f>
        <v/>
      </c>
      <c r="F345">
        <f>$B$6+IF($D345=$B$8,$B$7,0)</f>
        <v/>
      </c>
      <c r="G345">
        <f>IF(E345-F345&gt;1E-9,E345-F345,0)</f>
        <v/>
      </c>
      <c r="H345">
        <f>G344*$G$51</f>
        <v/>
      </c>
      <c r="I345">
        <f>IF(K344&gt;0,MAX(0,K344*(1+$G$52)-$H$52),0)</f>
        <v/>
      </c>
      <c r="J345">
        <f>MAX(0,F345-E345)</f>
        <v/>
      </c>
      <c r="K345">
        <f>IF(I345-J345&gt;1E-9,I345-J345,0)</f>
        <v/>
      </c>
      <c r="L345">
        <f>K344*$G$52</f>
        <v/>
      </c>
      <c r="M345">
        <f>IF(O344&gt;0,MAX(0,O344*(1+$G$53)-$H$53),0)</f>
        <v/>
      </c>
      <c r="N345">
        <f>MAX(0,J345-I345)</f>
        <v/>
      </c>
      <c r="O345">
        <f>IF(M345-N345&gt;1E-9,M345-N345,0)</f>
        <v/>
      </c>
      <c r="P345">
        <f>O344*$G$53</f>
        <v/>
      </c>
      <c r="Q345">
        <f>IF(S344&gt;0,MAX(0,S344*(1+$G$54)-$H$54),0)</f>
        <v/>
      </c>
      <c r="R345">
        <f>MAX(0,N345-M345)</f>
        <v/>
      </c>
      <c r="S345">
        <f>IF(Q345-R345&gt;1E-9,Q345-R345,0)</f>
        <v/>
      </c>
      <c r="T345">
        <f>S344*$G$54</f>
        <v/>
      </c>
      <c r="U345">
        <f>IF(W344&gt;0,MAX(0,W344*(1+$G$55)-$H$55),0)</f>
        <v/>
      </c>
      <c r="V345">
        <f>MAX(0,R345-Q345)</f>
        <v/>
      </c>
      <c r="W345">
        <f>IF(U345-V345&gt;1E-9,U345-V345,0)</f>
        <v/>
      </c>
      <c r="X345">
        <f>W344*$G$55</f>
        <v/>
      </c>
      <c r="Y345">
        <f>IF(Y344&gt;1E-9,IF(Y344*(1+$G$51)-MAX($B$9,0.01*Y344+Y344*$G$51)&gt;1E-9,Y344*(1+$G$51)-MAX($B$9,0.01*Y344+Y344*$G$51),0),0)</f>
        <v/>
      </c>
      <c r="Z345">
        <f>Y344*$G$51</f>
        <v/>
      </c>
      <c r="AA345">
        <f>IF(AA344&gt;1E-9,IF(AA344*(1+$G$52)-MAX($B$9,0.01*AA344+AA344*$G$52)&gt;1E-9,AA344*(1+$G$52)-MAX($B$9,0.01*AA344+AA344*$G$52),0),0)</f>
        <v/>
      </c>
      <c r="AB345">
        <f>AA344*$G$52</f>
        <v/>
      </c>
      <c r="AC345">
        <f>IF(AC344&gt;1E-9,IF(AC344*(1+$G$53)-MAX($B$9,0.01*AC344+AC344*$G$53)&gt;1E-9,AC344*(1+$G$53)-MAX($B$9,0.01*AC344+AC344*$G$53),0),0)</f>
        <v/>
      </c>
      <c r="AD345">
        <f>AC344*$G$53</f>
        <v/>
      </c>
      <c r="AE345">
        <f>IF(AE344&gt;1E-9,IF(AE344*(1+$G$54)-MAX($B$9,0.01*AE344+AE344*$G$54)&gt;1E-9,AE344*(1+$G$54)-MAX($B$9,0.01*AE344+AE344*$G$54),0),0)</f>
        <v/>
      </c>
      <c r="AF345">
        <f>AE344*$G$54</f>
        <v/>
      </c>
      <c r="AG345">
        <f>IF(AG344&gt;1E-9,IF(AG344*(1+$G$55)-MAX($B$9,0.01*AG344+AG344*$G$55)&gt;1E-9,AG344*(1+$G$55)-MAX($B$9,0.01*AG344+AG344*$G$55),0),0)</f>
        <v/>
      </c>
      <c r="AH345">
        <f>AG344*$G$55</f>
        <v/>
      </c>
      <c r="AI345">
        <f>G345+K345+O345+S345+W345</f>
        <v/>
      </c>
      <c r="AJ345">
        <f>AI344+AK345-AI345</f>
        <v/>
      </c>
      <c r="AK345">
        <f>H345+L345+P345+T345+X345</f>
        <v/>
      </c>
      <c r="AL345">
        <f>TEXT(EDATE($B$5,D345-1),"mmm yyyy")</f>
        <v/>
      </c>
      <c r="AM345">
        <f>AI345</f>
        <v/>
      </c>
    </row>
    <row r="346">
      <c r="D346" t="n">
        <v>285</v>
      </c>
      <c r="E346">
        <f>IF(G345&gt;0,MAX(0,G345*(1+$G$51)-$H$51),0)</f>
        <v/>
      </c>
      <c r="F346">
        <f>$B$6+IF($D346=$B$8,$B$7,0)</f>
        <v/>
      </c>
      <c r="G346">
        <f>IF(E346-F346&gt;1E-9,E346-F346,0)</f>
        <v/>
      </c>
      <c r="H346">
        <f>G345*$G$51</f>
        <v/>
      </c>
      <c r="I346">
        <f>IF(K345&gt;0,MAX(0,K345*(1+$G$52)-$H$52),0)</f>
        <v/>
      </c>
      <c r="J346">
        <f>MAX(0,F346-E346)</f>
        <v/>
      </c>
      <c r="K346">
        <f>IF(I346-J346&gt;1E-9,I346-J346,0)</f>
        <v/>
      </c>
      <c r="L346">
        <f>K345*$G$52</f>
        <v/>
      </c>
      <c r="M346">
        <f>IF(O345&gt;0,MAX(0,O345*(1+$G$53)-$H$53),0)</f>
        <v/>
      </c>
      <c r="N346">
        <f>MAX(0,J346-I346)</f>
        <v/>
      </c>
      <c r="O346">
        <f>IF(M346-N346&gt;1E-9,M346-N346,0)</f>
        <v/>
      </c>
      <c r="P346">
        <f>O345*$G$53</f>
        <v/>
      </c>
      <c r="Q346">
        <f>IF(S345&gt;0,MAX(0,S345*(1+$G$54)-$H$54),0)</f>
        <v/>
      </c>
      <c r="R346">
        <f>MAX(0,N346-M346)</f>
        <v/>
      </c>
      <c r="S346">
        <f>IF(Q346-R346&gt;1E-9,Q346-R346,0)</f>
        <v/>
      </c>
      <c r="T346">
        <f>S345*$G$54</f>
        <v/>
      </c>
      <c r="U346">
        <f>IF(W345&gt;0,MAX(0,W345*(1+$G$55)-$H$55),0)</f>
        <v/>
      </c>
      <c r="V346">
        <f>MAX(0,R346-Q346)</f>
        <v/>
      </c>
      <c r="W346">
        <f>IF(U346-V346&gt;1E-9,U346-V346,0)</f>
        <v/>
      </c>
      <c r="X346">
        <f>W345*$G$55</f>
        <v/>
      </c>
      <c r="Y346">
        <f>IF(Y345&gt;1E-9,IF(Y345*(1+$G$51)-MAX($B$9,0.01*Y345+Y345*$G$51)&gt;1E-9,Y345*(1+$G$51)-MAX($B$9,0.01*Y345+Y345*$G$51),0),0)</f>
        <v/>
      </c>
      <c r="Z346">
        <f>Y345*$G$51</f>
        <v/>
      </c>
      <c r="AA346">
        <f>IF(AA345&gt;1E-9,IF(AA345*(1+$G$52)-MAX($B$9,0.01*AA345+AA345*$G$52)&gt;1E-9,AA345*(1+$G$52)-MAX($B$9,0.01*AA345+AA345*$G$52),0),0)</f>
        <v/>
      </c>
      <c r="AB346">
        <f>AA345*$G$52</f>
        <v/>
      </c>
      <c r="AC346">
        <f>IF(AC345&gt;1E-9,IF(AC345*(1+$G$53)-MAX($B$9,0.01*AC345+AC345*$G$53)&gt;1E-9,AC345*(1+$G$53)-MAX($B$9,0.01*AC345+AC345*$G$53),0),0)</f>
        <v/>
      </c>
      <c r="AD346">
        <f>AC345*$G$53</f>
        <v/>
      </c>
      <c r="AE346">
        <f>IF(AE345&gt;1E-9,IF(AE345*(1+$G$54)-MAX($B$9,0.01*AE345+AE345*$G$54)&gt;1E-9,AE345*(1+$G$54)-MAX($B$9,0.01*AE345+AE345*$G$54),0),0)</f>
        <v/>
      </c>
      <c r="AF346">
        <f>AE345*$G$54</f>
        <v/>
      </c>
      <c r="AG346">
        <f>IF(AG345&gt;1E-9,IF(AG345*(1+$G$55)-MAX($B$9,0.01*AG345+AG345*$G$55)&gt;1E-9,AG345*(1+$G$55)-MAX($B$9,0.01*AG345+AG345*$G$55),0),0)</f>
        <v/>
      </c>
      <c r="AH346">
        <f>AG345*$G$55</f>
        <v/>
      </c>
      <c r="AI346">
        <f>G346+K346+O346+S346+W346</f>
        <v/>
      </c>
      <c r="AJ346">
        <f>AI345+AK346-AI346</f>
        <v/>
      </c>
      <c r="AK346">
        <f>H346+L346+P346+T346+X346</f>
        <v/>
      </c>
      <c r="AL346">
        <f>TEXT(EDATE($B$5,D346-1),"mmm yyyy")</f>
        <v/>
      </c>
      <c r="AM346">
        <f>AI346</f>
        <v/>
      </c>
    </row>
    <row r="347">
      <c r="D347" t="n">
        <v>286</v>
      </c>
      <c r="E347">
        <f>IF(G346&gt;0,MAX(0,G346*(1+$G$51)-$H$51),0)</f>
        <v/>
      </c>
      <c r="F347">
        <f>$B$6+IF($D347=$B$8,$B$7,0)</f>
        <v/>
      </c>
      <c r="G347">
        <f>IF(E347-F347&gt;1E-9,E347-F347,0)</f>
        <v/>
      </c>
      <c r="H347">
        <f>G346*$G$51</f>
        <v/>
      </c>
      <c r="I347">
        <f>IF(K346&gt;0,MAX(0,K346*(1+$G$52)-$H$52),0)</f>
        <v/>
      </c>
      <c r="J347">
        <f>MAX(0,F347-E347)</f>
        <v/>
      </c>
      <c r="K347">
        <f>IF(I347-J347&gt;1E-9,I347-J347,0)</f>
        <v/>
      </c>
      <c r="L347">
        <f>K346*$G$52</f>
        <v/>
      </c>
      <c r="M347">
        <f>IF(O346&gt;0,MAX(0,O346*(1+$G$53)-$H$53),0)</f>
        <v/>
      </c>
      <c r="N347">
        <f>MAX(0,J347-I347)</f>
        <v/>
      </c>
      <c r="O347">
        <f>IF(M347-N347&gt;1E-9,M347-N347,0)</f>
        <v/>
      </c>
      <c r="P347">
        <f>O346*$G$53</f>
        <v/>
      </c>
      <c r="Q347">
        <f>IF(S346&gt;0,MAX(0,S346*(1+$G$54)-$H$54),0)</f>
        <v/>
      </c>
      <c r="R347">
        <f>MAX(0,N347-M347)</f>
        <v/>
      </c>
      <c r="S347">
        <f>IF(Q347-R347&gt;1E-9,Q347-R347,0)</f>
        <v/>
      </c>
      <c r="T347">
        <f>S346*$G$54</f>
        <v/>
      </c>
      <c r="U347">
        <f>IF(W346&gt;0,MAX(0,W346*(1+$G$55)-$H$55),0)</f>
        <v/>
      </c>
      <c r="V347">
        <f>MAX(0,R347-Q347)</f>
        <v/>
      </c>
      <c r="W347">
        <f>IF(U347-V347&gt;1E-9,U347-V347,0)</f>
        <v/>
      </c>
      <c r="X347">
        <f>W346*$G$55</f>
        <v/>
      </c>
      <c r="Y347">
        <f>IF(Y346&gt;1E-9,IF(Y346*(1+$G$51)-MAX($B$9,0.01*Y346+Y346*$G$51)&gt;1E-9,Y346*(1+$G$51)-MAX($B$9,0.01*Y346+Y346*$G$51),0),0)</f>
        <v/>
      </c>
      <c r="Z347">
        <f>Y346*$G$51</f>
        <v/>
      </c>
      <c r="AA347">
        <f>IF(AA346&gt;1E-9,IF(AA346*(1+$G$52)-MAX($B$9,0.01*AA346+AA346*$G$52)&gt;1E-9,AA346*(1+$G$52)-MAX($B$9,0.01*AA346+AA346*$G$52),0),0)</f>
        <v/>
      </c>
      <c r="AB347">
        <f>AA346*$G$52</f>
        <v/>
      </c>
      <c r="AC347">
        <f>IF(AC346&gt;1E-9,IF(AC346*(1+$G$53)-MAX($B$9,0.01*AC346+AC346*$G$53)&gt;1E-9,AC346*(1+$G$53)-MAX($B$9,0.01*AC346+AC346*$G$53),0),0)</f>
        <v/>
      </c>
      <c r="AD347">
        <f>AC346*$G$53</f>
        <v/>
      </c>
      <c r="AE347">
        <f>IF(AE346&gt;1E-9,IF(AE346*(1+$G$54)-MAX($B$9,0.01*AE346+AE346*$G$54)&gt;1E-9,AE346*(1+$G$54)-MAX($B$9,0.01*AE346+AE346*$G$54),0),0)</f>
        <v/>
      </c>
      <c r="AF347">
        <f>AE346*$G$54</f>
        <v/>
      </c>
      <c r="AG347">
        <f>IF(AG346&gt;1E-9,IF(AG346*(1+$G$55)-MAX($B$9,0.01*AG346+AG346*$G$55)&gt;1E-9,AG346*(1+$G$55)-MAX($B$9,0.01*AG346+AG346*$G$55),0),0)</f>
        <v/>
      </c>
      <c r="AH347">
        <f>AG346*$G$55</f>
        <v/>
      </c>
      <c r="AI347">
        <f>G347+K347+O347+S347+W347</f>
        <v/>
      </c>
      <c r="AJ347">
        <f>AI346+AK347-AI347</f>
        <v/>
      </c>
      <c r="AK347">
        <f>H347+L347+P347+T347+X347</f>
        <v/>
      </c>
      <c r="AL347">
        <f>TEXT(EDATE($B$5,D347-1),"mmm yyyy")</f>
        <v/>
      </c>
      <c r="AM347">
        <f>AI347</f>
        <v/>
      </c>
    </row>
    <row r="348">
      <c r="D348" t="n">
        <v>287</v>
      </c>
      <c r="E348">
        <f>IF(G347&gt;0,MAX(0,G347*(1+$G$51)-$H$51),0)</f>
        <v/>
      </c>
      <c r="F348">
        <f>$B$6+IF($D348=$B$8,$B$7,0)</f>
        <v/>
      </c>
      <c r="G348">
        <f>IF(E348-F348&gt;1E-9,E348-F348,0)</f>
        <v/>
      </c>
      <c r="H348">
        <f>G347*$G$51</f>
        <v/>
      </c>
      <c r="I348">
        <f>IF(K347&gt;0,MAX(0,K347*(1+$G$52)-$H$52),0)</f>
        <v/>
      </c>
      <c r="J348">
        <f>MAX(0,F348-E348)</f>
        <v/>
      </c>
      <c r="K348">
        <f>IF(I348-J348&gt;1E-9,I348-J348,0)</f>
        <v/>
      </c>
      <c r="L348">
        <f>K347*$G$52</f>
        <v/>
      </c>
      <c r="M348">
        <f>IF(O347&gt;0,MAX(0,O347*(1+$G$53)-$H$53),0)</f>
        <v/>
      </c>
      <c r="N348">
        <f>MAX(0,J348-I348)</f>
        <v/>
      </c>
      <c r="O348">
        <f>IF(M348-N348&gt;1E-9,M348-N348,0)</f>
        <v/>
      </c>
      <c r="P348">
        <f>O347*$G$53</f>
        <v/>
      </c>
      <c r="Q348">
        <f>IF(S347&gt;0,MAX(0,S347*(1+$G$54)-$H$54),0)</f>
        <v/>
      </c>
      <c r="R348">
        <f>MAX(0,N348-M348)</f>
        <v/>
      </c>
      <c r="S348">
        <f>IF(Q348-R348&gt;1E-9,Q348-R348,0)</f>
        <v/>
      </c>
      <c r="T348">
        <f>S347*$G$54</f>
        <v/>
      </c>
      <c r="U348">
        <f>IF(W347&gt;0,MAX(0,W347*(1+$G$55)-$H$55),0)</f>
        <v/>
      </c>
      <c r="V348">
        <f>MAX(0,R348-Q348)</f>
        <v/>
      </c>
      <c r="W348">
        <f>IF(U348-V348&gt;1E-9,U348-V348,0)</f>
        <v/>
      </c>
      <c r="X348">
        <f>W347*$G$55</f>
        <v/>
      </c>
      <c r="Y348">
        <f>IF(Y347&gt;1E-9,IF(Y347*(1+$G$51)-MAX($B$9,0.01*Y347+Y347*$G$51)&gt;1E-9,Y347*(1+$G$51)-MAX($B$9,0.01*Y347+Y347*$G$51),0),0)</f>
        <v/>
      </c>
      <c r="Z348">
        <f>Y347*$G$51</f>
        <v/>
      </c>
      <c r="AA348">
        <f>IF(AA347&gt;1E-9,IF(AA347*(1+$G$52)-MAX($B$9,0.01*AA347+AA347*$G$52)&gt;1E-9,AA347*(1+$G$52)-MAX($B$9,0.01*AA347+AA347*$G$52),0),0)</f>
        <v/>
      </c>
      <c r="AB348">
        <f>AA347*$G$52</f>
        <v/>
      </c>
      <c r="AC348">
        <f>IF(AC347&gt;1E-9,IF(AC347*(1+$G$53)-MAX($B$9,0.01*AC347+AC347*$G$53)&gt;1E-9,AC347*(1+$G$53)-MAX($B$9,0.01*AC347+AC347*$G$53),0),0)</f>
        <v/>
      </c>
      <c r="AD348">
        <f>AC347*$G$53</f>
        <v/>
      </c>
      <c r="AE348">
        <f>IF(AE347&gt;1E-9,IF(AE347*(1+$G$54)-MAX($B$9,0.01*AE347+AE347*$G$54)&gt;1E-9,AE347*(1+$G$54)-MAX($B$9,0.01*AE347+AE347*$G$54),0),0)</f>
        <v/>
      </c>
      <c r="AF348">
        <f>AE347*$G$54</f>
        <v/>
      </c>
      <c r="AG348">
        <f>IF(AG347&gt;1E-9,IF(AG347*(1+$G$55)-MAX($B$9,0.01*AG347+AG347*$G$55)&gt;1E-9,AG347*(1+$G$55)-MAX($B$9,0.01*AG347+AG347*$G$55),0),0)</f>
        <v/>
      </c>
      <c r="AH348">
        <f>AG347*$G$55</f>
        <v/>
      </c>
      <c r="AI348">
        <f>G348+K348+O348+S348+W348</f>
        <v/>
      </c>
      <c r="AJ348">
        <f>AI347+AK348-AI348</f>
        <v/>
      </c>
      <c r="AK348">
        <f>H348+L348+P348+T348+X348</f>
        <v/>
      </c>
      <c r="AL348">
        <f>TEXT(EDATE($B$5,D348-1),"mmm yyyy")</f>
        <v/>
      </c>
      <c r="AM348">
        <f>AI348</f>
        <v/>
      </c>
    </row>
    <row r="349">
      <c r="D349" t="n">
        <v>288</v>
      </c>
      <c r="E349">
        <f>IF(G348&gt;0,MAX(0,G348*(1+$G$51)-$H$51),0)</f>
        <v/>
      </c>
      <c r="F349">
        <f>$B$6+IF($D349=$B$8,$B$7,0)</f>
        <v/>
      </c>
      <c r="G349">
        <f>IF(E349-F349&gt;1E-9,E349-F349,0)</f>
        <v/>
      </c>
      <c r="H349">
        <f>G348*$G$51</f>
        <v/>
      </c>
      <c r="I349">
        <f>IF(K348&gt;0,MAX(0,K348*(1+$G$52)-$H$52),0)</f>
        <v/>
      </c>
      <c r="J349">
        <f>MAX(0,F349-E349)</f>
        <v/>
      </c>
      <c r="K349">
        <f>IF(I349-J349&gt;1E-9,I349-J349,0)</f>
        <v/>
      </c>
      <c r="L349">
        <f>K348*$G$52</f>
        <v/>
      </c>
      <c r="M349">
        <f>IF(O348&gt;0,MAX(0,O348*(1+$G$53)-$H$53),0)</f>
        <v/>
      </c>
      <c r="N349">
        <f>MAX(0,J349-I349)</f>
        <v/>
      </c>
      <c r="O349">
        <f>IF(M349-N349&gt;1E-9,M349-N349,0)</f>
        <v/>
      </c>
      <c r="P349">
        <f>O348*$G$53</f>
        <v/>
      </c>
      <c r="Q349">
        <f>IF(S348&gt;0,MAX(0,S348*(1+$G$54)-$H$54),0)</f>
        <v/>
      </c>
      <c r="R349">
        <f>MAX(0,N349-M349)</f>
        <v/>
      </c>
      <c r="S349">
        <f>IF(Q349-R349&gt;1E-9,Q349-R349,0)</f>
        <v/>
      </c>
      <c r="T349">
        <f>S348*$G$54</f>
        <v/>
      </c>
      <c r="U349">
        <f>IF(W348&gt;0,MAX(0,W348*(1+$G$55)-$H$55),0)</f>
        <v/>
      </c>
      <c r="V349">
        <f>MAX(0,R349-Q349)</f>
        <v/>
      </c>
      <c r="W349">
        <f>IF(U349-V349&gt;1E-9,U349-V349,0)</f>
        <v/>
      </c>
      <c r="X349">
        <f>W348*$G$55</f>
        <v/>
      </c>
      <c r="Y349">
        <f>IF(Y348&gt;1E-9,IF(Y348*(1+$G$51)-MAX($B$9,0.01*Y348+Y348*$G$51)&gt;1E-9,Y348*(1+$G$51)-MAX($B$9,0.01*Y348+Y348*$G$51),0),0)</f>
        <v/>
      </c>
      <c r="Z349">
        <f>Y348*$G$51</f>
        <v/>
      </c>
      <c r="AA349">
        <f>IF(AA348&gt;1E-9,IF(AA348*(1+$G$52)-MAX($B$9,0.01*AA348+AA348*$G$52)&gt;1E-9,AA348*(1+$G$52)-MAX($B$9,0.01*AA348+AA348*$G$52),0),0)</f>
        <v/>
      </c>
      <c r="AB349">
        <f>AA348*$G$52</f>
        <v/>
      </c>
      <c r="AC349">
        <f>IF(AC348&gt;1E-9,IF(AC348*(1+$G$53)-MAX($B$9,0.01*AC348+AC348*$G$53)&gt;1E-9,AC348*(1+$G$53)-MAX($B$9,0.01*AC348+AC348*$G$53),0),0)</f>
        <v/>
      </c>
      <c r="AD349">
        <f>AC348*$G$53</f>
        <v/>
      </c>
      <c r="AE349">
        <f>IF(AE348&gt;1E-9,IF(AE348*(1+$G$54)-MAX($B$9,0.01*AE348+AE348*$G$54)&gt;1E-9,AE348*(1+$G$54)-MAX($B$9,0.01*AE348+AE348*$G$54),0),0)</f>
        <v/>
      </c>
      <c r="AF349">
        <f>AE348*$G$54</f>
        <v/>
      </c>
      <c r="AG349">
        <f>IF(AG348&gt;1E-9,IF(AG348*(1+$G$55)-MAX($B$9,0.01*AG348+AG348*$G$55)&gt;1E-9,AG348*(1+$G$55)-MAX($B$9,0.01*AG348+AG348*$G$55),0),0)</f>
        <v/>
      </c>
      <c r="AH349">
        <f>AG348*$G$55</f>
        <v/>
      </c>
      <c r="AI349">
        <f>G349+K349+O349+S349+W349</f>
        <v/>
      </c>
      <c r="AJ349">
        <f>AI348+AK349-AI349</f>
        <v/>
      </c>
      <c r="AK349">
        <f>H349+L349+P349+T349+X349</f>
        <v/>
      </c>
      <c r="AL349">
        <f>TEXT(EDATE($B$5,D349-1),"mmm yyyy")</f>
        <v/>
      </c>
      <c r="AM349">
        <f>AI349</f>
        <v/>
      </c>
    </row>
    <row r="350">
      <c r="D350" t="n">
        <v>289</v>
      </c>
      <c r="E350">
        <f>IF(G349&gt;0,MAX(0,G349*(1+$G$51)-$H$51),0)</f>
        <v/>
      </c>
      <c r="F350">
        <f>$B$6+IF($D350=$B$8,$B$7,0)</f>
        <v/>
      </c>
      <c r="G350">
        <f>IF(E350-F350&gt;1E-9,E350-F350,0)</f>
        <v/>
      </c>
      <c r="H350">
        <f>G349*$G$51</f>
        <v/>
      </c>
      <c r="I350">
        <f>IF(K349&gt;0,MAX(0,K349*(1+$G$52)-$H$52),0)</f>
        <v/>
      </c>
      <c r="J350">
        <f>MAX(0,F350-E350)</f>
        <v/>
      </c>
      <c r="K350">
        <f>IF(I350-J350&gt;1E-9,I350-J350,0)</f>
        <v/>
      </c>
      <c r="L350">
        <f>K349*$G$52</f>
        <v/>
      </c>
      <c r="M350">
        <f>IF(O349&gt;0,MAX(0,O349*(1+$G$53)-$H$53),0)</f>
        <v/>
      </c>
      <c r="N350">
        <f>MAX(0,J350-I350)</f>
        <v/>
      </c>
      <c r="O350">
        <f>IF(M350-N350&gt;1E-9,M350-N350,0)</f>
        <v/>
      </c>
      <c r="P350">
        <f>O349*$G$53</f>
        <v/>
      </c>
      <c r="Q350">
        <f>IF(S349&gt;0,MAX(0,S349*(1+$G$54)-$H$54),0)</f>
        <v/>
      </c>
      <c r="R350">
        <f>MAX(0,N350-M350)</f>
        <v/>
      </c>
      <c r="S350">
        <f>IF(Q350-R350&gt;1E-9,Q350-R350,0)</f>
        <v/>
      </c>
      <c r="T350">
        <f>S349*$G$54</f>
        <v/>
      </c>
      <c r="U350">
        <f>IF(W349&gt;0,MAX(0,W349*(1+$G$55)-$H$55),0)</f>
        <v/>
      </c>
      <c r="V350">
        <f>MAX(0,R350-Q350)</f>
        <v/>
      </c>
      <c r="W350">
        <f>IF(U350-V350&gt;1E-9,U350-V350,0)</f>
        <v/>
      </c>
      <c r="X350">
        <f>W349*$G$55</f>
        <v/>
      </c>
      <c r="Y350">
        <f>IF(Y349&gt;1E-9,IF(Y349*(1+$G$51)-MAX($B$9,0.01*Y349+Y349*$G$51)&gt;1E-9,Y349*(1+$G$51)-MAX($B$9,0.01*Y349+Y349*$G$51),0),0)</f>
        <v/>
      </c>
      <c r="Z350">
        <f>Y349*$G$51</f>
        <v/>
      </c>
      <c r="AA350">
        <f>IF(AA349&gt;1E-9,IF(AA349*(1+$G$52)-MAX($B$9,0.01*AA349+AA349*$G$52)&gt;1E-9,AA349*(1+$G$52)-MAX($B$9,0.01*AA349+AA349*$G$52),0),0)</f>
        <v/>
      </c>
      <c r="AB350">
        <f>AA349*$G$52</f>
        <v/>
      </c>
      <c r="AC350">
        <f>IF(AC349&gt;1E-9,IF(AC349*(1+$G$53)-MAX($B$9,0.01*AC349+AC349*$G$53)&gt;1E-9,AC349*(1+$G$53)-MAX($B$9,0.01*AC349+AC349*$G$53),0),0)</f>
        <v/>
      </c>
      <c r="AD350">
        <f>AC349*$G$53</f>
        <v/>
      </c>
      <c r="AE350">
        <f>IF(AE349&gt;1E-9,IF(AE349*(1+$G$54)-MAX($B$9,0.01*AE349+AE349*$G$54)&gt;1E-9,AE349*(1+$G$54)-MAX($B$9,0.01*AE349+AE349*$G$54),0),0)</f>
        <v/>
      </c>
      <c r="AF350">
        <f>AE349*$G$54</f>
        <v/>
      </c>
      <c r="AG350">
        <f>IF(AG349&gt;1E-9,IF(AG349*(1+$G$55)-MAX($B$9,0.01*AG349+AG349*$G$55)&gt;1E-9,AG349*(1+$G$55)-MAX($B$9,0.01*AG349+AG349*$G$55),0),0)</f>
        <v/>
      </c>
      <c r="AH350">
        <f>AG349*$G$55</f>
        <v/>
      </c>
      <c r="AI350">
        <f>G350+K350+O350+S350+W350</f>
        <v/>
      </c>
      <c r="AJ350">
        <f>AI349+AK350-AI350</f>
        <v/>
      </c>
      <c r="AK350">
        <f>H350+L350+P350+T350+X350</f>
        <v/>
      </c>
      <c r="AL350">
        <f>TEXT(EDATE($B$5,D350-1),"mmm yyyy")</f>
        <v/>
      </c>
      <c r="AM350">
        <f>AI350</f>
        <v/>
      </c>
    </row>
    <row r="351">
      <c r="D351" t="n">
        <v>290</v>
      </c>
      <c r="E351">
        <f>IF(G350&gt;0,MAX(0,G350*(1+$G$51)-$H$51),0)</f>
        <v/>
      </c>
      <c r="F351">
        <f>$B$6+IF($D351=$B$8,$B$7,0)</f>
        <v/>
      </c>
      <c r="G351">
        <f>IF(E351-F351&gt;1E-9,E351-F351,0)</f>
        <v/>
      </c>
      <c r="H351">
        <f>G350*$G$51</f>
        <v/>
      </c>
      <c r="I351">
        <f>IF(K350&gt;0,MAX(0,K350*(1+$G$52)-$H$52),0)</f>
        <v/>
      </c>
      <c r="J351">
        <f>MAX(0,F351-E351)</f>
        <v/>
      </c>
      <c r="K351">
        <f>IF(I351-J351&gt;1E-9,I351-J351,0)</f>
        <v/>
      </c>
      <c r="L351">
        <f>K350*$G$52</f>
        <v/>
      </c>
      <c r="M351">
        <f>IF(O350&gt;0,MAX(0,O350*(1+$G$53)-$H$53),0)</f>
        <v/>
      </c>
      <c r="N351">
        <f>MAX(0,J351-I351)</f>
        <v/>
      </c>
      <c r="O351">
        <f>IF(M351-N351&gt;1E-9,M351-N351,0)</f>
        <v/>
      </c>
      <c r="P351">
        <f>O350*$G$53</f>
        <v/>
      </c>
      <c r="Q351">
        <f>IF(S350&gt;0,MAX(0,S350*(1+$G$54)-$H$54),0)</f>
        <v/>
      </c>
      <c r="R351">
        <f>MAX(0,N351-M351)</f>
        <v/>
      </c>
      <c r="S351">
        <f>IF(Q351-R351&gt;1E-9,Q351-R351,0)</f>
        <v/>
      </c>
      <c r="T351">
        <f>S350*$G$54</f>
        <v/>
      </c>
      <c r="U351">
        <f>IF(W350&gt;0,MAX(0,W350*(1+$G$55)-$H$55),0)</f>
        <v/>
      </c>
      <c r="V351">
        <f>MAX(0,R351-Q351)</f>
        <v/>
      </c>
      <c r="W351">
        <f>IF(U351-V351&gt;1E-9,U351-V351,0)</f>
        <v/>
      </c>
      <c r="X351">
        <f>W350*$G$55</f>
        <v/>
      </c>
      <c r="Y351">
        <f>IF(Y350&gt;1E-9,IF(Y350*(1+$G$51)-MAX($B$9,0.01*Y350+Y350*$G$51)&gt;1E-9,Y350*(1+$G$51)-MAX($B$9,0.01*Y350+Y350*$G$51),0),0)</f>
        <v/>
      </c>
      <c r="Z351">
        <f>Y350*$G$51</f>
        <v/>
      </c>
      <c r="AA351">
        <f>IF(AA350&gt;1E-9,IF(AA350*(1+$G$52)-MAX($B$9,0.01*AA350+AA350*$G$52)&gt;1E-9,AA350*(1+$G$52)-MAX($B$9,0.01*AA350+AA350*$G$52),0),0)</f>
        <v/>
      </c>
      <c r="AB351">
        <f>AA350*$G$52</f>
        <v/>
      </c>
      <c r="AC351">
        <f>IF(AC350&gt;1E-9,IF(AC350*(1+$G$53)-MAX($B$9,0.01*AC350+AC350*$G$53)&gt;1E-9,AC350*(1+$G$53)-MAX($B$9,0.01*AC350+AC350*$G$53),0),0)</f>
        <v/>
      </c>
      <c r="AD351">
        <f>AC350*$G$53</f>
        <v/>
      </c>
      <c r="AE351">
        <f>IF(AE350&gt;1E-9,IF(AE350*(1+$G$54)-MAX($B$9,0.01*AE350+AE350*$G$54)&gt;1E-9,AE350*(1+$G$54)-MAX($B$9,0.01*AE350+AE350*$G$54),0),0)</f>
        <v/>
      </c>
      <c r="AF351">
        <f>AE350*$G$54</f>
        <v/>
      </c>
      <c r="AG351">
        <f>IF(AG350&gt;1E-9,IF(AG350*(1+$G$55)-MAX($B$9,0.01*AG350+AG350*$G$55)&gt;1E-9,AG350*(1+$G$55)-MAX($B$9,0.01*AG350+AG350*$G$55),0),0)</f>
        <v/>
      </c>
      <c r="AH351">
        <f>AG350*$G$55</f>
        <v/>
      </c>
      <c r="AI351">
        <f>G351+K351+O351+S351+W351</f>
        <v/>
      </c>
      <c r="AJ351">
        <f>AI350+AK351-AI351</f>
        <v/>
      </c>
      <c r="AK351">
        <f>H351+L351+P351+T351+X351</f>
        <v/>
      </c>
      <c r="AL351">
        <f>TEXT(EDATE($B$5,D351-1),"mmm yyyy")</f>
        <v/>
      </c>
      <c r="AM351">
        <f>AI351</f>
        <v/>
      </c>
    </row>
    <row r="352">
      <c r="D352" t="n">
        <v>291</v>
      </c>
      <c r="E352">
        <f>IF(G351&gt;0,MAX(0,G351*(1+$G$51)-$H$51),0)</f>
        <v/>
      </c>
      <c r="F352">
        <f>$B$6+IF($D352=$B$8,$B$7,0)</f>
        <v/>
      </c>
      <c r="G352">
        <f>IF(E352-F352&gt;1E-9,E352-F352,0)</f>
        <v/>
      </c>
      <c r="H352">
        <f>G351*$G$51</f>
        <v/>
      </c>
      <c r="I352">
        <f>IF(K351&gt;0,MAX(0,K351*(1+$G$52)-$H$52),0)</f>
        <v/>
      </c>
      <c r="J352">
        <f>MAX(0,F352-E352)</f>
        <v/>
      </c>
      <c r="K352">
        <f>IF(I352-J352&gt;1E-9,I352-J352,0)</f>
        <v/>
      </c>
      <c r="L352">
        <f>K351*$G$52</f>
        <v/>
      </c>
      <c r="M352">
        <f>IF(O351&gt;0,MAX(0,O351*(1+$G$53)-$H$53),0)</f>
        <v/>
      </c>
      <c r="N352">
        <f>MAX(0,J352-I352)</f>
        <v/>
      </c>
      <c r="O352">
        <f>IF(M352-N352&gt;1E-9,M352-N352,0)</f>
        <v/>
      </c>
      <c r="P352">
        <f>O351*$G$53</f>
        <v/>
      </c>
      <c r="Q352">
        <f>IF(S351&gt;0,MAX(0,S351*(1+$G$54)-$H$54),0)</f>
        <v/>
      </c>
      <c r="R352">
        <f>MAX(0,N352-M352)</f>
        <v/>
      </c>
      <c r="S352">
        <f>IF(Q352-R352&gt;1E-9,Q352-R352,0)</f>
        <v/>
      </c>
      <c r="T352">
        <f>S351*$G$54</f>
        <v/>
      </c>
      <c r="U352">
        <f>IF(W351&gt;0,MAX(0,W351*(1+$G$55)-$H$55),0)</f>
        <v/>
      </c>
      <c r="V352">
        <f>MAX(0,R352-Q352)</f>
        <v/>
      </c>
      <c r="W352">
        <f>IF(U352-V352&gt;1E-9,U352-V352,0)</f>
        <v/>
      </c>
      <c r="X352">
        <f>W351*$G$55</f>
        <v/>
      </c>
      <c r="Y352">
        <f>IF(Y351&gt;1E-9,IF(Y351*(1+$G$51)-MAX($B$9,0.01*Y351+Y351*$G$51)&gt;1E-9,Y351*(1+$G$51)-MAX($B$9,0.01*Y351+Y351*$G$51),0),0)</f>
        <v/>
      </c>
      <c r="Z352">
        <f>Y351*$G$51</f>
        <v/>
      </c>
      <c r="AA352">
        <f>IF(AA351&gt;1E-9,IF(AA351*(1+$G$52)-MAX($B$9,0.01*AA351+AA351*$G$52)&gt;1E-9,AA351*(1+$G$52)-MAX($B$9,0.01*AA351+AA351*$G$52),0),0)</f>
        <v/>
      </c>
      <c r="AB352">
        <f>AA351*$G$52</f>
        <v/>
      </c>
      <c r="AC352">
        <f>IF(AC351&gt;1E-9,IF(AC351*(1+$G$53)-MAX($B$9,0.01*AC351+AC351*$G$53)&gt;1E-9,AC351*(1+$G$53)-MAX($B$9,0.01*AC351+AC351*$G$53),0),0)</f>
        <v/>
      </c>
      <c r="AD352">
        <f>AC351*$G$53</f>
        <v/>
      </c>
      <c r="AE352">
        <f>IF(AE351&gt;1E-9,IF(AE351*(1+$G$54)-MAX($B$9,0.01*AE351+AE351*$G$54)&gt;1E-9,AE351*(1+$G$54)-MAX($B$9,0.01*AE351+AE351*$G$54),0),0)</f>
        <v/>
      </c>
      <c r="AF352">
        <f>AE351*$G$54</f>
        <v/>
      </c>
      <c r="AG352">
        <f>IF(AG351&gt;1E-9,IF(AG351*(1+$G$55)-MAX($B$9,0.01*AG351+AG351*$G$55)&gt;1E-9,AG351*(1+$G$55)-MAX($B$9,0.01*AG351+AG351*$G$55),0),0)</f>
        <v/>
      </c>
      <c r="AH352">
        <f>AG351*$G$55</f>
        <v/>
      </c>
      <c r="AI352">
        <f>G352+K352+O352+S352+W352</f>
        <v/>
      </c>
      <c r="AJ352">
        <f>AI351+AK352-AI352</f>
        <v/>
      </c>
      <c r="AK352">
        <f>H352+L352+P352+T352+X352</f>
        <v/>
      </c>
      <c r="AL352">
        <f>TEXT(EDATE($B$5,D352-1),"mmm yyyy")</f>
        <v/>
      </c>
      <c r="AM352">
        <f>AI352</f>
        <v/>
      </c>
    </row>
    <row r="353">
      <c r="D353" t="n">
        <v>292</v>
      </c>
      <c r="E353">
        <f>IF(G352&gt;0,MAX(0,G352*(1+$G$51)-$H$51),0)</f>
        <v/>
      </c>
      <c r="F353">
        <f>$B$6+IF($D353=$B$8,$B$7,0)</f>
        <v/>
      </c>
      <c r="G353">
        <f>IF(E353-F353&gt;1E-9,E353-F353,0)</f>
        <v/>
      </c>
      <c r="H353">
        <f>G352*$G$51</f>
        <v/>
      </c>
      <c r="I353">
        <f>IF(K352&gt;0,MAX(0,K352*(1+$G$52)-$H$52),0)</f>
        <v/>
      </c>
      <c r="J353">
        <f>MAX(0,F353-E353)</f>
        <v/>
      </c>
      <c r="K353">
        <f>IF(I353-J353&gt;1E-9,I353-J353,0)</f>
        <v/>
      </c>
      <c r="L353">
        <f>K352*$G$52</f>
        <v/>
      </c>
      <c r="M353">
        <f>IF(O352&gt;0,MAX(0,O352*(1+$G$53)-$H$53),0)</f>
        <v/>
      </c>
      <c r="N353">
        <f>MAX(0,J353-I353)</f>
        <v/>
      </c>
      <c r="O353">
        <f>IF(M353-N353&gt;1E-9,M353-N353,0)</f>
        <v/>
      </c>
      <c r="P353">
        <f>O352*$G$53</f>
        <v/>
      </c>
      <c r="Q353">
        <f>IF(S352&gt;0,MAX(0,S352*(1+$G$54)-$H$54),0)</f>
        <v/>
      </c>
      <c r="R353">
        <f>MAX(0,N353-M353)</f>
        <v/>
      </c>
      <c r="S353">
        <f>IF(Q353-R353&gt;1E-9,Q353-R353,0)</f>
        <v/>
      </c>
      <c r="T353">
        <f>S352*$G$54</f>
        <v/>
      </c>
      <c r="U353">
        <f>IF(W352&gt;0,MAX(0,W352*(1+$G$55)-$H$55),0)</f>
        <v/>
      </c>
      <c r="V353">
        <f>MAX(0,R353-Q353)</f>
        <v/>
      </c>
      <c r="W353">
        <f>IF(U353-V353&gt;1E-9,U353-V353,0)</f>
        <v/>
      </c>
      <c r="X353">
        <f>W352*$G$55</f>
        <v/>
      </c>
      <c r="Y353">
        <f>IF(Y352&gt;1E-9,IF(Y352*(1+$G$51)-MAX($B$9,0.01*Y352+Y352*$G$51)&gt;1E-9,Y352*(1+$G$51)-MAX($B$9,0.01*Y352+Y352*$G$51),0),0)</f>
        <v/>
      </c>
      <c r="Z353">
        <f>Y352*$G$51</f>
        <v/>
      </c>
      <c r="AA353">
        <f>IF(AA352&gt;1E-9,IF(AA352*(1+$G$52)-MAX($B$9,0.01*AA352+AA352*$G$52)&gt;1E-9,AA352*(1+$G$52)-MAX($B$9,0.01*AA352+AA352*$G$52),0),0)</f>
        <v/>
      </c>
      <c r="AB353">
        <f>AA352*$G$52</f>
        <v/>
      </c>
      <c r="AC353">
        <f>IF(AC352&gt;1E-9,IF(AC352*(1+$G$53)-MAX($B$9,0.01*AC352+AC352*$G$53)&gt;1E-9,AC352*(1+$G$53)-MAX($B$9,0.01*AC352+AC352*$G$53),0),0)</f>
        <v/>
      </c>
      <c r="AD353">
        <f>AC352*$G$53</f>
        <v/>
      </c>
      <c r="AE353">
        <f>IF(AE352&gt;1E-9,IF(AE352*(1+$G$54)-MAX($B$9,0.01*AE352+AE352*$G$54)&gt;1E-9,AE352*(1+$G$54)-MAX($B$9,0.01*AE352+AE352*$G$54),0),0)</f>
        <v/>
      </c>
      <c r="AF353">
        <f>AE352*$G$54</f>
        <v/>
      </c>
      <c r="AG353">
        <f>IF(AG352&gt;1E-9,IF(AG352*(1+$G$55)-MAX($B$9,0.01*AG352+AG352*$G$55)&gt;1E-9,AG352*(1+$G$55)-MAX($B$9,0.01*AG352+AG352*$G$55),0),0)</f>
        <v/>
      </c>
      <c r="AH353">
        <f>AG352*$G$55</f>
        <v/>
      </c>
      <c r="AI353">
        <f>G353+K353+O353+S353+W353</f>
        <v/>
      </c>
      <c r="AJ353">
        <f>AI352+AK353-AI353</f>
        <v/>
      </c>
      <c r="AK353">
        <f>H353+L353+P353+T353+X353</f>
        <v/>
      </c>
      <c r="AL353">
        <f>TEXT(EDATE($B$5,D353-1),"mmm yyyy")</f>
        <v/>
      </c>
      <c r="AM353">
        <f>AI353</f>
        <v/>
      </c>
    </row>
    <row r="354">
      <c r="D354" t="n">
        <v>293</v>
      </c>
      <c r="E354">
        <f>IF(G353&gt;0,MAX(0,G353*(1+$G$51)-$H$51),0)</f>
        <v/>
      </c>
      <c r="F354">
        <f>$B$6+IF($D354=$B$8,$B$7,0)</f>
        <v/>
      </c>
      <c r="G354">
        <f>IF(E354-F354&gt;1E-9,E354-F354,0)</f>
        <v/>
      </c>
      <c r="H354">
        <f>G353*$G$51</f>
        <v/>
      </c>
      <c r="I354">
        <f>IF(K353&gt;0,MAX(0,K353*(1+$G$52)-$H$52),0)</f>
        <v/>
      </c>
      <c r="J354">
        <f>MAX(0,F354-E354)</f>
        <v/>
      </c>
      <c r="K354">
        <f>IF(I354-J354&gt;1E-9,I354-J354,0)</f>
        <v/>
      </c>
      <c r="L354">
        <f>K353*$G$52</f>
        <v/>
      </c>
      <c r="M354">
        <f>IF(O353&gt;0,MAX(0,O353*(1+$G$53)-$H$53),0)</f>
        <v/>
      </c>
      <c r="N354">
        <f>MAX(0,J354-I354)</f>
        <v/>
      </c>
      <c r="O354">
        <f>IF(M354-N354&gt;1E-9,M354-N354,0)</f>
        <v/>
      </c>
      <c r="P354">
        <f>O353*$G$53</f>
        <v/>
      </c>
      <c r="Q354">
        <f>IF(S353&gt;0,MAX(0,S353*(1+$G$54)-$H$54),0)</f>
        <v/>
      </c>
      <c r="R354">
        <f>MAX(0,N354-M354)</f>
        <v/>
      </c>
      <c r="S354">
        <f>IF(Q354-R354&gt;1E-9,Q354-R354,0)</f>
        <v/>
      </c>
      <c r="T354">
        <f>S353*$G$54</f>
        <v/>
      </c>
      <c r="U354">
        <f>IF(W353&gt;0,MAX(0,W353*(1+$G$55)-$H$55),0)</f>
        <v/>
      </c>
      <c r="V354">
        <f>MAX(0,R354-Q354)</f>
        <v/>
      </c>
      <c r="W354">
        <f>IF(U354-V354&gt;1E-9,U354-V354,0)</f>
        <v/>
      </c>
      <c r="X354">
        <f>W353*$G$55</f>
        <v/>
      </c>
      <c r="Y354">
        <f>IF(Y353&gt;1E-9,IF(Y353*(1+$G$51)-MAX($B$9,0.01*Y353+Y353*$G$51)&gt;1E-9,Y353*(1+$G$51)-MAX($B$9,0.01*Y353+Y353*$G$51),0),0)</f>
        <v/>
      </c>
      <c r="Z354">
        <f>Y353*$G$51</f>
        <v/>
      </c>
      <c r="AA354">
        <f>IF(AA353&gt;1E-9,IF(AA353*(1+$G$52)-MAX($B$9,0.01*AA353+AA353*$G$52)&gt;1E-9,AA353*(1+$G$52)-MAX($B$9,0.01*AA353+AA353*$G$52),0),0)</f>
        <v/>
      </c>
      <c r="AB354">
        <f>AA353*$G$52</f>
        <v/>
      </c>
      <c r="AC354">
        <f>IF(AC353&gt;1E-9,IF(AC353*(1+$G$53)-MAX($B$9,0.01*AC353+AC353*$G$53)&gt;1E-9,AC353*(1+$G$53)-MAX($B$9,0.01*AC353+AC353*$G$53),0),0)</f>
        <v/>
      </c>
      <c r="AD354">
        <f>AC353*$G$53</f>
        <v/>
      </c>
      <c r="AE354">
        <f>IF(AE353&gt;1E-9,IF(AE353*(1+$G$54)-MAX($B$9,0.01*AE353+AE353*$G$54)&gt;1E-9,AE353*(1+$G$54)-MAX($B$9,0.01*AE353+AE353*$G$54),0),0)</f>
        <v/>
      </c>
      <c r="AF354">
        <f>AE353*$G$54</f>
        <v/>
      </c>
      <c r="AG354">
        <f>IF(AG353&gt;1E-9,IF(AG353*(1+$G$55)-MAX($B$9,0.01*AG353+AG353*$G$55)&gt;1E-9,AG353*(1+$G$55)-MAX($B$9,0.01*AG353+AG353*$G$55),0),0)</f>
        <v/>
      </c>
      <c r="AH354">
        <f>AG353*$G$55</f>
        <v/>
      </c>
      <c r="AI354">
        <f>G354+K354+O354+S354+W354</f>
        <v/>
      </c>
      <c r="AJ354">
        <f>AI353+AK354-AI354</f>
        <v/>
      </c>
      <c r="AK354">
        <f>H354+L354+P354+T354+X354</f>
        <v/>
      </c>
      <c r="AL354">
        <f>TEXT(EDATE($B$5,D354-1),"mmm yyyy")</f>
        <v/>
      </c>
      <c r="AM354">
        <f>AI354</f>
        <v/>
      </c>
    </row>
    <row r="355">
      <c r="D355" t="n">
        <v>294</v>
      </c>
      <c r="E355">
        <f>IF(G354&gt;0,MAX(0,G354*(1+$G$51)-$H$51),0)</f>
        <v/>
      </c>
      <c r="F355">
        <f>$B$6+IF($D355=$B$8,$B$7,0)</f>
        <v/>
      </c>
      <c r="G355">
        <f>IF(E355-F355&gt;1E-9,E355-F355,0)</f>
        <v/>
      </c>
      <c r="H355">
        <f>G354*$G$51</f>
        <v/>
      </c>
      <c r="I355">
        <f>IF(K354&gt;0,MAX(0,K354*(1+$G$52)-$H$52),0)</f>
        <v/>
      </c>
      <c r="J355">
        <f>MAX(0,F355-E355)</f>
        <v/>
      </c>
      <c r="K355">
        <f>IF(I355-J355&gt;1E-9,I355-J355,0)</f>
        <v/>
      </c>
      <c r="L355">
        <f>K354*$G$52</f>
        <v/>
      </c>
      <c r="M355">
        <f>IF(O354&gt;0,MAX(0,O354*(1+$G$53)-$H$53),0)</f>
        <v/>
      </c>
      <c r="N355">
        <f>MAX(0,J355-I355)</f>
        <v/>
      </c>
      <c r="O355">
        <f>IF(M355-N355&gt;1E-9,M355-N355,0)</f>
        <v/>
      </c>
      <c r="P355">
        <f>O354*$G$53</f>
        <v/>
      </c>
      <c r="Q355">
        <f>IF(S354&gt;0,MAX(0,S354*(1+$G$54)-$H$54),0)</f>
        <v/>
      </c>
      <c r="R355">
        <f>MAX(0,N355-M355)</f>
        <v/>
      </c>
      <c r="S355">
        <f>IF(Q355-R355&gt;1E-9,Q355-R355,0)</f>
        <v/>
      </c>
      <c r="T355">
        <f>S354*$G$54</f>
        <v/>
      </c>
      <c r="U355">
        <f>IF(W354&gt;0,MAX(0,W354*(1+$G$55)-$H$55),0)</f>
        <v/>
      </c>
      <c r="V355">
        <f>MAX(0,R355-Q355)</f>
        <v/>
      </c>
      <c r="W355">
        <f>IF(U355-V355&gt;1E-9,U355-V355,0)</f>
        <v/>
      </c>
      <c r="X355">
        <f>W354*$G$55</f>
        <v/>
      </c>
      <c r="Y355">
        <f>IF(Y354&gt;1E-9,IF(Y354*(1+$G$51)-MAX($B$9,0.01*Y354+Y354*$G$51)&gt;1E-9,Y354*(1+$G$51)-MAX($B$9,0.01*Y354+Y354*$G$51),0),0)</f>
        <v/>
      </c>
      <c r="Z355">
        <f>Y354*$G$51</f>
        <v/>
      </c>
      <c r="AA355">
        <f>IF(AA354&gt;1E-9,IF(AA354*(1+$G$52)-MAX($B$9,0.01*AA354+AA354*$G$52)&gt;1E-9,AA354*(1+$G$52)-MAX($B$9,0.01*AA354+AA354*$G$52),0),0)</f>
        <v/>
      </c>
      <c r="AB355">
        <f>AA354*$G$52</f>
        <v/>
      </c>
      <c r="AC355">
        <f>IF(AC354&gt;1E-9,IF(AC354*(1+$G$53)-MAX($B$9,0.01*AC354+AC354*$G$53)&gt;1E-9,AC354*(1+$G$53)-MAX($B$9,0.01*AC354+AC354*$G$53),0),0)</f>
        <v/>
      </c>
      <c r="AD355">
        <f>AC354*$G$53</f>
        <v/>
      </c>
      <c r="AE355">
        <f>IF(AE354&gt;1E-9,IF(AE354*(1+$G$54)-MAX($B$9,0.01*AE354+AE354*$G$54)&gt;1E-9,AE354*(1+$G$54)-MAX($B$9,0.01*AE354+AE354*$G$54),0),0)</f>
        <v/>
      </c>
      <c r="AF355">
        <f>AE354*$G$54</f>
        <v/>
      </c>
      <c r="AG355">
        <f>IF(AG354&gt;1E-9,IF(AG354*(1+$G$55)-MAX($B$9,0.01*AG354+AG354*$G$55)&gt;1E-9,AG354*(1+$G$55)-MAX($B$9,0.01*AG354+AG354*$G$55),0),0)</f>
        <v/>
      </c>
      <c r="AH355">
        <f>AG354*$G$55</f>
        <v/>
      </c>
      <c r="AI355">
        <f>G355+K355+O355+S355+W355</f>
        <v/>
      </c>
      <c r="AJ355">
        <f>AI354+AK355-AI355</f>
        <v/>
      </c>
      <c r="AK355">
        <f>H355+L355+P355+T355+X355</f>
        <v/>
      </c>
      <c r="AL355">
        <f>TEXT(EDATE($B$5,D355-1),"mmm yyyy")</f>
        <v/>
      </c>
      <c r="AM355">
        <f>AI355</f>
        <v/>
      </c>
    </row>
    <row r="356">
      <c r="D356" t="n">
        <v>295</v>
      </c>
      <c r="E356">
        <f>IF(G355&gt;0,MAX(0,G355*(1+$G$51)-$H$51),0)</f>
        <v/>
      </c>
      <c r="F356">
        <f>$B$6+IF($D356=$B$8,$B$7,0)</f>
        <v/>
      </c>
      <c r="G356">
        <f>IF(E356-F356&gt;1E-9,E356-F356,0)</f>
        <v/>
      </c>
      <c r="H356">
        <f>G355*$G$51</f>
        <v/>
      </c>
      <c r="I356">
        <f>IF(K355&gt;0,MAX(0,K355*(1+$G$52)-$H$52),0)</f>
        <v/>
      </c>
      <c r="J356">
        <f>MAX(0,F356-E356)</f>
        <v/>
      </c>
      <c r="K356">
        <f>IF(I356-J356&gt;1E-9,I356-J356,0)</f>
        <v/>
      </c>
      <c r="L356">
        <f>K355*$G$52</f>
        <v/>
      </c>
      <c r="M356">
        <f>IF(O355&gt;0,MAX(0,O355*(1+$G$53)-$H$53),0)</f>
        <v/>
      </c>
      <c r="N356">
        <f>MAX(0,J356-I356)</f>
        <v/>
      </c>
      <c r="O356">
        <f>IF(M356-N356&gt;1E-9,M356-N356,0)</f>
        <v/>
      </c>
      <c r="P356">
        <f>O355*$G$53</f>
        <v/>
      </c>
      <c r="Q356">
        <f>IF(S355&gt;0,MAX(0,S355*(1+$G$54)-$H$54),0)</f>
        <v/>
      </c>
      <c r="R356">
        <f>MAX(0,N356-M356)</f>
        <v/>
      </c>
      <c r="S356">
        <f>IF(Q356-R356&gt;1E-9,Q356-R356,0)</f>
        <v/>
      </c>
      <c r="T356">
        <f>S355*$G$54</f>
        <v/>
      </c>
      <c r="U356">
        <f>IF(W355&gt;0,MAX(0,W355*(1+$G$55)-$H$55),0)</f>
        <v/>
      </c>
      <c r="V356">
        <f>MAX(0,R356-Q356)</f>
        <v/>
      </c>
      <c r="W356">
        <f>IF(U356-V356&gt;1E-9,U356-V356,0)</f>
        <v/>
      </c>
      <c r="X356">
        <f>W355*$G$55</f>
        <v/>
      </c>
      <c r="Y356">
        <f>IF(Y355&gt;1E-9,IF(Y355*(1+$G$51)-MAX($B$9,0.01*Y355+Y355*$G$51)&gt;1E-9,Y355*(1+$G$51)-MAX($B$9,0.01*Y355+Y355*$G$51),0),0)</f>
        <v/>
      </c>
      <c r="Z356">
        <f>Y355*$G$51</f>
        <v/>
      </c>
      <c r="AA356">
        <f>IF(AA355&gt;1E-9,IF(AA355*(1+$G$52)-MAX($B$9,0.01*AA355+AA355*$G$52)&gt;1E-9,AA355*(1+$G$52)-MAX($B$9,0.01*AA355+AA355*$G$52),0),0)</f>
        <v/>
      </c>
      <c r="AB356">
        <f>AA355*$G$52</f>
        <v/>
      </c>
      <c r="AC356">
        <f>IF(AC355&gt;1E-9,IF(AC355*(1+$G$53)-MAX($B$9,0.01*AC355+AC355*$G$53)&gt;1E-9,AC355*(1+$G$53)-MAX($B$9,0.01*AC355+AC355*$G$53),0),0)</f>
        <v/>
      </c>
      <c r="AD356">
        <f>AC355*$G$53</f>
        <v/>
      </c>
      <c r="AE356">
        <f>IF(AE355&gt;1E-9,IF(AE355*(1+$G$54)-MAX($B$9,0.01*AE355+AE355*$G$54)&gt;1E-9,AE355*(1+$G$54)-MAX($B$9,0.01*AE355+AE355*$G$54),0),0)</f>
        <v/>
      </c>
      <c r="AF356">
        <f>AE355*$G$54</f>
        <v/>
      </c>
      <c r="AG356">
        <f>IF(AG355&gt;1E-9,IF(AG355*(1+$G$55)-MAX($B$9,0.01*AG355+AG355*$G$55)&gt;1E-9,AG355*(1+$G$55)-MAX($B$9,0.01*AG355+AG355*$G$55),0),0)</f>
        <v/>
      </c>
      <c r="AH356">
        <f>AG355*$G$55</f>
        <v/>
      </c>
      <c r="AI356">
        <f>G356+K356+O356+S356+W356</f>
        <v/>
      </c>
      <c r="AJ356">
        <f>AI355+AK356-AI356</f>
        <v/>
      </c>
      <c r="AK356">
        <f>H356+L356+P356+T356+X356</f>
        <v/>
      </c>
      <c r="AL356">
        <f>TEXT(EDATE($B$5,D356-1),"mmm yyyy")</f>
        <v/>
      </c>
      <c r="AM356">
        <f>AI356</f>
        <v/>
      </c>
    </row>
    <row r="357">
      <c r="D357" t="n">
        <v>296</v>
      </c>
      <c r="E357">
        <f>IF(G356&gt;0,MAX(0,G356*(1+$G$51)-$H$51),0)</f>
        <v/>
      </c>
      <c r="F357">
        <f>$B$6+IF($D357=$B$8,$B$7,0)</f>
        <v/>
      </c>
      <c r="G357">
        <f>IF(E357-F357&gt;1E-9,E357-F357,0)</f>
        <v/>
      </c>
      <c r="H357">
        <f>G356*$G$51</f>
        <v/>
      </c>
      <c r="I357">
        <f>IF(K356&gt;0,MAX(0,K356*(1+$G$52)-$H$52),0)</f>
        <v/>
      </c>
      <c r="J357">
        <f>MAX(0,F357-E357)</f>
        <v/>
      </c>
      <c r="K357">
        <f>IF(I357-J357&gt;1E-9,I357-J357,0)</f>
        <v/>
      </c>
      <c r="L357">
        <f>K356*$G$52</f>
        <v/>
      </c>
      <c r="M357">
        <f>IF(O356&gt;0,MAX(0,O356*(1+$G$53)-$H$53),0)</f>
        <v/>
      </c>
      <c r="N357">
        <f>MAX(0,J357-I357)</f>
        <v/>
      </c>
      <c r="O357">
        <f>IF(M357-N357&gt;1E-9,M357-N357,0)</f>
        <v/>
      </c>
      <c r="P357">
        <f>O356*$G$53</f>
        <v/>
      </c>
      <c r="Q357">
        <f>IF(S356&gt;0,MAX(0,S356*(1+$G$54)-$H$54),0)</f>
        <v/>
      </c>
      <c r="R357">
        <f>MAX(0,N357-M357)</f>
        <v/>
      </c>
      <c r="S357">
        <f>IF(Q357-R357&gt;1E-9,Q357-R357,0)</f>
        <v/>
      </c>
      <c r="T357">
        <f>S356*$G$54</f>
        <v/>
      </c>
      <c r="U357">
        <f>IF(W356&gt;0,MAX(0,W356*(1+$G$55)-$H$55),0)</f>
        <v/>
      </c>
      <c r="V357">
        <f>MAX(0,R357-Q357)</f>
        <v/>
      </c>
      <c r="W357">
        <f>IF(U357-V357&gt;1E-9,U357-V357,0)</f>
        <v/>
      </c>
      <c r="X357">
        <f>W356*$G$55</f>
        <v/>
      </c>
      <c r="Y357">
        <f>IF(Y356&gt;1E-9,IF(Y356*(1+$G$51)-MAX($B$9,0.01*Y356+Y356*$G$51)&gt;1E-9,Y356*(1+$G$51)-MAX($B$9,0.01*Y356+Y356*$G$51),0),0)</f>
        <v/>
      </c>
      <c r="Z357">
        <f>Y356*$G$51</f>
        <v/>
      </c>
      <c r="AA357">
        <f>IF(AA356&gt;1E-9,IF(AA356*(1+$G$52)-MAX($B$9,0.01*AA356+AA356*$G$52)&gt;1E-9,AA356*(1+$G$52)-MAX($B$9,0.01*AA356+AA356*$G$52),0),0)</f>
        <v/>
      </c>
      <c r="AB357">
        <f>AA356*$G$52</f>
        <v/>
      </c>
      <c r="AC357">
        <f>IF(AC356&gt;1E-9,IF(AC356*(1+$G$53)-MAX($B$9,0.01*AC356+AC356*$G$53)&gt;1E-9,AC356*(1+$G$53)-MAX($B$9,0.01*AC356+AC356*$G$53),0),0)</f>
        <v/>
      </c>
      <c r="AD357">
        <f>AC356*$G$53</f>
        <v/>
      </c>
      <c r="AE357">
        <f>IF(AE356&gt;1E-9,IF(AE356*(1+$G$54)-MAX($B$9,0.01*AE356+AE356*$G$54)&gt;1E-9,AE356*(1+$G$54)-MAX($B$9,0.01*AE356+AE356*$G$54),0),0)</f>
        <v/>
      </c>
      <c r="AF357">
        <f>AE356*$G$54</f>
        <v/>
      </c>
      <c r="AG357">
        <f>IF(AG356&gt;1E-9,IF(AG356*(1+$G$55)-MAX($B$9,0.01*AG356+AG356*$G$55)&gt;1E-9,AG356*(1+$G$55)-MAX($B$9,0.01*AG356+AG356*$G$55),0),0)</f>
        <v/>
      </c>
      <c r="AH357">
        <f>AG356*$G$55</f>
        <v/>
      </c>
      <c r="AI357">
        <f>G357+K357+O357+S357+W357</f>
        <v/>
      </c>
      <c r="AJ357">
        <f>AI356+AK357-AI357</f>
        <v/>
      </c>
      <c r="AK357">
        <f>H357+L357+P357+T357+X357</f>
        <v/>
      </c>
      <c r="AL357">
        <f>TEXT(EDATE($B$5,D357-1),"mmm yyyy")</f>
        <v/>
      </c>
      <c r="AM357">
        <f>AI357</f>
        <v/>
      </c>
    </row>
    <row r="358">
      <c r="D358" t="n">
        <v>297</v>
      </c>
      <c r="E358">
        <f>IF(G357&gt;0,MAX(0,G357*(1+$G$51)-$H$51),0)</f>
        <v/>
      </c>
      <c r="F358">
        <f>$B$6+IF($D358=$B$8,$B$7,0)</f>
        <v/>
      </c>
      <c r="G358">
        <f>IF(E358-F358&gt;1E-9,E358-F358,0)</f>
        <v/>
      </c>
      <c r="H358">
        <f>G357*$G$51</f>
        <v/>
      </c>
      <c r="I358">
        <f>IF(K357&gt;0,MAX(0,K357*(1+$G$52)-$H$52),0)</f>
        <v/>
      </c>
      <c r="J358">
        <f>MAX(0,F358-E358)</f>
        <v/>
      </c>
      <c r="K358">
        <f>IF(I358-J358&gt;1E-9,I358-J358,0)</f>
        <v/>
      </c>
      <c r="L358">
        <f>K357*$G$52</f>
        <v/>
      </c>
      <c r="M358">
        <f>IF(O357&gt;0,MAX(0,O357*(1+$G$53)-$H$53),0)</f>
        <v/>
      </c>
      <c r="N358">
        <f>MAX(0,J358-I358)</f>
        <v/>
      </c>
      <c r="O358">
        <f>IF(M358-N358&gt;1E-9,M358-N358,0)</f>
        <v/>
      </c>
      <c r="P358">
        <f>O357*$G$53</f>
        <v/>
      </c>
      <c r="Q358">
        <f>IF(S357&gt;0,MAX(0,S357*(1+$G$54)-$H$54),0)</f>
        <v/>
      </c>
      <c r="R358">
        <f>MAX(0,N358-M358)</f>
        <v/>
      </c>
      <c r="S358">
        <f>IF(Q358-R358&gt;1E-9,Q358-R358,0)</f>
        <v/>
      </c>
      <c r="T358">
        <f>S357*$G$54</f>
        <v/>
      </c>
      <c r="U358">
        <f>IF(W357&gt;0,MAX(0,W357*(1+$G$55)-$H$55),0)</f>
        <v/>
      </c>
      <c r="V358">
        <f>MAX(0,R358-Q358)</f>
        <v/>
      </c>
      <c r="W358">
        <f>IF(U358-V358&gt;1E-9,U358-V358,0)</f>
        <v/>
      </c>
      <c r="X358">
        <f>W357*$G$55</f>
        <v/>
      </c>
      <c r="Y358">
        <f>IF(Y357&gt;1E-9,IF(Y357*(1+$G$51)-MAX($B$9,0.01*Y357+Y357*$G$51)&gt;1E-9,Y357*(1+$G$51)-MAX($B$9,0.01*Y357+Y357*$G$51),0),0)</f>
        <v/>
      </c>
      <c r="Z358">
        <f>Y357*$G$51</f>
        <v/>
      </c>
      <c r="AA358">
        <f>IF(AA357&gt;1E-9,IF(AA357*(1+$G$52)-MAX($B$9,0.01*AA357+AA357*$G$52)&gt;1E-9,AA357*(1+$G$52)-MAX($B$9,0.01*AA357+AA357*$G$52),0),0)</f>
        <v/>
      </c>
      <c r="AB358">
        <f>AA357*$G$52</f>
        <v/>
      </c>
      <c r="AC358">
        <f>IF(AC357&gt;1E-9,IF(AC357*(1+$G$53)-MAX($B$9,0.01*AC357+AC357*$G$53)&gt;1E-9,AC357*(1+$G$53)-MAX($B$9,0.01*AC357+AC357*$G$53),0),0)</f>
        <v/>
      </c>
      <c r="AD358">
        <f>AC357*$G$53</f>
        <v/>
      </c>
      <c r="AE358">
        <f>IF(AE357&gt;1E-9,IF(AE357*(1+$G$54)-MAX($B$9,0.01*AE357+AE357*$G$54)&gt;1E-9,AE357*(1+$G$54)-MAX($B$9,0.01*AE357+AE357*$G$54),0),0)</f>
        <v/>
      </c>
      <c r="AF358">
        <f>AE357*$G$54</f>
        <v/>
      </c>
      <c r="AG358">
        <f>IF(AG357&gt;1E-9,IF(AG357*(1+$G$55)-MAX($B$9,0.01*AG357+AG357*$G$55)&gt;1E-9,AG357*(1+$G$55)-MAX($B$9,0.01*AG357+AG357*$G$55),0),0)</f>
        <v/>
      </c>
      <c r="AH358">
        <f>AG357*$G$55</f>
        <v/>
      </c>
      <c r="AI358">
        <f>G358+K358+O358+S358+W358</f>
        <v/>
      </c>
      <c r="AJ358">
        <f>AI357+AK358-AI358</f>
        <v/>
      </c>
      <c r="AK358">
        <f>H358+L358+P358+T358+X358</f>
        <v/>
      </c>
      <c r="AL358">
        <f>TEXT(EDATE($B$5,D358-1),"mmm yyyy")</f>
        <v/>
      </c>
      <c r="AM358">
        <f>AI358</f>
        <v/>
      </c>
    </row>
    <row r="359">
      <c r="D359" t="n">
        <v>298</v>
      </c>
      <c r="E359">
        <f>IF(G358&gt;0,MAX(0,G358*(1+$G$51)-$H$51),0)</f>
        <v/>
      </c>
      <c r="F359">
        <f>$B$6+IF($D359=$B$8,$B$7,0)</f>
        <v/>
      </c>
      <c r="G359">
        <f>IF(E359-F359&gt;1E-9,E359-F359,0)</f>
        <v/>
      </c>
      <c r="H359">
        <f>G358*$G$51</f>
        <v/>
      </c>
      <c r="I359">
        <f>IF(K358&gt;0,MAX(0,K358*(1+$G$52)-$H$52),0)</f>
        <v/>
      </c>
      <c r="J359">
        <f>MAX(0,F359-E359)</f>
        <v/>
      </c>
      <c r="K359">
        <f>IF(I359-J359&gt;1E-9,I359-J359,0)</f>
        <v/>
      </c>
      <c r="L359">
        <f>K358*$G$52</f>
        <v/>
      </c>
      <c r="M359">
        <f>IF(O358&gt;0,MAX(0,O358*(1+$G$53)-$H$53),0)</f>
        <v/>
      </c>
      <c r="N359">
        <f>MAX(0,J359-I359)</f>
        <v/>
      </c>
      <c r="O359">
        <f>IF(M359-N359&gt;1E-9,M359-N359,0)</f>
        <v/>
      </c>
      <c r="P359">
        <f>O358*$G$53</f>
        <v/>
      </c>
      <c r="Q359">
        <f>IF(S358&gt;0,MAX(0,S358*(1+$G$54)-$H$54),0)</f>
        <v/>
      </c>
      <c r="R359">
        <f>MAX(0,N359-M359)</f>
        <v/>
      </c>
      <c r="S359">
        <f>IF(Q359-R359&gt;1E-9,Q359-R359,0)</f>
        <v/>
      </c>
      <c r="T359">
        <f>S358*$G$54</f>
        <v/>
      </c>
      <c r="U359">
        <f>IF(W358&gt;0,MAX(0,W358*(1+$G$55)-$H$55),0)</f>
        <v/>
      </c>
      <c r="V359">
        <f>MAX(0,R359-Q359)</f>
        <v/>
      </c>
      <c r="W359">
        <f>IF(U359-V359&gt;1E-9,U359-V359,0)</f>
        <v/>
      </c>
      <c r="X359">
        <f>W358*$G$55</f>
        <v/>
      </c>
      <c r="Y359">
        <f>IF(Y358&gt;1E-9,IF(Y358*(1+$G$51)-MAX($B$9,0.01*Y358+Y358*$G$51)&gt;1E-9,Y358*(1+$G$51)-MAX($B$9,0.01*Y358+Y358*$G$51),0),0)</f>
        <v/>
      </c>
      <c r="Z359">
        <f>Y358*$G$51</f>
        <v/>
      </c>
      <c r="AA359">
        <f>IF(AA358&gt;1E-9,IF(AA358*(1+$G$52)-MAX($B$9,0.01*AA358+AA358*$G$52)&gt;1E-9,AA358*(1+$G$52)-MAX($B$9,0.01*AA358+AA358*$G$52),0),0)</f>
        <v/>
      </c>
      <c r="AB359">
        <f>AA358*$G$52</f>
        <v/>
      </c>
      <c r="AC359">
        <f>IF(AC358&gt;1E-9,IF(AC358*(1+$G$53)-MAX($B$9,0.01*AC358+AC358*$G$53)&gt;1E-9,AC358*(1+$G$53)-MAX($B$9,0.01*AC358+AC358*$G$53),0),0)</f>
        <v/>
      </c>
      <c r="AD359">
        <f>AC358*$G$53</f>
        <v/>
      </c>
      <c r="AE359">
        <f>IF(AE358&gt;1E-9,IF(AE358*(1+$G$54)-MAX($B$9,0.01*AE358+AE358*$G$54)&gt;1E-9,AE358*(1+$G$54)-MAX($B$9,0.01*AE358+AE358*$G$54),0),0)</f>
        <v/>
      </c>
      <c r="AF359">
        <f>AE358*$G$54</f>
        <v/>
      </c>
      <c r="AG359">
        <f>IF(AG358&gt;1E-9,IF(AG358*(1+$G$55)-MAX($B$9,0.01*AG358+AG358*$G$55)&gt;1E-9,AG358*(1+$G$55)-MAX($B$9,0.01*AG358+AG358*$G$55),0),0)</f>
        <v/>
      </c>
      <c r="AH359">
        <f>AG358*$G$55</f>
        <v/>
      </c>
      <c r="AI359">
        <f>G359+K359+O359+S359+W359</f>
        <v/>
      </c>
      <c r="AJ359">
        <f>AI358+AK359-AI359</f>
        <v/>
      </c>
      <c r="AK359">
        <f>H359+L359+P359+T359+X359</f>
        <v/>
      </c>
      <c r="AL359">
        <f>TEXT(EDATE($B$5,D359-1),"mmm yyyy")</f>
        <v/>
      </c>
      <c r="AM359">
        <f>AI359</f>
        <v/>
      </c>
    </row>
    <row r="360">
      <c r="D360" t="n">
        <v>299</v>
      </c>
      <c r="E360">
        <f>IF(G359&gt;0,MAX(0,G359*(1+$G$51)-$H$51),0)</f>
        <v/>
      </c>
      <c r="F360">
        <f>$B$6+IF($D360=$B$8,$B$7,0)</f>
        <v/>
      </c>
      <c r="G360">
        <f>IF(E360-F360&gt;1E-9,E360-F360,0)</f>
        <v/>
      </c>
      <c r="H360">
        <f>G359*$G$51</f>
        <v/>
      </c>
      <c r="I360">
        <f>IF(K359&gt;0,MAX(0,K359*(1+$G$52)-$H$52),0)</f>
        <v/>
      </c>
      <c r="J360">
        <f>MAX(0,F360-E360)</f>
        <v/>
      </c>
      <c r="K360">
        <f>IF(I360-J360&gt;1E-9,I360-J360,0)</f>
        <v/>
      </c>
      <c r="L360">
        <f>K359*$G$52</f>
        <v/>
      </c>
      <c r="M360">
        <f>IF(O359&gt;0,MAX(0,O359*(1+$G$53)-$H$53),0)</f>
        <v/>
      </c>
      <c r="N360">
        <f>MAX(0,J360-I360)</f>
        <v/>
      </c>
      <c r="O360">
        <f>IF(M360-N360&gt;1E-9,M360-N360,0)</f>
        <v/>
      </c>
      <c r="P360">
        <f>O359*$G$53</f>
        <v/>
      </c>
      <c r="Q360">
        <f>IF(S359&gt;0,MAX(0,S359*(1+$G$54)-$H$54),0)</f>
        <v/>
      </c>
      <c r="R360">
        <f>MAX(0,N360-M360)</f>
        <v/>
      </c>
      <c r="S360">
        <f>IF(Q360-R360&gt;1E-9,Q360-R360,0)</f>
        <v/>
      </c>
      <c r="T360">
        <f>S359*$G$54</f>
        <v/>
      </c>
      <c r="U360">
        <f>IF(W359&gt;0,MAX(0,W359*(1+$G$55)-$H$55),0)</f>
        <v/>
      </c>
      <c r="V360">
        <f>MAX(0,R360-Q360)</f>
        <v/>
      </c>
      <c r="W360">
        <f>IF(U360-V360&gt;1E-9,U360-V360,0)</f>
        <v/>
      </c>
      <c r="X360">
        <f>W359*$G$55</f>
        <v/>
      </c>
      <c r="Y360">
        <f>IF(Y359&gt;1E-9,IF(Y359*(1+$G$51)-MAX($B$9,0.01*Y359+Y359*$G$51)&gt;1E-9,Y359*(1+$G$51)-MAX($B$9,0.01*Y359+Y359*$G$51),0),0)</f>
        <v/>
      </c>
      <c r="Z360">
        <f>Y359*$G$51</f>
        <v/>
      </c>
      <c r="AA360">
        <f>IF(AA359&gt;1E-9,IF(AA359*(1+$G$52)-MAX($B$9,0.01*AA359+AA359*$G$52)&gt;1E-9,AA359*(1+$G$52)-MAX($B$9,0.01*AA359+AA359*$G$52),0),0)</f>
        <v/>
      </c>
      <c r="AB360">
        <f>AA359*$G$52</f>
        <v/>
      </c>
      <c r="AC360">
        <f>IF(AC359&gt;1E-9,IF(AC359*(1+$G$53)-MAX($B$9,0.01*AC359+AC359*$G$53)&gt;1E-9,AC359*(1+$G$53)-MAX($B$9,0.01*AC359+AC359*$G$53),0),0)</f>
        <v/>
      </c>
      <c r="AD360">
        <f>AC359*$G$53</f>
        <v/>
      </c>
      <c r="AE360">
        <f>IF(AE359&gt;1E-9,IF(AE359*(1+$G$54)-MAX($B$9,0.01*AE359+AE359*$G$54)&gt;1E-9,AE359*(1+$G$54)-MAX($B$9,0.01*AE359+AE359*$G$54),0),0)</f>
        <v/>
      </c>
      <c r="AF360">
        <f>AE359*$G$54</f>
        <v/>
      </c>
      <c r="AG360">
        <f>IF(AG359&gt;1E-9,IF(AG359*(1+$G$55)-MAX($B$9,0.01*AG359+AG359*$G$55)&gt;1E-9,AG359*(1+$G$55)-MAX($B$9,0.01*AG359+AG359*$G$55),0),0)</f>
        <v/>
      </c>
      <c r="AH360">
        <f>AG359*$G$55</f>
        <v/>
      </c>
      <c r="AI360">
        <f>G360+K360+O360+S360+W360</f>
        <v/>
      </c>
      <c r="AJ360">
        <f>AI359+AK360-AI360</f>
        <v/>
      </c>
      <c r="AK360">
        <f>H360+L360+P360+T360+X360</f>
        <v/>
      </c>
      <c r="AL360">
        <f>TEXT(EDATE($B$5,D360-1),"mmm yyyy")</f>
        <v/>
      </c>
      <c r="AM360">
        <f>AI360</f>
        <v/>
      </c>
    </row>
    <row r="361">
      <c r="D361" t="n">
        <v>300</v>
      </c>
      <c r="E361">
        <f>IF(G360&gt;0,MAX(0,G360*(1+$G$51)-$H$51),0)</f>
        <v/>
      </c>
      <c r="F361">
        <f>$B$6+IF($D361=$B$8,$B$7,0)</f>
        <v/>
      </c>
      <c r="G361">
        <f>IF(E361-F361&gt;1E-9,E361-F361,0)</f>
        <v/>
      </c>
      <c r="H361">
        <f>G360*$G$51</f>
        <v/>
      </c>
      <c r="I361">
        <f>IF(K360&gt;0,MAX(0,K360*(1+$G$52)-$H$52),0)</f>
        <v/>
      </c>
      <c r="J361">
        <f>MAX(0,F361-E361)</f>
        <v/>
      </c>
      <c r="K361">
        <f>IF(I361-J361&gt;1E-9,I361-J361,0)</f>
        <v/>
      </c>
      <c r="L361">
        <f>K360*$G$52</f>
        <v/>
      </c>
      <c r="M361">
        <f>IF(O360&gt;0,MAX(0,O360*(1+$G$53)-$H$53),0)</f>
        <v/>
      </c>
      <c r="N361">
        <f>MAX(0,J361-I361)</f>
        <v/>
      </c>
      <c r="O361">
        <f>IF(M361-N361&gt;1E-9,M361-N361,0)</f>
        <v/>
      </c>
      <c r="P361">
        <f>O360*$G$53</f>
        <v/>
      </c>
      <c r="Q361">
        <f>IF(S360&gt;0,MAX(0,S360*(1+$G$54)-$H$54),0)</f>
        <v/>
      </c>
      <c r="R361">
        <f>MAX(0,N361-M361)</f>
        <v/>
      </c>
      <c r="S361">
        <f>IF(Q361-R361&gt;1E-9,Q361-R361,0)</f>
        <v/>
      </c>
      <c r="T361">
        <f>S360*$G$54</f>
        <v/>
      </c>
      <c r="U361">
        <f>IF(W360&gt;0,MAX(0,W360*(1+$G$55)-$H$55),0)</f>
        <v/>
      </c>
      <c r="V361">
        <f>MAX(0,R361-Q361)</f>
        <v/>
      </c>
      <c r="W361">
        <f>IF(U361-V361&gt;1E-9,U361-V361,0)</f>
        <v/>
      </c>
      <c r="X361">
        <f>W360*$G$55</f>
        <v/>
      </c>
      <c r="Y361">
        <f>IF(Y360&gt;1E-9,IF(Y360*(1+$G$51)-MAX($B$9,0.01*Y360+Y360*$G$51)&gt;1E-9,Y360*(1+$G$51)-MAX($B$9,0.01*Y360+Y360*$G$51),0),0)</f>
        <v/>
      </c>
      <c r="Z361">
        <f>Y360*$G$51</f>
        <v/>
      </c>
      <c r="AA361">
        <f>IF(AA360&gt;1E-9,IF(AA360*(1+$G$52)-MAX($B$9,0.01*AA360+AA360*$G$52)&gt;1E-9,AA360*(1+$G$52)-MAX($B$9,0.01*AA360+AA360*$G$52),0),0)</f>
        <v/>
      </c>
      <c r="AB361">
        <f>AA360*$G$52</f>
        <v/>
      </c>
      <c r="AC361">
        <f>IF(AC360&gt;1E-9,IF(AC360*(1+$G$53)-MAX($B$9,0.01*AC360+AC360*$G$53)&gt;1E-9,AC360*(1+$G$53)-MAX($B$9,0.01*AC360+AC360*$G$53),0),0)</f>
        <v/>
      </c>
      <c r="AD361">
        <f>AC360*$G$53</f>
        <v/>
      </c>
      <c r="AE361">
        <f>IF(AE360&gt;1E-9,IF(AE360*(1+$G$54)-MAX($B$9,0.01*AE360+AE360*$G$54)&gt;1E-9,AE360*(1+$G$54)-MAX($B$9,0.01*AE360+AE360*$G$54),0),0)</f>
        <v/>
      </c>
      <c r="AF361">
        <f>AE360*$G$54</f>
        <v/>
      </c>
      <c r="AG361">
        <f>IF(AG360&gt;1E-9,IF(AG360*(1+$G$55)-MAX($B$9,0.01*AG360+AG360*$G$55)&gt;1E-9,AG360*(1+$G$55)-MAX($B$9,0.01*AG360+AG360*$G$55),0),0)</f>
        <v/>
      </c>
      <c r="AH361">
        <f>AG360*$G$55</f>
        <v/>
      </c>
      <c r="AI361">
        <f>G361+K361+O361+S361+W361</f>
        <v/>
      </c>
      <c r="AJ361">
        <f>AI360+AK361-AI361</f>
        <v/>
      </c>
      <c r="AK361">
        <f>H361+L361+P361+T361+X361</f>
        <v/>
      </c>
      <c r="AL361">
        <f>TEXT(EDATE($B$5,D361-1),"mmm yyyy")</f>
        <v/>
      </c>
      <c r="AM361">
        <f>AI361</f>
        <v/>
      </c>
    </row>
    <row r="362">
      <c r="D362" t="n">
        <v>301</v>
      </c>
      <c r="E362">
        <f>IF(G361&gt;0,MAX(0,G361*(1+$G$51)-$H$51),0)</f>
        <v/>
      </c>
      <c r="F362">
        <f>$B$6+IF($D362=$B$8,$B$7,0)</f>
        <v/>
      </c>
      <c r="G362">
        <f>IF(E362-F362&gt;1E-9,E362-F362,0)</f>
        <v/>
      </c>
      <c r="H362">
        <f>G361*$G$51</f>
        <v/>
      </c>
      <c r="I362">
        <f>IF(K361&gt;0,MAX(0,K361*(1+$G$52)-$H$52),0)</f>
        <v/>
      </c>
      <c r="J362">
        <f>MAX(0,F362-E362)</f>
        <v/>
      </c>
      <c r="K362">
        <f>IF(I362-J362&gt;1E-9,I362-J362,0)</f>
        <v/>
      </c>
      <c r="L362">
        <f>K361*$G$52</f>
        <v/>
      </c>
      <c r="M362">
        <f>IF(O361&gt;0,MAX(0,O361*(1+$G$53)-$H$53),0)</f>
        <v/>
      </c>
      <c r="N362">
        <f>MAX(0,J362-I362)</f>
        <v/>
      </c>
      <c r="O362">
        <f>IF(M362-N362&gt;1E-9,M362-N362,0)</f>
        <v/>
      </c>
      <c r="P362">
        <f>O361*$G$53</f>
        <v/>
      </c>
      <c r="Q362">
        <f>IF(S361&gt;0,MAX(0,S361*(1+$G$54)-$H$54),0)</f>
        <v/>
      </c>
      <c r="R362">
        <f>MAX(0,N362-M362)</f>
        <v/>
      </c>
      <c r="S362">
        <f>IF(Q362-R362&gt;1E-9,Q362-R362,0)</f>
        <v/>
      </c>
      <c r="T362">
        <f>S361*$G$54</f>
        <v/>
      </c>
      <c r="U362">
        <f>IF(W361&gt;0,MAX(0,W361*(1+$G$55)-$H$55),0)</f>
        <v/>
      </c>
      <c r="V362">
        <f>MAX(0,R362-Q362)</f>
        <v/>
      </c>
      <c r="W362">
        <f>IF(U362-V362&gt;1E-9,U362-V362,0)</f>
        <v/>
      </c>
      <c r="X362">
        <f>W361*$G$55</f>
        <v/>
      </c>
      <c r="Y362">
        <f>IF(Y361&gt;1E-9,IF(Y361*(1+$G$51)-MAX($B$9,0.01*Y361+Y361*$G$51)&gt;1E-9,Y361*(1+$G$51)-MAX($B$9,0.01*Y361+Y361*$G$51),0),0)</f>
        <v/>
      </c>
      <c r="Z362">
        <f>Y361*$G$51</f>
        <v/>
      </c>
      <c r="AA362">
        <f>IF(AA361&gt;1E-9,IF(AA361*(1+$G$52)-MAX($B$9,0.01*AA361+AA361*$G$52)&gt;1E-9,AA361*(1+$G$52)-MAX($B$9,0.01*AA361+AA361*$G$52),0),0)</f>
        <v/>
      </c>
      <c r="AB362">
        <f>AA361*$G$52</f>
        <v/>
      </c>
      <c r="AC362">
        <f>IF(AC361&gt;1E-9,IF(AC361*(1+$G$53)-MAX($B$9,0.01*AC361+AC361*$G$53)&gt;1E-9,AC361*(1+$G$53)-MAX($B$9,0.01*AC361+AC361*$G$53),0),0)</f>
        <v/>
      </c>
      <c r="AD362">
        <f>AC361*$G$53</f>
        <v/>
      </c>
      <c r="AE362">
        <f>IF(AE361&gt;1E-9,IF(AE361*(1+$G$54)-MAX($B$9,0.01*AE361+AE361*$G$54)&gt;1E-9,AE361*(1+$G$54)-MAX($B$9,0.01*AE361+AE361*$G$54),0),0)</f>
        <v/>
      </c>
      <c r="AF362">
        <f>AE361*$G$54</f>
        <v/>
      </c>
      <c r="AG362">
        <f>IF(AG361&gt;1E-9,IF(AG361*(1+$G$55)-MAX($B$9,0.01*AG361+AG361*$G$55)&gt;1E-9,AG361*(1+$G$55)-MAX($B$9,0.01*AG361+AG361*$G$55),0),0)</f>
        <v/>
      </c>
      <c r="AH362">
        <f>AG361*$G$55</f>
        <v/>
      </c>
      <c r="AI362">
        <f>G362+K362+O362+S362+W362</f>
        <v/>
      </c>
      <c r="AJ362">
        <f>AI361+AK362-AI362</f>
        <v/>
      </c>
      <c r="AK362">
        <f>H362+L362+P362+T362+X362</f>
        <v/>
      </c>
      <c r="AL362">
        <f>TEXT(EDATE($B$5,D362-1),"mmm yyyy")</f>
        <v/>
      </c>
      <c r="AM362">
        <f>AI362</f>
        <v/>
      </c>
    </row>
    <row r="363">
      <c r="D363" t="n">
        <v>302</v>
      </c>
      <c r="E363">
        <f>IF(G362&gt;0,MAX(0,G362*(1+$G$51)-$H$51),0)</f>
        <v/>
      </c>
      <c r="F363">
        <f>$B$6+IF($D363=$B$8,$B$7,0)</f>
        <v/>
      </c>
      <c r="G363">
        <f>IF(E363-F363&gt;1E-9,E363-F363,0)</f>
        <v/>
      </c>
      <c r="H363">
        <f>G362*$G$51</f>
        <v/>
      </c>
      <c r="I363">
        <f>IF(K362&gt;0,MAX(0,K362*(1+$G$52)-$H$52),0)</f>
        <v/>
      </c>
      <c r="J363">
        <f>MAX(0,F363-E363)</f>
        <v/>
      </c>
      <c r="K363">
        <f>IF(I363-J363&gt;1E-9,I363-J363,0)</f>
        <v/>
      </c>
      <c r="L363">
        <f>K362*$G$52</f>
        <v/>
      </c>
      <c r="M363">
        <f>IF(O362&gt;0,MAX(0,O362*(1+$G$53)-$H$53),0)</f>
        <v/>
      </c>
      <c r="N363">
        <f>MAX(0,J363-I363)</f>
        <v/>
      </c>
      <c r="O363">
        <f>IF(M363-N363&gt;1E-9,M363-N363,0)</f>
        <v/>
      </c>
      <c r="P363">
        <f>O362*$G$53</f>
        <v/>
      </c>
      <c r="Q363">
        <f>IF(S362&gt;0,MAX(0,S362*(1+$G$54)-$H$54),0)</f>
        <v/>
      </c>
      <c r="R363">
        <f>MAX(0,N363-M363)</f>
        <v/>
      </c>
      <c r="S363">
        <f>IF(Q363-R363&gt;1E-9,Q363-R363,0)</f>
        <v/>
      </c>
      <c r="T363">
        <f>S362*$G$54</f>
        <v/>
      </c>
      <c r="U363">
        <f>IF(W362&gt;0,MAX(0,W362*(1+$G$55)-$H$55),0)</f>
        <v/>
      </c>
      <c r="V363">
        <f>MAX(0,R363-Q363)</f>
        <v/>
      </c>
      <c r="W363">
        <f>IF(U363-V363&gt;1E-9,U363-V363,0)</f>
        <v/>
      </c>
      <c r="X363">
        <f>W362*$G$55</f>
        <v/>
      </c>
      <c r="Y363">
        <f>IF(Y362&gt;1E-9,IF(Y362*(1+$G$51)-MAX($B$9,0.01*Y362+Y362*$G$51)&gt;1E-9,Y362*(1+$G$51)-MAX($B$9,0.01*Y362+Y362*$G$51),0),0)</f>
        <v/>
      </c>
      <c r="Z363">
        <f>Y362*$G$51</f>
        <v/>
      </c>
      <c r="AA363">
        <f>IF(AA362&gt;1E-9,IF(AA362*(1+$G$52)-MAX($B$9,0.01*AA362+AA362*$G$52)&gt;1E-9,AA362*(1+$G$52)-MAX($B$9,0.01*AA362+AA362*$G$52),0),0)</f>
        <v/>
      </c>
      <c r="AB363">
        <f>AA362*$G$52</f>
        <v/>
      </c>
      <c r="AC363">
        <f>IF(AC362&gt;1E-9,IF(AC362*(1+$G$53)-MAX($B$9,0.01*AC362+AC362*$G$53)&gt;1E-9,AC362*(1+$G$53)-MAX($B$9,0.01*AC362+AC362*$G$53),0),0)</f>
        <v/>
      </c>
      <c r="AD363">
        <f>AC362*$G$53</f>
        <v/>
      </c>
      <c r="AE363">
        <f>IF(AE362&gt;1E-9,IF(AE362*(1+$G$54)-MAX($B$9,0.01*AE362+AE362*$G$54)&gt;1E-9,AE362*(1+$G$54)-MAX($B$9,0.01*AE362+AE362*$G$54),0),0)</f>
        <v/>
      </c>
      <c r="AF363">
        <f>AE362*$G$54</f>
        <v/>
      </c>
      <c r="AG363">
        <f>IF(AG362&gt;1E-9,IF(AG362*(1+$G$55)-MAX($B$9,0.01*AG362+AG362*$G$55)&gt;1E-9,AG362*(1+$G$55)-MAX($B$9,0.01*AG362+AG362*$G$55),0),0)</f>
        <v/>
      </c>
      <c r="AH363">
        <f>AG362*$G$55</f>
        <v/>
      </c>
      <c r="AI363">
        <f>G363+K363+O363+S363+W363</f>
        <v/>
      </c>
      <c r="AJ363">
        <f>AI362+AK363-AI363</f>
        <v/>
      </c>
      <c r="AK363">
        <f>H363+L363+P363+T363+X363</f>
        <v/>
      </c>
      <c r="AL363">
        <f>TEXT(EDATE($B$5,D363-1),"mmm yyyy")</f>
        <v/>
      </c>
      <c r="AM363">
        <f>AI363</f>
        <v/>
      </c>
    </row>
    <row r="364">
      <c r="D364" t="n">
        <v>303</v>
      </c>
      <c r="E364">
        <f>IF(G363&gt;0,MAX(0,G363*(1+$G$51)-$H$51),0)</f>
        <v/>
      </c>
      <c r="F364">
        <f>$B$6+IF($D364=$B$8,$B$7,0)</f>
        <v/>
      </c>
      <c r="G364">
        <f>IF(E364-F364&gt;1E-9,E364-F364,0)</f>
        <v/>
      </c>
      <c r="H364">
        <f>G363*$G$51</f>
        <v/>
      </c>
      <c r="I364">
        <f>IF(K363&gt;0,MAX(0,K363*(1+$G$52)-$H$52),0)</f>
        <v/>
      </c>
      <c r="J364">
        <f>MAX(0,F364-E364)</f>
        <v/>
      </c>
      <c r="K364">
        <f>IF(I364-J364&gt;1E-9,I364-J364,0)</f>
        <v/>
      </c>
      <c r="L364">
        <f>K363*$G$52</f>
        <v/>
      </c>
      <c r="M364">
        <f>IF(O363&gt;0,MAX(0,O363*(1+$G$53)-$H$53),0)</f>
        <v/>
      </c>
      <c r="N364">
        <f>MAX(0,J364-I364)</f>
        <v/>
      </c>
      <c r="O364">
        <f>IF(M364-N364&gt;1E-9,M364-N364,0)</f>
        <v/>
      </c>
      <c r="P364">
        <f>O363*$G$53</f>
        <v/>
      </c>
      <c r="Q364">
        <f>IF(S363&gt;0,MAX(0,S363*(1+$G$54)-$H$54),0)</f>
        <v/>
      </c>
      <c r="R364">
        <f>MAX(0,N364-M364)</f>
        <v/>
      </c>
      <c r="S364">
        <f>IF(Q364-R364&gt;1E-9,Q364-R364,0)</f>
        <v/>
      </c>
      <c r="T364">
        <f>S363*$G$54</f>
        <v/>
      </c>
      <c r="U364">
        <f>IF(W363&gt;0,MAX(0,W363*(1+$G$55)-$H$55),0)</f>
        <v/>
      </c>
      <c r="V364">
        <f>MAX(0,R364-Q364)</f>
        <v/>
      </c>
      <c r="W364">
        <f>IF(U364-V364&gt;1E-9,U364-V364,0)</f>
        <v/>
      </c>
      <c r="X364">
        <f>W363*$G$55</f>
        <v/>
      </c>
      <c r="Y364">
        <f>IF(Y363&gt;1E-9,IF(Y363*(1+$G$51)-MAX($B$9,0.01*Y363+Y363*$G$51)&gt;1E-9,Y363*(1+$G$51)-MAX($B$9,0.01*Y363+Y363*$G$51),0),0)</f>
        <v/>
      </c>
      <c r="Z364">
        <f>Y363*$G$51</f>
        <v/>
      </c>
      <c r="AA364">
        <f>IF(AA363&gt;1E-9,IF(AA363*(1+$G$52)-MAX($B$9,0.01*AA363+AA363*$G$52)&gt;1E-9,AA363*(1+$G$52)-MAX($B$9,0.01*AA363+AA363*$G$52),0),0)</f>
        <v/>
      </c>
      <c r="AB364">
        <f>AA363*$G$52</f>
        <v/>
      </c>
      <c r="AC364">
        <f>IF(AC363&gt;1E-9,IF(AC363*(1+$G$53)-MAX($B$9,0.01*AC363+AC363*$G$53)&gt;1E-9,AC363*(1+$G$53)-MAX($B$9,0.01*AC363+AC363*$G$53),0),0)</f>
        <v/>
      </c>
      <c r="AD364">
        <f>AC363*$G$53</f>
        <v/>
      </c>
      <c r="AE364">
        <f>IF(AE363&gt;1E-9,IF(AE363*(1+$G$54)-MAX($B$9,0.01*AE363+AE363*$G$54)&gt;1E-9,AE363*(1+$G$54)-MAX($B$9,0.01*AE363+AE363*$G$54),0),0)</f>
        <v/>
      </c>
      <c r="AF364">
        <f>AE363*$G$54</f>
        <v/>
      </c>
      <c r="AG364">
        <f>IF(AG363&gt;1E-9,IF(AG363*(1+$G$55)-MAX($B$9,0.01*AG363+AG363*$G$55)&gt;1E-9,AG363*(1+$G$55)-MAX($B$9,0.01*AG363+AG363*$G$55),0),0)</f>
        <v/>
      </c>
      <c r="AH364">
        <f>AG363*$G$55</f>
        <v/>
      </c>
      <c r="AI364">
        <f>G364+K364+O364+S364+W364</f>
        <v/>
      </c>
      <c r="AJ364">
        <f>AI363+AK364-AI364</f>
        <v/>
      </c>
      <c r="AK364">
        <f>H364+L364+P364+T364+X364</f>
        <v/>
      </c>
      <c r="AL364">
        <f>TEXT(EDATE($B$5,D364-1),"mmm yyyy")</f>
        <v/>
      </c>
      <c r="AM364">
        <f>AI364</f>
        <v/>
      </c>
    </row>
    <row r="365">
      <c r="D365" t="n">
        <v>304</v>
      </c>
      <c r="E365">
        <f>IF(G364&gt;0,MAX(0,G364*(1+$G$51)-$H$51),0)</f>
        <v/>
      </c>
      <c r="F365">
        <f>$B$6+IF($D365=$B$8,$B$7,0)</f>
        <v/>
      </c>
      <c r="G365">
        <f>IF(E365-F365&gt;1E-9,E365-F365,0)</f>
        <v/>
      </c>
      <c r="H365">
        <f>G364*$G$51</f>
        <v/>
      </c>
      <c r="I365">
        <f>IF(K364&gt;0,MAX(0,K364*(1+$G$52)-$H$52),0)</f>
        <v/>
      </c>
      <c r="J365">
        <f>MAX(0,F365-E365)</f>
        <v/>
      </c>
      <c r="K365">
        <f>IF(I365-J365&gt;1E-9,I365-J365,0)</f>
        <v/>
      </c>
      <c r="L365">
        <f>K364*$G$52</f>
        <v/>
      </c>
      <c r="M365">
        <f>IF(O364&gt;0,MAX(0,O364*(1+$G$53)-$H$53),0)</f>
        <v/>
      </c>
      <c r="N365">
        <f>MAX(0,J365-I365)</f>
        <v/>
      </c>
      <c r="O365">
        <f>IF(M365-N365&gt;1E-9,M365-N365,0)</f>
        <v/>
      </c>
      <c r="P365">
        <f>O364*$G$53</f>
        <v/>
      </c>
      <c r="Q365">
        <f>IF(S364&gt;0,MAX(0,S364*(1+$G$54)-$H$54),0)</f>
        <v/>
      </c>
      <c r="R365">
        <f>MAX(0,N365-M365)</f>
        <v/>
      </c>
      <c r="S365">
        <f>IF(Q365-R365&gt;1E-9,Q365-R365,0)</f>
        <v/>
      </c>
      <c r="T365">
        <f>S364*$G$54</f>
        <v/>
      </c>
      <c r="U365">
        <f>IF(W364&gt;0,MAX(0,W364*(1+$G$55)-$H$55),0)</f>
        <v/>
      </c>
      <c r="V365">
        <f>MAX(0,R365-Q365)</f>
        <v/>
      </c>
      <c r="W365">
        <f>IF(U365-V365&gt;1E-9,U365-V365,0)</f>
        <v/>
      </c>
      <c r="X365">
        <f>W364*$G$55</f>
        <v/>
      </c>
      <c r="Y365">
        <f>IF(Y364&gt;1E-9,IF(Y364*(1+$G$51)-MAX($B$9,0.01*Y364+Y364*$G$51)&gt;1E-9,Y364*(1+$G$51)-MAX($B$9,0.01*Y364+Y364*$G$51),0),0)</f>
        <v/>
      </c>
      <c r="Z365">
        <f>Y364*$G$51</f>
        <v/>
      </c>
      <c r="AA365">
        <f>IF(AA364&gt;1E-9,IF(AA364*(1+$G$52)-MAX($B$9,0.01*AA364+AA364*$G$52)&gt;1E-9,AA364*(1+$G$52)-MAX($B$9,0.01*AA364+AA364*$G$52),0),0)</f>
        <v/>
      </c>
      <c r="AB365">
        <f>AA364*$G$52</f>
        <v/>
      </c>
      <c r="AC365">
        <f>IF(AC364&gt;1E-9,IF(AC364*(1+$G$53)-MAX($B$9,0.01*AC364+AC364*$G$53)&gt;1E-9,AC364*(1+$G$53)-MAX($B$9,0.01*AC364+AC364*$G$53),0),0)</f>
        <v/>
      </c>
      <c r="AD365">
        <f>AC364*$G$53</f>
        <v/>
      </c>
      <c r="AE365">
        <f>IF(AE364&gt;1E-9,IF(AE364*(1+$G$54)-MAX($B$9,0.01*AE364+AE364*$G$54)&gt;1E-9,AE364*(1+$G$54)-MAX($B$9,0.01*AE364+AE364*$G$54),0),0)</f>
        <v/>
      </c>
      <c r="AF365">
        <f>AE364*$G$54</f>
        <v/>
      </c>
      <c r="AG365">
        <f>IF(AG364&gt;1E-9,IF(AG364*(1+$G$55)-MAX($B$9,0.01*AG364+AG364*$G$55)&gt;1E-9,AG364*(1+$G$55)-MAX($B$9,0.01*AG364+AG364*$G$55),0),0)</f>
        <v/>
      </c>
      <c r="AH365">
        <f>AG364*$G$55</f>
        <v/>
      </c>
      <c r="AI365">
        <f>G365+K365+O365+S365+W365</f>
        <v/>
      </c>
      <c r="AJ365">
        <f>AI364+AK365-AI365</f>
        <v/>
      </c>
      <c r="AK365">
        <f>H365+L365+P365+T365+X365</f>
        <v/>
      </c>
      <c r="AL365">
        <f>TEXT(EDATE($B$5,D365-1),"mmm yyyy")</f>
        <v/>
      </c>
      <c r="AM365">
        <f>AI365</f>
        <v/>
      </c>
    </row>
    <row r="366">
      <c r="D366" t="n">
        <v>305</v>
      </c>
      <c r="E366">
        <f>IF(G365&gt;0,MAX(0,G365*(1+$G$51)-$H$51),0)</f>
        <v/>
      </c>
      <c r="F366">
        <f>$B$6+IF($D366=$B$8,$B$7,0)</f>
        <v/>
      </c>
      <c r="G366">
        <f>IF(E366-F366&gt;1E-9,E366-F366,0)</f>
        <v/>
      </c>
      <c r="H366">
        <f>G365*$G$51</f>
        <v/>
      </c>
      <c r="I366">
        <f>IF(K365&gt;0,MAX(0,K365*(1+$G$52)-$H$52),0)</f>
        <v/>
      </c>
      <c r="J366">
        <f>MAX(0,F366-E366)</f>
        <v/>
      </c>
      <c r="K366">
        <f>IF(I366-J366&gt;1E-9,I366-J366,0)</f>
        <v/>
      </c>
      <c r="L366">
        <f>K365*$G$52</f>
        <v/>
      </c>
      <c r="M366">
        <f>IF(O365&gt;0,MAX(0,O365*(1+$G$53)-$H$53),0)</f>
        <v/>
      </c>
      <c r="N366">
        <f>MAX(0,J366-I366)</f>
        <v/>
      </c>
      <c r="O366">
        <f>IF(M366-N366&gt;1E-9,M366-N366,0)</f>
        <v/>
      </c>
      <c r="P366">
        <f>O365*$G$53</f>
        <v/>
      </c>
      <c r="Q366">
        <f>IF(S365&gt;0,MAX(0,S365*(1+$G$54)-$H$54),0)</f>
        <v/>
      </c>
      <c r="R366">
        <f>MAX(0,N366-M366)</f>
        <v/>
      </c>
      <c r="S366">
        <f>IF(Q366-R366&gt;1E-9,Q366-R366,0)</f>
        <v/>
      </c>
      <c r="T366">
        <f>S365*$G$54</f>
        <v/>
      </c>
      <c r="U366">
        <f>IF(W365&gt;0,MAX(0,W365*(1+$G$55)-$H$55),0)</f>
        <v/>
      </c>
      <c r="V366">
        <f>MAX(0,R366-Q366)</f>
        <v/>
      </c>
      <c r="W366">
        <f>IF(U366-V366&gt;1E-9,U366-V366,0)</f>
        <v/>
      </c>
      <c r="X366">
        <f>W365*$G$55</f>
        <v/>
      </c>
      <c r="Y366">
        <f>IF(Y365&gt;1E-9,IF(Y365*(1+$G$51)-MAX($B$9,0.01*Y365+Y365*$G$51)&gt;1E-9,Y365*(1+$G$51)-MAX($B$9,0.01*Y365+Y365*$G$51),0),0)</f>
        <v/>
      </c>
      <c r="Z366">
        <f>Y365*$G$51</f>
        <v/>
      </c>
      <c r="AA366">
        <f>IF(AA365&gt;1E-9,IF(AA365*(1+$G$52)-MAX($B$9,0.01*AA365+AA365*$G$52)&gt;1E-9,AA365*(1+$G$52)-MAX($B$9,0.01*AA365+AA365*$G$52),0),0)</f>
        <v/>
      </c>
      <c r="AB366">
        <f>AA365*$G$52</f>
        <v/>
      </c>
      <c r="AC366">
        <f>IF(AC365&gt;1E-9,IF(AC365*(1+$G$53)-MAX($B$9,0.01*AC365+AC365*$G$53)&gt;1E-9,AC365*(1+$G$53)-MAX($B$9,0.01*AC365+AC365*$G$53),0),0)</f>
        <v/>
      </c>
      <c r="AD366">
        <f>AC365*$G$53</f>
        <v/>
      </c>
      <c r="AE366">
        <f>IF(AE365&gt;1E-9,IF(AE365*(1+$G$54)-MAX($B$9,0.01*AE365+AE365*$G$54)&gt;1E-9,AE365*(1+$G$54)-MAX($B$9,0.01*AE365+AE365*$G$54),0),0)</f>
        <v/>
      </c>
      <c r="AF366">
        <f>AE365*$G$54</f>
        <v/>
      </c>
      <c r="AG366">
        <f>IF(AG365&gt;1E-9,IF(AG365*(1+$G$55)-MAX($B$9,0.01*AG365+AG365*$G$55)&gt;1E-9,AG365*(1+$G$55)-MAX($B$9,0.01*AG365+AG365*$G$55),0),0)</f>
        <v/>
      </c>
      <c r="AH366">
        <f>AG365*$G$55</f>
        <v/>
      </c>
      <c r="AI366">
        <f>G366+K366+O366+S366+W366</f>
        <v/>
      </c>
      <c r="AJ366">
        <f>AI365+AK366-AI366</f>
        <v/>
      </c>
      <c r="AK366">
        <f>H366+L366+P366+T366+X366</f>
        <v/>
      </c>
      <c r="AL366">
        <f>TEXT(EDATE($B$5,D366-1),"mmm yyyy")</f>
        <v/>
      </c>
      <c r="AM366">
        <f>AI366</f>
        <v/>
      </c>
    </row>
    <row r="367">
      <c r="D367" t="n">
        <v>306</v>
      </c>
      <c r="E367">
        <f>IF(G366&gt;0,MAX(0,G366*(1+$G$51)-$H$51),0)</f>
        <v/>
      </c>
      <c r="F367">
        <f>$B$6+IF($D367=$B$8,$B$7,0)</f>
        <v/>
      </c>
      <c r="G367">
        <f>IF(E367-F367&gt;1E-9,E367-F367,0)</f>
        <v/>
      </c>
      <c r="H367">
        <f>G366*$G$51</f>
        <v/>
      </c>
      <c r="I367">
        <f>IF(K366&gt;0,MAX(0,K366*(1+$G$52)-$H$52),0)</f>
        <v/>
      </c>
      <c r="J367">
        <f>MAX(0,F367-E367)</f>
        <v/>
      </c>
      <c r="K367">
        <f>IF(I367-J367&gt;1E-9,I367-J367,0)</f>
        <v/>
      </c>
      <c r="L367">
        <f>K366*$G$52</f>
        <v/>
      </c>
      <c r="M367">
        <f>IF(O366&gt;0,MAX(0,O366*(1+$G$53)-$H$53),0)</f>
        <v/>
      </c>
      <c r="N367">
        <f>MAX(0,J367-I367)</f>
        <v/>
      </c>
      <c r="O367">
        <f>IF(M367-N367&gt;1E-9,M367-N367,0)</f>
        <v/>
      </c>
      <c r="P367">
        <f>O366*$G$53</f>
        <v/>
      </c>
      <c r="Q367">
        <f>IF(S366&gt;0,MAX(0,S366*(1+$G$54)-$H$54),0)</f>
        <v/>
      </c>
      <c r="R367">
        <f>MAX(0,N367-M367)</f>
        <v/>
      </c>
      <c r="S367">
        <f>IF(Q367-R367&gt;1E-9,Q367-R367,0)</f>
        <v/>
      </c>
      <c r="T367">
        <f>S366*$G$54</f>
        <v/>
      </c>
      <c r="U367">
        <f>IF(W366&gt;0,MAX(0,W366*(1+$G$55)-$H$55),0)</f>
        <v/>
      </c>
      <c r="V367">
        <f>MAX(0,R367-Q367)</f>
        <v/>
      </c>
      <c r="W367">
        <f>IF(U367-V367&gt;1E-9,U367-V367,0)</f>
        <v/>
      </c>
      <c r="X367">
        <f>W366*$G$55</f>
        <v/>
      </c>
      <c r="Y367">
        <f>IF(Y366&gt;1E-9,IF(Y366*(1+$G$51)-MAX($B$9,0.01*Y366+Y366*$G$51)&gt;1E-9,Y366*(1+$G$51)-MAX($B$9,0.01*Y366+Y366*$G$51),0),0)</f>
        <v/>
      </c>
      <c r="Z367">
        <f>Y366*$G$51</f>
        <v/>
      </c>
      <c r="AA367">
        <f>IF(AA366&gt;1E-9,IF(AA366*(1+$G$52)-MAX($B$9,0.01*AA366+AA366*$G$52)&gt;1E-9,AA366*(1+$G$52)-MAX($B$9,0.01*AA366+AA366*$G$52),0),0)</f>
        <v/>
      </c>
      <c r="AB367">
        <f>AA366*$G$52</f>
        <v/>
      </c>
      <c r="AC367">
        <f>IF(AC366&gt;1E-9,IF(AC366*(1+$G$53)-MAX($B$9,0.01*AC366+AC366*$G$53)&gt;1E-9,AC366*(1+$G$53)-MAX($B$9,0.01*AC366+AC366*$G$53),0),0)</f>
        <v/>
      </c>
      <c r="AD367">
        <f>AC366*$G$53</f>
        <v/>
      </c>
      <c r="AE367">
        <f>IF(AE366&gt;1E-9,IF(AE366*(1+$G$54)-MAX($B$9,0.01*AE366+AE366*$G$54)&gt;1E-9,AE366*(1+$G$54)-MAX($B$9,0.01*AE366+AE366*$G$54),0),0)</f>
        <v/>
      </c>
      <c r="AF367">
        <f>AE366*$G$54</f>
        <v/>
      </c>
      <c r="AG367">
        <f>IF(AG366&gt;1E-9,IF(AG366*(1+$G$55)-MAX($B$9,0.01*AG366+AG366*$G$55)&gt;1E-9,AG366*(1+$G$55)-MAX($B$9,0.01*AG366+AG366*$G$55),0),0)</f>
        <v/>
      </c>
      <c r="AH367">
        <f>AG366*$G$55</f>
        <v/>
      </c>
      <c r="AI367">
        <f>G367+K367+O367+S367+W367</f>
        <v/>
      </c>
      <c r="AJ367">
        <f>AI366+AK367-AI367</f>
        <v/>
      </c>
      <c r="AK367">
        <f>H367+L367+P367+T367+X367</f>
        <v/>
      </c>
      <c r="AL367">
        <f>TEXT(EDATE($B$5,D367-1),"mmm yyyy")</f>
        <v/>
      </c>
      <c r="AM367">
        <f>AI367</f>
        <v/>
      </c>
    </row>
    <row r="368">
      <c r="D368" t="n">
        <v>307</v>
      </c>
      <c r="E368">
        <f>IF(G367&gt;0,MAX(0,G367*(1+$G$51)-$H$51),0)</f>
        <v/>
      </c>
      <c r="F368">
        <f>$B$6+IF($D368=$B$8,$B$7,0)</f>
        <v/>
      </c>
      <c r="G368">
        <f>IF(E368-F368&gt;1E-9,E368-F368,0)</f>
        <v/>
      </c>
      <c r="H368">
        <f>G367*$G$51</f>
        <v/>
      </c>
      <c r="I368">
        <f>IF(K367&gt;0,MAX(0,K367*(1+$G$52)-$H$52),0)</f>
        <v/>
      </c>
      <c r="J368">
        <f>MAX(0,F368-E368)</f>
        <v/>
      </c>
      <c r="K368">
        <f>IF(I368-J368&gt;1E-9,I368-J368,0)</f>
        <v/>
      </c>
      <c r="L368">
        <f>K367*$G$52</f>
        <v/>
      </c>
      <c r="M368">
        <f>IF(O367&gt;0,MAX(0,O367*(1+$G$53)-$H$53),0)</f>
        <v/>
      </c>
      <c r="N368">
        <f>MAX(0,J368-I368)</f>
        <v/>
      </c>
      <c r="O368">
        <f>IF(M368-N368&gt;1E-9,M368-N368,0)</f>
        <v/>
      </c>
      <c r="P368">
        <f>O367*$G$53</f>
        <v/>
      </c>
      <c r="Q368">
        <f>IF(S367&gt;0,MAX(0,S367*(1+$G$54)-$H$54),0)</f>
        <v/>
      </c>
      <c r="R368">
        <f>MAX(0,N368-M368)</f>
        <v/>
      </c>
      <c r="S368">
        <f>IF(Q368-R368&gt;1E-9,Q368-R368,0)</f>
        <v/>
      </c>
      <c r="T368">
        <f>S367*$G$54</f>
        <v/>
      </c>
      <c r="U368">
        <f>IF(W367&gt;0,MAX(0,W367*(1+$G$55)-$H$55),0)</f>
        <v/>
      </c>
      <c r="V368">
        <f>MAX(0,R368-Q368)</f>
        <v/>
      </c>
      <c r="W368">
        <f>IF(U368-V368&gt;1E-9,U368-V368,0)</f>
        <v/>
      </c>
      <c r="X368">
        <f>W367*$G$55</f>
        <v/>
      </c>
      <c r="Y368">
        <f>IF(Y367&gt;1E-9,IF(Y367*(1+$G$51)-MAX($B$9,0.01*Y367+Y367*$G$51)&gt;1E-9,Y367*(1+$G$51)-MAX($B$9,0.01*Y367+Y367*$G$51),0),0)</f>
        <v/>
      </c>
      <c r="Z368">
        <f>Y367*$G$51</f>
        <v/>
      </c>
      <c r="AA368">
        <f>IF(AA367&gt;1E-9,IF(AA367*(1+$G$52)-MAX($B$9,0.01*AA367+AA367*$G$52)&gt;1E-9,AA367*(1+$G$52)-MAX($B$9,0.01*AA367+AA367*$G$52),0),0)</f>
        <v/>
      </c>
      <c r="AB368">
        <f>AA367*$G$52</f>
        <v/>
      </c>
      <c r="AC368">
        <f>IF(AC367&gt;1E-9,IF(AC367*(1+$G$53)-MAX($B$9,0.01*AC367+AC367*$G$53)&gt;1E-9,AC367*(1+$G$53)-MAX($B$9,0.01*AC367+AC367*$G$53),0),0)</f>
        <v/>
      </c>
      <c r="AD368">
        <f>AC367*$G$53</f>
        <v/>
      </c>
      <c r="AE368">
        <f>IF(AE367&gt;1E-9,IF(AE367*(1+$G$54)-MAX($B$9,0.01*AE367+AE367*$G$54)&gt;1E-9,AE367*(1+$G$54)-MAX($B$9,0.01*AE367+AE367*$G$54),0),0)</f>
        <v/>
      </c>
      <c r="AF368">
        <f>AE367*$G$54</f>
        <v/>
      </c>
      <c r="AG368">
        <f>IF(AG367&gt;1E-9,IF(AG367*(1+$G$55)-MAX($B$9,0.01*AG367+AG367*$G$55)&gt;1E-9,AG367*(1+$G$55)-MAX($B$9,0.01*AG367+AG367*$G$55),0),0)</f>
        <v/>
      </c>
      <c r="AH368">
        <f>AG367*$G$55</f>
        <v/>
      </c>
      <c r="AI368">
        <f>G368+K368+O368+S368+W368</f>
        <v/>
      </c>
      <c r="AJ368">
        <f>AI367+AK368-AI368</f>
        <v/>
      </c>
      <c r="AK368">
        <f>H368+L368+P368+T368+X368</f>
        <v/>
      </c>
      <c r="AL368">
        <f>TEXT(EDATE($B$5,D368-1),"mmm yyyy")</f>
        <v/>
      </c>
      <c r="AM368">
        <f>AI368</f>
        <v/>
      </c>
    </row>
    <row r="369">
      <c r="D369" t="n">
        <v>308</v>
      </c>
      <c r="E369">
        <f>IF(G368&gt;0,MAX(0,G368*(1+$G$51)-$H$51),0)</f>
        <v/>
      </c>
      <c r="F369">
        <f>$B$6+IF($D369=$B$8,$B$7,0)</f>
        <v/>
      </c>
      <c r="G369">
        <f>IF(E369-F369&gt;1E-9,E369-F369,0)</f>
        <v/>
      </c>
      <c r="H369">
        <f>G368*$G$51</f>
        <v/>
      </c>
      <c r="I369">
        <f>IF(K368&gt;0,MAX(0,K368*(1+$G$52)-$H$52),0)</f>
        <v/>
      </c>
      <c r="J369">
        <f>MAX(0,F369-E369)</f>
        <v/>
      </c>
      <c r="K369">
        <f>IF(I369-J369&gt;1E-9,I369-J369,0)</f>
        <v/>
      </c>
      <c r="L369">
        <f>K368*$G$52</f>
        <v/>
      </c>
      <c r="M369">
        <f>IF(O368&gt;0,MAX(0,O368*(1+$G$53)-$H$53),0)</f>
        <v/>
      </c>
      <c r="N369">
        <f>MAX(0,J369-I369)</f>
        <v/>
      </c>
      <c r="O369">
        <f>IF(M369-N369&gt;1E-9,M369-N369,0)</f>
        <v/>
      </c>
      <c r="P369">
        <f>O368*$G$53</f>
        <v/>
      </c>
      <c r="Q369">
        <f>IF(S368&gt;0,MAX(0,S368*(1+$G$54)-$H$54),0)</f>
        <v/>
      </c>
      <c r="R369">
        <f>MAX(0,N369-M369)</f>
        <v/>
      </c>
      <c r="S369">
        <f>IF(Q369-R369&gt;1E-9,Q369-R369,0)</f>
        <v/>
      </c>
      <c r="T369">
        <f>S368*$G$54</f>
        <v/>
      </c>
      <c r="U369">
        <f>IF(W368&gt;0,MAX(0,W368*(1+$G$55)-$H$55),0)</f>
        <v/>
      </c>
      <c r="V369">
        <f>MAX(0,R369-Q369)</f>
        <v/>
      </c>
      <c r="W369">
        <f>IF(U369-V369&gt;1E-9,U369-V369,0)</f>
        <v/>
      </c>
      <c r="X369">
        <f>W368*$G$55</f>
        <v/>
      </c>
      <c r="Y369">
        <f>IF(Y368&gt;1E-9,IF(Y368*(1+$G$51)-MAX($B$9,0.01*Y368+Y368*$G$51)&gt;1E-9,Y368*(1+$G$51)-MAX($B$9,0.01*Y368+Y368*$G$51),0),0)</f>
        <v/>
      </c>
      <c r="Z369">
        <f>Y368*$G$51</f>
        <v/>
      </c>
      <c r="AA369">
        <f>IF(AA368&gt;1E-9,IF(AA368*(1+$G$52)-MAX($B$9,0.01*AA368+AA368*$G$52)&gt;1E-9,AA368*(1+$G$52)-MAX($B$9,0.01*AA368+AA368*$G$52),0),0)</f>
        <v/>
      </c>
      <c r="AB369">
        <f>AA368*$G$52</f>
        <v/>
      </c>
      <c r="AC369">
        <f>IF(AC368&gt;1E-9,IF(AC368*(1+$G$53)-MAX($B$9,0.01*AC368+AC368*$G$53)&gt;1E-9,AC368*(1+$G$53)-MAX($B$9,0.01*AC368+AC368*$G$53),0),0)</f>
        <v/>
      </c>
      <c r="AD369">
        <f>AC368*$G$53</f>
        <v/>
      </c>
      <c r="AE369">
        <f>IF(AE368&gt;1E-9,IF(AE368*(1+$G$54)-MAX($B$9,0.01*AE368+AE368*$G$54)&gt;1E-9,AE368*(1+$G$54)-MAX($B$9,0.01*AE368+AE368*$G$54),0),0)</f>
        <v/>
      </c>
      <c r="AF369">
        <f>AE368*$G$54</f>
        <v/>
      </c>
      <c r="AG369">
        <f>IF(AG368&gt;1E-9,IF(AG368*(1+$G$55)-MAX($B$9,0.01*AG368+AG368*$G$55)&gt;1E-9,AG368*(1+$G$55)-MAX($B$9,0.01*AG368+AG368*$G$55),0),0)</f>
        <v/>
      </c>
      <c r="AH369">
        <f>AG368*$G$55</f>
        <v/>
      </c>
      <c r="AI369">
        <f>G369+K369+O369+S369+W369</f>
        <v/>
      </c>
      <c r="AJ369">
        <f>AI368+AK369-AI369</f>
        <v/>
      </c>
      <c r="AK369">
        <f>H369+L369+P369+T369+X369</f>
        <v/>
      </c>
      <c r="AL369">
        <f>TEXT(EDATE($B$5,D369-1),"mmm yyyy")</f>
        <v/>
      </c>
      <c r="AM369">
        <f>AI369</f>
        <v/>
      </c>
    </row>
    <row r="370">
      <c r="D370" t="n">
        <v>309</v>
      </c>
      <c r="E370">
        <f>IF(G369&gt;0,MAX(0,G369*(1+$G$51)-$H$51),0)</f>
        <v/>
      </c>
      <c r="F370">
        <f>$B$6+IF($D370=$B$8,$B$7,0)</f>
        <v/>
      </c>
      <c r="G370">
        <f>IF(E370-F370&gt;1E-9,E370-F370,0)</f>
        <v/>
      </c>
      <c r="H370">
        <f>G369*$G$51</f>
        <v/>
      </c>
      <c r="I370">
        <f>IF(K369&gt;0,MAX(0,K369*(1+$G$52)-$H$52),0)</f>
        <v/>
      </c>
      <c r="J370">
        <f>MAX(0,F370-E370)</f>
        <v/>
      </c>
      <c r="K370">
        <f>IF(I370-J370&gt;1E-9,I370-J370,0)</f>
        <v/>
      </c>
      <c r="L370">
        <f>K369*$G$52</f>
        <v/>
      </c>
      <c r="M370">
        <f>IF(O369&gt;0,MAX(0,O369*(1+$G$53)-$H$53),0)</f>
        <v/>
      </c>
      <c r="N370">
        <f>MAX(0,J370-I370)</f>
        <v/>
      </c>
      <c r="O370">
        <f>IF(M370-N370&gt;1E-9,M370-N370,0)</f>
        <v/>
      </c>
      <c r="P370">
        <f>O369*$G$53</f>
        <v/>
      </c>
      <c r="Q370">
        <f>IF(S369&gt;0,MAX(0,S369*(1+$G$54)-$H$54),0)</f>
        <v/>
      </c>
      <c r="R370">
        <f>MAX(0,N370-M370)</f>
        <v/>
      </c>
      <c r="S370">
        <f>IF(Q370-R370&gt;1E-9,Q370-R370,0)</f>
        <v/>
      </c>
      <c r="T370">
        <f>S369*$G$54</f>
        <v/>
      </c>
      <c r="U370">
        <f>IF(W369&gt;0,MAX(0,W369*(1+$G$55)-$H$55),0)</f>
        <v/>
      </c>
      <c r="V370">
        <f>MAX(0,R370-Q370)</f>
        <v/>
      </c>
      <c r="W370">
        <f>IF(U370-V370&gt;1E-9,U370-V370,0)</f>
        <v/>
      </c>
      <c r="X370">
        <f>W369*$G$55</f>
        <v/>
      </c>
      <c r="Y370">
        <f>IF(Y369&gt;1E-9,IF(Y369*(1+$G$51)-MAX($B$9,0.01*Y369+Y369*$G$51)&gt;1E-9,Y369*(1+$G$51)-MAX($B$9,0.01*Y369+Y369*$G$51),0),0)</f>
        <v/>
      </c>
      <c r="Z370">
        <f>Y369*$G$51</f>
        <v/>
      </c>
      <c r="AA370">
        <f>IF(AA369&gt;1E-9,IF(AA369*(1+$G$52)-MAX($B$9,0.01*AA369+AA369*$G$52)&gt;1E-9,AA369*(1+$G$52)-MAX($B$9,0.01*AA369+AA369*$G$52),0),0)</f>
        <v/>
      </c>
      <c r="AB370">
        <f>AA369*$G$52</f>
        <v/>
      </c>
      <c r="AC370">
        <f>IF(AC369&gt;1E-9,IF(AC369*(1+$G$53)-MAX($B$9,0.01*AC369+AC369*$G$53)&gt;1E-9,AC369*(1+$G$53)-MAX($B$9,0.01*AC369+AC369*$G$53),0),0)</f>
        <v/>
      </c>
      <c r="AD370">
        <f>AC369*$G$53</f>
        <v/>
      </c>
      <c r="AE370">
        <f>IF(AE369&gt;1E-9,IF(AE369*(1+$G$54)-MAX($B$9,0.01*AE369+AE369*$G$54)&gt;1E-9,AE369*(1+$G$54)-MAX($B$9,0.01*AE369+AE369*$G$54),0),0)</f>
        <v/>
      </c>
      <c r="AF370">
        <f>AE369*$G$54</f>
        <v/>
      </c>
      <c r="AG370">
        <f>IF(AG369&gt;1E-9,IF(AG369*(1+$G$55)-MAX($B$9,0.01*AG369+AG369*$G$55)&gt;1E-9,AG369*(1+$G$55)-MAX($B$9,0.01*AG369+AG369*$G$55),0),0)</f>
        <v/>
      </c>
      <c r="AH370">
        <f>AG369*$G$55</f>
        <v/>
      </c>
      <c r="AI370">
        <f>G370+K370+O370+S370+W370</f>
        <v/>
      </c>
      <c r="AJ370">
        <f>AI369+AK370-AI370</f>
        <v/>
      </c>
      <c r="AK370">
        <f>H370+L370+P370+T370+X370</f>
        <v/>
      </c>
      <c r="AL370">
        <f>TEXT(EDATE($B$5,D370-1),"mmm yyyy")</f>
        <v/>
      </c>
      <c r="AM370">
        <f>AI370</f>
        <v/>
      </c>
    </row>
    <row r="371">
      <c r="D371" t="n">
        <v>310</v>
      </c>
      <c r="E371">
        <f>IF(G370&gt;0,MAX(0,G370*(1+$G$51)-$H$51),0)</f>
        <v/>
      </c>
      <c r="F371">
        <f>$B$6+IF($D371=$B$8,$B$7,0)</f>
        <v/>
      </c>
      <c r="G371">
        <f>IF(E371-F371&gt;1E-9,E371-F371,0)</f>
        <v/>
      </c>
      <c r="H371">
        <f>G370*$G$51</f>
        <v/>
      </c>
      <c r="I371">
        <f>IF(K370&gt;0,MAX(0,K370*(1+$G$52)-$H$52),0)</f>
        <v/>
      </c>
      <c r="J371">
        <f>MAX(0,F371-E371)</f>
        <v/>
      </c>
      <c r="K371">
        <f>IF(I371-J371&gt;1E-9,I371-J371,0)</f>
        <v/>
      </c>
      <c r="L371">
        <f>K370*$G$52</f>
        <v/>
      </c>
      <c r="M371">
        <f>IF(O370&gt;0,MAX(0,O370*(1+$G$53)-$H$53),0)</f>
        <v/>
      </c>
      <c r="N371">
        <f>MAX(0,J371-I371)</f>
        <v/>
      </c>
      <c r="O371">
        <f>IF(M371-N371&gt;1E-9,M371-N371,0)</f>
        <v/>
      </c>
      <c r="P371">
        <f>O370*$G$53</f>
        <v/>
      </c>
      <c r="Q371">
        <f>IF(S370&gt;0,MAX(0,S370*(1+$G$54)-$H$54),0)</f>
        <v/>
      </c>
      <c r="R371">
        <f>MAX(0,N371-M371)</f>
        <v/>
      </c>
      <c r="S371">
        <f>IF(Q371-R371&gt;1E-9,Q371-R371,0)</f>
        <v/>
      </c>
      <c r="T371">
        <f>S370*$G$54</f>
        <v/>
      </c>
      <c r="U371">
        <f>IF(W370&gt;0,MAX(0,W370*(1+$G$55)-$H$55),0)</f>
        <v/>
      </c>
      <c r="V371">
        <f>MAX(0,R371-Q371)</f>
        <v/>
      </c>
      <c r="W371">
        <f>IF(U371-V371&gt;1E-9,U371-V371,0)</f>
        <v/>
      </c>
      <c r="X371">
        <f>W370*$G$55</f>
        <v/>
      </c>
      <c r="Y371">
        <f>IF(Y370&gt;1E-9,IF(Y370*(1+$G$51)-MAX($B$9,0.01*Y370+Y370*$G$51)&gt;1E-9,Y370*(1+$G$51)-MAX($B$9,0.01*Y370+Y370*$G$51),0),0)</f>
        <v/>
      </c>
      <c r="Z371">
        <f>Y370*$G$51</f>
        <v/>
      </c>
      <c r="AA371">
        <f>IF(AA370&gt;1E-9,IF(AA370*(1+$G$52)-MAX($B$9,0.01*AA370+AA370*$G$52)&gt;1E-9,AA370*(1+$G$52)-MAX($B$9,0.01*AA370+AA370*$G$52),0),0)</f>
        <v/>
      </c>
      <c r="AB371">
        <f>AA370*$G$52</f>
        <v/>
      </c>
      <c r="AC371">
        <f>IF(AC370&gt;1E-9,IF(AC370*(1+$G$53)-MAX($B$9,0.01*AC370+AC370*$G$53)&gt;1E-9,AC370*(1+$G$53)-MAX($B$9,0.01*AC370+AC370*$G$53),0),0)</f>
        <v/>
      </c>
      <c r="AD371">
        <f>AC370*$G$53</f>
        <v/>
      </c>
      <c r="AE371">
        <f>IF(AE370&gt;1E-9,IF(AE370*(1+$G$54)-MAX($B$9,0.01*AE370+AE370*$G$54)&gt;1E-9,AE370*(1+$G$54)-MAX($B$9,0.01*AE370+AE370*$G$54),0),0)</f>
        <v/>
      </c>
      <c r="AF371">
        <f>AE370*$G$54</f>
        <v/>
      </c>
      <c r="AG371">
        <f>IF(AG370&gt;1E-9,IF(AG370*(1+$G$55)-MAX($B$9,0.01*AG370+AG370*$G$55)&gt;1E-9,AG370*(1+$G$55)-MAX($B$9,0.01*AG370+AG370*$G$55),0),0)</f>
        <v/>
      </c>
      <c r="AH371">
        <f>AG370*$G$55</f>
        <v/>
      </c>
      <c r="AI371">
        <f>G371+K371+O371+S371+W371</f>
        <v/>
      </c>
      <c r="AJ371">
        <f>AI370+AK371-AI371</f>
        <v/>
      </c>
      <c r="AK371">
        <f>H371+L371+P371+T371+X371</f>
        <v/>
      </c>
      <c r="AL371">
        <f>TEXT(EDATE($B$5,D371-1),"mmm yyyy")</f>
        <v/>
      </c>
      <c r="AM371">
        <f>AI371</f>
        <v/>
      </c>
    </row>
    <row r="372">
      <c r="D372" t="n">
        <v>311</v>
      </c>
      <c r="E372">
        <f>IF(G371&gt;0,MAX(0,G371*(1+$G$51)-$H$51),0)</f>
        <v/>
      </c>
      <c r="F372">
        <f>$B$6+IF($D372=$B$8,$B$7,0)</f>
        <v/>
      </c>
      <c r="G372">
        <f>IF(E372-F372&gt;1E-9,E372-F372,0)</f>
        <v/>
      </c>
      <c r="H372">
        <f>G371*$G$51</f>
        <v/>
      </c>
      <c r="I372">
        <f>IF(K371&gt;0,MAX(0,K371*(1+$G$52)-$H$52),0)</f>
        <v/>
      </c>
      <c r="J372">
        <f>MAX(0,F372-E372)</f>
        <v/>
      </c>
      <c r="K372">
        <f>IF(I372-J372&gt;1E-9,I372-J372,0)</f>
        <v/>
      </c>
      <c r="L372">
        <f>K371*$G$52</f>
        <v/>
      </c>
      <c r="M372">
        <f>IF(O371&gt;0,MAX(0,O371*(1+$G$53)-$H$53),0)</f>
        <v/>
      </c>
      <c r="N372">
        <f>MAX(0,J372-I372)</f>
        <v/>
      </c>
      <c r="O372">
        <f>IF(M372-N372&gt;1E-9,M372-N372,0)</f>
        <v/>
      </c>
      <c r="P372">
        <f>O371*$G$53</f>
        <v/>
      </c>
      <c r="Q372">
        <f>IF(S371&gt;0,MAX(0,S371*(1+$G$54)-$H$54),0)</f>
        <v/>
      </c>
      <c r="R372">
        <f>MAX(0,N372-M372)</f>
        <v/>
      </c>
      <c r="S372">
        <f>IF(Q372-R372&gt;1E-9,Q372-R372,0)</f>
        <v/>
      </c>
      <c r="T372">
        <f>S371*$G$54</f>
        <v/>
      </c>
      <c r="U372">
        <f>IF(W371&gt;0,MAX(0,W371*(1+$G$55)-$H$55),0)</f>
        <v/>
      </c>
      <c r="V372">
        <f>MAX(0,R372-Q372)</f>
        <v/>
      </c>
      <c r="W372">
        <f>IF(U372-V372&gt;1E-9,U372-V372,0)</f>
        <v/>
      </c>
      <c r="X372">
        <f>W371*$G$55</f>
        <v/>
      </c>
      <c r="Y372">
        <f>IF(Y371&gt;1E-9,IF(Y371*(1+$G$51)-MAX($B$9,0.01*Y371+Y371*$G$51)&gt;1E-9,Y371*(1+$G$51)-MAX($B$9,0.01*Y371+Y371*$G$51),0),0)</f>
        <v/>
      </c>
      <c r="Z372">
        <f>Y371*$G$51</f>
        <v/>
      </c>
      <c r="AA372">
        <f>IF(AA371&gt;1E-9,IF(AA371*(1+$G$52)-MAX($B$9,0.01*AA371+AA371*$G$52)&gt;1E-9,AA371*(1+$G$52)-MAX($B$9,0.01*AA371+AA371*$G$52),0),0)</f>
        <v/>
      </c>
      <c r="AB372">
        <f>AA371*$G$52</f>
        <v/>
      </c>
      <c r="AC372">
        <f>IF(AC371&gt;1E-9,IF(AC371*(1+$G$53)-MAX($B$9,0.01*AC371+AC371*$G$53)&gt;1E-9,AC371*(1+$G$53)-MAX($B$9,0.01*AC371+AC371*$G$53),0),0)</f>
        <v/>
      </c>
      <c r="AD372">
        <f>AC371*$G$53</f>
        <v/>
      </c>
      <c r="AE372">
        <f>IF(AE371&gt;1E-9,IF(AE371*(1+$G$54)-MAX($B$9,0.01*AE371+AE371*$G$54)&gt;1E-9,AE371*(1+$G$54)-MAX($B$9,0.01*AE371+AE371*$G$54),0),0)</f>
        <v/>
      </c>
      <c r="AF372">
        <f>AE371*$G$54</f>
        <v/>
      </c>
      <c r="AG372">
        <f>IF(AG371&gt;1E-9,IF(AG371*(1+$G$55)-MAX($B$9,0.01*AG371+AG371*$G$55)&gt;1E-9,AG371*(1+$G$55)-MAX($B$9,0.01*AG371+AG371*$G$55),0),0)</f>
        <v/>
      </c>
      <c r="AH372">
        <f>AG371*$G$55</f>
        <v/>
      </c>
      <c r="AI372">
        <f>G372+K372+O372+S372+W372</f>
        <v/>
      </c>
      <c r="AJ372">
        <f>AI371+AK372-AI372</f>
        <v/>
      </c>
      <c r="AK372">
        <f>H372+L372+P372+T372+X372</f>
        <v/>
      </c>
      <c r="AL372">
        <f>TEXT(EDATE($B$5,D372-1),"mmm yyyy")</f>
        <v/>
      </c>
      <c r="AM372">
        <f>AI372</f>
        <v/>
      </c>
    </row>
    <row r="373">
      <c r="D373" t="n">
        <v>312</v>
      </c>
      <c r="E373">
        <f>IF(G372&gt;0,MAX(0,G372*(1+$G$51)-$H$51),0)</f>
        <v/>
      </c>
      <c r="F373">
        <f>$B$6+IF($D373=$B$8,$B$7,0)</f>
        <v/>
      </c>
      <c r="G373">
        <f>IF(E373-F373&gt;1E-9,E373-F373,0)</f>
        <v/>
      </c>
      <c r="H373">
        <f>G372*$G$51</f>
        <v/>
      </c>
      <c r="I373">
        <f>IF(K372&gt;0,MAX(0,K372*(1+$G$52)-$H$52),0)</f>
        <v/>
      </c>
      <c r="J373">
        <f>MAX(0,F373-E373)</f>
        <v/>
      </c>
      <c r="K373">
        <f>IF(I373-J373&gt;1E-9,I373-J373,0)</f>
        <v/>
      </c>
      <c r="L373">
        <f>K372*$G$52</f>
        <v/>
      </c>
      <c r="M373">
        <f>IF(O372&gt;0,MAX(0,O372*(1+$G$53)-$H$53),0)</f>
        <v/>
      </c>
      <c r="N373">
        <f>MAX(0,J373-I373)</f>
        <v/>
      </c>
      <c r="O373">
        <f>IF(M373-N373&gt;1E-9,M373-N373,0)</f>
        <v/>
      </c>
      <c r="P373">
        <f>O372*$G$53</f>
        <v/>
      </c>
      <c r="Q373">
        <f>IF(S372&gt;0,MAX(0,S372*(1+$G$54)-$H$54),0)</f>
        <v/>
      </c>
      <c r="R373">
        <f>MAX(0,N373-M373)</f>
        <v/>
      </c>
      <c r="S373">
        <f>IF(Q373-R373&gt;1E-9,Q373-R373,0)</f>
        <v/>
      </c>
      <c r="T373">
        <f>S372*$G$54</f>
        <v/>
      </c>
      <c r="U373">
        <f>IF(W372&gt;0,MAX(0,W372*(1+$G$55)-$H$55),0)</f>
        <v/>
      </c>
      <c r="V373">
        <f>MAX(0,R373-Q373)</f>
        <v/>
      </c>
      <c r="W373">
        <f>IF(U373-V373&gt;1E-9,U373-V373,0)</f>
        <v/>
      </c>
      <c r="X373">
        <f>W372*$G$55</f>
        <v/>
      </c>
      <c r="Y373">
        <f>IF(Y372&gt;1E-9,IF(Y372*(1+$G$51)-MAX($B$9,0.01*Y372+Y372*$G$51)&gt;1E-9,Y372*(1+$G$51)-MAX($B$9,0.01*Y372+Y372*$G$51),0),0)</f>
        <v/>
      </c>
      <c r="Z373">
        <f>Y372*$G$51</f>
        <v/>
      </c>
      <c r="AA373">
        <f>IF(AA372&gt;1E-9,IF(AA372*(1+$G$52)-MAX($B$9,0.01*AA372+AA372*$G$52)&gt;1E-9,AA372*(1+$G$52)-MAX($B$9,0.01*AA372+AA372*$G$52),0),0)</f>
        <v/>
      </c>
      <c r="AB373">
        <f>AA372*$G$52</f>
        <v/>
      </c>
      <c r="AC373">
        <f>IF(AC372&gt;1E-9,IF(AC372*(1+$G$53)-MAX($B$9,0.01*AC372+AC372*$G$53)&gt;1E-9,AC372*(1+$G$53)-MAX($B$9,0.01*AC372+AC372*$G$53),0),0)</f>
        <v/>
      </c>
      <c r="AD373">
        <f>AC372*$G$53</f>
        <v/>
      </c>
      <c r="AE373">
        <f>IF(AE372&gt;1E-9,IF(AE372*(1+$G$54)-MAX($B$9,0.01*AE372+AE372*$G$54)&gt;1E-9,AE372*(1+$G$54)-MAX($B$9,0.01*AE372+AE372*$G$54),0),0)</f>
        <v/>
      </c>
      <c r="AF373">
        <f>AE372*$G$54</f>
        <v/>
      </c>
      <c r="AG373">
        <f>IF(AG372&gt;1E-9,IF(AG372*(1+$G$55)-MAX($B$9,0.01*AG372+AG372*$G$55)&gt;1E-9,AG372*(1+$G$55)-MAX($B$9,0.01*AG372+AG372*$G$55),0),0)</f>
        <v/>
      </c>
      <c r="AH373">
        <f>AG372*$G$55</f>
        <v/>
      </c>
      <c r="AI373">
        <f>G373+K373+O373+S373+W373</f>
        <v/>
      </c>
      <c r="AJ373">
        <f>AI372+AK373-AI373</f>
        <v/>
      </c>
      <c r="AK373">
        <f>H373+L373+P373+T373+X373</f>
        <v/>
      </c>
      <c r="AL373">
        <f>TEXT(EDATE($B$5,D373-1),"mmm yyyy")</f>
        <v/>
      </c>
      <c r="AM373">
        <f>AI373</f>
        <v/>
      </c>
    </row>
    <row r="374">
      <c r="D374" t="n">
        <v>313</v>
      </c>
      <c r="E374">
        <f>IF(G373&gt;0,MAX(0,G373*(1+$G$51)-$H$51),0)</f>
        <v/>
      </c>
      <c r="F374">
        <f>$B$6+IF($D374=$B$8,$B$7,0)</f>
        <v/>
      </c>
      <c r="G374">
        <f>IF(E374-F374&gt;1E-9,E374-F374,0)</f>
        <v/>
      </c>
      <c r="H374">
        <f>G373*$G$51</f>
        <v/>
      </c>
      <c r="I374">
        <f>IF(K373&gt;0,MAX(0,K373*(1+$G$52)-$H$52),0)</f>
        <v/>
      </c>
      <c r="J374">
        <f>MAX(0,F374-E374)</f>
        <v/>
      </c>
      <c r="K374">
        <f>IF(I374-J374&gt;1E-9,I374-J374,0)</f>
        <v/>
      </c>
      <c r="L374">
        <f>K373*$G$52</f>
        <v/>
      </c>
      <c r="M374">
        <f>IF(O373&gt;0,MAX(0,O373*(1+$G$53)-$H$53),0)</f>
        <v/>
      </c>
      <c r="N374">
        <f>MAX(0,J374-I374)</f>
        <v/>
      </c>
      <c r="O374">
        <f>IF(M374-N374&gt;1E-9,M374-N374,0)</f>
        <v/>
      </c>
      <c r="P374">
        <f>O373*$G$53</f>
        <v/>
      </c>
      <c r="Q374">
        <f>IF(S373&gt;0,MAX(0,S373*(1+$G$54)-$H$54),0)</f>
        <v/>
      </c>
      <c r="R374">
        <f>MAX(0,N374-M374)</f>
        <v/>
      </c>
      <c r="S374">
        <f>IF(Q374-R374&gt;1E-9,Q374-R374,0)</f>
        <v/>
      </c>
      <c r="T374">
        <f>S373*$G$54</f>
        <v/>
      </c>
      <c r="U374">
        <f>IF(W373&gt;0,MAX(0,W373*(1+$G$55)-$H$55),0)</f>
        <v/>
      </c>
      <c r="V374">
        <f>MAX(0,R374-Q374)</f>
        <v/>
      </c>
      <c r="W374">
        <f>IF(U374-V374&gt;1E-9,U374-V374,0)</f>
        <v/>
      </c>
      <c r="X374">
        <f>W373*$G$55</f>
        <v/>
      </c>
      <c r="Y374">
        <f>IF(Y373&gt;1E-9,IF(Y373*(1+$G$51)-MAX($B$9,0.01*Y373+Y373*$G$51)&gt;1E-9,Y373*(1+$G$51)-MAX($B$9,0.01*Y373+Y373*$G$51),0),0)</f>
        <v/>
      </c>
      <c r="Z374">
        <f>Y373*$G$51</f>
        <v/>
      </c>
      <c r="AA374">
        <f>IF(AA373&gt;1E-9,IF(AA373*(1+$G$52)-MAX($B$9,0.01*AA373+AA373*$G$52)&gt;1E-9,AA373*(1+$G$52)-MAX($B$9,0.01*AA373+AA373*$G$52),0),0)</f>
        <v/>
      </c>
      <c r="AB374">
        <f>AA373*$G$52</f>
        <v/>
      </c>
      <c r="AC374">
        <f>IF(AC373&gt;1E-9,IF(AC373*(1+$G$53)-MAX($B$9,0.01*AC373+AC373*$G$53)&gt;1E-9,AC373*(1+$G$53)-MAX($B$9,0.01*AC373+AC373*$G$53),0),0)</f>
        <v/>
      </c>
      <c r="AD374">
        <f>AC373*$G$53</f>
        <v/>
      </c>
      <c r="AE374">
        <f>IF(AE373&gt;1E-9,IF(AE373*(1+$G$54)-MAX($B$9,0.01*AE373+AE373*$G$54)&gt;1E-9,AE373*(1+$G$54)-MAX($B$9,0.01*AE373+AE373*$G$54),0),0)</f>
        <v/>
      </c>
      <c r="AF374">
        <f>AE373*$G$54</f>
        <v/>
      </c>
      <c r="AG374">
        <f>IF(AG373&gt;1E-9,IF(AG373*(1+$G$55)-MAX($B$9,0.01*AG373+AG373*$G$55)&gt;1E-9,AG373*(1+$G$55)-MAX($B$9,0.01*AG373+AG373*$G$55),0),0)</f>
        <v/>
      </c>
      <c r="AH374">
        <f>AG373*$G$55</f>
        <v/>
      </c>
      <c r="AI374">
        <f>G374+K374+O374+S374+W374</f>
        <v/>
      </c>
      <c r="AJ374">
        <f>AI373+AK374-AI374</f>
        <v/>
      </c>
      <c r="AK374">
        <f>H374+L374+P374+T374+X374</f>
        <v/>
      </c>
      <c r="AL374">
        <f>TEXT(EDATE($B$5,D374-1),"mmm yyyy")</f>
        <v/>
      </c>
      <c r="AM374">
        <f>AI374</f>
        <v/>
      </c>
    </row>
    <row r="375">
      <c r="D375" t="n">
        <v>314</v>
      </c>
      <c r="E375">
        <f>IF(G374&gt;0,MAX(0,G374*(1+$G$51)-$H$51),0)</f>
        <v/>
      </c>
      <c r="F375">
        <f>$B$6+IF($D375=$B$8,$B$7,0)</f>
        <v/>
      </c>
      <c r="G375">
        <f>IF(E375-F375&gt;1E-9,E375-F375,0)</f>
        <v/>
      </c>
      <c r="H375">
        <f>G374*$G$51</f>
        <v/>
      </c>
      <c r="I375">
        <f>IF(K374&gt;0,MAX(0,K374*(1+$G$52)-$H$52),0)</f>
        <v/>
      </c>
      <c r="J375">
        <f>MAX(0,F375-E375)</f>
        <v/>
      </c>
      <c r="K375">
        <f>IF(I375-J375&gt;1E-9,I375-J375,0)</f>
        <v/>
      </c>
      <c r="L375">
        <f>K374*$G$52</f>
        <v/>
      </c>
      <c r="M375">
        <f>IF(O374&gt;0,MAX(0,O374*(1+$G$53)-$H$53),0)</f>
        <v/>
      </c>
      <c r="N375">
        <f>MAX(0,J375-I375)</f>
        <v/>
      </c>
      <c r="O375">
        <f>IF(M375-N375&gt;1E-9,M375-N375,0)</f>
        <v/>
      </c>
      <c r="P375">
        <f>O374*$G$53</f>
        <v/>
      </c>
      <c r="Q375">
        <f>IF(S374&gt;0,MAX(0,S374*(1+$G$54)-$H$54),0)</f>
        <v/>
      </c>
      <c r="R375">
        <f>MAX(0,N375-M375)</f>
        <v/>
      </c>
      <c r="S375">
        <f>IF(Q375-R375&gt;1E-9,Q375-R375,0)</f>
        <v/>
      </c>
      <c r="T375">
        <f>S374*$G$54</f>
        <v/>
      </c>
      <c r="U375">
        <f>IF(W374&gt;0,MAX(0,W374*(1+$G$55)-$H$55),0)</f>
        <v/>
      </c>
      <c r="V375">
        <f>MAX(0,R375-Q375)</f>
        <v/>
      </c>
      <c r="W375">
        <f>IF(U375-V375&gt;1E-9,U375-V375,0)</f>
        <v/>
      </c>
      <c r="X375">
        <f>W374*$G$55</f>
        <v/>
      </c>
      <c r="Y375">
        <f>IF(Y374&gt;1E-9,IF(Y374*(1+$G$51)-MAX($B$9,0.01*Y374+Y374*$G$51)&gt;1E-9,Y374*(1+$G$51)-MAX($B$9,0.01*Y374+Y374*$G$51),0),0)</f>
        <v/>
      </c>
      <c r="Z375">
        <f>Y374*$G$51</f>
        <v/>
      </c>
      <c r="AA375">
        <f>IF(AA374&gt;1E-9,IF(AA374*(1+$G$52)-MAX($B$9,0.01*AA374+AA374*$G$52)&gt;1E-9,AA374*(1+$G$52)-MAX($B$9,0.01*AA374+AA374*$G$52),0),0)</f>
        <v/>
      </c>
      <c r="AB375">
        <f>AA374*$G$52</f>
        <v/>
      </c>
      <c r="AC375">
        <f>IF(AC374&gt;1E-9,IF(AC374*(1+$G$53)-MAX($B$9,0.01*AC374+AC374*$G$53)&gt;1E-9,AC374*(1+$G$53)-MAX($B$9,0.01*AC374+AC374*$G$53),0),0)</f>
        <v/>
      </c>
      <c r="AD375">
        <f>AC374*$G$53</f>
        <v/>
      </c>
      <c r="AE375">
        <f>IF(AE374&gt;1E-9,IF(AE374*(1+$G$54)-MAX($B$9,0.01*AE374+AE374*$G$54)&gt;1E-9,AE374*(1+$G$54)-MAX($B$9,0.01*AE374+AE374*$G$54),0),0)</f>
        <v/>
      </c>
      <c r="AF375">
        <f>AE374*$G$54</f>
        <v/>
      </c>
      <c r="AG375">
        <f>IF(AG374&gt;1E-9,IF(AG374*(1+$G$55)-MAX($B$9,0.01*AG374+AG374*$G$55)&gt;1E-9,AG374*(1+$G$55)-MAX($B$9,0.01*AG374+AG374*$G$55),0),0)</f>
        <v/>
      </c>
      <c r="AH375">
        <f>AG374*$G$55</f>
        <v/>
      </c>
      <c r="AI375">
        <f>G375+K375+O375+S375+W375</f>
        <v/>
      </c>
      <c r="AJ375">
        <f>AI374+AK375-AI375</f>
        <v/>
      </c>
      <c r="AK375">
        <f>H375+L375+P375+T375+X375</f>
        <v/>
      </c>
      <c r="AL375">
        <f>TEXT(EDATE($B$5,D375-1),"mmm yyyy")</f>
        <v/>
      </c>
      <c r="AM375">
        <f>AI375</f>
        <v/>
      </c>
    </row>
    <row r="376">
      <c r="D376" t="n">
        <v>315</v>
      </c>
      <c r="E376">
        <f>IF(G375&gt;0,MAX(0,G375*(1+$G$51)-$H$51),0)</f>
        <v/>
      </c>
      <c r="F376">
        <f>$B$6+IF($D376=$B$8,$B$7,0)</f>
        <v/>
      </c>
      <c r="G376">
        <f>IF(E376-F376&gt;1E-9,E376-F376,0)</f>
        <v/>
      </c>
      <c r="H376">
        <f>G375*$G$51</f>
        <v/>
      </c>
      <c r="I376">
        <f>IF(K375&gt;0,MAX(0,K375*(1+$G$52)-$H$52),0)</f>
        <v/>
      </c>
      <c r="J376">
        <f>MAX(0,F376-E376)</f>
        <v/>
      </c>
      <c r="K376">
        <f>IF(I376-J376&gt;1E-9,I376-J376,0)</f>
        <v/>
      </c>
      <c r="L376">
        <f>K375*$G$52</f>
        <v/>
      </c>
      <c r="M376">
        <f>IF(O375&gt;0,MAX(0,O375*(1+$G$53)-$H$53),0)</f>
        <v/>
      </c>
      <c r="N376">
        <f>MAX(0,J376-I376)</f>
        <v/>
      </c>
      <c r="O376">
        <f>IF(M376-N376&gt;1E-9,M376-N376,0)</f>
        <v/>
      </c>
      <c r="P376">
        <f>O375*$G$53</f>
        <v/>
      </c>
      <c r="Q376">
        <f>IF(S375&gt;0,MAX(0,S375*(1+$G$54)-$H$54),0)</f>
        <v/>
      </c>
      <c r="R376">
        <f>MAX(0,N376-M376)</f>
        <v/>
      </c>
      <c r="S376">
        <f>IF(Q376-R376&gt;1E-9,Q376-R376,0)</f>
        <v/>
      </c>
      <c r="T376">
        <f>S375*$G$54</f>
        <v/>
      </c>
      <c r="U376">
        <f>IF(W375&gt;0,MAX(0,W375*(1+$G$55)-$H$55),0)</f>
        <v/>
      </c>
      <c r="V376">
        <f>MAX(0,R376-Q376)</f>
        <v/>
      </c>
      <c r="W376">
        <f>IF(U376-V376&gt;1E-9,U376-V376,0)</f>
        <v/>
      </c>
      <c r="X376">
        <f>W375*$G$55</f>
        <v/>
      </c>
      <c r="Y376">
        <f>IF(Y375&gt;1E-9,IF(Y375*(1+$G$51)-MAX($B$9,0.01*Y375+Y375*$G$51)&gt;1E-9,Y375*(1+$G$51)-MAX($B$9,0.01*Y375+Y375*$G$51),0),0)</f>
        <v/>
      </c>
      <c r="Z376">
        <f>Y375*$G$51</f>
        <v/>
      </c>
      <c r="AA376">
        <f>IF(AA375&gt;1E-9,IF(AA375*(1+$G$52)-MAX($B$9,0.01*AA375+AA375*$G$52)&gt;1E-9,AA375*(1+$G$52)-MAX($B$9,0.01*AA375+AA375*$G$52),0),0)</f>
        <v/>
      </c>
      <c r="AB376">
        <f>AA375*$G$52</f>
        <v/>
      </c>
      <c r="AC376">
        <f>IF(AC375&gt;1E-9,IF(AC375*(1+$G$53)-MAX($B$9,0.01*AC375+AC375*$G$53)&gt;1E-9,AC375*(1+$G$53)-MAX($B$9,0.01*AC375+AC375*$G$53),0),0)</f>
        <v/>
      </c>
      <c r="AD376">
        <f>AC375*$G$53</f>
        <v/>
      </c>
      <c r="AE376">
        <f>IF(AE375&gt;1E-9,IF(AE375*(1+$G$54)-MAX($B$9,0.01*AE375+AE375*$G$54)&gt;1E-9,AE375*(1+$G$54)-MAX($B$9,0.01*AE375+AE375*$G$54),0),0)</f>
        <v/>
      </c>
      <c r="AF376">
        <f>AE375*$G$54</f>
        <v/>
      </c>
      <c r="AG376">
        <f>IF(AG375&gt;1E-9,IF(AG375*(1+$G$55)-MAX($B$9,0.01*AG375+AG375*$G$55)&gt;1E-9,AG375*(1+$G$55)-MAX($B$9,0.01*AG375+AG375*$G$55),0),0)</f>
        <v/>
      </c>
      <c r="AH376">
        <f>AG375*$G$55</f>
        <v/>
      </c>
      <c r="AI376">
        <f>G376+K376+O376+S376+W376</f>
        <v/>
      </c>
      <c r="AJ376">
        <f>AI375+AK376-AI376</f>
        <v/>
      </c>
      <c r="AK376">
        <f>H376+L376+P376+T376+X376</f>
        <v/>
      </c>
      <c r="AL376">
        <f>TEXT(EDATE($B$5,D376-1),"mmm yyyy")</f>
        <v/>
      </c>
      <c r="AM376">
        <f>AI376</f>
        <v/>
      </c>
    </row>
    <row r="377">
      <c r="D377" t="n">
        <v>316</v>
      </c>
      <c r="E377">
        <f>IF(G376&gt;0,MAX(0,G376*(1+$G$51)-$H$51),0)</f>
        <v/>
      </c>
      <c r="F377">
        <f>$B$6+IF($D377=$B$8,$B$7,0)</f>
        <v/>
      </c>
      <c r="G377">
        <f>IF(E377-F377&gt;1E-9,E377-F377,0)</f>
        <v/>
      </c>
      <c r="H377">
        <f>G376*$G$51</f>
        <v/>
      </c>
      <c r="I377">
        <f>IF(K376&gt;0,MAX(0,K376*(1+$G$52)-$H$52),0)</f>
        <v/>
      </c>
      <c r="J377">
        <f>MAX(0,F377-E377)</f>
        <v/>
      </c>
      <c r="K377">
        <f>IF(I377-J377&gt;1E-9,I377-J377,0)</f>
        <v/>
      </c>
      <c r="L377">
        <f>K376*$G$52</f>
        <v/>
      </c>
      <c r="M377">
        <f>IF(O376&gt;0,MAX(0,O376*(1+$G$53)-$H$53),0)</f>
        <v/>
      </c>
      <c r="N377">
        <f>MAX(0,J377-I377)</f>
        <v/>
      </c>
      <c r="O377">
        <f>IF(M377-N377&gt;1E-9,M377-N377,0)</f>
        <v/>
      </c>
      <c r="P377">
        <f>O376*$G$53</f>
        <v/>
      </c>
      <c r="Q377">
        <f>IF(S376&gt;0,MAX(0,S376*(1+$G$54)-$H$54),0)</f>
        <v/>
      </c>
      <c r="R377">
        <f>MAX(0,N377-M377)</f>
        <v/>
      </c>
      <c r="S377">
        <f>IF(Q377-R377&gt;1E-9,Q377-R377,0)</f>
        <v/>
      </c>
      <c r="T377">
        <f>S376*$G$54</f>
        <v/>
      </c>
      <c r="U377">
        <f>IF(W376&gt;0,MAX(0,W376*(1+$G$55)-$H$55),0)</f>
        <v/>
      </c>
      <c r="V377">
        <f>MAX(0,R377-Q377)</f>
        <v/>
      </c>
      <c r="W377">
        <f>IF(U377-V377&gt;1E-9,U377-V377,0)</f>
        <v/>
      </c>
      <c r="X377">
        <f>W376*$G$55</f>
        <v/>
      </c>
      <c r="Y377">
        <f>IF(Y376&gt;1E-9,IF(Y376*(1+$G$51)-MAX($B$9,0.01*Y376+Y376*$G$51)&gt;1E-9,Y376*(1+$G$51)-MAX($B$9,0.01*Y376+Y376*$G$51),0),0)</f>
        <v/>
      </c>
      <c r="Z377">
        <f>Y376*$G$51</f>
        <v/>
      </c>
      <c r="AA377">
        <f>IF(AA376&gt;1E-9,IF(AA376*(1+$G$52)-MAX($B$9,0.01*AA376+AA376*$G$52)&gt;1E-9,AA376*(1+$G$52)-MAX($B$9,0.01*AA376+AA376*$G$52),0),0)</f>
        <v/>
      </c>
      <c r="AB377">
        <f>AA376*$G$52</f>
        <v/>
      </c>
      <c r="AC377">
        <f>IF(AC376&gt;1E-9,IF(AC376*(1+$G$53)-MAX($B$9,0.01*AC376+AC376*$G$53)&gt;1E-9,AC376*(1+$G$53)-MAX($B$9,0.01*AC376+AC376*$G$53),0),0)</f>
        <v/>
      </c>
      <c r="AD377">
        <f>AC376*$G$53</f>
        <v/>
      </c>
      <c r="AE377">
        <f>IF(AE376&gt;1E-9,IF(AE376*(1+$G$54)-MAX($B$9,0.01*AE376+AE376*$G$54)&gt;1E-9,AE376*(1+$G$54)-MAX($B$9,0.01*AE376+AE376*$G$54),0),0)</f>
        <v/>
      </c>
      <c r="AF377">
        <f>AE376*$G$54</f>
        <v/>
      </c>
      <c r="AG377">
        <f>IF(AG376&gt;1E-9,IF(AG376*(1+$G$55)-MAX($B$9,0.01*AG376+AG376*$G$55)&gt;1E-9,AG376*(1+$G$55)-MAX($B$9,0.01*AG376+AG376*$G$55),0),0)</f>
        <v/>
      </c>
      <c r="AH377">
        <f>AG376*$G$55</f>
        <v/>
      </c>
      <c r="AI377">
        <f>G377+K377+O377+S377+W377</f>
        <v/>
      </c>
      <c r="AJ377">
        <f>AI376+AK377-AI377</f>
        <v/>
      </c>
      <c r="AK377">
        <f>H377+L377+P377+T377+X377</f>
        <v/>
      </c>
      <c r="AL377">
        <f>TEXT(EDATE($B$5,D377-1),"mmm yyyy")</f>
        <v/>
      </c>
      <c r="AM377">
        <f>AI377</f>
        <v/>
      </c>
    </row>
    <row r="378">
      <c r="D378" t="n">
        <v>317</v>
      </c>
      <c r="E378">
        <f>IF(G377&gt;0,MAX(0,G377*(1+$G$51)-$H$51),0)</f>
        <v/>
      </c>
      <c r="F378">
        <f>$B$6+IF($D378=$B$8,$B$7,0)</f>
        <v/>
      </c>
      <c r="G378">
        <f>IF(E378-F378&gt;1E-9,E378-F378,0)</f>
        <v/>
      </c>
      <c r="H378">
        <f>G377*$G$51</f>
        <v/>
      </c>
      <c r="I378">
        <f>IF(K377&gt;0,MAX(0,K377*(1+$G$52)-$H$52),0)</f>
        <v/>
      </c>
      <c r="J378">
        <f>MAX(0,F378-E378)</f>
        <v/>
      </c>
      <c r="K378">
        <f>IF(I378-J378&gt;1E-9,I378-J378,0)</f>
        <v/>
      </c>
      <c r="L378">
        <f>K377*$G$52</f>
        <v/>
      </c>
      <c r="M378">
        <f>IF(O377&gt;0,MAX(0,O377*(1+$G$53)-$H$53),0)</f>
        <v/>
      </c>
      <c r="N378">
        <f>MAX(0,J378-I378)</f>
        <v/>
      </c>
      <c r="O378">
        <f>IF(M378-N378&gt;1E-9,M378-N378,0)</f>
        <v/>
      </c>
      <c r="P378">
        <f>O377*$G$53</f>
        <v/>
      </c>
      <c r="Q378">
        <f>IF(S377&gt;0,MAX(0,S377*(1+$G$54)-$H$54),0)</f>
        <v/>
      </c>
      <c r="R378">
        <f>MAX(0,N378-M378)</f>
        <v/>
      </c>
      <c r="S378">
        <f>IF(Q378-R378&gt;1E-9,Q378-R378,0)</f>
        <v/>
      </c>
      <c r="T378">
        <f>S377*$G$54</f>
        <v/>
      </c>
      <c r="U378">
        <f>IF(W377&gt;0,MAX(0,W377*(1+$G$55)-$H$55),0)</f>
        <v/>
      </c>
      <c r="V378">
        <f>MAX(0,R378-Q378)</f>
        <v/>
      </c>
      <c r="W378">
        <f>IF(U378-V378&gt;1E-9,U378-V378,0)</f>
        <v/>
      </c>
      <c r="X378">
        <f>W377*$G$55</f>
        <v/>
      </c>
      <c r="Y378">
        <f>IF(Y377&gt;1E-9,IF(Y377*(1+$G$51)-MAX($B$9,0.01*Y377+Y377*$G$51)&gt;1E-9,Y377*(1+$G$51)-MAX($B$9,0.01*Y377+Y377*$G$51),0),0)</f>
        <v/>
      </c>
      <c r="Z378">
        <f>Y377*$G$51</f>
        <v/>
      </c>
      <c r="AA378">
        <f>IF(AA377&gt;1E-9,IF(AA377*(1+$G$52)-MAX($B$9,0.01*AA377+AA377*$G$52)&gt;1E-9,AA377*(1+$G$52)-MAX($B$9,0.01*AA377+AA377*$G$52),0),0)</f>
        <v/>
      </c>
      <c r="AB378">
        <f>AA377*$G$52</f>
        <v/>
      </c>
      <c r="AC378">
        <f>IF(AC377&gt;1E-9,IF(AC377*(1+$G$53)-MAX($B$9,0.01*AC377+AC377*$G$53)&gt;1E-9,AC377*(1+$G$53)-MAX($B$9,0.01*AC377+AC377*$G$53),0),0)</f>
        <v/>
      </c>
      <c r="AD378">
        <f>AC377*$G$53</f>
        <v/>
      </c>
      <c r="AE378">
        <f>IF(AE377&gt;1E-9,IF(AE377*(1+$G$54)-MAX($B$9,0.01*AE377+AE377*$G$54)&gt;1E-9,AE377*(1+$G$54)-MAX($B$9,0.01*AE377+AE377*$G$54),0),0)</f>
        <v/>
      </c>
      <c r="AF378">
        <f>AE377*$G$54</f>
        <v/>
      </c>
      <c r="AG378">
        <f>IF(AG377&gt;1E-9,IF(AG377*(1+$G$55)-MAX($B$9,0.01*AG377+AG377*$G$55)&gt;1E-9,AG377*(1+$G$55)-MAX($B$9,0.01*AG377+AG377*$G$55),0),0)</f>
        <v/>
      </c>
      <c r="AH378">
        <f>AG377*$G$55</f>
        <v/>
      </c>
      <c r="AI378">
        <f>G378+K378+O378+S378+W378</f>
        <v/>
      </c>
      <c r="AJ378">
        <f>AI377+AK378-AI378</f>
        <v/>
      </c>
      <c r="AK378">
        <f>H378+L378+P378+T378+X378</f>
        <v/>
      </c>
      <c r="AL378">
        <f>TEXT(EDATE($B$5,D378-1),"mmm yyyy")</f>
        <v/>
      </c>
      <c r="AM378">
        <f>AI378</f>
        <v/>
      </c>
    </row>
    <row r="379">
      <c r="D379" t="n">
        <v>318</v>
      </c>
      <c r="E379">
        <f>IF(G378&gt;0,MAX(0,G378*(1+$G$51)-$H$51),0)</f>
        <v/>
      </c>
      <c r="F379">
        <f>$B$6+IF($D379=$B$8,$B$7,0)</f>
        <v/>
      </c>
      <c r="G379">
        <f>IF(E379-F379&gt;1E-9,E379-F379,0)</f>
        <v/>
      </c>
      <c r="H379">
        <f>G378*$G$51</f>
        <v/>
      </c>
      <c r="I379">
        <f>IF(K378&gt;0,MAX(0,K378*(1+$G$52)-$H$52),0)</f>
        <v/>
      </c>
      <c r="J379">
        <f>MAX(0,F379-E379)</f>
        <v/>
      </c>
      <c r="K379">
        <f>IF(I379-J379&gt;1E-9,I379-J379,0)</f>
        <v/>
      </c>
      <c r="L379">
        <f>K378*$G$52</f>
        <v/>
      </c>
      <c r="M379">
        <f>IF(O378&gt;0,MAX(0,O378*(1+$G$53)-$H$53),0)</f>
        <v/>
      </c>
      <c r="N379">
        <f>MAX(0,J379-I379)</f>
        <v/>
      </c>
      <c r="O379">
        <f>IF(M379-N379&gt;1E-9,M379-N379,0)</f>
        <v/>
      </c>
      <c r="P379">
        <f>O378*$G$53</f>
        <v/>
      </c>
      <c r="Q379">
        <f>IF(S378&gt;0,MAX(0,S378*(1+$G$54)-$H$54),0)</f>
        <v/>
      </c>
      <c r="R379">
        <f>MAX(0,N379-M379)</f>
        <v/>
      </c>
      <c r="S379">
        <f>IF(Q379-R379&gt;1E-9,Q379-R379,0)</f>
        <v/>
      </c>
      <c r="T379">
        <f>S378*$G$54</f>
        <v/>
      </c>
      <c r="U379">
        <f>IF(W378&gt;0,MAX(0,W378*(1+$G$55)-$H$55),0)</f>
        <v/>
      </c>
      <c r="V379">
        <f>MAX(0,R379-Q379)</f>
        <v/>
      </c>
      <c r="W379">
        <f>IF(U379-V379&gt;1E-9,U379-V379,0)</f>
        <v/>
      </c>
      <c r="X379">
        <f>W378*$G$55</f>
        <v/>
      </c>
      <c r="Y379">
        <f>IF(Y378&gt;1E-9,IF(Y378*(1+$G$51)-MAX($B$9,0.01*Y378+Y378*$G$51)&gt;1E-9,Y378*(1+$G$51)-MAX($B$9,0.01*Y378+Y378*$G$51),0),0)</f>
        <v/>
      </c>
      <c r="Z379">
        <f>Y378*$G$51</f>
        <v/>
      </c>
      <c r="AA379">
        <f>IF(AA378&gt;1E-9,IF(AA378*(1+$G$52)-MAX($B$9,0.01*AA378+AA378*$G$52)&gt;1E-9,AA378*(1+$G$52)-MAX($B$9,0.01*AA378+AA378*$G$52),0),0)</f>
        <v/>
      </c>
      <c r="AB379">
        <f>AA378*$G$52</f>
        <v/>
      </c>
      <c r="AC379">
        <f>IF(AC378&gt;1E-9,IF(AC378*(1+$G$53)-MAX($B$9,0.01*AC378+AC378*$G$53)&gt;1E-9,AC378*(1+$G$53)-MAX($B$9,0.01*AC378+AC378*$G$53),0),0)</f>
        <v/>
      </c>
      <c r="AD379">
        <f>AC378*$G$53</f>
        <v/>
      </c>
      <c r="AE379">
        <f>IF(AE378&gt;1E-9,IF(AE378*(1+$G$54)-MAX($B$9,0.01*AE378+AE378*$G$54)&gt;1E-9,AE378*(1+$G$54)-MAX($B$9,0.01*AE378+AE378*$G$54),0),0)</f>
        <v/>
      </c>
      <c r="AF379">
        <f>AE378*$G$54</f>
        <v/>
      </c>
      <c r="AG379">
        <f>IF(AG378&gt;1E-9,IF(AG378*(1+$G$55)-MAX($B$9,0.01*AG378+AG378*$G$55)&gt;1E-9,AG378*(1+$G$55)-MAX($B$9,0.01*AG378+AG378*$G$55),0),0)</f>
        <v/>
      </c>
      <c r="AH379">
        <f>AG378*$G$55</f>
        <v/>
      </c>
      <c r="AI379">
        <f>G379+K379+O379+S379+W379</f>
        <v/>
      </c>
      <c r="AJ379">
        <f>AI378+AK379-AI379</f>
        <v/>
      </c>
      <c r="AK379">
        <f>H379+L379+P379+T379+X379</f>
        <v/>
      </c>
      <c r="AL379">
        <f>TEXT(EDATE($B$5,D379-1),"mmm yyyy")</f>
        <v/>
      </c>
      <c r="AM379">
        <f>AI379</f>
        <v/>
      </c>
    </row>
    <row r="380">
      <c r="D380" t="n">
        <v>319</v>
      </c>
      <c r="E380">
        <f>IF(G379&gt;0,MAX(0,G379*(1+$G$51)-$H$51),0)</f>
        <v/>
      </c>
      <c r="F380">
        <f>$B$6+IF($D380=$B$8,$B$7,0)</f>
        <v/>
      </c>
      <c r="G380">
        <f>IF(E380-F380&gt;1E-9,E380-F380,0)</f>
        <v/>
      </c>
      <c r="H380">
        <f>G379*$G$51</f>
        <v/>
      </c>
      <c r="I380">
        <f>IF(K379&gt;0,MAX(0,K379*(1+$G$52)-$H$52),0)</f>
        <v/>
      </c>
      <c r="J380">
        <f>MAX(0,F380-E380)</f>
        <v/>
      </c>
      <c r="K380">
        <f>IF(I380-J380&gt;1E-9,I380-J380,0)</f>
        <v/>
      </c>
      <c r="L380">
        <f>K379*$G$52</f>
        <v/>
      </c>
      <c r="M380">
        <f>IF(O379&gt;0,MAX(0,O379*(1+$G$53)-$H$53),0)</f>
        <v/>
      </c>
      <c r="N380">
        <f>MAX(0,J380-I380)</f>
        <v/>
      </c>
      <c r="O380">
        <f>IF(M380-N380&gt;1E-9,M380-N380,0)</f>
        <v/>
      </c>
      <c r="P380">
        <f>O379*$G$53</f>
        <v/>
      </c>
      <c r="Q380">
        <f>IF(S379&gt;0,MAX(0,S379*(1+$G$54)-$H$54),0)</f>
        <v/>
      </c>
      <c r="R380">
        <f>MAX(0,N380-M380)</f>
        <v/>
      </c>
      <c r="S380">
        <f>IF(Q380-R380&gt;1E-9,Q380-R380,0)</f>
        <v/>
      </c>
      <c r="T380">
        <f>S379*$G$54</f>
        <v/>
      </c>
      <c r="U380">
        <f>IF(W379&gt;0,MAX(0,W379*(1+$G$55)-$H$55),0)</f>
        <v/>
      </c>
      <c r="V380">
        <f>MAX(0,R380-Q380)</f>
        <v/>
      </c>
      <c r="W380">
        <f>IF(U380-V380&gt;1E-9,U380-V380,0)</f>
        <v/>
      </c>
      <c r="X380">
        <f>W379*$G$55</f>
        <v/>
      </c>
      <c r="Y380">
        <f>IF(Y379&gt;1E-9,IF(Y379*(1+$G$51)-MAX($B$9,0.01*Y379+Y379*$G$51)&gt;1E-9,Y379*(1+$G$51)-MAX($B$9,0.01*Y379+Y379*$G$51),0),0)</f>
        <v/>
      </c>
      <c r="Z380">
        <f>Y379*$G$51</f>
        <v/>
      </c>
      <c r="AA380">
        <f>IF(AA379&gt;1E-9,IF(AA379*(1+$G$52)-MAX($B$9,0.01*AA379+AA379*$G$52)&gt;1E-9,AA379*(1+$G$52)-MAX($B$9,0.01*AA379+AA379*$G$52),0),0)</f>
        <v/>
      </c>
      <c r="AB380">
        <f>AA379*$G$52</f>
        <v/>
      </c>
      <c r="AC380">
        <f>IF(AC379&gt;1E-9,IF(AC379*(1+$G$53)-MAX($B$9,0.01*AC379+AC379*$G$53)&gt;1E-9,AC379*(1+$G$53)-MAX($B$9,0.01*AC379+AC379*$G$53),0),0)</f>
        <v/>
      </c>
      <c r="AD380">
        <f>AC379*$G$53</f>
        <v/>
      </c>
      <c r="AE380">
        <f>IF(AE379&gt;1E-9,IF(AE379*(1+$G$54)-MAX($B$9,0.01*AE379+AE379*$G$54)&gt;1E-9,AE379*(1+$G$54)-MAX($B$9,0.01*AE379+AE379*$G$54),0),0)</f>
        <v/>
      </c>
      <c r="AF380">
        <f>AE379*$G$54</f>
        <v/>
      </c>
      <c r="AG380">
        <f>IF(AG379&gt;1E-9,IF(AG379*(1+$G$55)-MAX($B$9,0.01*AG379+AG379*$G$55)&gt;1E-9,AG379*(1+$G$55)-MAX($B$9,0.01*AG379+AG379*$G$55),0),0)</f>
        <v/>
      </c>
      <c r="AH380">
        <f>AG379*$G$55</f>
        <v/>
      </c>
      <c r="AI380">
        <f>G380+K380+O380+S380+W380</f>
        <v/>
      </c>
      <c r="AJ380">
        <f>AI379+AK380-AI380</f>
        <v/>
      </c>
      <c r="AK380">
        <f>H380+L380+P380+T380+X380</f>
        <v/>
      </c>
      <c r="AL380">
        <f>TEXT(EDATE($B$5,D380-1),"mmm yyyy")</f>
        <v/>
      </c>
      <c r="AM380">
        <f>AI380</f>
        <v/>
      </c>
    </row>
    <row r="381">
      <c r="D381" t="n">
        <v>320</v>
      </c>
      <c r="E381">
        <f>IF(G380&gt;0,MAX(0,G380*(1+$G$51)-$H$51),0)</f>
        <v/>
      </c>
      <c r="F381">
        <f>$B$6+IF($D381=$B$8,$B$7,0)</f>
        <v/>
      </c>
      <c r="G381">
        <f>IF(E381-F381&gt;1E-9,E381-F381,0)</f>
        <v/>
      </c>
      <c r="H381">
        <f>G380*$G$51</f>
        <v/>
      </c>
      <c r="I381">
        <f>IF(K380&gt;0,MAX(0,K380*(1+$G$52)-$H$52),0)</f>
        <v/>
      </c>
      <c r="J381">
        <f>MAX(0,F381-E381)</f>
        <v/>
      </c>
      <c r="K381">
        <f>IF(I381-J381&gt;1E-9,I381-J381,0)</f>
        <v/>
      </c>
      <c r="L381">
        <f>K380*$G$52</f>
        <v/>
      </c>
      <c r="M381">
        <f>IF(O380&gt;0,MAX(0,O380*(1+$G$53)-$H$53),0)</f>
        <v/>
      </c>
      <c r="N381">
        <f>MAX(0,J381-I381)</f>
        <v/>
      </c>
      <c r="O381">
        <f>IF(M381-N381&gt;1E-9,M381-N381,0)</f>
        <v/>
      </c>
      <c r="P381">
        <f>O380*$G$53</f>
        <v/>
      </c>
      <c r="Q381">
        <f>IF(S380&gt;0,MAX(0,S380*(1+$G$54)-$H$54),0)</f>
        <v/>
      </c>
      <c r="R381">
        <f>MAX(0,N381-M381)</f>
        <v/>
      </c>
      <c r="S381">
        <f>IF(Q381-R381&gt;1E-9,Q381-R381,0)</f>
        <v/>
      </c>
      <c r="T381">
        <f>S380*$G$54</f>
        <v/>
      </c>
      <c r="U381">
        <f>IF(W380&gt;0,MAX(0,W380*(1+$G$55)-$H$55),0)</f>
        <v/>
      </c>
      <c r="V381">
        <f>MAX(0,R381-Q381)</f>
        <v/>
      </c>
      <c r="W381">
        <f>IF(U381-V381&gt;1E-9,U381-V381,0)</f>
        <v/>
      </c>
      <c r="X381">
        <f>W380*$G$55</f>
        <v/>
      </c>
      <c r="Y381">
        <f>IF(Y380&gt;1E-9,IF(Y380*(1+$G$51)-MAX($B$9,0.01*Y380+Y380*$G$51)&gt;1E-9,Y380*(1+$G$51)-MAX($B$9,0.01*Y380+Y380*$G$51),0),0)</f>
        <v/>
      </c>
      <c r="Z381">
        <f>Y380*$G$51</f>
        <v/>
      </c>
      <c r="AA381">
        <f>IF(AA380&gt;1E-9,IF(AA380*(1+$G$52)-MAX($B$9,0.01*AA380+AA380*$G$52)&gt;1E-9,AA380*(1+$G$52)-MAX($B$9,0.01*AA380+AA380*$G$52),0),0)</f>
        <v/>
      </c>
      <c r="AB381">
        <f>AA380*$G$52</f>
        <v/>
      </c>
      <c r="AC381">
        <f>IF(AC380&gt;1E-9,IF(AC380*(1+$G$53)-MAX($B$9,0.01*AC380+AC380*$G$53)&gt;1E-9,AC380*(1+$G$53)-MAX($B$9,0.01*AC380+AC380*$G$53),0),0)</f>
        <v/>
      </c>
      <c r="AD381">
        <f>AC380*$G$53</f>
        <v/>
      </c>
      <c r="AE381">
        <f>IF(AE380&gt;1E-9,IF(AE380*(1+$G$54)-MAX($B$9,0.01*AE380+AE380*$G$54)&gt;1E-9,AE380*(1+$G$54)-MAX($B$9,0.01*AE380+AE380*$G$54),0),0)</f>
        <v/>
      </c>
      <c r="AF381">
        <f>AE380*$G$54</f>
        <v/>
      </c>
      <c r="AG381">
        <f>IF(AG380&gt;1E-9,IF(AG380*(1+$G$55)-MAX($B$9,0.01*AG380+AG380*$G$55)&gt;1E-9,AG380*(1+$G$55)-MAX($B$9,0.01*AG380+AG380*$G$55),0),0)</f>
        <v/>
      </c>
      <c r="AH381">
        <f>AG380*$G$55</f>
        <v/>
      </c>
      <c r="AI381">
        <f>G381+K381+O381+S381+W381</f>
        <v/>
      </c>
      <c r="AJ381">
        <f>AI380+AK381-AI381</f>
        <v/>
      </c>
      <c r="AK381">
        <f>H381+L381+P381+T381+X381</f>
        <v/>
      </c>
      <c r="AL381">
        <f>TEXT(EDATE($B$5,D381-1),"mmm yyyy")</f>
        <v/>
      </c>
      <c r="AM381">
        <f>AI381</f>
        <v/>
      </c>
    </row>
    <row r="382">
      <c r="D382" t="n">
        <v>321</v>
      </c>
      <c r="E382">
        <f>IF(G381&gt;0,MAX(0,G381*(1+$G$51)-$H$51),0)</f>
        <v/>
      </c>
      <c r="F382">
        <f>$B$6+IF($D382=$B$8,$B$7,0)</f>
        <v/>
      </c>
      <c r="G382">
        <f>IF(E382-F382&gt;1E-9,E382-F382,0)</f>
        <v/>
      </c>
      <c r="H382">
        <f>G381*$G$51</f>
        <v/>
      </c>
      <c r="I382">
        <f>IF(K381&gt;0,MAX(0,K381*(1+$G$52)-$H$52),0)</f>
        <v/>
      </c>
      <c r="J382">
        <f>MAX(0,F382-E382)</f>
        <v/>
      </c>
      <c r="K382">
        <f>IF(I382-J382&gt;1E-9,I382-J382,0)</f>
        <v/>
      </c>
      <c r="L382">
        <f>K381*$G$52</f>
        <v/>
      </c>
      <c r="M382">
        <f>IF(O381&gt;0,MAX(0,O381*(1+$G$53)-$H$53),0)</f>
        <v/>
      </c>
      <c r="N382">
        <f>MAX(0,J382-I382)</f>
        <v/>
      </c>
      <c r="O382">
        <f>IF(M382-N382&gt;1E-9,M382-N382,0)</f>
        <v/>
      </c>
      <c r="P382">
        <f>O381*$G$53</f>
        <v/>
      </c>
      <c r="Q382">
        <f>IF(S381&gt;0,MAX(0,S381*(1+$G$54)-$H$54),0)</f>
        <v/>
      </c>
      <c r="R382">
        <f>MAX(0,N382-M382)</f>
        <v/>
      </c>
      <c r="S382">
        <f>IF(Q382-R382&gt;1E-9,Q382-R382,0)</f>
        <v/>
      </c>
      <c r="T382">
        <f>S381*$G$54</f>
        <v/>
      </c>
      <c r="U382">
        <f>IF(W381&gt;0,MAX(0,W381*(1+$G$55)-$H$55),0)</f>
        <v/>
      </c>
      <c r="V382">
        <f>MAX(0,R382-Q382)</f>
        <v/>
      </c>
      <c r="W382">
        <f>IF(U382-V382&gt;1E-9,U382-V382,0)</f>
        <v/>
      </c>
      <c r="X382">
        <f>W381*$G$55</f>
        <v/>
      </c>
      <c r="Y382">
        <f>IF(Y381&gt;1E-9,IF(Y381*(1+$G$51)-MAX($B$9,0.01*Y381+Y381*$G$51)&gt;1E-9,Y381*(1+$G$51)-MAX($B$9,0.01*Y381+Y381*$G$51),0),0)</f>
        <v/>
      </c>
      <c r="Z382">
        <f>Y381*$G$51</f>
        <v/>
      </c>
      <c r="AA382">
        <f>IF(AA381&gt;1E-9,IF(AA381*(1+$G$52)-MAX($B$9,0.01*AA381+AA381*$G$52)&gt;1E-9,AA381*(1+$G$52)-MAX($B$9,0.01*AA381+AA381*$G$52),0),0)</f>
        <v/>
      </c>
      <c r="AB382">
        <f>AA381*$G$52</f>
        <v/>
      </c>
      <c r="AC382">
        <f>IF(AC381&gt;1E-9,IF(AC381*(1+$G$53)-MAX($B$9,0.01*AC381+AC381*$G$53)&gt;1E-9,AC381*(1+$G$53)-MAX($B$9,0.01*AC381+AC381*$G$53),0),0)</f>
        <v/>
      </c>
      <c r="AD382">
        <f>AC381*$G$53</f>
        <v/>
      </c>
      <c r="AE382">
        <f>IF(AE381&gt;1E-9,IF(AE381*(1+$G$54)-MAX($B$9,0.01*AE381+AE381*$G$54)&gt;1E-9,AE381*(1+$G$54)-MAX($B$9,0.01*AE381+AE381*$G$54),0),0)</f>
        <v/>
      </c>
      <c r="AF382">
        <f>AE381*$G$54</f>
        <v/>
      </c>
      <c r="AG382">
        <f>IF(AG381&gt;1E-9,IF(AG381*(1+$G$55)-MAX($B$9,0.01*AG381+AG381*$G$55)&gt;1E-9,AG381*(1+$G$55)-MAX($B$9,0.01*AG381+AG381*$G$55),0),0)</f>
        <v/>
      </c>
      <c r="AH382">
        <f>AG381*$G$55</f>
        <v/>
      </c>
      <c r="AI382">
        <f>G382+K382+O382+S382+W382</f>
        <v/>
      </c>
      <c r="AJ382">
        <f>AI381+AK382-AI382</f>
        <v/>
      </c>
      <c r="AK382">
        <f>H382+L382+P382+T382+X382</f>
        <v/>
      </c>
      <c r="AL382">
        <f>TEXT(EDATE($B$5,D382-1),"mmm yyyy")</f>
        <v/>
      </c>
      <c r="AM382">
        <f>AI382</f>
        <v/>
      </c>
    </row>
    <row r="383">
      <c r="D383" t="n">
        <v>322</v>
      </c>
      <c r="E383">
        <f>IF(G382&gt;0,MAX(0,G382*(1+$G$51)-$H$51),0)</f>
        <v/>
      </c>
      <c r="F383">
        <f>$B$6+IF($D383=$B$8,$B$7,0)</f>
        <v/>
      </c>
      <c r="G383">
        <f>IF(E383-F383&gt;1E-9,E383-F383,0)</f>
        <v/>
      </c>
      <c r="H383">
        <f>G382*$G$51</f>
        <v/>
      </c>
      <c r="I383">
        <f>IF(K382&gt;0,MAX(0,K382*(1+$G$52)-$H$52),0)</f>
        <v/>
      </c>
      <c r="J383">
        <f>MAX(0,F383-E383)</f>
        <v/>
      </c>
      <c r="K383">
        <f>IF(I383-J383&gt;1E-9,I383-J383,0)</f>
        <v/>
      </c>
      <c r="L383">
        <f>K382*$G$52</f>
        <v/>
      </c>
      <c r="M383">
        <f>IF(O382&gt;0,MAX(0,O382*(1+$G$53)-$H$53),0)</f>
        <v/>
      </c>
      <c r="N383">
        <f>MAX(0,J383-I383)</f>
        <v/>
      </c>
      <c r="O383">
        <f>IF(M383-N383&gt;1E-9,M383-N383,0)</f>
        <v/>
      </c>
      <c r="P383">
        <f>O382*$G$53</f>
        <v/>
      </c>
      <c r="Q383">
        <f>IF(S382&gt;0,MAX(0,S382*(1+$G$54)-$H$54),0)</f>
        <v/>
      </c>
      <c r="R383">
        <f>MAX(0,N383-M383)</f>
        <v/>
      </c>
      <c r="S383">
        <f>IF(Q383-R383&gt;1E-9,Q383-R383,0)</f>
        <v/>
      </c>
      <c r="T383">
        <f>S382*$G$54</f>
        <v/>
      </c>
      <c r="U383">
        <f>IF(W382&gt;0,MAX(0,W382*(1+$G$55)-$H$55),0)</f>
        <v/>
      </c>
      <c r="V383">
        <f>MAX(0,R383-Q383)</f>
        <v/>
      </c>
      <c r="W383">
        <f>IF(U383-V383&gt;1E-9,U383-V383,0)</f>
        <v/>
      </c>
      <c r="X383">
        <f>W382*$G$55</f>
        <v/>
      </c>
      <c r="Y383">
        <f>IF(Y382&gt;1E-9,IF(Y382*(1+$G$51)-MAX($B$9,0.01*Y382+Y382*$G$51)&gt;1E-9,Y382*(1+$G$51)-MAX($B$9,0.01*Y382+Y382*$G$51),0),0)</f>
        <v/>
      </c>
      <c r="Z383">
        <f>Y382*$G$51</f>
        <v/>
      </c>
      <c r="AA383">
        <f>IF(AA382&gt;1E-9,IF(AA382*(1+$G$52)-MAX($B$9,0.01*AA382+AA382*$G$52)&gt;1E-9,AA382*(1+$G$52)-MAX($B$9,0.01*AA382+AA382*$G$52),0),0)</f>
        <v/>
      </c>
      <c r="AB383">
        <f>AA382*$G$52</f>
        <v/>
      </c>
      <c r="AC383">
        <f>IF(AC382&gt;1E-9,IF(AC382*(1+$G$53)-MAX($B$9,0.01*AC382+AC382*$G$53)&gt;1E-9,AC382*(1+$G$53)-MAX($B$9,0.01*AC382+AC382*$G$53),0),0)</f>
        <v/>
      </c>
      <c r="AD383">
        <f>AC382*$G$53</f>
        <v/>
      </c>
      <c r="AE383">
        <f>IF(AE382&gt;1E-9,IF(AE382*(1+$G$54)-MAX($B$9,0.01*AE382+AE382*$G$54)&gt;1E-9,AE382*(1+$G$54)-MAX($B$9,0.01*AE382+AE382*$G$54),0),0)</f>
        <v/>
      </c>
      <c r="AF383">
        <f>AE382*$G$54</f>
        <v/>
      </c>
      <c r="AG383">
        <f>IF(AG382&gt;1E-9,IF(AG382*(1+$G$55)-MAX($B$9,0.01*AG382+AG382*$G$55)&gt;1E-9,AG382*(1+$G$55)-MAX($B$9,0.01*AG382+AG382*$G$55),0),0)</f>
        <v/>
      </c>
      <c r="AH383">
        <f>AG382*$G$55</f>
        <v/>
      </c>
      <c r="AI383">
        <f>G383+K383+O383+S383+W383</f>
        <v/>
      </c>
      <c r="AJ383">
        <f>AI382+AK383-AI383</f>
        <v/>
      </c>
      <c r="AK383">
        <f>H383+L383+P383+T383+X383</f>
        <v/>
      </c>
      <c r="AL383">
        <f>TEXT(EDATE($B$5,D383-1),"mmm yyyy")</f>
        <v/>
      </c>
      <c r="AM383">
        <f>AI383</f>
        <v/>
      </c>
    </row>
    <row r="384">
      <c r="D384" t="n">
        <v>323</v>
      </c>
      <c r="E384">
        <f>IF(G383&gt;0,MAX(0,G383*(1+$G$51)-$H$51),0)</f>
        <v/>
      </c>
      <c r="F384">
        <f>$B$6+IF($D384=$B$8,$B$7,0)</f>
        <v/>
      </c>
      <c r="G384">
        <f>IF(E384-F384&gt;1E-9,E384-F384,0)</f>
        <v/>
      </c>
      <c r="H384">
        <f>G383*$G$51</f>
        <v/>
      </c>
      <c r="I384">
        <f>IF(K383&gt;0,MAX(0,K383*(1+$G$52)-$H$52),0)</f>
        <v/>
      </c>
      <c r="J384">
        <f>MAX(0,F384-E384)</f>
        <v/>
      </c>
      <c r="K384">
        <f>IF(I384-J384&gt;1E-9,I384-J384,0)</f>
        <v/>
      </c>
      <c r="L384">
        <f>K383*$G$52</f>
        <v/>
      </c>
      <c r="M384">
        <f>IF(O383&gt;0,MAX(0,O383*(1+$G$53)-$H$53),0)</f>
        <v/>
      </c>
      <c r="N384">
        <f>MAX(0,J384-I384)</f>
        <v/>
      </c>
      <c r="O384">
        <f>IF(M384-N384&gt;1E-9,M384-N384,0)</f>
        <v/>
      </c>
      <c r="P384">
        <f>O383*$G$53</f>
        <v/>
      </c>
      <c r="Q384">
        <f>IF(S383&gt;0,MAX(0,S383*(1+$G$54)-$H$54),0)</f>
        <v/>
      </c>
      <c r="R384">
        <f>MAX(0,N384-M384)</f>
        <v/>
      </c>
      <c r="S384">
        <f>IF(Q384-R384&gt;1E-9,Q384-R384,0)</f>
        <v/>
      </c>
      <c r="T384">
        <f>S383*$G$54</f>
        <v/>
      </c>
      <c r="U384">
        <f>IF(W383&gt;0,MAX(0,W383*(1+$G$55)-$H$55),0)</f>
        <v/>
      </c>
      <c r="V384">
        <f>MAX(0,R384-Q384)</f>
        <v/>
      </c>
      <c r="W384">
        <f>IF(U384-V384&gt;1E-9,U384-V384,0)</f>
        <v/>
      </c>
      <c r="X384">
        <f>W383*$G$55</f>
        <v/>
      </c>
      <c r="Y384">
        <f>IF(Y383&gt;1E-9,IF(Y383*(1+$G$51)-MAX($B$9,0.01*Y383+Y383*$G$51)&gt;1E-9,Y383*(1+$G$51)-MAX($B$9,0.01*Y383+Y383*$G$51),0),0)</f>
        <v/>
      </c>
      <c r="Z384">
        <f>Y383*$G$51</f>
        <v/>
      </c>
      <c r="AA384">
        <f>IF(AA383&gt;1E-9,IF(AA383*(1+$G$52)-MAX($B$9,0.01*AA383+AA383*$G$52)&gt;1E-9,AA383*(1+$G$52)-MAX($B$9,0.01*AA383+AA383*$G$52),0),0)</f>
        <v/>
      </c>
      <c r="AB384">
        <f>AA383*$G$52</f>
        <v/>
      </c>
      <c r="AC384">
        <f>IF(AC383&gt;1E-9,IF(AC383*(1+$G$53)-MAX($B$9,0.01*AC383+AC383*$G$53)&gt;1E-9,AC383*(1+$G$53)-MAX($B$9,0.01*AC383+AC383*$G$53),0),0)</f>
        <v/>
      </c>
      <c r="AD384">
        <f>AC383*$G$53</f>
        <v/>
      </c>
      <c r="AE384">
        <f>IF(AE383&gt;1E-9,IF(AE383*(1+$G$54)-MAX($B$9,0.01*AE383+AE383*$G$54)&gt;1E-9,AE383*(1+$G$54)-MAX($B$9,0.01*AE383+AE383*$G$54),0),0)</f>
        <v/>
      </c>
      <c r="AF384">
        <f>AE383*$G$54</f>
        <v/>
      </c>
      <c r="AG384">
        <f>IF(AG383&gt;1E-9,IF(AG383*(1+$G$55)-MAX($B$9,0.01*AG383+AG383*$G$55)&gt;1E-9,AG383*(1+$G$55)-MAX($B$9,0.01*AG383+AG383*$G$55),0),0)</f>
        <v/>
      </c>
      <c r="AH384">
        <f>AG383*$G$55</f>
        <v/>
      </c>
      <c r="AI384">
        <f>G384+K384+O384+S384+W384</f>
        <v/>
      </c>
      <c r="AJ384">
        <f>AI383+AK384-AI384</f>
        <v/>
      </c>
      <c r="AK384">
        <f>H384+L384+P384+T384+X384</f>
        <v/>
      </c>
      <c r="AL384">
        <f>TEXT(EDATE($B$5,D384-1),"mmm yyyy")</f>
        <v/>
      </c>
      <c r="AM384">
        <f>AI384</f>
        <v/>
      </c>
    </row>
    <row r="385">
      <c r="D385" t="n">
        <v>324</v>
      </c>
      <c r="E385">
        <f>IF(G384&gt;0,MAX(0,G384*(1+$G$51)-$H$51),0)</f>
        <v/>
      </c>
      <c r="F385">
        <f>$B$6+IF($D385=$B$8,$B$7,0)</f>
        <v/>
      </c>
      <c r="G385">
        <f>IF(E385-F385&gt;1E-9,E385-F385,0)</f>
        <v/>
      </c>
      <c r="H385">
        <f>G384*$G$51</f>
        <v/>
      </c>
      <c r="I385">
        <f>IF(K384&gt;0,MAX(0,K384*(1+$G$52)-$H$52),0)</f>
        <v/>
      </c>
      <c r="J385">
        <f>MAX(0,F385-E385)</f>
        <v/>
      </c>
      <c r="K385">
        <f>IF(I385-J385&gt;1E-9,I385-J385,0)</f>
        <v/>
      </c>
      <c r="L385">
        <f>K384*$G$52</f>
        <v/>
      </c>
      <c r="M385">
        <f>IF(O384&gt;0,MAX(0,O384*(1+$G$53)-$H$53),0)</f>
        <v/>
      </c>
      <c r="N385">
        <f>MAX(0,J385-I385)</f>
        <v/>
      </c>
      <c r="O385">
        <f>IF(M385-N385&gt;1E-9,M385-N385,0)</f>
        <v/>
      </c>
      <c r="P385">
        <f>O384*$G$53</f>
        <v/>
      </c>
      <c r="Q385">
        <f>IF(S384&gt;0,MAX(0,S384*(1+$G$54)-$H$54),0)</f>
        <v/>
      </c>
      <c r="R385">
        <f>MAX(0,N385-M385)</f>
        <v/>
      </c>
      <c r="S385">
        <f>IF(Q385-R385&gt;1E-9,Q385-R385,0)</f>
        <v/>
      </c>
      <c r="T385">
        <f>S384*$G$54</f>
        <v/>
      </c>
      <c r="U385">
        <f>IF(W384&gt;0,MAX(0,W384*(1+$G$55)-$H$55),0)</f>
        <v/>
      </c>
      <c r="V385">
        <f>MAX(0,R385-Q385)</f>
        <v/>
      </c>
      <c r="W385">
        <f>IF(U385-V385&gt;1E-9,U385-V385,0)</f>
        <v/>
      </c>
      <c r="X385">
        <f>W384*$G$55</f>
        <v/>
      </c>
      <c r="Y385">
        <f>IF(Y384&gt;1E-9,IF(Y384*(1+$G$51)-MAX($B$9,0.01*Y384+Y384*$G$51)&gt;1E-9,Y384*(1+$G$51)-MAX($B$9,0.01*Y384+Y384*$G$51),0),0)</f>
        <v/>
      </c>
      <c r="Z385">
        <f>Y384*$G$51</f>
        <v/>
      </c>
      <c r="AA385">
        <f>IF(AA384&gt;1E-9,IF(AA384*(1+$G$52)-MAX($B$9,0.01*AA384+AA384*$G$52)&gt;1E-9,AA384*(1+$G$52)-MAX($B$9,0.01*AA384+AA384*$G$52),0),0)</f>
        <v/>
      </c>
      <c r="AB385">
        <f>AA384*$G$52</f>
        <v/>
      </c>
      <c r="AC385">
        <f>IF(AC384&gt;1E-9,IF(AC384*(1+$G$53)-MAX($B$9,0.01*AC384+AC384*$G$53)&gt;1E-9,AC384*(1+$G$53)-MAX($B$9,0.01*AC384+AC384*$G$53),0),0)</f>
        <v/>
      </c>
      <c r="AD385">
        <f>AC384*$G$53</f>
        <v/>
      </c>
      <c r="AE385">
        <f>IF(AE384&gt;1E-9,IF(AE384*(1+$G$54)-MAX($B$9,0.01*AE384+AE384*$G$54)&gt;1E-9,AE384*(1+$G$54)-MAX($B$9,0.01*AE384+AE384*$G$54),0),0)</f>
        <v/>
      </c>
      <c r="AF385">
        <f>AE384*$G$54</f>
        <v/>
      </c>
      <c r="AG385">
        <f>IF(AG384&gt;1E-9,IF(AG384*(1+$G$55)-MAX($B$9,0.01*AG384+AG384*$G$55)&gt;1E-9,AG384*(1+$G$55)-MAX($B$9,0.01*AG384+AG384*$G$55),0),0)</f>
        <v/>
      </c>
      <c r="AH385">
        <f>AG384*$G$55</f>
        <v/>
      </c>
      <c r="AI385">
        <f>G385+K385+O385+S385+W385</f>
        <v/>
      </c>
      <c r="AJ385">
        <f>AI384+AK385-AI385</f>
        <v/>
      </c>
      <c r="AK385">
        <f>H385+L385+P385+T385+X385</f>
        <v/>
      </c>
      <c r="AL385">
        <f>TEXT(EDATE($B$5,D385-1),"mmm yyyy")</f>
        <v/>
      </c>
      <c r="AM385">
        <f>AI385</f>
        <v/>
      </c>
    </row>
    <row r="386">
      <c r="D386" t="n">
        <v>325</v>
      </c>
      <c r="E386">
        <f>IF(G385&gt;0,MAX(0,G385*(1+$G$51)-$H$51),0)</f>
        <v/>
      </c>
      <c r="F386">
        <f>$B$6+IF($D386=$B$8,$B$7,0)</f>
        <v/>
      </c>
      <c r="G386">
        <f>IF(E386-F386&gt;1E-9,E386-F386,0)</f>
        <v/>
      </c>
      <c r="H386">
        <f>G385*$G$51</f>
        <v/>
      </c>
      <c r="I386">
        <f>IF(K385&gt;0,MAX(0,K385*(1+$G$52)-$H$52),0)</f>
        <v/>
      </c>
      <c r="J386">
        <f>MAX(0,F386-E386)</f>
        <v/>
      </c>
      <c r="K386">
        <f>IF(I386-J386&gt;1E-9,I386-J386,0)</f>
        <v/>
      </c>
      <c r="L386">
        <f>K385*$G$52</f>
        <v/>
      </c>
      <c r="M386">
        <f>IF(O385&gt;0,MAX(0,O385*(1+$G$53)-$H$53),0)</f>
        <v/>
      </c>
      <c r="N386">
        <f>MAX(0,J386-I386)</f>
        <v/>
      </c>
      <c r="O386">
        <f>IF(M386-N386&gt;1E-9,M386-N386,0)</f>
        <v/>
      </c>
      <c r="P386">
        <f>O385*$G$53</f>
        <v/>
      </c>
      <c r="Q386">
        <f>IF(S385&gt;0,MAX(0,S385*(1+$G$54)-$H$54),0)</f>
        <v/>
      </c>
      <c r="R386">
        <f>MAX(0,N386-M386)</f>
        <v/>
      </c>
      <c r="S386">
        <f>IF(Q386-R386&gt;1E-9,Q386-R386,0)</f>
        <v/>
      </c>
      <c r="T386">
        <f>S385*$G$54</f>
        <v/>
      </c>
      <c r="U386">
        <f>IF(W385&gt;0,MAX(0,W385*(1+$G$55)-$H$55),0)</f>
        <v/>
      </c>
      <c r="V386">
        <f>MAX(0,R386-Q386)</f>
        <v/>
      </c>
      <c r="W386">
        <f>IF(U386-V386&gt;1E-9,U386-V386,0)</f>
        <v/>
      </c>
      <c r="X386">
        <f>W385*$G$55</f>
        <v/>
      </c>
      <c r="Y386">
        <f>IF(Y385&gt;1E-9,IF(Y385*(1+$G$51)-MAX($B$9,0.01*Y385+Y385*$G$51)&gt;1E-9,Y385*(1+$G$51)-MAX($B$9,0.01*Y385+Y385*$G$51),0),0)</f>
        <v/>
      </c>
      <c r="Z386">
        <f>Y385*$G$51</f>
        <v/>
      </c>
      <c r="AA386">
        <f>IF(AA385&gt;1E-9,IF(AA385*(1+$G$52)-MAX($B$9,0.01*AA385+AA385*$G$52)&gt;1E-9,AA385*(1+$G$52)-MAX($B$9,0.01*AA385+AA385*$G$52),0),0)</f>
        <v/>
      </c>
      <c r="AB386">
        <f>AA385*$G$52</f>
        <v/>
      </c>
      <c r="AC386">
        <f>IF(AC385&gt;1E-9,IF(AC385*(1+$G$53)-MAX($B$9,0.01*AC385+AC385*$G$53)&gt;1E-9,AC385*(1+$G$53)-MAX($B$9,0.01*AC385+AC385*$G$53),0),0)</f>
        <v/>
      </c>
      <c r="AD386">
        <f>AC385*$G$53</f>
        <v/>
      </c>
      <c r="AE386">
        <f>IF(AE385&gt;1E-9,IF(AE385*(1+$G$54)-MAX($B$9,0.01*AE385+AE385*$G$54)&gt;1E-9,AE385*(1+$G$54)-MAX($B$9,0.01*AE385+AE385*$G$54),0),0)</f>
        <v/>
      </c>
      <c r="AF386">
        <f>AE385*$G$54</f>
        <v/>
      </c>
      <c r="AG386">
        <f>IF(AG385&gt;1E-9,IF(AG385*(1+$G$55)-MAX($B$9,0.01*AG385+AG385*$G$55)&gt;1E-9,AG385*(1+$G$55)-MAX($B$9,0.01*AG385+AG385*$G$55),0),0)</f>
        <v/>
      </c>
      <c r="AH386">
        <f>AG385*$G$55</f>
        <v/>
      </c>
      <c r="AI386">
        <f>G386+K386+O386+S386+W386</f>
        <v/>
      </c>
      <c r="AJ386">
        <f>AI385+AK386-AI386</f>
        <v/>
      </c>
      <c r="AK386">
        <f>H386+L386+P386+T386+X386</f>
        <v/>
      </c>
      <c r="AL386">
        <f>TEXT(EDATE($B$5,D386-1),"mmm yyyy")</f>
        <v/>
      </c>
      <c r="AM386">
        <f>AI386</f>
        <v/>
      </c>
    </row>
    <row r="387">
      <c r="D387" t="n">
        <v>326</v>
      </c>
      <c r="E387">
        <f>IF(G386&gt;0,MAX(0,G386*(1+$G$51)-$H$51),0)</f>
        <v/>
      </c>
      <c r="F387">
        <f>$B$6+IF($D387=$B$8,$B$7,0)</f>
        <v/>
      </c>
      <c r="G387">
        <f>IF(E387-F387&gt;1E-9,E387-F387,0)</f>
        <v/>
      </c>
      <c r="H387">
        <f>G386*$G$51</f>
        <v/>
      </c>
      <c r="I387">
        <f>IF(K386&gt;0,MAX(0,K386*(1+$G$52)-$H$52),0)</f>
        <v/>
      </c>
      <c r="J387">
        <f>MAX(0,F387-E387)</f>
        <v/>
      </c>
      <c r="K387">
        <f>IF(I387-J387&gt;1E-9,I387-J387,0)</f>
        <v/>
      </c>
      <c r="L387">
        <f>K386*$G$52</f>
        <v/>
      </c>
      <c r="M387">
        <f>IF(O386&gt;0,MAX(0,O386*(1+$G$53)-$H$53),0)</f>
        <v/>
      </c>
      <c r="N387">
        <f>MAX(0,J387-I387)</f>
        <v/>
      </c>
      <c r="O387">
        <f>IF(M387-N387&gt;1E-9,M387-N387,0)</f>
        <v/>
      </c>
      <c r="P387">
        <f>O386*$G$53</f>
        <v/>
      </c>
      <c r="Q387">
        <f>IF(S386&gt;0,MAX(0,S386*(1+$G$54)-$H$54),0)</f>
        <v/>
      </c>
      <c r="R387">
        <f>MAX(0,N387-M387)</f>
        <v/>
      </c>
      <c r="S387">
        <f>IF(Q387-R387&gt;1E-9,Q387-R387,0)</f>
        <v/>
      </c>
      <c r="T387">
        <f>S386*$G$54</f>
        <v/>
      </c>
      <c r="U387">
        <f>IF(W386&gt;0,MAX(0,W386*(1+$G$55)-$H$55),0)</f>
        <v/>
      </c>
      <c r="V387">
        <f>MAX(0,R387-Q387)</f>
        <v/>
      </c>
      <c r="W387">
        <f>IF(U387-V387&gt;1E-9,U387-V387,0)</f>
        <v/>
      </c>
      <c r="X387">
        <f>W386*$G$55</f>
        <v/>
      </c>
      <c r="Y387">
        <f>IF(Y386&gt;1E-9,IF(Y386*(1+$G$51)-MAX($B$9,0.01*Y386+Y386*$G$51)&gt;1E-9,Y386*(1+$G$51)-MAX($B$9,0.01*Y386+Y386*$G$51),0),0)</f>
        <v/>
      </c>
      <c r="Z387">
        <f>Y386*$G$51</f>
        <v/>
      </c>
      <c r="AA387">
        <f>IF(AA386&gt;1E-9,IF(AA386*(1+$G$52)-MAX($B$9,0.01*AA386+AA386*$G$52)&gt;1E-9,AA386*(1+$G$52)-MAX($B$9,0.01*AA386+AA386*$G$52),0),0)</f>
        <v/>
      </c>
      <c r="AB387">
        <f>AA386*$G$52</f>
        <v/>
      </c>
      <c r="AC387">
        <f>IF(AC386&gt;1E-9,IF(AC386*(1+$G$53)-MAX($B$9,0.01*AC386+AC386*$G$53)&gt;1E-9,AC386*(1+$G$53)-MAX($B$9,0.01*AC386+AC386*$G$53),0),0)</f>
        <v/>
      </c>
      <c r="AD387">
        <f>AC386*$G$53</f>
        <v/>
      </c>
      <c r="AE387">
        <f>IF(AE386&gt;1E-9,IF(AE386*(1+$G$54)-MAX($B$9,0.01*AE386+AE386*$G$54)&gt;1E-9,AE386*(1+$G$54)-MAX($B$9,0.01*AE386+AE386*$G$54),0),0)</f>
        <v/>
      </c>
      <c r="AF387">
        <f>AE386*$G$54</f>
        <v/>
      </c>
      <c r="AG387">
        <f>IF(AG386&gt;1E-9,IF(AG386*(1+$G$55)-MAX($B$9,0.01*AG386+AG386*$G$55)&gt;1E-9,AG386*(1+$G$55)-MAX($B$9,0.01*AG386+AG386*$G$55),0),0)</f>
        <v/>
      </c>
      <c r="AH387">
        <f>AG386*$G$55</f>
        <v/>
      </c>
      <c r="AI387">
        <f>G387+K387+O387+S387+W387</f>
        <v/>
      </c>
      <c r="AJ387">
        <f>AI386+AK387-AI387</f>
        <v/>
      </c>
      <c r="AK387">
        <f>H387+L387+P387+T387+X387</f>
        <v/>
      </c>
      <c r="AL387">
        <f>TEXT(EDATE($B$5,D387-1),"mmm yyyy")</f>
        <v/>
      </c>
      <c r="AM387">
        <f>AI387</f>
        <v/>
      </c>
    </row>
    <row r="388">
      <c r="D388" t="n">
        <v>327</v>
      </c>
      <c r="E388">
        <f>IF(G387&gt;0,MAX(0,G387*(1+$G$51)-$H$51),0)</f>
        <v/>
      </c>
      <c r="F388">
        <f>$B$6+IF($D388=$B$8,$B$7,0)</f>
        <v/>
      </c>
      <c r="G388">
        <f>IF(E388-F388&gt;1E-9,E388-F388,0)</f>
        <v/>
      </c>
      <c r="H388">
        <f>G387*$G$51</f>
        <v/>
      </c>
      <c r="I388">
        <f>IF(K387&gt;0,MAX(0,K387*(1+$G$52)-$H$52),0)</f>
        <v/>
      </c>
      <c r="J388">
        <f>MAX(0,F388-E388)</f>
        <v/>
      </c>
      <c r="K388">
        <f>IF(I388-J388&gt;1E-9,I388-J388,0)</f>
        <v/>
      </c>
      <c r="L388">
        <f>K387*$G$52</f>
        <v/>
      </c>
      <c r="M388">
        <f>IF(O387&gt;0,MAX(0,O387*(1+$G$53)-$H$53),0)</f>
        <v/>
      </c>
      <c r="N388">
        <f>MAX(0,J388-I388)</f>
        <v/>
      </c>
      <c r="O388">
        <f>IF(M388-N388&gt;1E-9,M388-N388,0)</f>
        <v/>
      </c>
      <c r="P388">
        <f>O387*$G$53</f>
        <v/>
      </c>
      <c r="Q388">
        <f>IF(S387&gt;0,MAX(0,S387*(1+$G$54)-$H$54),0)</f>
        <v/>
      </c>
      <c r="R388">
        <f>MAX(0,N388-M388)</f>
        <v/>
      </c>
      <c r="S388">
        <f>IF(Q388-R388&gt;1E-9,Q388-R388,0)</f>
        <v/>
      </c>
      <c r="T388">
        <f>S387*$G$54</f>
        <v/>
      </c>
      <c r="U388">
        <f>IF(W387&gt;0,MAX(0,W387*(1+$G$55)-$H$55),0)</f>
        <v/>
      </c>
      <c r="V388">
        <f>MAX(0,R388-Q388)</f>
        <v/>
      </c>
      <c r="W388">
        <f>IF(U388-V388&gt;1E-9,U388-V388,0)</f>
        <v/>
      </c>
      <c r="X388">
        <f>W387*$G$55</f>
        <v/>
      </c>
      <c r="Y388">
        <f>IF(Y387&gt;1E-9,IF(Y387*(1+$G$51)-MAX($B$9,0.01*Y387+Y387*$G$51)&gt;1E-9,Y387*(1+$G$51)-MAX($B$9,0.01*Y387+Y387*$G$51),0),0)</f>
        <v/>
      </c>
      <c r="Z388">
        <f>Y387*$G$51</f>
        <v/>
      </c>
      <c r="AA388">
        <f>IF(AA387&gt;1E-9,IF(AA387*(1+$G$52)-MAX($B$9,0.01*AA387+AA387*$G$52)&gt;1E-9,AA387*(1+$G$52)-MAX($B$9,0.01*AA387+AA387*$G$52),0),0)</f>
        <v/>
      </c>
      <c r="AB388">
        <f>AA387*$G$52</f>
        <v/>
      </c>
      <c r="AC388">
        <f>IF(AC387&gt;1E-9,IF(AC387*(1+$G$53)-MAX($B$9,0.01*AC387+AC387*$G$53)&gt;1E-9,AC387*(1+$G$53)-MAX($B$9,0.01*AC387+AC387*$G$53),0),0)</f>
        <v/>
      </c>
      <c r="AD388">
        <f>AC387*$G$53</f>
        <v/>
      </c>
      <c r="AE388">
        <f>IF(AE387&gt;1E-9,IF(AE387*(1+$G$54)-MAX($B$9,0.01*AE387+AE387*$G$54)&gt;1E-9,AE387*(1+$G$54)-MAX($B$9,0.01*AE387+AE387*$G$54),0),0)</f>
        <v/>
      </c>
      <c r="AF388">
        <f>AE387*$G$54</f>
        <v/>
      </c>
      <c r="AG388">
        <f>IF(AG387&gt;1E-9,IF(AG387*(1+$G$55)-MAX($B$9,0.01*AG387+AG387*$G$55)&gt;1E-9,AG387*(1+$G$55)-MAX($B$9,0.01*AG387+AG387*$G$55),0),0)</f>
        <v/>
      </c>
      <c r="AH388">
        <f>AG387*$G$55</f>
        <v/>
      </c>
      <c r="AI388">
        <f>G388+K388+O388+S388+W388</f>
        <v/>
      </c>
      <c r="AJ388">
        <f>AI387+AK388-AI388</f>
        <v/>
      </c>
      <c r="AK388">
        <f>H388+L388+P388+T388+X388</f>
        <v/>
      </c>
      <c r="AL388">
        <f>TEXT(EDATE($B$5,D388-1),"mmm yyyy")</f>
        <v/>
      </c>
      <c r="AM388">
        <f>AI388</f>
        <v/>
      </c>
    </row>
    <row r="389">
      <c r="D389" t="n">
        <v>328</v>
      </c>
      <c r="E389">
        <f>IF(G388&gt;0,MAX(0,G388*(1+$G$51)-$H$51),0)</f>
        <v/>
      </c>
      <c r="F389">
        <f>$B$6+IF($D389=$B$8,$B$7,0)</f>
        <v/>
      </c>
      <c r="G389">
        <f>IF(E389-F389&gt;1E-9,E389-F389,0)</f>
        <v/>
      </c>
      <c r="H389">
        <f>G388*$G$51</f>
        <v/>
      </c>
      <c r="I389">
        <f>IF(K388&gt;0,MAX(0,K388*(1+$G$52)-$H$52),0)</f>
        <v/>
      </c>
      <c r="J389">
        <f>MAX(0,F389-E389)</f>
        <v/>
      </c>
      <c r="K389">
        <f>IF(I389-J389&gt;1E-9,I389-J389,0)</f>
        <v/>
      </c>
      <c r="L389">
        <f>K388*$G$52</f>
        <v/>
      </c>
      <c r="M389">
        <f>IF(O388&gt;0,MAX(0,O388*(1+$G$53)-$H$53),0)</f>
        <v/>
      </c>
      <c r="N389">
        <f>MAX(0,J389-I389)</f>
        <v/>
      </c>
      <c r="O389">
        <f>IF(M389-N389&gt;1E-9,M389-N389,0)</f>
        <v/>
      </c>
      <c r="P389">
        <f>O388*$G$53</f>
        <v/>
      </c>
      <c r="Q389">
        <f>IF(S388&gt;0,MAX(0,S388*(1+$G$54)-$H$54),0)</f>
        <v/>
      </c>
      <c r="R389">
        <f>MAX(0,N389-M389)</f>
        <v/>
      </c>
      <c r="S389">
        <f>IF(Q389-R389&gt;1E-9,Q389-R389,0)</f>
        <v/>
      </c>
      <c r="T389">
        <f>S388*$G$54</f>
        <v/>
      </c>
      <c r="U389">
        <f>IF(W388&gt;0,MAX(0,W388*(1+$G$55)-$H$55),0)</f>
        <v/>
      </c>
      <c r="V389">
        <f>MAX(0,R389-Q389)</f>
        <v/>
      </c>
      <c r="W389">
        <f>IF(U389-V389&gt;1E-9,U389-V389,0)</f>
        <v/>
      </c>
      <c r="X389">
        <f>W388*$G$55</f>
        <v/>
      </c>
      <c r="Y389">
        <f>IF(Y388&gt;1E-9,IF(Y388*(1+$G$51)-MAX($B$9,0.01*Y388+Y388*$G$51)&gt;1E-9,Y388*(1+$G$51)-MAX($B$9,0.01*Y388+Y388*$G$51),0),0)</f>
        <v/>
      </c>
      <c r="Z389">
        <f>Y388*$G$51</f>
        <v/>
      </c>
      <c r="AA389">
        <f>IF(AA388&gt;1E-9,IF(AA388*(1+$G$52)-MAX($B$9,0.01*AA388+AA388*$G$52)&gt;1E-9,AA388*(1+$G$52)-MAX($B$9,0.01*AA388+AA388*$G$52),0),0)</f>
        <v/>
      </c>
      <c r="AB389">
        <f>AA388*$G$52</f>
        <v/>
      </c>
      <c r="AC389">
        <f>IF(AC388&gt;1E-9,IF(AC388*(1+$G$53)-MAX($B$9,0.01*AC388+AC388*$G$53)&gt;1E-9,AC388*(1+$G$53)-MAX($B$9,0.01*AC388+AC388*$G$53),0),0)</f>
        <v/>
      </c>
      <c r="AD389">
        <f>AC388*$G$53</f>
        <v/>
      </c>
      <c r="AE389">
        <f>IF(AE388&gt;1E-9,IF(AE388*(1+$G$54)-MAX($B$9,0.01*AE388+AE388*$G$54)&gt;1E-9,AE388*(1+$G$54)-MAX($B$9,0.01*AE388+AE388*$G$54),0),0)</f>
        <v/>
      </c>
      <c r="AF389">
        <f>AE388*$G$54</f>
        <v/>
      </c>
      <c r="AG389">
        <f>IF(AG388&gt;1E-9,IF(AG388*(1+$G$55)-MAX($B$9,0.01*AG388+AG388*$G$55)&gt;1E-9,AG388*(1+$G$55)-MAX($B$9,0.01*AG388+AG388*$G$55),0),0)</f>
        <v/>
      </c>
      <c r="AH389">
        <f>AG388*$G$55</f>
        <v/>
      </c>
      <c r="AI389">
        <f>G389+K389+O389+S389+W389</f>
        <v/>
      </c>
      <c r="AJ389">
        <f>AI388+AK389-AI389</f>
        <v/>
      </c>
      <c r="AK389">
        <f>H389+L389+P389+T389+X389</f>
        <v/>
      </c>
      <c r="AL389">
        <f>TEXT(EDATE($B$5,D389-1),"mmm yyyy")</f>
        <v/>
      </c>
      <c r="AM389">
        <f>AI389</f>
        <v/>
      </c>
    </row>
    <row r="390">
      <c r="D390" t="n">
        <v>329</v>
      </c>
      <c r="E390">
        <f>IF(G389&gt;0,MAX(0,G389*(1+$G$51)-$H$51),0)</f>
        <v/>
      </c>
      <c r="F390">
        <f>$B$6+IF($D390=$B$8,$B$7,0)</f>
        <v/>
      </c>
      <c r="G390">
        <f>IF(E390-F390&gt;1E-9,E390-F390,0)</f>
        <v/>
      </c>
      <c r="H390">
        <f>G389*$G$51</f>
        <v/>
      </c>
      <c r="I390">
        <f>IF(K389&gt;0,MAX(0,K389*(1+$G$52)-$H$52),0)</f>
        <v/>
      </c>
      <c r="J390">
        <f>MAX(0,F390-E390)</f>
        <v/>
      </c>
      <c r="K390">
        <f>IF(I390-J390&gt;1E-9,I390-J390,0)</f>
        <v/>
      </c>
      <c r="L390">
        <f>K389*$G$52</f>
        <v/>
      </c>
      <c r="M390">
        <f>IF(O389&gt;0,MAX(0,O389*(1+$G$53)-$H$53),0)</f>
        <v/>
      </c>
      <c r="N390">
        <f>MAX(0,J390-I390)</f>
        <v/>
      </c>
      <c r="O390">
        <f>IF(M390-N390&gt;1E-9,M390-N390,0)</f>
        <v/>
      </c>
      <c r="P390">
        <f>O389*$G$53</f>
        <v/>
      </c>
      <c r="Q390">
        <f>IF(S389&gt;0,MAX(0,S389*(1+$G$54)-$H$54),0)</f>
        <v/>
      </c>
      <c r="R390">
        <f>MAX(0,N390-M390)</f>
        <v/>
      </c>
      <c r="S390">
        <f>IF(Q390-R390&gt;1E-9,Q390-R390,0)</f>
        <v/>
      </c>
      <c r="T390">
        <f>S389*$G$54</f>
        <v/>
      </c>
      <c r="U390">
        <f>IF(W389&gt;0,MAX(0,W389*(1+$G$55)-$H$55),0)</f>
        <v/>
      </c>
      <c r="V390">
        <f>MAX(0,R390-Q390)</f>
        <v/>
      </c>
      <c r="W390">
        <f>IF(U390-V390&gt;1E-9,U390-V390,0)</f>
        <v/>
      </c>
      <c r="X390">
        <f>W389*$G$55</f>
        <v/>
      </c>
      <c r="Y390">
        <f>IF(Y389&gt;1E-9,IF(Y389*(1+$G$51)-MAX($B$9,0.01*Y389+Y389*$G$51)&gt;1E-9,Y389*(1+$G$51)-MAX($B$9,0.01*Y389+Y389*$G$51),0),0)</f>
        <v/>
      </c>
      <c r="Z390">
        <f>Y389*$G$51</f>
        <v/>
      </c>
      <c r="AA390">
        <f>IF(AA389&gt;1E-9,IF(AA389*(1+$G$52)-MAX($B$9,0.01*AA389+AA389*$G$52)&gt;1E-9,AA389*(1+$G$52)-MAX($B$9,0.01*AA389+AA389*$G$52),0),0)</f>
        <v/>
      </c>
      <c r="AB390">
        <f>AA389*$G$52</f>
        <v/>
      </c>
      <c r="AC390">
        <f>IF(AC389&gt;1E-9,IF(AC389*(1+$G$53)-MAX($B$9,0.01*AC389+AC389*$G$53)&gt;1E-9,AC389*(1+$G$53)-MAX($B$9,0.01*AC389+AC389*$G$53),0),0)</f>
        <v/>
      </c>
      <c r="AD390">
        <f>AC389*$G$53</f>
        <v/>
      </c>
      <c r="AE390">
        <f>IF(AE389&gt;1E-9,IF(AE389*(1+$G$54)-MAX($B$9,0.01*AE389+AE389*$G$54)&gt;1E-9,AE389*(1+$G$54)-MAX($B$9,0.01*AE389+AE389*$G$54),0),0)</f>
        <v/>
      </c>
      <c r="AF390">
        <f>AE389*$G$54</f>
        <v/>
      </c>
      <c r="AG390">
        <f>IF(AG389&gt;1E-9,IF(AG389*(1+$G$55)-MAX($B$9,0.01*AG389+AG389*$G$55)&gt;1E-9,AG389*(1+$G$55)-MAX($B$9,0.01*AG389+AG389*$G$55),0),0)</f>
        <v/>
      </c>
      <c r="AH390">
        <f>AG389*$G$55</f>
        <v/>
      </c>
      <c r="AI390">
        <f>G390+K390+O390+S390+W390</f>
        <v/>
      </c>
      <c r="AJ390">
        <f>AI389+AK390-AI390</f>
        <v/>
      </c>
      <c r="AK390">
        <f>H390+L390+P390+T390+X390</f>
        <v/>
      </c>
      <c r="AL390">
        <f>TEXT(EDATE($B$5,D390-1),"mmm yyyy")</f>
        <v/>
      </c>
      <c r="AM390">
        <f>AI390</f>
        <v/>
      </c>
    </row>
    <row r="391">
      <c r="D391" t="n">
        <v>330</v>
      </c>
      <c r="E391">
        <f>IF(G390&gt;0,MAX(0,G390*(1+$G$51)-$H$51),0)</f>
        <v/>
      </c>
      <c r="F391">
        <f>$B$6+IF($D391=$B$8,$B$7,0)</f>
        <v/>
      </c>
      <c r="G391">
        <f>IF(E391-F391&gt;1E-9,E391-F391,0)</f>
        <v/>
      </c>
      <c r="H391">
        <f>G390*$G$51</f>
        <v/>
      </c>
      <c r="I391">
        <f>IF(K390&gt;0,MAX(0,K390*(1+$G$52)-$H$52),0)</f>
        <v/>
      </c>
      <c r="J391">
        <f>MAX(0,F391-E391)</f>
        <v/>
      </c>
      <c r="K391">
        <f>IF(I391-J391&gt;1E-9,I391-J391,0)</f>
        <v/>
      </c>
      <c r="L391">
        <f>K390*$G$52</f>
        <v/>
      </c>
      <c r="M391">
        <f>IF(O390&gt;0,MAX(0,O390*(1+$G$53)-$H$53),0)</f>
        <v/>
      </c>
      <c r="N391">
        <f>MAX(0,J391-I391)</f>
        <v/>
      </c>
      <c r="O391">
        <f>IF(M391-N391&gt;1E-9,M391-N391,0)</f>
        <v/>
      </c>
      <c r="P391">
        <f>O390*$G$53</f>
        <v/>
      </c>
      <c r="Q391">
        <f>IF(S390&gt;0,MAX(0,S390*(1+$G$54)-$H$54),0)</f>
        <v/>
      </c>
      <c r="R391">
        <f>MAX(0,N391-M391)</f>
        <v/>
      </c>
      <c r="S391">
        <f>IF(Q391-R391&gt;1E-9,Q391-R391,0)</f>
        <v/>
      </c>
      <c r="T391">
        <f>S390*$G$54</f>
        <v/>
      </c>
      <c r="U391">
        <f>IF(W390&gt;0,MAX(0,W390*(1+$G$55)-$H$55),0)</f>
        <v/>
      </c>
      <c r="V391">
        <f>MAX(0,R391-Q391)</f>
        <v/>
      </c>
      <c r="W391">
        <f>IF(U391-V391&gt;1E-9,U391-V391,0)</f>
        <v/>
      </c>
      <c r="X391">
        <f>W390*$G$55</f>
        <v/>
      </c>
      <c r="Y391">
        <f>IF(Y390&gt;1E-9,IF(Y390*(1+$G$51)-MAX($B$9,0.01*Y390+Y390*$G$51)&gt;1E-9,Y390*(1+$G$51)-MAX($B$9,0.01*Y390+Y390*$G$51),0),0)</f>
        <v/>
      </c>
      <c r="Z391">
        <f>Y390*$G$51</f>
        <v/>
      </c>
      <c r="AA391">
        <f>IF(AA390&gt;1E-9,IF(AA390*(1+$G$52)-MAX($B$9,0.01*AA390+AA390*$G$52)&gt;1E-9,AA390*(1+$G$52)-MAX($B$9,0.01*AA390+AA390*$G$52),0),0)</f>
        <v/>
      </c>
      <c r="AB391">
        <f>AA390*$G$52</f>
        <v/>
      </c>
      <c r="AC391">
        <f>IF(AC390&gt;1E-9,IF(AC390*(1+$G$53)-MAX($B$9,0.01*AC390+AC390*$G$53)&gt;1E-9,AC390*(1+$G$53)-MAX($B$9,0.01*AC390+AC390*$G$53),0),0)</f>
        <v/>
      </c>
      <c r="AD391">
        <f>AC390*$G$53</f>
        <v/>
      </c>
      <c r="AE391">
        <f>IF(AE390&gt;1E-9,IF(AE390*(1+$G$54)-MAX($B$9,0.01*AE390+AE390*$G$54)&gt;1E-9,AE390*(1+$G$54)-MAX($B$9,0.01*AE390+AE390*$G$54),0),0)</f>
        <v/>
      </c>
      <c r="AF391">
        <f>AE390*$G$54</f>
        <v/>
      </c>
      <c r="AG391">
        <f>IF(AG390&gt;1E-9,IF(AG390*(1+$G$55)-MAX($B$9,0.01*AG390+AG390*$G$55)&gt;1E-9,AG390*(1+$G$55)-MAX($B$9,0.01*AG390+AG390*$G$55),0),0)</f>
        <v/>
      </c>
      <c r="AH391">
        <f>AG390*$G$55</f>
        <v/>
      </c>
      <c r="AI391">
        <f>G391+K391+O391+S391+W391</f>
        <v/>
      </c>
      <c r="AJ391">
        <f>AI390+AK391-AI391</f>
        <v/>
      </c>
      <c r="AK391">
        <f>H391+L391+P391+T391+X391</f>
        <v/>
      </c>
      <c r="AL391">
        <f>TEXT(EDATE($B$5,D391-1),"mmm yyyy")</f>
        <v/>
      </c>
      <c r="AM391">
        <f>AI391</f>
        <v/>
      </c>
    </row>
    <row r="392">
      <c r="D392" t="n">
        <v>331</v>
      </c>
      <c r="E392">
        <f>IF(G391&gt;0,MAX(0,G391*(1+$G$51)-$H$51),0)</f>
        <v/>
      </c>
      <c r="F392">
        <f>$B$6+IF($D392=$B$8,$B$7,0)</f>
        <v/>
      </c>
      <c r="G392">
        <f>IF(E392-F392&gt;1E-9,E392-F392,0)</f>
        <v/>
      </c>
      <c r="H392">
        <f>G391*$G$51</f>
        <v/>
      </c>
      <c r="I392">
        <f>IF(K391&gt;0,MAX(0,K391*(1+$G$52)-$H$52),0)</f>
        <v/>
      </c>
      <c r="J392">
        <f>MAX(0,F392-E392)</f>
        <v/>
      </c>
      <c r="K392">
        <f>IF(I392-J392&gt;1E-9,I392-J392,0)</f>
        <v/>
      </c>
      <c r="L392">
        <f>K391*$G$52</f>
        <v/>
      </c>
      <c r="M392">
        <f>IF(O391&gt;0,MAX(0,O391*(1+$G$53)-$H$53),0)</f>
        <v/>
      </c>
      <c r="N392">
        <f>MAX(0,J392-I392)</f>
        <v/>
      </c>
      <c r="O392">
        <f>IF(M392-N392&gt;1E-9,M392-N392,0)</f>
        <v/>
      </c>
      <c r="P392">
        <f>O391*$G$53</f>
        <v/>
      </c>
      <c r="Q392">
        <f>IF(S391&gt;0,MAX(0,S391*(1+$G$54)-$H$54),0)</f>
        <v/>
      </c>
      <c r="R392">
        <f>MAX(0,N392-M392)</f>
        <v/>
      </c>
      <c r="S392">
        <f>IF(Q392-R392&gt;1E-9,Q392-R392,0)</f>
        <v/>
      </c>
      <c r="T392">
        <f>S391*$G$54</f>
        <v/>
      </c>
      <c r="U392">
        <f>IF(W391&gt;0,MAX(0,W391*(1+$G$55)-$H$55),0)</f>
        <v/>
      </c>
      <c r="V392">
        <f>MAX(0,R392-Q392)</f>
        <v/>
      </c>
      <c r="W392">
        <f>IF(U392-V392&gt;1E-9,U392-V392,0)</f>
        <v/>
      </c>
      <c r="X392">
        <f>W391*$G$55</f>
        <v/>
      </c>
      <c r="Y392">
        <f>IF(Y391&gt;1E-9,IF(Y391*(1+$G$51)-MAX($B$9,0.01*Y391+Y391*$G$51)&gt;1E-9,Y391*(1+$G$51)-MAX($B$9,0.01*Y391+Y391*$G$51),0),0)</f>
        <v/>
      </c>
      <c r="Z392">
        <f>Y391*$G$51</f>
        <v/>
      </c>
      <c r="AA392">
        <f>IF(AA391&gt;1E-9,IF(AA391*(1+$G$52)-MAX($B$9,0.01*AA391+AA391*$G$52)&gt;1E-9,AA391*(1+$G$52)-MAX($B$9,0.01*AA391+AA391*$G$52),0),0)</f>
        <v/>
      </c>
      <c r="AB392">
        <f>AA391*$G$52</f>
        <v/>
      </c>
      <c r="AC392">
        <f>IF(AC391&gt;1E-9,IF(AC391*(1+$G$53)-MAX($B$9,0.01*AC391+AC391*$G$53)&gt;1E-9,AC391*(1+$G$53)-MAX($B$9,0.01*AC391+AC391*$G$53),0),0)</f>
        <v/>
      </c>
      <c r="AD392">
        <f>AC391*$G$53</f>
        <v/>
      </c>
      <c r="AE392">
        <f>IF(AE391&gt;1E-9,IF(AE391*(1+$G$54)-MAX($B$9,0.01*AE391+AE391*$G$54)&gt;1E-9,AE391*(1+$G$54)-MAX($B$9,0.01*AE391+AE391*$G$54),0),0)</f>
        <v/>
      </c>
      <c r="AF392">
        <f>AE391*$G$54</f>
        <v/>
      </c>
      <c r="AG392">
        <f>IF(AG391&gt;1E-9,IF(AG391*(1+$G$55)-MAX($B$9,0.01*AG391+AG391*$G$55)&gt;1E-9,AG391*(1+$G$55)-MAX($B$9,0.01*AG391+AG391*$G$55),0),0)</f>
        <v/>
      </c>
      <c r="AH392">
        <f>AG391*$G$55</f>
        <v/>
      </c>
      <c r="AI392">
        <f>G392+K392+O392+S392+W392</f>
        <v/>
      </c>
      <c r="AJ392">
        <f>AI391+AK392-AI392</f>
        <v/>
      </c>
      <c r="AK392">
        <f>H392+L392+P392+T392+X392</f>
        <v/>
      </c>
      <c r="AL392">
        <f>TEXT(EDATE($B$5,D392-1),"mmm yyyy")</f>
        <v/>
      </c>
      <c r="AM392">
        <f>AI392</f>
        <v/>
      </c>
    </row>
    <row r="393">
      <c r="D393" t="n">
        <v>332</v>
      </c>
      <c r="E393">
        <f>IF(G392&gt;0,MAX(0,G392*(1+$G$51)-$H$51),0)</f>
        <v/>
      </c>
      <c r="F393">
        <f>$B$6+IF($D393=$B$8,$B$7,0)</f>
        <v/>
      </c>
      <c r="G393">
        <f>IF(E393-F393&gt;1E-9,E393-F393,0)</f>
        <v/>
      </c>
      <c r="H393">
        <f>G392*$G$51</f>
        <v/>
      </c>
      <c r="I393">
        <f>IF(K392&gt;0,MAX(0,K392*(1+$G$52)-$H$52),0)</f>
        <v/>
      </c>
      <c r="J393">
        <f>MAX(0,F393-E393)</f>
        <v/>
      </c>
      <c r="K393">
        <f>IF(I393-J393&gt;1E-9,I393-J393,0)</f>
        <v/>
      </c>
      <c r="L393">
        <f>K392*$G$52</f>
        <v/>
      </c>
      <c r="M393">
        <f>IF(O392&gt;0,MAX(0,O392*(1+$G$53)-$H$53),0)</f>
        <v/>
      </c>
      <c r="N393">
        <f>MAX(0,J393-I393)</f>
        <v/>
      </c>
      <c r="O393">
        <f>IF(M393-N393&gt;1E-9,M393-N393,0)</f>
        <v/>
      </c>
      <c r="P393">
        <f>O392*$G$53</f>
        <v/>
      </c>
      <c r="Q393">
        <f>IF(S392&gt;0,MAX(0,S392*(1+$G$54)-$H$54),0)</f>
        <v/>
      </c>
      <c r="R393">
        <f>MAX(0,N393-M393)</f>
        <v/>
      </c>
      <c r="S393">
        <f>IF(Q393-R393&gt;1E-9,Q393-R393,0)</f>
        <v/>
      </c>
      <c r="T393">
        <f>S392*$G$54</f>
        <v/>
      </c>
      <c r="U393">
        <f>IF(W392&gt;0,MAX(0,W392*(1+$G$55)-$H$55),0)</f>
        <v/>
      </c>
      <c r="V393">
        <f>MAX(0,R393-Q393)</f>
        <v/>
      </c>
      <c r="W393">
        <f>IF(U393-V393&gt;1E-9,U393-V393,0)</f>
        <v/>
      </c>
      <c r="X393">
        <f>W392*$G$55</f>
        <v/>
      </c>
      <c r="Y393">
        <f>IF(Y392&gt;1E-9,IF(Y392*(1+$G$51)-MAX($B$9,0.01*Y392+Y392*$G$51)&gt;1E-9,Y392*(1+$G$51)-MAX($B$9,0.01*Y392+Y392*$G$51),0),0)</f>
        <v/>
      </c>
      <c r="Z393">
        <f>Y392*$G$51</f>
        <v/>
      </c>
      <c r="AA393">
        <f>IF(AA392&gt;1E-9,IF(AA392*(1+$G$52)-MAX($B$9,0.01*AA392+AA392*$G$52)&gt;1E-9,AA392*(1+$G$52)-MAX($B$9,0.01*AA392+AA392*$G$52),0),0)</f>
        <v/>
      </c>
      <c r="AB393">
        <f>AA392*$G$52</f>
        <v/>
      </c>
      <c r="AC393">
        <f>IF(AC392&gt;1E-9,IF(AC392*(1+$G$53)-MAX($B$9,0.01*AC392+AC392*$G$53)&gt;1E-9,AC392*(1+$G$53)-MAX($B$9,0.01*AC392+AC392*$G$53),0),0)</f>
        <v/>
      </c>
      <c r="AD393">
        <f>AC392*$G$53</f>
        <v/>
      </c>
      <c r="AE393">
        <f>IF(AE392&gt;1E-9,IF(AE392*(1+$G$54)-MAX($B$9,0.01*AE392+AE392*$G$54)&gt;1E-9,AE392*(1+$G$54)-MAX($B$9,0.01*AE392+AE392*$G$54),0),0)</f>
        <v/>
      </c>
      <c r="AF393">
        <f>AE392*$G$54</f>
        <v/>
      </c>
      <c r="AG393">
        <f>IF(AG392&gt;1E-9,IF(AG392*(1+$G$55)-MAX($B$9,0.01*AG392+AG392*$G$55)&gt;1E-9,AG392*(1+$G$55)-MAX($B$9,0.01*AG392+AG392*$G$55),0),0)</f>
        <v/>
      </c>
      <c r="AH393">
        <f>AG392*$G$55</f>
        <v/>
      </c>
      <c r="AI393">
        <f>G393+K393+O393+S393+W393</f>
        <v/>
      </c>
      <c r="AJ393">
        <f>AI392+AK393-AI393</f>
        <v/>
      </c>
      <c r="AK393">
        <f>H393+L393+P393+T393+X393</f>
        <v/>
      </c>
      <c r="AL393">
        <f>TEXT(EDATE($B$5,D393-1),"mmm yyyy")</f>
        <v/>
      </c>
      <c r="AM393">
        <f>AI393</f>
        <v/>
      </c>
    </row>
    <row r="394">
      <c r="D394" t="n">
        <v>333</v>
      </c>
      <c r="E394">
        <f>IF(G393&gt;0,MAX(0,G393*(1+$G$51)-$H$51),0)</f>
        <v/>
      </c>
      <c r="F394">
        <f>$B$6+IF($D394=$B$8,$B$7,0)</f>
        <v/>
      </c>
      <c r="G394">
        <f>IF(E394-F394&gt;1E-9,E394-F394,0)</f>
        <v/>
      </c>
      <c r="H394">
        <f>G393*$G$51</f>
        <v/>
      </c>
      <c r="I394">
        <f>IF(K393&gt;0,MAX(0,K393*(1+$G$52)-$H$52),0)</f>
        <v/>
      </c>
      <c r="J394">
        <f>MAX(0,F394-E394)</f>
        <v/>
      </c>
      <c r="K394">
        <f>IF(I394-J394&gt;1E-9,I394-J394,0)</f>
        <v/>
      </c>
      <c r="L394">
        <f>K393*$G$52</f>
        <v/>
      </c>
      <c r="M394">
        <f>IF(O393&gt;0,MAX(0,O393*(1+$G$53)-$H$53),0)</f>
        <v/>
      </c>
      <c r="N394">
        <f>MAX(0,J394-I394)</f>
        <v/>
      </c>
      <c r="O394">
        <f>IF(M394-N394&gt;1E-9,M394-N394,0)</f>
        <v/>
      </c>
      <c r="P394">
        <f>O393*$G$53</f>
        <v/>
      </c>
      <c r="Q394">
        <f>IF(S393&gt;0,MAX(0,S393*(1+$G$54)-$H$54),0)</f>
        <v/>
      </c>
      <c r="R394">
        <f>MAX(0,N394-M394)</f>
        <v/>
      </c>
      <c r="S394">
        <f>IF(Q394-R394&gt;1E-9,Q394-R394,0)</f>
        <v/>
      </c>
      <c r="T394">
        <f>S393*$G$54</f>
        <v/>
      </c>
      <c r="U394">
        <f>IF(W393&gt;0,MAX(0,W393*(1+$G$55)-$H$55),0)</f>
        <v/>
      </c>
      <c r="V394">
        <f>MAX(0,R394-Q394)</f>
        <v/>
      </c>
      <c r="W394">
        <f>IF(U394-V394&gt;1E-9,U394-V394,0)</f>
        <v/>
      </c>
      <c r="X394">
        <f>W393*$G$55</f>
        <v/>
      </c>
      <c r="Y394">
        <f>IF(Y393&gt;1E-9,IF(Y393*(1+$G$51)-MAX($B$9,0.01*Y393+Y393*$G$51)&gt;1E-9,Y393*(1+$G$51)-MAX($B$9,0.01*Y393+Y393*$G$51),0),0)</f>
        <v/>
      </c>
      <c r="Z394">
        <f>Y393*$G$51</f>
        <v/>
      </c>
      <c r="AA394">
        <f>IF(AA393&gt;1E-9,IF(AA393*(1+$G$52)-MAX($B$9,0.01*AA393+AA393*$G$52)&gt;1E-9,AA393*(1+$G$52)-MAX($B$9,0.01*AA393+AA393*$G$52),0),0)</f>
        <v/>
      </c>
      <c r="AB394">
        <f>AA393*$G$52</f>
        <v/>
      </c>
      <c r="AC394">
        <f>IF(AC393&gt;1E-9,IF(AC393*(1+$G$53)-MAX($B$9,0.01*AC393+AC393*$G$53)&gt;1E-9,AC393*(1+$G$53)-MAX($B$9,0.01*AC393+AC393*$G$53),0),0)</f>
        <v/>
      </c>
      <c r="AD394">
        <f>AC393*$G$53</f>
        <v/>
      </c>
      <c r="AE394">
        <f>IF(AE393&gt;1E-9,IF(AE393*(1+$G$54)-MAX($B$9,0.01*AE393+AE393*$G$54)&gt;1E-9,AE393*(1+$G$54)-MAX($B$9,0.01*AE393+AE393*$G$54),0),0)</f>
        <v/>
      </c>
      <c r="AF394">
        <f>AE393*$G$54</f>
        <v/>
      </c>
      <c r="AG394">
        <f>IF(AG393&gt;1E-9,IF(AG393*(1+$G$55)-MAX($B$9,0.01*AG393+AG393*$G$55)&gt;1E-9,AG393*(1+$G$55)-MAX($B$9,0.01*AG393+AG393*$G$55),0),0)</f>
        <v/>
      </c>
      <c r="AH394">
        <f>AG393*$G$55</f>
        <v/>
      </c>
      <c r="AI394">
        <f>G394+K394+O394+S394+W394</f>
        <v/>
      </c>
      <c r="AJ394">
        <f>AI393+AK394-AI394</f>
        <v/>
      </c>
      <c r="AK394">
        <f>H394+L394+P394+T394+X394</f>
        <v/>
      </c>
      <c r="AL394">
        <f>TEXT(EDATE($B$5,D394-1),"mmm yyyy")</f>
        <v/>
      </c>
      <c r="AM394">
        <f>AI394</f>
        <v/>
      </c>
    </row>
    <row r="395">
      <c r="D395" t="n">
        <v>334</v>
      </c>
      <c r="E395">
        <f>IF(G394&gt;0,MAX(0,G394*(1+$G$51)-$H$51),0)</f>
        <v/>
      </c>
      <c r="F395">
        <f>$B$6+IF($D395=$B$8,$B$7,0)</f>
        <v/>
      </c>
      <c r="G395">
        <f>IF(E395-F395&gt;1E-9,E395-F395,0)</f>
        <v/>
      </c>
      <c r="H395">
        <f>G394*$G$51</f>
        <v/>
      </c>
      <c r="I395">
        <f>IF(K394&gt;0,MAX(0,K394*(1+$G$52)-$H$52),0)</f>
        <v/>
      </c>
      <c r="J395">
        <f>MAX(0,F395-E395)</f>
        <v/>
      </c>
      <c r="K395">
        <f>IF(I395-J395&gt;1E-9,I395-J395,0)</f>
        <v/>
      </c>
      <c r="L395">
        <f>K394*$G$52</f>
        <v/>
      </c>
      <c r="M395">
        <f>IF(O394&gt;0,MAX(0,O394*(1+$G$53)-$H$53),0)</f>
        <v/>
      </c>
      <c r="N395">
        <f>MAX(0,J395-I395)</f>
        <v/>
      </c>
      <c r="O395">
        <f>IF(M395-N395&gt;1E-9,M395-N395,0)</f>
        <v/>
      </c>
      <c r="P395">
        <f>O394*$G$53</f>
        <v/>
      </c>
      <c r="Q395">
        <f>IF(S394&gt;0,MAX(0,S394*(1+$G$54)-$H$54),0)</f>
        <v/>
      </c>
      <c r="R395">
        <f>MAX(0,N395-M395)</f>
        <v/>
      </c>
      <c r="S395">
        <f>IF(Q395-R395&gt;1E-9,Q395-R395,0)</f>
        <v/>
      </c>
      <c r="T395">
        <f>S394*$G$54</f>
        <v/>
      </c>
      <c r="U395">
        <f>IF(W394&gt;0,MAX(0,W394*(1+$G$55)-$H$55),0)</f>
        <v/>
      </c>
      <c r="V395">
        <f>MAX(0,R395-Q395)</f>
        <v/>
      </c>
      <c r="W395">
        <f>IF(U395-V395&gt;1E-9,U395-V395,0)</f>
        <v/>
      </c>
      <c r="X395">
        <f>W394*$G$55</f>
        <v/>
      </c>
      <c r="Y395">
        <f>IF(Y394&gt;1E-9,IF(Y394*(1+$G$51)-MAX($B$9,0.01*Y394+Y394*$G$51)&gt;1E-9,Y394*(1+$G$51)-MAX($B$9,0.01*Y394+Y394*$G$51),0),0)</f>
        <v/>
      </c>
      <c r="Z395">
        <f>Y394*$G$51</f>
        <v/>
      </c>
      <c r="AA395">
        <f>IF(AA394&gt;1E-9,IF(AA394*(1+$G$52)-MAX($B$9,0.01*AA394+AA394*$G$52)&gt;1E-9,AA394*(1+$G$52)-MAX($B$9,0.01*AA394+AA394*$G$52),0),0)</f>
        <v/>
      </c>
      <c r="AB395">
        <f>AA394*$G$52</f>
        <v/>
      </c>
      <c r="AC395">
        <f>IF(AC394&gt;1E-9,IF(AC394*(1+$G$53)-MAX($B$9,0.01*AC394+AC394*$G$53)&gt;1E-9,AC394*(1+$G$53)-MAX($B$9,0.01*AC394+AC394*$G$53),0),0)</f>
        <v/>
      </c>
      <c r="AD395">
        <f>AC394*$G$53</f>
        <v/>
      </c>
      <c r="AE395">
        <f>IF(AE394&gt;1E-9,IF(AE394*(1+$G$54)-MAX($B$9,0.01*AE394+AE394*$G$54)&gt;1E-9,AE394*(1+$G$54)-MAX($B$9,0.01*AE394+AE394*$G$54),0),0)</f>
        <v/>
      </c>
      <c r="AF395">
        <f>AE394*$G$54</f>
        <v/>
      </c>
      <c r="AG395">
        <f>IF(AG394&gt;1E-9,IF(AG394*(1+$G$55)-MAX($B$9,0.01*AG394+AG394*$G$55)&gt;1E-9,AG394*(1+$G$55)-MAX($B$9,0.01*AG394+AG394*$G$55),0),0)</f>
        <v/>
      </c>
      <c r="AH395">
        <f>AG394*$G$55</f>
        <v/>
      </c>
      <c r="AI395">
        <f>G395+K395+O395+S395+W395</f>
        <v/>
      </c>
      <c r="AJ395">
        <f>AI394+AK395-AI395</f>
        <v/>
      </c>
      <c r="AK395">
        <f>H395+L395+P395+T395+X395</f>
        <v/>
      </c>
      <c r="AL395">
        <f>TEXT(EDATE($B$5,D395-1),"mmm yyyy")</f>
        <v/>
      </c>
      <c r="AM395">
        <f>AI395</f>
        <v/>
      </c>
    </row>
    <row r="396">
      <c r="D396" t="n">
        <v>335</v>
      </c>
      <c r="E396">
        <f>IF(G395&gt;0,MAX(0,G395*(1+$G$51)-$H$51),0)</f>
        <v/>
      </c>
      <c r="F396">
        <f>$B$6+IF($D396=$B$8,$B$7,0)</f>
        <v/>
      </c>
      <c r="G396">
        <f>IF(E396-F396&gt;1E-9,E396-F396,0)</f>
        <v/>
      </c>
      <c r="H396">
        <f>G395*$G$51</f>
        <v/>
      </c>
      <c r="I396">
        <f>IF(K395&gt;0,MAX(0,K395*(1+$G$52)-$H$52),0)</f>
        <v/>
      </c>
      <c r="J396">
        <f>MAX(0,F396-E396)</f>
        <v/>
      </c>
      <c r="K396">
        <f>IF(I396-J396&gt;1E-9,I396-J396,0)</f>
        <v/>
      </c>
      <c r="L396">
        <f>K395*$G$52</f>
        <v/>
      </c>
      <c r="M396">
        <f>IF(O395&gt;0,MAX(0,O395*(1+$G$53)-$H$53),0)</f>
        <v/>
      </c>
      <c r="N396">
        <f>MAX(0,J396-I396)</f>
        <v/>
      </c>
      <c r="O396">
        <f>IF(M396-N396&gt;1E-9,M396-N396,0)</f>
        <v/>
      </c>
      <c r="P396">
        <f>O395*$G$53</f>
        <v/>
      </c>
      <c r="Q396">
        <f>IF(S395&gt;0,MAX(0,S395*(1+$G$54)-$H$54),0)</f>
        <v/>
      </c>
      <c r="R396">
        <f>MAX(0,N396-M396)</f>
        <v/>
      </c>
      <c r="S396">
        <f>IF(Q396-R396&gt;1E-9,Q396-R396,0)</f>
        <v/>
      </c>
      <c r="T396">
        <f>S395*$G$54</f>
        <v/>
      </c>
      <c r="U396">
        <f>IF(W395&gt;0,MAX(0,W395*(1+$G$55)-$H$55),0)</f>
        <v/>
      </c>
      <c r="V396">
        <f>MAX(0,R396-Q396)</f>
        <v/>
      </c>
      <c r="W396">
        <f>IF(U396-V396&gt;1E-9,U396-V396,0)</f>
        <v/>
      </c>
      <c r="X396">
        <f>W395*$G$55</f>
        <v/>
      </c>
      <c r="Y396">
        <f>IF(Y395&gt;1E-9,IF(Y395*(1+$G$51)-MAX($B$9,0.01*Y395+Y395*$G$51)&gt;1E-9,Y395*(1+$G$51)-MAX($B$9,0.01*Y395+Y395*$G$51),0),0)</f>
        <v/>
      </c>
      <c r="Z396">
        <f>Y395*$G$51</f>
        <v/>
      </c>
      <c r="AA396">
        <f>IF(AA395&gt;1E-9,IF(AA395*(1+$G$52)-MAX($B$9,0.01*AA395+AA395*$G$52)&gt;1E-9,AA395*(1+$G$52)-MAX($B$9,0.01*AA395+AA395*$G$52),0),0)</f>
        <v/>
      </c>
      <c r="AB396">
        <f>AA395*$G$52</f>
        <v/>
      </c>
      <c r="AC396">
        <f>IF(AC395&gt;1E-9,IF(AC395*(1+$G$53)-MAX($B$9,0.01*AC395+AC395*$G$53)&gt;1E-9,AC395*(1+$G$53)-MAX($B$9,0.01*AC395+AC395*$G$53),0),0)</f>
        <v/>
      </c>
      <c r="AD396">
        <f>AC395*$G$53</f>
        <v/>
      </c>
      <c r="AE396">
        <f>IF(AE395&gt;1E-9,IF(AE395*(1+$G$54)-MAX($B$9,0.01*AE395+AE395*$G$54)&gt;1E-9,AE395*(1+$G$54)-MAX($B$9,0.01*AE395+AE395*$G$54),0),0)</f>
        <v/>
      </c>
      <c r="AF396">
        <f>AE395*$G$54</f>
        <v/>
      </c>
      <c r="AG396">
        <f>IF(AG395&gt;1E-9,IF(AG395*(1+$G$55)-MAX($B$9,0.01*AG395+AG395*$G$55)&gt;1E-9,AG395*(1+$G$55)-MAX($B$9,0.01*AG395+AG395*$G$55),0),0)</f>
        <v/>
      </c>
      <c r="AH396">
        <f>AG395*$G$55</f>
        <v/>
      </c>
      <c r="AI396">
        <f>G396+K396+O396+S396+W396</f>
        <v/>
      </c>
      <c r="AJ396">
        <f>AI395+AK396-AI396</f>
        <v/>
      </c>
      <c r="AK396">
        <f>H396+L396+P396+T396+X396</f>
        <v/>
      </c>
      <c r="AL396">
        <f>TEXT(EDATE($B$5,D396-1),"mmm yyyy")</f>
        <v/>
      </c>
      <c r="AM396">
        <f>AI396</f>
        <v/>
      </c>
    </row>
    <row r="397">
      <c r="D397" t="n">
        <v>336</v>
      </c>
      <c r="E397">
        <f>IF(G396&gt;0,MAX(0,G396*(1+$G$51)-$H$51),0)</f>
        <v/>
      </c>
      <c r="F397">
        <f>$B$6+IF($D397=$B$8,$B$7,0)</f>
        <v/>
      </c>
      <c r="G397">
        <f>IF(E397-F397&gt;1E-9,E397-F397,0)</f>
        <v/>
      </c>
      <c r="H397">
        <f>G396*$G$51</f>
        <v/>
      </c>
      <c r="I397">
        <f>IF(K396&gt;0,MAX(0,K396*(1+$G$52)-$H$52),0)</f>
        <v/>
      </c>
      <c r="J397">
        <f>MAX(0,F397-E397)</f>
        <v/>
      </c>
      <c r="K397">
        <f>IF(I397-J397&gt;1E-9,I397-J397,0)</f>
        <v/>
      </c>
      <c r="L397">
        <f>K396*$G$52</f>
        <v/>
      </c>
      <c r="M397">
        <f>IF(O396&gt;0,MAX(0,O396*(1+$G$53)-$H$53),0)</f>
        <v/>
      </c>
      <c r="N397">
        <f>MAX(0,J397-I397)</f>
        <v/>
      </c>
      <c r="O397">
        <f>IF(M397-N397&gt;1E-9,M397-N397,0)</f>
        <v/>
      </c>
      <c r="P397">
        <f>O396*$G$53</f>
        <v/>
      </c>
      <c r="Q397">
        <f>IF(S396&gt;0,MAX(0,S396*(1+$G$54)-$H$54),0)</f>
        <v/>
      </c>
      <c r="R397">
        <f>MAX(0,N397-M397)</f>
        <v/>
      </c>
      <c r="S397">
        <f>IF(Q397-R397&gt;1E-9,Q397-R397,0)</f>
        <v/>
      </c>
      <c r="T397">
        <f>S396*$G$54</f>
        <v/>
      </c>
      <c r="U397">
        <f>IF(W396&gt;0,MAX(0,W396*(1+$G$55)-$H$55),0)</f>
        <v/>
      </c>
      <c r="V397">
        <f>MAX(0,R397-Q397)</f>
        <v/>
      </c>
      <c r="W397">
        <f>IF(U397-V397&gt;1E-9,U397-V397,0)</f>
        <v/>
      </c>
      <c r="X397">
        <f>W396*$G$55</f>
        <v/>
      </c>
      <c r="Y397">
        <f>IF(Y396&gt;1E-9,IF(Y396*(1+$G$51)-MAX($B$9,0.01*Y396+Y396*$G$51)&gt;1E-9,Y396*(1+$G$51)-MAX($B$9,0.01*Y396+Y396*$G$51),0),0)</f>
        <v/>
      </c>
      <c r="Z397">
        <f>Y396*$G$51</f>
        <v/>
      </c>
      <c r="AA397">
        <f>IF(AA396&gt;1E-9,IF(AA396*(1+$G$52)-MAX($B$9,0.01*AA396+AA396*$G$52)&gt;1E-9,AA396*(1+$G$52)-MAX($B$9,0.01*AA396+AA396*$G$52),0),0)</f>
        <v/>
      </c>
      <c r="AB397">
        <f>AA396*$G$52</f>
        <v/>
      </c>
      <c r="AC397">
        <f>IF(AC396&gt;1E-9,IF(AC396*(1+$G$53)-MAX($B$9,0.01*AC396+AC396*$G$53)&gt;1E-9,AC396*(1+$G$53)-MAX($B$9,0.01*AC396+AC396*$G$53),0),0)</f>
        <v/>
      </c>
      <c r="AD397">
        <f>AC396*$G$53</f>
        <v/>
      </c>
      <c r="AE397">
        <f>IF(AE396&gt;1E-9,IF(AE396*(1+$G$54)-MAX($B$9,0.01*AE396+AE396*$G$54)&gt;1E-9,AE396*(1+$G$54)-MAX($B$9,0.01*AE396+AE396*$G$54),0),0)</f>
        <v/>
      </c>
      <c r="AF397">
        <f>AE396*$G$54</f>
        <v/>
      </c>
      <c r="AG397">
        <f>IF(AG396&gt;1E-9,IF(AG396*(1+$G$55)-MAX($B$9,0.01*AG396+AG396*$G$55)&gt;1E-9,AG396*(1+$G$55)-MAX($B$9,0.01*AG396+AG396*$G$55),0),0)</f>
        <v/>
      </c>
      <c r="AH397">
        <f>AG396*$G$55</f>
        <v/>
      </c>
      <c r="AI397">
        <f>G397+K397+O397+S397+W397</f>
        <v/>
      </c>
      <c r="AJ397">
        <f>AI396+AK397-AI397</f>
        <v/>
      </c>
      <c r="AK397">
        <f>H397+L397+P397+T397+X397</f>
        <v/>
      </c>
      <c r="AL397">
        <f>TEXT(EDATE($B$5,D397-1),"mmm yyyy")</f>
        <v/>
      </c>
      <c r="AM397">
        <f>AI397</f>
        <v/>
      </c>
    </row>
    <row r="398">
      <c r="D398" t="n">
        <v>337</v>
      </c>
      <c r="E398">
        <f>IF(G397&gt;0,MAX(0,G397*(1+$G$51)-$H$51),0)</f>
        <v/>
      </c>
      <c r="F398">
        <f>$B$6+IF($D398=$B$8,$B$7,0)</f>
        <v/>
      </c>
      <c r="G398">
        <f>IF(E398-F398&gt;1E-9,E398-F398,0)</f>
        <v/>
      </c>
      <c r="H398">
        <f>G397*$G$51</f>
        <v/>
      </c>
      <c r="I398">
        <f>IF(K397&gt;0,MAX(0,K397*(1+$G$52)-$H$52),0)</f>
        <v/>
      </c>
      <c r="J398">
        <f>MAX(0,F398-E398)</f>
        <v/>
      </c>
      <c r="K398">
        <f>IF(I398-J398&gt;1E-9,I398-J398,0)</f>
        <v/>
      </c>
      <c r="L398">
        <f>K397*$G$52</f>
        <v/>
      </c>
      <c r="M398">
        <f>IF(O397&gt;0,MAX(0,O397*(1+$G$53)-$H$53),0)</f>
        <v/>
      </c>
      <c r="N398">
        <f>MAX(0,J398-I398)</f>
        <v/>
      </c>
      <c r="O398">
        <f>IF(M398-N398&gt;1E-9,M398-N398,0)</f>
        <v/>
      </c>
      <c r="P398">
        <f>O397*$G$53</f>
        <v/>
      </c>
      <c r="Q398">
        <f>IF(S397&gt;0,MAX(0,S397*(1+$G$54)-$H$54),0)</f>
        <v/>
      </c>
      <c r="R398">
        <f>MAX(0,N398-M398)</f>
        <v/>
      </c>
      <c r="S398">
        <f>IF(Q398-R398&gt;1E-9,Q398-R398,0)</f>
        <v/>
      </c>
      <c r="T398">
        <f>S397*$G$54</f>
        <v/>
      </c>
      <c r="U398">
        <f>IF(W397&gt;0,MAX(0,W397*(1+$G$55)-$H$55),0)</f>
        <v/>
      </c>
      <c r="V398">
        <f>MAX(0,R398-Q398)</f>
        <v/>
      </c>
      <c r="W398">
        <f>IF(U398-V398&gt;1E-9,U398-V398,0)</f>
        <v/>
      </c>
      <c r="X398">
        <f>W397*$G$55</f>
        <v/>
      </c>
      <c r="Y398">
        <f>IF(Y397&gt;1E-9,IF(Y397*(1+$G$51)-MAX($B$9,0.01*Y397+Y397*$G$51)&gt;1E-9,Y397*(1+$G$51)-MAX($B$9,0.01*Y397+Y397*$G$51),0),0)</f>
        <v/>
      </c>
      <c r="Z398">
        <f>Y397*$G$51</f>
        <v/>
      </c>
      <c r="AA398">
        <f>IF(AA397&gt;1E-9,IF(AA397*(1+$G$52)-MAX($B$9,0.01*AA397+AA397*$G$52)&gt;1E-9,AA397*(1+$G$52)-MAX($B$9,0.01*AA397+AA397*$G$52),0),0)</f>
        <v/>
      </c>
      <c r="AB398">
        <f>AA397*$G$52</f>
        <v/>
      </c>
      <c r="AC398">
        <f>IF(AC397&gt;1E-9,IF(AC397*(1+$G$53)-MAX($B$9,0.01*AC397+AC397*$G$53)&gt;1E-9,AC397*(1+$G$53)-MAX($B$9,0.01*AC397+AC397*$G$53),0),0)</f>
        <v/>
      </c>
      <c r="AD398">
        <f>AC397*$G$53</f>
        <v/>
      </c>
      <c r="AE398">
        <f>IF(AE397&gt;1E-9,IF(AE397*(1+$G$54)-MAX($B$9,0.01*AE397+AE397*$G$54)&gt;1E-9,AE397*(1+$G$54)-MAX($B$9,0.01*AE397+AE397*$G$54),0),0)</f>
        <v/>
      </c>
      <c r="AF398">
        <f>AE397*$G$54</f>
        <v/>
      </c>
      <c r="AG398">
        <f>IF(AG397&gt;1E-9,IF(AG397*(1+$G$55)-MAX($B$9,0.01*AG397+AG397*$G$55)&gt;1E-9,AG397*(1+$G$55)-MAX($B$9,0.01*AG397+AG397*$G$55),0),0)</f>
        <v/>
      </c>
      <c r="AH398">
        <f>AG397*$G$55</f>
        <v/>
      </c>
      <c r="AI398">
        <f>G398+K398+O398+S398+W398</f>
        <v/>
      </c>
      <c r="AJ398">
        <f>AI397+AK398-AI398</f>
        <v/>
      </c>
      <c r="AK398">
        <f>H398+L398+P398+T398+X398</f>
        <v/>
      </c>
      <c r="AL398">
        <f>TEXT(EDATE($B$5,D398-1),"mmm yyyy")</f>
        <v/>
      </c>
      <c r="AM398">
        <f>AI398</f>
        <v/>
      </c>
    </row>
    <row r="399">
      <c r="D399" t="n">
        <v>338</v>
      </c>
      <c r="E399">
        <f>IF(G398&gt;0,MAX(0,G398*(1+$G$51)-$H$51),0)</f>
        <v/>
      </c>
      <c r="F399">
        <f>$B$6+IF($D399=$B$8,$B$7,0)</f>
        <v/>
      </c>
      <c r="G399">
        <f>IF(E399-F399&gt;1E-9,E399-F399,0)</f>
        <v/>
      </c>
      <c r="H399">
        <f>G398*$G$51</f>
        <v/>
      </c>
      <c r="I399">
        <f>IF(K398&gt;0,MAX(0,K398*(1+$G$52)-$H$52),0)</f>
        <v/>
      </c>
      <c r="J399">
        <f>MAX(0,F399-E399)</f>
        <v/>
      </c>
      <c r="K399">
        <f>IF(I399-J399&gt;1E-9,I399-J399,0)</f>
        <v/>
      </c>
      <c r="L399">
        <f>K398*$G$52</f>
        <v/>
      </c>
      <c r="M399">
        <f>IF(O398&gt;0,MAX(0,O398*(1+$G$53)-$H$53),0)</f>
        <v/>
      </c>
      <c r="N399">
        <f>MAX(0,J399-I399)</f>
        <v/>
      </c>
      <c r="O399">
        <f>IF(M399-N399&gt;1E-9,M399-N399,0)</f>
        <v/>
      </c>
      <c r="P399">
        <f>O398*$G$53</f>
        <v/>
      </c>
      <c r="Q399">
        <f>IF(S398&gt;0,MAX(0,S398*(1+$G$54)-$H$54),0)</f>
        <v/>
      </c>
      <c r="R399">
        <f>MAX(0,N399-M399)</f>
        <v/>
      </c>
      <c r="S399">
        <f>IF(Q399-R399&gt;1E-9,Q399-R399,0)</f>
        <v/>
      </c>
      <c r="T399">
        <f>S398*$G$54</f>
        <v/>
      </c>
      <c r="U399">
        <f>IF(W398&gt;0,MAX(0,W398*(1+$G$55)-$H$55),0)</f>
        <v/>
      </c>
      <c r="V399">
        <f>MAX(0,R399-Q399)</f>
        <v/>
      </c>
      <c r="W399">
        <f>IF(U399-V399&gt;1E-9,U399-V399,0)</f>
        <v/>
      </c>
      <c r="X399">
        <f>W398*$G$55</f>
        <v/>
      </c>
      <c r="Y399">
        <f>IF(Y398&gt;1E-9,IF(Y398*(1+$G$51)-MAX($B$9,0.01*Y398+Y398*$G$51)&gt;1E-9,Y398*(1+$G$51)-MAX($B$9,0.01*Y398+Y398*$G$51),0),0)</f>
        <v/>
      </c>
      <c r="Z399">
        <f>Y398*$G$51</f>
        <v/>
      </c>
      <c r="AA399">
        <f>IF(AA398&gt;1E-9,IF(AA398*(1+$G$52)-MAX($B$9,0.01*AA398+AA398*$G$52)&gt;1E-9,AA398*(1+$G$52)-MAX($B$9,0.01*AA398+AA398*$G$52),0),0)</f>
        <v/>
      </c>
      <c r="AB399">
        <f>AA398*$G$52</f>
        <v/>
      </c>
      <c r="AC399">
        <f>IF(AC398&gt;1E-9,IF(AC398*(1+$G$53)-MAX($B$9,0.01*AC398+AC398*$G$53)&gt;1E-9,AC398*(1+$G$53)-MAX($B$9,0.01*AC398+AC398*$G$53),0),0)</f>
        <v/>
      </c>
      <c r="AD399">
        <f>AC398*$G$53</f>
        <v/>
      </c>
      <c r="AE399">
        <f>IF(AE398&gt;1E-9,IF(AE398*(1+$G$54)-MAX($B$9,0.01*AE398+AE398*$G$54)&gt;1E-9,AE398*(1+$G$54)-MAX($B$9,0.01*AE398+AE398*$G$54),0),0)</f>
        <v/>
      </c>
      <c r="AF399">
        <f>AE398*$G$54</f>
        <v/>
      </c>
      <c r="AG399">
        <f>IF(AG398&gt;1E-9,IF(AG398*(1+$G$55)-MAX($B$9,0.01*AG398+AG398*$G$55)&gt;1E-9,AG398*(1+$G$55)-MAX($B$9,0.01*AG398+AG398*$G$55),0),0)</f>
        <v/>
      </c>
      <c r="AH399">
        <f>AG398*$G$55</f>
        <v/>
      </c>
      <c r="AI399">
        <f>G399+K399+O399+S399+W399</f>
        <v/>
      </c>
      <c r="AJ399">
        <f>AI398+AK399-AI399</f>
        <v/>
      </c>
      <c r="AK399">
        <f>H399+L399+P399+T399+X399</f>
        <v/>
      </c>
      <c r="AL399">
        <f>TEXT(EDATE($B$5,D399-1),"mmm yyyy")</f>
        <v/>
      </c>
      <c r="AM399">
        <f>AI399</f>
        <v/>
      </c>
    </row>
    <row r="400">
      <c r="D400" t="n">
        <v>339</v>
      </c>
      <c r="E400">
        <f>IF(G399&gt;0,MAX(0,G399*(1+$G$51)-$H$51),0)</f>
        <v/>
      </c>
      <c r="F400">
        <f>$B$6+IF($D400=$B$8,$B$7,0)</f>
        <v/>
      </c>
      <c r="G400">
        <f>IF(E400-F400&gt;1E-9,E400-F400,0)</f>
        <v/>
      </c>
      <c r="H400">
        <f>G399*$G$51</f>
        <v/>
      </c>
      <c r="I400">
        <f>IF(K399&gt;0,MAX(0,K399*(1+$G$52)-$H$52),0)</f>
        <v/>
      </c>
      <c r="J400">
        <f>MAX(0,F400-E400)</f>
        <v/>
      </c>
      <c r="K400">
        <f>IF(I400-J400&gt;1E-9,I400-J400,0)</f>
        <v/>
      </c>
      <c r="L400">
        <f>K399*$G$52</f>
        <v/>
      </c>
      <c r="M400">
        <f>IF(O399&gt;0,MAX(0,O399*(1+$G$53)-$H$53),0)</f>
        <v/>
      </c>
      <c r="N400">
        <f>MAX(0,J400-I400)</f>
        <v/>
      </c>
      <c r="O400">
        <f>IF(M400-N400&gt;1E-9,M400-N400,0)</f>
        <v/>
      </c>
      <c r="P400">
        <f>O399*$G$53</f>
        <v/>
      </c>
      <c r="Q400">
        <f>IF(S399&gt;0,MAX(0,S399*(1+$G$54)-$H$54),0)</f>
        <v/>
      </c>
      <c r="R400">
        <f>MAX(0,N400-M400)</f>
        <v/>
      </c>
      <c r="S400">
        <f>IF(Q400-R400&gt;1E-9,Q400-R400,0)</f>
        <v/>
      </c>
      <c r="T400">
        <f>S399*$G$54</f>
        <v/>
      </c>
      <c r="U400">
        <f>IF(W399&gt;0,MAX(0,W399*(1+$G$55)-$H$55),0)</f>
        <v/>
      </c>
      <c r="V400">
        <f>MAX(0,R400-Q400)</f>
        <v/>
      </c>
      <c r="W400">
        <f>IF(U400-V400&gt;1E-9,U400-V400,0)</f>
        <v/>
      </c>
      <c r="X400">
        <f>W399*$G$55</f>
        <v/>
      </c>
      <c r="Y400">
        <f>IF(Y399&gt;1E-9,IF(Y399*(1+$G$51)-MAX($B$9,0.01*Y399+Y399*$G$51)&gt;1E-9,Y399*(1+$G$51)-MAX($B$9,0.01*Y399+Y399*$G$51),0),0)</f>
        <v/>
      </c>
      <c r="Z400">
        <f>Y399*$G$51</f>
        <v/>
      </c>
      <c r="AA400">
        <f>IF(AA399&gt;1E-9,IF(AA399*(1+$G$52)-MAX($B$9,0.01*AA399+AA399*$G$52)&gt;1E-9,AA399*(1+$G$52)-MAX($B$9,0.01*AA399+AA399*$G$52),0),0)</f>
        <v/>
      </c>
      <c r="AB400">
        <f>AA399*$G$52</f>
        <v/>
      </c>
      <c r="AC400">
        <f>IF(AC399&gt;1E-9,IF(AC399*(1+$G$53)-MAX($B$9,0.01*AC399+AC399*$G$53)&gt;1E-9,AC399*(1+$G$53)-MAX($B$9,0.01*AC399+AC399*$G$53),0),0)</f>
        <v/>
      </c>
      <c r="AD400">
        <f>AC399*$G$53</f>
        <v/>
      </c>
      <c r="AE400">
        <f>IF(AE399&gt;1E-9,IF(AE399*(1+$G$54)-MAX($B$9,0.01*AE399+AE399*$G$54)&gt;1E-9,AE399*(1+$G$54)-MAX($B$9,0.01*AE399+AE399*$G$54),0),0)</f>
        <v/>
      </c>
      <c r="AF400">
        <f>AE399*$G$54</f>
        <v/>
      </c>
      <c r="AG400">
        <f>IF(AG399&gt;1E-9,IF(AG399*(1+$G$55)-MAX($B$9,0.01*AG399+AG399*$G$55)&gt;1E-9,AG399*(1+$G$55)-MAX($B$9,0.01*AG399+AG399*$G$55),0),0)</f>
        <v/>
      </c>
      <c r="AH400">
        <f>AG399*$G$55</f>
        <v/>
      </c>
      <c r="AI400">
        <f>G400+K400+O400+S400+W400</f>
        <v/>
      </c>
      <c r="AJ400">
        <f>AI399+AK400-AI400</f>
        <v/>
      </c>
      <c r="AK400">
        <f>H400+L400+P400+T400+X400</f>
        <v/>
      </c>
      <c r="AL400">
        <f>TEXT(EDATE($B$5,D400-1),"mmm yyyy")</f>
        <v/>
      </c>
      <c r="AM400">
        <f>AI400</f>
        <v/>
      </c>
    </row>
    <row r="401">
      <c r="D401" t="n">
        <v>340</v>
      </c>
      <c r="E401">
        <f>IF(G400&gt;0,MAX(0,G400*(1+$G$51)-$H$51),0)</f>
        <v/>
      </c>
      <c r="F401">
        <f>$B$6+IF($D401=$B$8,$B$7,0)</f>
        <v/>
      </c>
      <c r="G401">
        <f>IF(E401-F401&gt;1E-9,E401-F401,0)</f>
        <v/>
      </c>
      <c r="H401">
        <f>G400*$G$51</f>
        <v/>
      </c>
      <c r="I401">
        <f>IF(K400&gt;0,MAX(0,K400*(1+$G$52)-$H$52),0)</f>
        <v/>
      </c>
      <c r="J401">
        <f>MAX(0,F401-E401)</f>
        <v/>
      </c>
      <c r="K401">
        <f>IF(I401-J401&gt;1E-9,I401-J401,0)</f>
        <v/>
      </c>
      <c r="L401">
        <f>K400*$G$52</f>
        <v/>
      </c>
      <c r="M401">
        <f>IF(O400&gt;0,MAX(0,O400*(1+$G$53)-$H$53),0)</f>
        <v/>
      </c>
      <c r="N401">
        <f>MAX(0,J401-I401)</f>
        <v/>
      </c>
      <c r="O401">
        <f>IF(M401-N401&gt;1E-9,M401-N401,0)</f>
        <v/>
      </c>
      <c r="P401">
        <f>O400*$G$53</f>
        <v/>
      </c>
      <c r="Q401">
        <f>IF(S400&gt;0,MAX(0,S400*(1+$G$54)-$H$54),0)</f>
        <v/>
      </c>
      <c r="R401">
        <f>MAX(0,N401-M401)</f>
        <v/>
      </c>
      <c r="S401">
        <f>IF(Q401-R401&gt;1E-9,Q401-R401,0)</f>
        <v/>
      </c>
      <c r="T401">
        <f>S400*$G$54</f>
        <v/>
      </c>
      <c r="U401">
        <f>IF(W400&gt;0,MAX(0,W400*(1+$G$55)-$H$55),0)</f>
        <v/>
      </c>
      <c r="V401">
        <f>MAX(0,R401-Q401)</f>
        <v/>
      </c>
      <c r="W401">
        <f>IF(U401-V401&gt;1E-9,U401-V401,0)</f>
        <v/>
      </c>
      <c r="X401">
        <f>W400*$G$55</f>
        <v/>
      </c>
      <c r="Y401">
        <f>IF(Y400&gt;1E-9,IF(Y400*(1+$G$51)-MAX($B$9,0.01*Y400+Y400*$G$51)&gt;1E-9,Y400*(1+$G$51)-MAX($B$9,0.01*Y400+Y400*$G$51),0),0)</f>
        <v/>
      </c>
      <c r="Z401">
        <f>Y400*$G$51</f>
        <v/>
      </c>
      <c r="AA401">
        <f>IF(AA400&gt;1E-9,IF(AA400*(1+$G$52)-MAX($B$9,0.01*AA400+AA400*$G$52)&gt;1E-9,AA400*(1+$G$52)-MAX($B$9,0.01*AA400+AA400*$G$52),0),0)</f>
        <v/>
      </c>
      <c r="AB401">
        <f>AA400*$G$52</f>
        <v/>
      </c>
      <c r="AC401">
        <f>IF(AC400&gt;1E-9,IF(AC400*(1+$G$53)-MAX($B$9,0.01*AC400+AC400*$G$53)&gt;1E-9,AC400*(1+$G$53)-MAX($B$9,0.01*AC400+AC400*$G$53),0),0)</f>
        <v/>
      </c>
      <c r="AD401">
        <f>AC400*$G$53</f>
        <v/>
      </c>
      <c r="AE401">
        <f>IF(AE400&gt;1E-9,IF(AE400*(1+$G$54)-MAX($B$9,0.01*AE400+AE400*$G$54)&gt;1E-9,AE400*(1+$G$54)-MAX($B$9,0.01*AE400+AE400*$G$54),0),0)</f>
        <v/>
      </c>
      <c r="AF401">
        <f>AE400*$G$54</f>
        <v/>
      </c>
      <c r="AG401">
        <f>IF(AG400&gt;1E-9,IF(AG400*(1+$G$55)-MAX($B$9,0.01*AG400+AG400*$G$55)&gt;1E-9,AG400*(1+$G$55)-MAX($B$9,0.01*AG400+AG400*$G$55),0),0)</f>
        <v/>
      </c>
      <c r="AH401">
        <f>AG400*$G$55</f>
        <v/>
      </c>
      <c r="AI401">
        <f>G401+K401+O401+S401+W401</f>
        <v/>
      </c>
      <c r="AJ401">
        <f>AI400+AK401-AI401</f>
        <v/>
      </c>
      <c r="AK401">
        <f>H401+L401+P401+T401+X401</f>
        <v/>
      </c>
      <c r="AL401">
        <f>TEXT(EDATE($B$5,D401-1),"mmm yyyy")</f>
        <v/>
      </c>
      <c r="AM401">
        <f>AI401</f>
        <v/>
      </c>
    </row>
    <row r="402">
      <c r="D402" t="n">
        <v>341</v>
      </c>
      <c r="E402">
        <f>IF(G401&gt;0,MAX(0,G401*(1+$G$51)-$H$51),0)</f>
        <v/>
      </c>
      <c r="F402">
        <f>$B$6+IF($D402=$B$8,$B$7,0)</f>
        <v/>
      </c>
      <c r="G402">
        <f>IF(E402-F402&gt;1E-9,E402-F402,0)</f>
        <v/>
      </c>
      <c r="H402">
        <f>G401*$G$51</f>
        <v/>
      </c>
      <c r="I402">
        <f>IF(K401&gt;0,MAX(0,K401*(1+$G$52)-$H$52),0)</f>
        <v/>
      </c>
      <c r="J402">
        <f>MAX(0,F402-E402)</f>
        <v/>
      </c>
      <c r="K402">
        <f>IF(I402-J402&gt;1E-9,I402-J402,0)</f>
        <v/>
      </c>
      <c r="L402">
        <f>K401*$G$52</f>
        <v/>
      </c>
      <c r="M402">
        <f>IF(O401&gt;0,MAX(0,O401*(1+$G$53)-$H$53),0)</f>
        <v/>
      </c>
      <c r="N402">
        <f>MAX(0,J402-I402)</f>
        <v/>
      </c>
      <c r="O402">
        <f>IF(M402-N402&gt;1E-9,M402-N402,0)</f>
        <v/>
      </c>
      <c r="P402">
        <f>O401*$G$53</f>
        <v/>
      </c>
      <c r="Q402">
        <f>IF(S401&gt;0,MAX(0,S401*(1+$G$54)-$H$54),0)</f>
        <v/>
      </c>
      <c r="R402">
        <f>MAX(0,N402-M402)</f>
        <v/>
      </c>
      <c r="S402">
        <f>IF(Q402-R402&gt;1E-9,Q402-R402,0)</f>
        <v/>
      </c>
      <c r="T402">
        <f>S401*$G$54</f>
        <v/>
      </c>
      <c r="U402">
        <f>IF(W401&gt;0,MAX(0,W401*(1+$G$55)-$H$55),0)</f>
        <v/>
      </c>
      <c r="V402">
        <f>MAX(0,R402-Q402)</f>
        <v/>
      </c>
      <c r="W402">
        <f>IF(U402-V402&gt;1E-9,U402-V402,0)</f>
        <v/>
      </c>
      <c r="X402">
        <f>W401*$G$55</f>
        <v/>
      </c>
      <c r="Y402">
        <f>IF(Y401&gt;1E-9,IF(Y401*(1+$G$51)-MAX($B$9,0.01*Y401+Y401*$G$51)&gt;1E-9,Y401*(1+$G$51)-MAX($B$9,0.01*Y401+Y401*$G$51),0),0)</f>
        <v/>
      </c>
      <c r="Z402">
        <f>Y401*$G$51</f>
        <v/>
      </c>
      <c r="AA402">
        <f>IF(AA401&gt;1E-9,IF(AA401*(1+$G$52)-MAX($B$9,0.01*AA401+AA401*$G$52)&gt;1E-9,AA401*(1+$G$52)-MAX($B$9,0.01*AA401+AA401*$G$52),0),0)</f>
        <v/>
      </c>
      <c r="AB402">
        <f>AA401*$G$52</f>
        <v/>
      </c>
      <c r="AC402">
        <f>IF(AC401&gt;1E-9,IF(AC401*(1+$G$53)-MAX($B$9,0.01*AC401+AC401*$G$53)&gt;1E-9,AC401*(1+$G$53)-MAX($B$9,0.01*AC401+AC401*$G$53),0),0)</f>
        <v/>
      </c>
      <c r="AD402">
        <f>AC401*$G$53</f>
        <v/>
      </c>
      <c r="AE402">
        <f>IF(AE401&gt;1E-9,IF(AE401*(1+$G$54)-MAX($B$9,0.01*AE401+AE401*$G$54)&gt;1E-9,AE401*(1+$G$54)-MAX($B$9,0.01*AE401+AE401*$G$54),0),0)</f>
        <v/>
      </c>
      <c r="AF402">
        <f>AE401*$G$54</f>
        <v/>
      </c>
      <c r="AG402">
        <f>IF(AG401&gt;1E-9,IF(AG401*(1+$G$55)-MAX($B$9,0.01*AG401+AG401*$G$55)&gt;1E-9,AG401*(1+$G$55)-MAX($B$9,0.01*AG401+AG401*$G$55),0),0)</f>
        <v/>
      </c>
      <c r="AH402">
        <f>AG401*$G$55</f>
        <v/>
      </c>
      <c r="AI402">
        <f>G402+K402+O402+S402+W402</f>
        <v/>
      </c>
      <c r="AJ402">
        <f>AI401+AK402-AI402</f>
        <v/>
      </c>
      <c r="AK402">
        <f>H402+L402+P402+T402+X402</f>
        <v/>
      </c>
      <c r="AL402">
        <f>TEXT(EDATE($B$5,D402-1),"mmm yyyy")</f>
        <v/>
      </c>
      <c r="AM402">
        <f>AI402</f>
        <v/>
      </c>
    </row>
    <row r="403">
      <c r="D403" t="n">
        <v>342</v>
      </c>
      <c r="E403">
        <f>IF(G402&gt;0,MAX(0,G402*(1+$G$51)-$H$51),0)</f>
        <v/>
      </c>
      <c r="F403">
        <f>$B$6+IF($D403=$B$8,$B$7,0)</f>
        <v/>
      </c>
      <c r="G403">
        <f>IF(E403-F403&gt;1E-9,E403-F403,0)</f>
        <v/>
      </c>
      <c r="H403">
        <f>G402*$G$51</f>
        <v/>
      </c>
      <c r="I403">
        <f>IF(K402&gt;0,MAX(0,K402*(1+$G$52)-$H$52),0)</f>
        <v/>
      </c>
      <c r="J403">
        <f>MAX(0,F403-E403)</f>
        <v/>
      </c>
      <c r="K403">
        <f>IF(I403-J403&gt;1E-9,I403-J403,0)</f>
        <v/>
      </c>
      <c r="L403">
        <f>K402*$G$52</f>
        <v/>
      </c>
      <c r="M403">
        <f>IF(O402&gt;0,MAX(0,O402*(1+$G$53)-$H$53),0)</f>
        <v/>
      </c>
      <c r="N403">
        <f>MAX(0,J403-I403)</f>
        <v/>
      </c>
      <c r="O403">
        <f>IF(M403-N403&gt;1E-9,M403-N403,0)</f>
        <v/>
      </c>
      <c r="P403">
        <f>O402*$G$53</f>
        <v/>
      </c>
      <c r="Q403">
        <f>IF(S402&gt;0,MAX(0,S402*(1+$G$54)-$H$54),0)</f>
        <v/>
      </c>
      <c r="R403">
        <f>MAX(0,N403-M403)</f>
        <v/>
      </c>
      <c r="S403">
        <f>IF(Q403-R403&gt;1E-9,Q403-R403,0)</f>
        <v/>
      </c>
      <c r="T403">
        <f>S402*$G$54</f>
        <v/>
      </c>
      <c r="U403">
        <f>IF(W402&gt;0,MAX(0,W402*(1+$G$55)-$H$55),0)</f>
        <v/>
      </c>
      <c r="V403">
        <f>MAX(0,R403-Q403)</f>
        <v/>
      </c>
      <c r="W403">
        <f>IF(U403-V403&gt;1E-9,U403-V403,0)</f>
        <v/>
      </c>
      <c r="X403">
        <f>W402*$G$55</f>
        <v/>
      </c>
      <c r="Y403">
        <f>IF(Y402&gt;1E-9,IF(Y402*(1+$G$51)-MAX($B$9,0.01*Y402+Y402*$G$51)&gt;1E-9,Y402*(1+$G$51)-MAX($B$9,0.01*Y402+Y402*$G$51),0),0)</f>
        <v/>
      </c>
      <c r="Z403">
        <f>Y402*$G$51</f>
        <v/>
      </c>
      <c r="AA403">
        <f>IF(AA402&gt;1E-9,IF(AA402*(1+$G$52)-MAX($B$9,0.01*AA402+AA402*$G$52)&gt;1E-9,AA402*(1+$G$52)-MAX($B$9,0.01*AA402+AA402*$G$52),0),0)</f>
        <v/>
      </c>
      <c r="AB403">
        <f>AA402*$G$52</f>
        <v/>
      </c>
      <c r="AC403">
        <f>IF(AC402&gt;1E-9,IF(AC402*(1+$G$53)-MAX($B$9,0.01*AC402+AC402*$G$53)&gt;1E-9,AC402*(1+$G$53)-MAX($B$9,0.01*AC402+AC402*$G$53),0),0)</f>
        <v/>
      </c>
      <c r="AD403">
        <f>AC402*$G$53</f>
        <v/>
      </c>
      <c r="AE403">
        <f>IF(AE402&gt;1E-9,IF(AE402*(1+$G$54)-MAX($B$9,0.01*AE402+AE402*$G$54)&gt;1E-9,AE402*(1+$G$54)-MAX($B$9,0.01*AE402+AE402*$G$54),0),0)</f>
        <v/>
      </c>
      <c r="AF403">
        <f>AE402*$G$54</f>
        <v/>
      </c>
      <c r="AG403">
        <f>IF(AG402&gt;1E-9,IF(AG402*(1+$G$55)-MAX($B$9,0.01*AG402+AG402*$G$55)&gt;1E-9,AG402*(1+$G$55)-MAX($B$9,0.01*AG402+AG402*$G$55),0),0)</f>
        <v/>
      </c>
      <c r="AH403">
        <f>AG402*$G$55</f>
        <v/>
      </c>
      <c r="AI403">
        <f>G403+K403+O403+S403+W403</f>
        <v/>
      </c>
      <c r="AJ403">
        <f>AI402+AK403-AI403</f>
        <v/>
      </c>
      <c r="AK403">
        <f>H403+L403+P403+T403+X403</f>
        <v/>
      </c>
      <c r="AL403">
        <f>TEXT(EDATE($B$5,D403-1),"mmm yyyy")</f>
        <v/>
      </c>
      <c r="AM403">
        <f>AI403</f>
        <v/>
      </c>
    </row>
    <row r="404">
      <c r="D404" t="n">
        <v>343</v>
      </c>
      <c r="E404">
        <f>IF(G403&gt;0,MAX(0,G403*(1+$G$51)-$H$51),0)</f>
        <v/>
      </c>
      <c r="F404">
        <f>$B$6+IF($D404=$B$8,$B$7,0)</f>
        <v/>
      </c>
      <c r="G404">
        <f>IF(E404-F404&gt;1E-9,E404-F404,0)</f>
        <v/>
      </c>
      <c r="H404">
        <f>G403*$G$51</f>
        <v/>
      </c>
      <c r="I404">
        <f>IF(K403&gt;0,MAX(0,K403*(1+$G$52)-$H$52),0)</f>
        <v/>
      </c>
      <c r="J404">
        <f>MAX(0,F404-E404)</f>
        <v/>
      </c>
      <c r="K404">
        <f>IF(I404-J404&gt;1E-9,I404-J404,0)</f>
        <v/>
      </c>
      <c r="L404">
        <f>K403*$G$52</f>
        <v/>
      </c>
      <c r="M404">
        <f>IF(O403&gt;0,MAX(0,O403*(1+$G$53)-$H$53),0)</f>
        <v/>
      </c>
      <c r="N404">
        <f>MAX(0,J404-I404)</f>
        <v/>
      </c>
      <c r="O404">
        <f>IF(M404-N404&gt;1E-9,M404-N404,0)</f>
        <v/>
      </c>
      <c r="P404">
        <f>O403*$G$53</f>
        <v/>
      </c>
      <c r="Q404">
        <f>IF(S403&gt;0,MAX(0,S403*(1+$G$54)-$H$54),0)</f>
        <v/>
      </c>
      <c r="R404">
        <f>MAX(0,N404-M404)</f>
        <v/>
      </c>
      <c r="S404">
        <f>IF(Q404-R404&gt;1E-9,Q404-R404,0)</f>
        <v/>
      </c>
      <c r="T404">
        <f>S403*$G$54</f>
        <v/>
      </c>
      <c r="U404">
        <f>IF(W403&gt;0,MAX(0,W403*(1+$G$55)-$H$55),0)</f>
        <v/>
      </c>
      <c r="V404">
        <f>MAX(0,R404-Q404)</f>
        <v/>
      </c>
      <c r="W404">
        <f>IF(U404-V404&gt;1E-9,U404-V404,0)</f>
        <v/>
      </c>
      <c r="X404">
        <f>W403*$G$55</f>
        <v/>
      </c>
      <c r="Y404">
        <f>IF(Y403&gt;1E-9,IF(Y403*(1+$G$51)-MAX($B$9,0.01*Y403+Y403*$G$51)&gt;1E-9,Y403*(1+$G$51)-MAX($B$9,0.01*Y403+Y403*$G$51),0),0)</f>
        <v/>
      </c>
      <c r="Z404">
        <f>Y403*$G$51</f>
        <v/>
      </c>
      <c r="AA404">
        <f>IF(AA403&gt;1E-9,IF(AA403*(1+$G$52)-MAX($B$9,0.01*AA403+AA403*$G$52)&gt;1E-9,AA403*(1+$G$52)-MAX($B$9,0.01*AA403+AA403*$G$52),0),0)</f>
        <v/>
      </c>
      <c r="AB404">
        <f>AA403*$G$52</f>
        <v/>
      </c>
      <c r="AC404">
        <f>IF(AC403&gt;1E-9,IF(AC403*(1+$G$53)-MAX($B$9,0.01*AC403+AC403*$G$53)&gt;1E-9,AC403*(1+$G$53)-MAX($B$9,0.01*AC403+AC403*$G$53),0),0)</f>
        <v/>
      </c>
      <c r="AD404">
        <f>AC403*$G$53</f>
        <v/>
      </c>
      <c r="AE404">
        <f>IF(AE403&gt;1E-9,IF(AE403*(1+$G$54)-MAX($B$9,0.01*AE403+AE403*$G$54)&gt;1E-9,AE403*(1+$G$54)-MAX($B$9,0.01*AE403+AE403*$G$54),0),0)</f>
        <v/>
      </c>
      <c r="AF404">
        <f>AE403*$G$54</f>
        <v/>
      </c>
      <c r="AG404">
        <f>IF(AG403&gt;1E-9,IF(AG403*(1+$G$55)-MAX($B$9,0.01*AG403+AG403*$G$55)&gt;1E-9,AG403*(1+$G$55)-MAX($B$9,0.01*AG403+AG403*$G$55),0),0)</f>
        <v/>
      </c>
      <c r="AH404">
        <f>AG403*$G$55</f>
        <v/>
      </c>
      <c r="AI404">
        <f>G404+K404+O404+S404+W404</f>
        <v/>
      </c>
      <c r="AJ404">
        <f>AI403+AK404-AI404</f>
        <v/>
      </c>
      <c r="AK404">
        <f>H404+L404+P404+T404+X404</f>
        <v/>
      </c>
      <c r="AL404">
        <f>TEXT(EDATE($B$5,D404-1),"mmm yyyy")</f>
        <v/>
      </c>
      <c r="AM404">
        <f>AI404</f>
        <v/>
      </c>
    </row>
    <row r="405">
      <c r="D405" t="n">
        <v>344</v>
      </c>
      <c r="E405">
        <f>IF(G404&gt;0,MAX(0,G404*(1+$G$51)-$H$51),0)</f>
        <v/>
      </c>
      <c r="F405">
        <f>$B$6+IF($D405=$B$8,$B$7,0)</f>
        <v/>
      </c>
      <c r="G405">
        <f>IF(E405-F405&gt;1E-9,E405-F405,0)</f>
        <v/>
      </c>
      <c r="H405">
        <f>G404*$G$51</f>
        <v/>
      </c>
      <c r="I405">
        <f>IF(K404&gt;0,MAX(0,K404*(1+$G$52)-$H$52),0)</f>
        <v/>
      </c>
      <c r="J405">
        <f>MAX(0,F405-E405)</f>
        <v/>
      </c>
      <c r="K405">
        <f>IF(I405-J405&gt;1E-9,I405-J405,0)</f>
        <v/>
      </c>
      <c r="L405">
        <f>K404*$G$52</f>
        <v/>
      </c>
      <c r="M405">
        <f>IF(O404&gt;0,MAX(0,O404*(1+$G$53)-$H$53),0)</f>
        <v/>
      </c>
      <c r="N405">
        <f>MAX(0,J405-I405)</f>
        <v/>
      </c>
      <c r="O405">
        <f>IF(M405-N405&gt;1E-9,M405-N405,0)</f>
        <v/>
      </c>
      <c r="P405">
        <f>O404*$G$53</f>
        <v/>
      </c>
      <c r="Q405">
        <f>IF(S404&gt;0,MAX(0,S404*(1+$G$54)-$H$54),0)</f>
        <v/>
      </c>
      <c r="R405">
        <f>MAX(0,N405-M405)</f>
        <v/>
      </c>
      <c r="S405">
        <f>IF(Q405-R405&gt;1E-9,Q405-R405,0)</f>
        <v/>
      </c>
      <c r="T405">
        <f>S404*$G$54</f>
        <v/>
      </c>
      <c r="U405">
        <f>IF(W404&gt;0,MAX(0,W404*(1+$G$55)-$H$55),0)</f>
        <v/>
      </c>
      <c r="V405">
        <f>MAX(0,R405-Q405)</f>
        <v/>
      </c>
      <c r="W405">
        <f>IF(U405-V405&gt;1E-9,U405-V405,0)</f>
        <v/>
      </c>
      <c r="X405">
        <f>W404*$G$55</f>
        <v/>
      </c>
      <c r="Y405">
        <f>IF(Y404&gt;1E-9,IF(Y404*(1+$G$51)-MAX($B$9,0.01*Y404+Y404*$G$51)&gt;1E-9,Y404*(1+$G$51)-MAX($B$9,0.01*Y404+Y404*$G$51),0),0)</f>
        <v/>
      </c>
      <c r="Z405">
        <f>Y404*$G$51</f>
        <v/>
      </c>
      <c r="AA405">
        <f>IF(AA404&gt;1E-9,IF(AA404*(1+$G$52)-MAX($B$9,0.01*AA404+AA404*$G$52)&gt;1E-9,AA404*(1+$G$52)-MAX($B$9,0.01*AA404+AA404*$G$52),0),0)</f>
        <v/>
      </c>
      <c r="AB405">
        <f>AA404*$G$52</f>
        <v/>
      </c>
      <c r="AC405">
        <f>IF(AC404&gt;1E-9,IF(AC404*(1+$G$53)-MAX($B$9,0.01*AC404+AC404*$G$53)&gt;1E-9,AC404*(1+$G$53)-MAX($B$9,0.01*AC404+AC404*$G$53),0),0)</f>
        <v/>
      </c>
      <c r="AD405">
        <f>AC404*$G$53</f>
        <v/>
      </c>
      <c r="AE405">
        <f>IF(AE404&gt;1E-9,IF(AE404*(1+$G$54)-MAX($B$9,0.01*AE404+AE404*$G$54)&gt;1E-9,AE404*(1+$G$54)-MAX($B$9,0.01*AE404+AE404*$G$54),0),0)</f>
        <v/>
      </c>
      <c r="AF405">
        <f>AE404*$G$54</f>
        <v/>
      </c>
      <c r="AG405">
        <f>IF(AG404&gt;1E-9,IF(AG404*(1+$G$55)-MAX($B$9,0.01*AG404+AG404*$G$55)&gt;1E-9,AG404*(1+$G$55)-MAX($B$9,0.01*AG404+AG404*$G$55),0),0)</f>
        <v/>
      </c>
      <c r="AH405">
        <f>AG404*$G$55</f>
        <v/>
      </c>
      <c r="AI405">
        <f>G405+K405+O405+S405+W405</f>
        <v/>
      </c>
      <c r="AJ405">
        <f>AI404+AK405-AI405</f>
        <v/>
      </c>
      <c r="AK405">
        <f>H405+L405+P405+T405+X405</f>
        <v/>
      </c>
      <c r="AL405">
        <f>TEXT(EDATE($B$5,D405-1),"mmm yyyy")</f>
        <v/>
      </c>
      <c r="AM405">
        <f>AI405</f>
        <v/>
      </c>
    </row>
    <row r="406">
      <c r="D406" t="n">
        <v>345</v>
      </c>
      <c r="E406">
        <f>IF(G405&gt;0,MAX(0,G405*(1+$G$51)-$H$51),0)</f>
        <v/>
      </c>
      <c r="F406">
        <f>$B$6+IF($D406=$B$8,$B$7,0)</f>
        <v/>
      </c>
      <c r="G406">
        <f>IF(E406-F406&gt;1E-9,E406-F406,0)</f>
        <v/>
      </c>
      <c r="H406">
        <f>G405*$G$51</f>
        <v/>
      </c>
      <c r="I406">
        <f>IF(K405&gt;0,MAX(0,K405*(1+$G$52)-$H$52),0)</f>
        <v/>
      </c>
      <c r="J406">
        <f>MAX(0,F406-E406)</f>
        <v/>
      </c>
      <c r="K406">
        <f>IF(I406-J406&gt;1E-9,I406-J406,0)</f>
        <v/>
      </c>
      <c r="L406">
        <f>K405*$G$52</f>
        <v/>
      </c>
      <c r="M406">
        <f>IF(O405&gt;0,MAX(0,O405*(1+$G$53)-$H$53),0)</f>
        <v/>
      </c>
      <c r="N406">
        <f>MAX(0,J406-I406)</f>
        <v/>
      </c>
      <c r="O406">
        <f>IF(M406-N406&gt;1E-9,M406-N406,0)</f>
        <v/>
      </c>
      <c r="P406">
        <f>O405*$G$53</f>
        <v/>
      </c>
      <c r="Q406">
        <f>IF(S405&gt;0,MAX(0,S405*(1+$G$54)-$H$54),0)</f>
        <v/>
      </c>
      <c r="R406">
        <f>MAX(0,N406-M406)</f>
        <v/>
      </c>
      <c r="S406">
        <f>IF(Q406-R406&gt;1E-9,Q406-R406,0)</f>
        <v/>
      </c>
      <c r="T406">
        <f>S405*$G$54</f>
        <v/>
      </c>
      <c r="U406">
        <f>IF(W405&gt;0,MAX(0,W405*(1+$G$55)-$H$55),0)</f>
        <v/>
      </c>
      <c r="V406">
        <f>MAX(0,R406-Q406)</f>
        <v/>
      </c>
      <c r="W406">
        <f>IF(U406-V406&gt;1E-9,U406-V406,0)</f>
        <v/>
      </c>
      <c r="X406">
        <f>W405*$G$55</f>
        <v/>
      </c>
      <c r="Y406">
        <f>IF(Y405&gt;1E-9,IF(Y405*(1+$G$51)-MAX($B$9,0.01*Y405+Y405*$G$51)&gt;1E-9,Y405*(1+$G$51)-MAX($B$9,0.01*Y405+Y405*$G$51),0),0)</f>
        <v/>
      </c>
      <c r="Z406">
        <f>Y405*$G$51</f>
        <v/>
      </c>
      <c r="AA406">
        <f>IF(AA405&gt;1E-9,IF(AA405*(1+$G$52)-MAX($B$9,0.01*AA405+AA405*$G$52)&gt;1E-9,AA405*(1+$G$52)-MAX($B$9,0.01*AA405+AA405*$G$52),0),0)</f>
        <v/>
      </c>
      <c r="AB406">
        <f>AA405*$G$52</f>
        <v/>
      </c>
      <c r="AC406">
        <f>IF(AC405&gt;1E-9,IF(AC405*(1+$G$53)-MAX($B$9,0.01*AC405+AC405*$G$53)&gt;1E-9,AC405*(1+$G$53)-MAX($B$9,0.01*AC405+AC405*$G$53),0),0)</f>
        <v/>
      </c>
      <c r="AD406">
        <f>AC405*$G$53</f>
        <v/>
      </c>
      <c r="AE406">
        <f>IF(AE405&gt;1E-9,IF(AE405*(1+$G$54)-MAX($B$9,0.01*AE405+AE405*$G$54)&gt;1E-9,AE405*(1+$G$54)-MAX($B$9,0.01*AE405+AE405*$G$54),0),0)</f>
        <v/>
      </c>
      <c r="AF406">
        <f>AE405*$G$54</f>
        <v/>
      </c>
      <c r="AG406">
        <f>IF(AG405&gt;1E-9,IF(AG405*(1+$G$55)-MAX($B$9,0.01*AG405+AG405*$G$55)&gt;1E-9,AG405*(1+$G$55)-MAX($B$9,0.01*AG405+AG405*$G$55),0),0)</f>
        <v/>
      </c>
      <c r="AH406">
        <f>AG405*$G$55</f>
        <v/>
      </c>
      <c r="AI406">
        <f>G406+K406+O406+S406+W406</f>
        <v/>
      </c>
      <c r="AJ406">
        <f>AI405+AK406-AI406</f>
        <v/>
      </c>
      <c r="AK406">
        <f>H406+L406+P406+T406+X406</f>
        <v/>
      </c>
      <c r="AL406">
        <f>TEXT(EDATE($B$5,D406-1),"mmm yyyy")</f>
        <v/>
      </c>
      <c r="AM406">
        <f>AI406</f>
        <v/>
      </c>
    </row>
    <row r="407">
      <c r="D407" t="n">
        <v>346</v>
      </c>
      <c r="E407">
        <f>IF(G406&gt;0,MAX(0,G406*(1+$G$51)-$H$51),0)</f>
        <v/>
      </c>
      <c r="F407">
        <f>$B$6+IF($D407=$B$8,$B$7,0)</f>
        <v/>
      </c>
      <c r="G407">
        <f>IF(E407-F407&gt;1E-9,E407-F407,0)</f>
        <v/>
      </c>
      <c r="H407">
        <f>G406*$G$51</f>
        <v/>
      </c>
      <c r="I407">
        <f>IF(K406&gt;0,MAX(0,K406*(1+$G$52)-$H$52),0)</f>
        <v/>
      </c>
      <c r="J407">
        <f>MAX(0,F407-E407)</f>
        <v/>
      </c>
      <c r="K407">
        <f>IF(I407-J407&gt;1E-9,I407-J407,0)</f>
        <v/>
      </c>
      <c r="L407">
        <f>K406*$G$52</f>
        <v/>
      </c>
      <c r="M407">
        <f>IF(O406&gt;0,MAX(0,O406*(1+$G$53)-$H$53),0)</f>
        <v/>
      </c>
      <c r="N407">
        <f>MAX(0,J407-I407)</f>
        <v/>
      </c>
      <c r="O407">
        <f>IF(M407-N407&gt;1E-9,M407-N407,0)</f>
        <v/>
      </c>
      <c r="P407">
        <f>O406*$G$53</f>
        <v/>
      </c>
      <c r="Q407">
        <f>IF(S406&gt;0,MAX(0,S406*(1+$G$54)-$H$54),0)</f>
        <v/>
      </c>
      <c r="R407">
        <f>MAX(0,N407-M407)</f>
        <v/>
      </c>
      <c r="S407">
        <f>IF(Q407-R407&gt;1E-9,Q407-R407,0)</f>
        <v/>
      </c>
      <c r="T407">
        <f>S406*$G$54</f>
        <v/>
      </c>
      <c r="U407">
        <f>IF(W406&gt;0,MAX(0,W406*(1+$G$55)-$H$55),0)</f>
        <v/>
      </c>
      <c r="V407">
        <f>MAX(0,R407-Q407)</f>
        <v/>
      </c>
      <c r="W407">
        <f>IF(U407-V407&gt;1E-9,U407-V407,0)</f>
        <v/>
      </c>
      <c r="X407">
        <f>W406*$G$55</f>
        <v/>
      </c>
      <c r="Y407">
        <f>IF(Y406&gt;1E-9,IF(Y406*(1+$G$51)-MAX($B$9,0.01*Y406+Y406*$G$51)&gt;1E-9,Y406*(1+$G$51)-MAX($B$9,0.01*Y406+Y406*$G$51),0),0)</f>
        <v/>
      </c>
      <c r="Z407">
        <f>Y406*$G$51</f>
        <v/>
      </c>
      <c r="AA407">
        <f>IF(AA406&gt;1E-9,IF(AA406*(1+$G$52)-MAX($B$9,0.01*AA406+AA406*$G$52)&gt;1E-9,AA406*(1+$G$52)-MAX($B$9,0.01*AA406+AA406*$G$52),0),0)</f>
        <v/>
      </c>
      <c r="AB407">
        <f>AA406*$G$52</f>
        <v/>
      </c>
      <c r="AC407">
        <f>IF(AC406&gt;1E-9,IF(AC406*(1+$G$53)-MAX($B$9,0.01*AC406+AC406*$G$53)&gt;1E-9,AC406*(1+$G$53)-MAX($B$9,0.01*AC406+AC406*$G$53),0),0)</f>
        <v/>
      </c>
      <c r="AD407">
        <f>AC406*$G$53</f>
        <v/>
      </c>
      <c r="AE407">
        <f>IF(AE406&gt;1E-9,IF(AE406*(1+$G$54)-MAX($B$9,0.01*AE406+AE406*$G$54)&gt;1E-9,AE406*(1+$G$54)-MAX($B$9,0.01*AE406+AE406*$G$54),0),0)</f>
        <v/>
      </c>
      <c r="AF407">
        <f>AE406*$G$54</f>
        <v/>
      </c>
      <c r="AG407">
        <f>IF(AG406&gt;1E-9,IF(AG406*(1+$G$55)-MAX($B$9,0.01*AG406+AG406*$G$55)&gt;1E-9,AG406*(1+$G$55)-MAX($B$9,0.01*AG406+AG406*$G$55),0),0)</f>
        <v/>
      </c>
      <c r="AH407">
        <f>AG406*$G$55</f>
        <v/>
      </c>
      <c r="AI407">
        <f>G407+K407+O407+S407+W407</f>
        <v/>
      </c>
      <c r="AJ407">
        <f>AI406+AK407-AI407</f>
        <v/>
      </c>
      <c r="AK407">
        <f>H407+L407+P407+T407+X407</f>
        <v/>
      </c>
      <c r="AL407">
        <f>TEXT(EDATE($B$5,D407-1),"mmm yyyy")</f>
        <v/>
      </c>
      <c r="AM407">
        <f>AI407</f>
        <v/>
      </c>
    </row>
    <row r="408">
      <c r="D408" t="n">
        <v>347</v>
      </c>
      <c r="E408">
        <f>IF(G407&gt;0,MAX(0,G407*(1+$G$51)-$H$51),0)</f>
        <v/>
      </c>
      <c r="F408">
        <f>$B$6+IF($D408=$B$8,$B$7,0)</f>
        <v/>
      </c>
      <c r="G408">
        <f>IF(E408-F408&gt;1E-9,E408-F408,0)</f>
        <v/>
      </c>
      <c r="H408">
        <f>G407*$G$51</f>
        <v/>
      </c>
      <c r="I408">
        <f>IF(K407&gt;0,MAX(0,K407*(1+$G$52)-$H$52),0)</f>
        <v/>
      </c>
      <c r="J408">
        <f>MAX(0,F408-E408)</f>
        <v/>
      </c>
      <c r="K408">
        <f>IF(I408-J408&gt;1E-9,I408-J408,0)</f>
        <v/>
      </c>
      <c r="L408">
        <f>K407*$G$52</f>
        <v/>
      </c>
      <c r="M408">
        <f>IF(O407&gt;0,MAX(0,O407*(1+$G$53)-$H$53),0)</f>
        <v/>
      </c>
      <c r="N408">
        <f>MAX(0,J408-I408)</f>
        <v/>
      </c>
      <c r="O408">
        <f>IF(M408-N408&gt;1E-9,M408-N408,0)</f>
        <v/>
      </c>
      <c r="P408">
        <f>O407*$G$53</f>
        <v/>
      </c>
      <c r="Q408">
        <f>IF(S407&gt;0,MAX(0,S407*(1+$G$54)-$H$54),0)</f>
        <v/>
      </c>
      <c r="R408">
        <f>MAX(0,N408-M408)</f>
        <v/>
      </c>
      <c r="S408">
        <f>IF(Q408-R408&gt;1E-9,Q408-R408,0)</f>
        <v/>
      </c>
      <c r="T408">
        <f>S407*$G$54</f>
        <v/>
      </c>
      <c r="U408">
        <f>IF(W407&gt;0,MAX(0,W407*(1+$G$55)-$H$55),0)</f>
        <v/>
      </c>
      <c r="V408">
        <f>MAX(0,R408-Q408)</f>
        <v/>
      </c>
      <c r="W408">
        <f>IF(U408-V408&gt;1E-9,U408-V408,0)</f>
        <v/>
      </c>
      <c r="X408">
        <f>W407*$G$55</f>
        <v/>
      </c>
      <c r="Y408">
        <f>IF(Y407&gt;1E-9,IF(Y407*(1+$G$51)-MAX($B$9,0.01*Y407+Y407*$G$51)&gt;1E-9,Y407*(1+$G$51)-MAX($B$9,0.01*Y407+Y407*$G$51),0),0)</f>
        <v/>
      </c>
      <c r="Z408">
        <f>Y407*$G$51</f>
        <v/>
      </c>
      <c r="AA408">
        <f>IF(AA407&gt;1E-9,IF(AA407*(1+$G$52)-MAX($B$9,0.01*AA407+AA407*$G$52)&gt;1E-9,AA407*(1+$G$52)-MAX($B$9,0.01*AA407+AA407*$G$52),0),0)</f>
        <v/>
      </c>
      <c r="AB408">
        <f>AA407*$G$52</f>
        <v/>
      </c>
      <c r="AC408">
        <f>IF(AC407&gt;1E-9,IF(AC407*(1+$G$53)-MAX($B$9,0.01*AC407+AC407*$G$53)&gt;1E-9,AC407*(1+$G$53)-MAX($B$9,0.01*AC407+AC407*$G$53),0),0)</f>
        <v/>
      </c>
      <c r="AD408">
        <f>AC407*$G$53</f>
        <v/>
      </c>
      <c r="AE408">
        <f>IF(AE407&gt;1E-9,IF(AE407*(1+$G$54)-MAX($B$9,0.01*AE407+AE407*$G$54)&gt;1E-9,AE407*(1+$G$54)-MAX($B$9,0.01*AE407+AE407*$G$54),0),0)</f>
        <v/>
      </c>
      <c r="AF408">
        <f>AE407*$G$54</f>
        <v/>
      </c>
      <c r="AG408">
        <f>IF(AG407&gt;1E-9,IF(AG407*(1+$G$55)-MAX($B$9,0.01*AG407+AG407*$G$55)&gt;1E-9,AG407*(1+$G$55)-MAX($B$9,0.01*AG407+AG407*$G$55),0),0)</f>
        <v/>
      </c>
      <c r="AH408">
        <f>AG407*$G$55</f>
        <v/>
      </c>
      <c r="AI408">
        <f>G408+K408+O408+S408+W408</f>
        <v/>
      </c>
      <c r="AJ408">
        <f>AI407+AK408-AI408</f>
        <v/>
      </c>
      <c r="AK408">
        <f>H408+L408+P408+T408+X408</f>
        <v/>
      </c>
      <c r="AL408">
        <f>TEXT(EDATE($B$5,D408-1),"mmm yyyy")</f>
        <v/>
      </c>
      <c r="AM408">
        <f>AI408</f>
        <v/>
      </c>
    </row>
    <row r="409">
      <c r="D409" t="n">
        <v>348</v>
      </c>
      <c r="E409">
        <f>IF(G408&gt;0,MAX(0,G408*(1+$G$51)-$H$51),0)</f>
        <v/>
      </c>
      <c r="F409">
        <f>$B$6+IF($D409=$B$8,$B$7,0)</f>
        <v/>
      </c>
      <c r="G409">
        <f>IF(E409-F409&gt;1E-9,E409-F409,0)</f>
        <v/>
      </c>
      <c r="H409">
        <f>G408*$G$51</f>
        <v/>
      </c>
      <c r="I409">
        <f>IF(K408&gt;0,MAX(0,K408*(1+$G$52)-$H$52),0)</f>
        <v/>
      </c>
      <c r="J409">
        <f>MAX(0,F409-E409)</f>
        <v/>
      </c>
      <c r="K409">
        <f>IF(I409-J409&gt;1E-9,I409-J409,0)</f>
        <v/>
      </c>
      <c r="L409">
        <f>K408*$G$52</f>
        <v/>
      </c>
      <c r="M409">
        <f>IF(O408&gt;0,MAX(0,O408*(1+$G$53)-$H$53),0)</f>
        <v/>
      </c>
      <c r="N409">
        <f>MAX(0,J409-I409)</f>
        <v/>
      </c>
      <c r="O409">
        <f>IF(M409-N409&gt;1E-9,M409-N409,0)</f>
        <v/>
      </c>
      <c r="P409">
        <f>O408*$G$53</f>
        <v/>
      </c>
      <c r="Q409">
        <f>IF(S408&gt;0,MAX(0,S408*(1+$G$54)-$H$54),0)</f>
        <v/>
      </c>
      <c r="R409">
        <f>MAX(0,N409-M409)</f>
        <v/>
      </c>
      <c r="S409">
        <f>IF(Q409-R409&gt;1E-9,Q409-R409,0)</f>
        <v/>
      </c>
      <c r="T409">
        <f>S408*$G$54</f>
        <v/>
      </c>
      <c r="U409">
        <f>IF(W408&gt;0,MAX(0,W408*(1+$G$55)-$H$55),0)</f>
        <v/>
      </c>
      <c r="V409">
        <f>MAX(0,R409-Q409)</f>
        <v/>
      </c>
      <c r="W409">
        <f>IF(U409-V409&gt;1E-9,U409-V409,0)</f>
        <v/>
      </c>
      <c r="X409">
        <f>W408*$G$55</f>
        <v/>
      </c>
      <c r="Y409">
        <f>IF(Y408&gt;1E-9,IF(Y408*(1+$G$51)-MAX($B$9,0.01*Y408+Y408*$G$51)&gt;1E-9,Y408*(1+$G$51)-MAX($B$9,0.01*Y408+Y408*$G$51),0),0)</f>
        <v/>
      </c>
      <c r="Z409">
        <f>Y408*$G$51</f>
        <v/>
      </c>
      <c r="AA409">
        <f>IF(AA408&gt;1E-9,IF(AA408*(1+$G$52)-MAX($B$9,0.01*AA408+AA408*$G$52)&gt;1E-9,AA408*(1+$G$52)-MAX($B$9,0.01*AA408+AA408*$G$52),0),0)</f>
        <v/>
      </c>
      <c r="AB409">
        <f>AA408*$G$52</f>
        <v/>
      </c>
      <c r="AC409">
        <f>IF(AC408&gt;1E-9,IF(AC408*(1+$G$53)-MAX($B$9,0.01*AC408+AC408*$G$53)&gt;1E-9,AC408*(1+$G$53)-MAX($B$9,0.01*AC408+AC408*$G$53),0),0)</f>
        <v/>
      </c>
      <c r="AD409">
        <f>AC408*$G$53</f>
        <v/>
      </c>
      <c r="AE409">
        <f>IF(AE408&gt;1E-9,IF(AE408*(1+$G$54)-MAX($B$9,0.01*AE408+AE408*$G$54)&gt;1E-9,AE408*(1+$G$54)-MAX($B$9,0.01*AE408+AE408*$G$54),0),0)</f>
        <v/>
      </c>
      <c r="AF409">
        <f>AE408*$G$54</f>
        <v/>
      </c>
      <c r="AG409">
        <f>IF(AG408&gt;1E-9,IF(AG408*(1+$G$55)-MAX($B$9,0.01*AG408+AG408*$G$55)&gt;1E-9,AG408*(1+$G$55)-MAX($B$9,0.01*AG408+AG408*$G$55),0),0)</f>
        <v/>
      </c>
      <c r="AH409">
        <f>AG408*$G$55</f>
        <v/>
      </c>
      <c r="AI409">
        <f>G409+K409+O409+S409+W409</f>
        <v/>
      </c>
      <c r="AJ409">
        <f>AI408+AK409-AI409</f>
        <v/>
      </c>
      <c r="AK409">
        <f>H409+L409+P409+T409+X409</f>
        <v/>
      </c>
      <c r="AL409">
        <f>TEXT(EDATE($B$5,D409-1),"mmm yyyy")</f>
        <v/>
      </c>
      <c r="AM409">
        <f>AI409</f>
        <v/>
      </c>
    </row>
    <row r="410">
      <c r="D410" t="n">
        <v>349</v>
      </c>
      <c r="E410">
        <f>IF(G409&gt;0,MAX(0,G409*(1+$G$51)-$H$51),0)</f>
        <v/>
      </c>
      <c r="F410">
        <f>$B$6+IF($D410=$B$8,$B$7,0)</f>
        <v/>
      </c>
      <c r="G410">
        <f>IF(E410-F410&gt;1E-9,E410-F410,0)</f>
        <v/>
      </c>
      <c r="H410">
        <f>G409*$G$51</f>
        <v/>
      </c>
      <c r="I410">
        <f>IF(K409&gt;0,MAX(0,K409*(1+$G$52)-$H$52),0)</f>
        <v/>
      </c>
      <c r="J410">
        <f>MAX(0,F410-E410)</f>
        <v/>
      </c>
      <c r="K410">
        <f>IF(I410-J410&gt;1E-9,I410-J410,0)</f>
        <v/>
      </c>
      <c r="L410">
        <f>K409*$G$52</f>
        <v/>
      </c>
      <c r="M410">
        <f>IF(O409&gt;0,MAX(0,O409*(1+$G$53)-$H$53),0)</f>
        <v/>
      </c>
      <c r="N410">
        <f>MAX(0,J410-I410)</f>
        <v/>
      </c>
      <c r="O410">
        <f>IF(M410-N410&gt;1E-9,M410-N410,0)</f>
        <v/>
      </c>
      <c r="P410">
        <f>O409*$G$53</f>
        <v/>
      </c>
      <c r="Q410">
        <f>IF(S409&gt;0,MAX(0,S409*(1+$G$54)-$H$54),0)</f>
        <v/>
      </c>
      <c r="R410">
        <f>MAX(0,N410-M410)</f>
        <v/>
      </c>
      <c r="S410">
        <f>IF(Q410-R410&gt;1E-9,Q410-R410,0)</f>
        <v/>
      </c>
      <c r="T410">
        <f>S409*$G$54</f>
        <v/>
      </c>
      <c r="U410">
        <f>IF(W409&gt;0,MAX(0,W409*(1+$G$55)-$H$55),0)</f>
        <v/>
      </c>
      <c r="V410">
        <f>MAX(0,R410-Q410)</f>
        <v/>
      </c>
      <c r="W410">
        <f>IF(U410-V410&gt;1E-9,U410-V410,0)</f>
        <v/>
      </c>
      <c r="X410">
        <f>W409*$G$55</f>
        <v/>
      </c>
      <c r="Y410">
        <f>IF(Y409&gt;1E-9,IF(Y409*(1+$G$51)-MAX($B$9,0.01*Y409+Y409*$G$51)&gt;1E-9,Y409*(1+$G$51)-MAX($B$9,0.01*Y409+Y409*$G$51),0),0)</f>
        <v/>
      </c>
      <c r="Z410">
        <f>Y409*$G$51</f>
        <v/>
      </c>
      <c r="AA410">
        <f>IF(AA409&gt;1E-9,IF(AA409*(1+$G$52)-MAX($B$9,0.01*AA409+AA409*$G$52)&gt;1E-9,AA409*(1+$G$52)-MAX($B$9,0.01*AA409+AA409*$G$52),0),0)</f>
        <v/>
      </c>
      <c r="AB410">
        <f>AA409*$G$52</f>
        <v/>
      </c>
      <c r="AC410">
        <f>IF(AC409&gt;1E-9,IF(AC409*(1+$G$53)-MAX($B$9,0.01*AC409+AC409*$G$53)&gt;1E-9,AC409*(1+$G$53)-MAX($B$9,0.01*AC409+AC409*$G$53),0),0)</f>
        <v/>
      </c>
      <c r="AD410">
        <f>AC409*$G$53</f>
        <v/>
      </c>
      <c r="AE410">
        <f>IF(AE409&gt;1E-9,IF(AE409*(1+$G$54)-MAX($B$9,0.01*AE409+AE409*$G$54)&gt;1E-9,AE409*(1+$G$54)-MAX($B$9,0.01*AE409+AE409*$G$54),0),0)</f>
        <v/>
      </c>
      <c r="AF410">
        <f>AE409*$G$54</f>
        <v/>
      </c>
      <c r="AG410">
        <f>IF(AG409&gt;1E-9,IF(AG409*(1+$G$55)-MAX($B$9,0.01*AG409+AG409*$G$55)&gt;1E-9,AG409*(1+$G$55)-MAX($B$9,0.01*AG409+AG409*$G$55),0),0)</f>
        <v/>
      </c>
      <c r="AH410">
        <f>AG409*$G$55</f>
        <v/>
      </c>
      <c r="AI410">
        <f>G410+K410+O410+S410+W410</f>
        <v/>
      </c>
      <c r="AJ410">
        <f>AI409+AK410-AI410</f>
        <v/>
      </c>
      <c r="AK410">
        <f>H410+L410+P410+T410+X410</f>
        <v/>
      </c>
      <c r="AL410">
        <f>TEXT(EDATE($B$5,D410-1),"mmm yyyy")</f>
        <v/>
      </c>
      <c r="AM410">
        <f>AI410</f>
        <v/>
      </c>
    </row>
    <row r="411">
      <c r="D411" t="n">
        <v>350</v>
      </c>
      <c r="E411">
        <f>IF(G410&gt;0,MAX(0,G410*(1+$G$51)-$H$51),0)</f>
        <v/>
      </c>
      <c r="F411">
        <f>$B$6+IF($D411=$B$8,$B$7,0)</f>
        <v/>
      </c>
      <c r="G411">
        <f>IF(E411-F411&gt;1E-9,E411-F411,0)</f>
        <v/>
      </c>
      <c r="H411">
        <f>G410*$G$51</f>
        <v/>
      </c>
      <c r="I411">
        <f>IF(K410&gt;0,MAX(0,K410*(1+$G$52)-$H$52),0)</f>
        <v/>
      </c>
      <c r="J411">
        <f>MAX(0,F411-E411)</f>
        <v/>
      </c>
      <c r="K411">
        <f>IF(I411-J411&gt;1E-9,I411-J411,0)</f>
        <v/>
      </c>
      <c r="L411">
        <f>K410*$G$52</f>
        <v/>
      </c>
      <c r="M411">
        <f>IF(O410&gt;0,MAX(0,O410*(1+$G$53)-$H$53),0)</f>
        <v/>
      </c>
      <c r="N411">
        <f>MAX(0,J411-I411)</f>
        <v/>
      </c>
      <c r="O411">
        <f>IF(M411-N411&gt;1E-9,M411-N411,0)</f>
        <v/>
      </c>
      <c r="P411">
        <f>O410*$G$53</f>
        <v/>
      </c>
      <c r="Q411">
        <f>IF(S410&gt;0,MAX(0,S410*(1+$G$54)-$H$54),0)</f>
        <v/>
      </c>
      <c r="R411">
        <f>MAX(0,N411-M411)</f>
        <v/>
      </c>
      <c r="S411">
        <f>IF(Q411-R411&gt;1E-9,Q411-R411,0)</f>
        <v/>
      </c>
      <c r="T411">
        <f>S410*$G$54</f>
        <v/>
      </c>
      <c r="U411">
        <f>IF(W410&gt;0,MAX(0,W410*(1+$G$55)-$H$55),0)</f>
        <v/>
      </c>
      <c r="V411">
        <f>MAX(0,R411-Q411)</f>
        <v/>
      </c>
      <c r="W411">
        <f>IF(U411-V411&gt;1E-9,U411-V411,0)</f>
        <v/>
      </c>
      <c r="X411">
        <f>W410*$G$55</f>
        <v/>
      </c>
      <c r="Y411">
        <f>IF(Y410&gt;1E-9,IF(Y410*(1+$G$51)-MAX($B$9,0.01*Y410+Y410*$G$51)&gt;1E-9,Y410*(1+$G$51)-MAX($B$9,0.01*Y410+Y410*$G$51),0),0)</f>
        <v/>
      </c>
      <c r="Z411">
        <f>Y410*$G$51</f>
        <v/>
      </c>
      <c r="AA411">
        <f>IF(AA410&gt;1E-9,IF(AA410*(1+$G$52)-MAX($B$9,0.01*AA410+AA410*$G$52)&gt;1E-9,AA410*(1+$G$52)-MAX($B$9,0.01*AA410+AA410*$G$52),0),0)</f>
        <v/>
      </c>
      <c r="AB411">
        <f>AA410*$G$52</f>
        <v/>
      </c>
      <c r="AC411">
        <f>IF(AC410&gt;1E-9,IF(AC410*(1+$G$53)-MAX($B$9,0.01*AC410+AC410*$G$53)&gt;1E-9,AC410*(1+$G$53)-MAX($B$9,0.01*AC410+AC410*$G$53),0),0)</f>
        <v/>
      </c>
      <c r="AD411">
        <f>AC410*$G$53</f>
        <v/>
      </c>
      <c r="AE411">
        <f>IF(AE410&gt;1E-9,IF(AE410*(1+$G$54)-MAX($B$9,0.01*AE410+AE410*$G$54)&gt;1E-9,AE410*(1+$G$54)-MAX($B$9,0.01*AE410+AE410*$G$54),0),0)</f>
        <v/>
      </c>
      <c r="AF411">
        <f>AE410*$G$54</f>
        <v/>
      </c>
      <c r="AG411">
        <f>IF(AG410&gt;1E-9,IF(AG410*(1+$G$55)-MAX($B$9,0.01*AG410+AG410*$G$55)&gt;1E-9,AG410*(1+$G$55)-MAX($B$9,0.01*AG410+AG410*$G$55),0),0)</f>
        <v/>
      </c>
      <c r="AH411">
        <f>AG410*$G$55</f>
        <v/>
      </c>
      <c r="AI411">
        <f>G411+K411+O411+S411+W411</f>
        <v/>
      </c>
      <c r="AJ411">
        <f>AI410+AK411-AI411</f>
        <v/>
      </c>
      <c r="AK411">
        <f>H411+L411+P411+T411+X411</f>
        <v/>
      </c>
      <c r="AL411">
        <f>TEXT(EDATE($B$5,D411-1),"mmm yyyy")</f>
        <v/>
      </c>
      <c r="AM411">
        <f>AI411</f>
        <v/>
      </c>
    </row>
    <row r="412">
      <c r="D412" t="n">
        <v>351</v>
      </c>
      <c r="E412">
        <f>IF(G411&gt;0,MAX(0,G411*(1+$G$51)-$H$51),0)</f>
        <v/>
      </c>
      <c r="F412">
        <f>$B$6+IF($D412=$B$8,$B$7,0)</f>
        <v/>
      </c>
      <c r="G412">
        <f>IF(E412-F412&gt;1E-9,E412-F412,0)</f>
        <v/>
      </c>
      <c r="H412">
        <f>G411*$G$51</f>
        <v/>
      </c>
      <c r="I412">
        <f>IF(K411&gt;0,MAX(0,K411*(1+$G$52)-$H$52),0)</f>
        <v/>
      </c>
      <c r="J412">
        <f>MAX(0,F412-E412)</f>
        <v/>
      </c>
      <c r="K412">
        <f>IF(I412-J412&gt;1E-9,I412-J412,0)</f>
        <v/>
      </c>
      <c r="L412">
        <f>K411*$G$52</f>
        <v/>
      </c>
      <c r="M412">
        <f>IF(O411&gt;0,MAX(0,O411*(1+$G$53)-$H$53),0)</f>
        <v/>
      </c>
      <c r="N412">
        <f>MAX(0,J412-I412)</f>
        <v/>
      </c>
      <c r="O412">
        <f>IF(M412-N412&gt;1E-9,M412-N412,0)</f>
        <v/>
      </c>
      <c r="P412">
        <f>O411*$G$53</f>
        <v/>
      </c>
      <c r="Q412">
        <f>IF(S411&gt;0,MAX(0,S411*(1+$G$54)-$H$54),0)</f>
        <v/>
      </c>
      <c r="R412">
        <f>MAX(0,N412-M412)</f>
        <v/>
      </c>
      <c r="S412">
        <f>IF(Q412-R412&gt;1E-9,Q412-R412,0)</f>
        <v/>
      </c>
      <c r="T412">
        <f>S411*$G$54</f>
        <v/>
      </c>
      <c r="U412">
        <f>IF(W411&gt;0,MAX(0,W411*(1+$G$55)-$H$55),0)</f>
        <v/>
      </c>
      <c r="V412">
        <f>MAX(0,R412-Q412)</f>
        <v/>
      </c>
      <c r="W412">
        <f>IF(U412-V412&gt;1E-9,U412-V412,0)</f>
        <v/>
      </c>
      <c r="X412">
        <f>W411*$G$55</f>
        <v/>
      </c>
      <c r="Y412">
        <f>IF(Y411&gt;1E-9,IF(Y411*(1+$G$51)-MAX($B$9,0.01*Y411+Y411*$G$51)&gt;1E-9,Y411*(1+$G$51)-MAX($B$9,0.01*Y411+Y411*$G$51),0),0)</f>
        <v/>
      </c>
      <c r="Z412">
        <f>Y411*$G$51</f>
        <v/>
      </c>
      <c r="AA412">
        <f>IF(AA411&gt;1E-9,IF(AA411*(1+$G$52)-MAX($B$9,0.01*AA411+AA411*$G$52)&gt;1E-9,AA411*(1+$G$52)-MAX($B$9,0.01*AA411+AA411*$G$52),0),0)</f>
        <v/>
      </c>
      <c r="AB412">
        <f>AA411*$G$52</f>
        <v/>
      </c>
      <c r="AC412">
        <f>IF(AC411&gt;1E-9,IF(AC411*(1+$G$53)-MAX($B$9,0.01*AC411+AC411*$G$53)&gt;1E-9,AC411*(1+$G$53)-MAX($B$9,0.01*AC411+AC411*$G$53),0),0)</f>
        <v/>
      </c>
      <c r="AD412">
        <f>AC411*$G$53</f>
        <v/>
      </c>
      <c r="AE412">
        <f>IF(AE411&gt;1E-9,IF(AE411*(1+$G$54)-MAX($B$9,0.01*AE411+AE411*$G$54)&gt;1E-9,AE411*(1+$G$54)-MAX($B$9,0.01*AE411+AE411*$G$54),0),0)</f>
        <v/>
      </c>
      <c r="AF412">
        <f>AE411*$G$54</f>
        <v/>
      </c>
      <c r="AG412">
        <f>IF(AG411&gt;1E-9,IF(AG411*(1+$G$55)-MAX($B$9,0.01*AG411+AG411*$G$55)&gt;1E-9,AG411*(1+$G$55)-MAX($B$9,0.01*AG411+AG411*$G$55),0),0)</f>
        <v/>
      </c>
      <c r="AH412">
        <f>AG411*$G$55</f>
        <v/>
      </c>
      <c r="AI412">
        <f>G412+K412+O412+S412+W412</f>
        <v/>
      </c>
      <c r="AJ412">
        <f>AI411+AK412-AI412</f>
        <v/>
      </c>
      <c r="AK412">
        <f>H412+L412+P412+T412+X412</f>
        <v/>
      </c>
      <c r="AL412">
        <f>TEXT(EDATE($B$5,D412-1),"mmm yyyy")</f>
        <v/>
      </c>
      <c r="AM412">
        <f>AI412</f>
        <v/>
      </c>
    </row>
    <row r="413">
      <c r="D413" t="n">
        <v>352</v>
      </c>
      <c r="E413">
        <f>IF(G412&gt;0,MAX(0,G412*(1+$G$51)-$H$51),0)</f>
        <v/>
      </c>
      <c r="F413">
        <f>$B$6+IF($D413=$B$8,$B$7,0)</f>
        <v/>
      </c>
      <c r="G413">
        <f>IF(E413-F413&gt;1E-9,E413-F413,0)</f>
        <v/>
      </c>
      <c r="H413">
        <f>G412*$G$51</f>
        <v/>
      </c>
      <c r="I413">
        <f>IF(K412&gt;0,MAX(0,K412*(1+$G$52)-$H$52),0)</f>
        <v/>
      </c>
      <c r="J413">
        <f>MAX(0,F413-E413)</f>
        <v/>
      </c>
      <c r="K413">
        <f>IF(I413-J413&gt;1E-9,I413-J413,0)</f>
        <v/>
      </c>
      <c r="L413">
        <f>K412*$G$52</f>
        <v/>
      </c>
      <c r="M413">
        <f>IF(O412&gt;0,MAX(0,O412*(1+$G$53)-$H$53),0)</f>
        <v/>
      </c>
      <c r="N413">
        <f>MAX(0,J413-I413)</f>
        <v/>
      </c>
      <c r="O413">
        <f>IF(M413-N413&gt;1E-9,M413-N413,0)</f>
        <v/>
      </c>
      <c r="P413">
        <f>O412*$G$53</f>
        <v/>
      </c>
      <c r="Q413">
        <f>IF(S412&gt;0,MAX(0,S412*(1+$G$54)-$H$54),0)</f>
        <v/>
      </c>
      <c r="R413">
        <f>MAX(0,N413-M413)</f>
        <v/>
      </c>
      <c r="S413">
        <f>IF(Q413-R413&gt;1E-9,Q413-R413,0)</f>
        <v/>
      </c>
      <c r="T413">
        <f>S412*$G$54</f>
        <v/>
      </c>
      <c r="U413">
        <f>IF(W412&gt;0,MAX(0,W412*(1+$G$55)-$H$55),0)</f>
        <v/>
      </c>
      <c r="V413">
        <f>MAX(0,R413-Q413)</f>
        <v/>
      </c>
      <c r="W413">
        <f>IF(U413-V413&gt;1E-9,U413-V413,0)</f>
        <v/>
      </c>
      <c r="X413">
        <f>W412*$G$55</f>
        <v/>
      </c>
      <c r="Y413">
        <f>IF(Y412&gt;1E-9,IF(Y412*(1+$G$51)-MAX($B$9,0.01*Y412+Y412*$G$51)&gt;1E-9,Y412*(1+$G$51)-MAX($B$9,0.01*Y412+Y412*$G$51),0),0)</f>
        <v/>
      </c>
      <c r="Z413">
        <f>Y412*$G$51</f>
        <v/>
      </c>
      <c r="AA413">
        <f>IF(AA412&gt;1E-9,IF(AA412*(1+$G$52)-MAX($B$9,0.01*AA412+AA412*$G$52)&gt;1E-9,AA412*(1+$G$52)-MAX($B$9,0.01*AA412+AA412*$G$52),0),0)</f>
        <v/>
      </c>
      <c r="AB413">
        <f>AA412*$G$52</f>
        <v/>
      </c>
      <c r="AC413">
        <f>IF(AC412&gt;1E-9,IF(AC412*(1+$G$53)-MAX($B$9,0.01*AC412+AC412*$G$53)&gt;1E-9,AC412*(1+$G$53)-MAX($B$9,0.01*AC412+AC412*$G$53),0),0)</f>
        <v/>
      </c>
      <c r="AD413">
        <f>AC412*$G$53</f>
        <v/>
      </c>
      <c r="AE413">
        <f>IF(AE412&gt;1E-9,IF(AE412*(1+$G$54)-MAX($B$9,0.01*AE412+AE412*$G$54)&gt;1E-9,AE412*(1+$G$54)-MAX($B$9,0.01*AE412+AE412*$G$54),0),0)</f>
        <v/>
      </c>
      <c r="AF413">
        <f>AE412*$G$54</f>
        <v/>
      </c>
      <c r="AG413">
        <f>IF(AG412&gt;1E-9,IF(AG412*(1+$G$55)-MAX($B$9,0.01*AG412+AG412*$G$55)&gt;1E-9,AG412*(1+$G$55)-MAX($B$9,0.01*AG412+AG412*$G$55),0),0)</f>
        <v/>
      </c>
      <c r="AH413">
        <f>AG412*$G$55</f>
        <v/>
      </c>
      <c r="AI413">
        <f>G413+K413+O413+S413+W413</f>
        <v/>
      </c>
      <c r="AJ413">
        <f>AI412+AK413-AI413</f>
        <v/>
      </c>
      <c r="AK413">
        <f>H413+L413+P413+T413+X413</f>
        <v/>
      </c>
      <c r="AL413">
        <f>TEXT(EDATE($B$5,D413-1),"mmm yyyy")</f>
        <v/>
      </c>
      <c r="AM413">
        <f>AI413</f>
        <v/>
      </c>
    </row>
    <row r="414">
      <c r="D414" t="n">
        <v>353</v>
      </c>
      <c r="E414">
        <f>IF(G413&gt;0,MAX(0,G413*(1+$G$51)-$H$51),0)</f>
        <v/>
      </c>
      <c r="F414">
        <f>$B$6+IF($D414=$B$8,$B$7,0)</f>
        <v/>
      </c>
      <c r="G414">
        <f>IF(E414-F414&gt;1E-9,E414-F414,0)</f>
        <v/>
      </c>
      <c r="H414">
        <f>G413*$G$51</f>
        <v/>
      </c>
      <c r="I414">
        <f>IF(K413&gt;0,MAX(0,K413*(1+$G$52)-$H$52),0)</f>
        <v/>
      </c>
      <c r="J414">
        <f>MAX(0,F414-E414)</f>
        <v/>
      </c>
      <c r="K414">
        <f>IF(I414-J414&gt;1E-9,I414-J414,0)</f>
        <v/>
      </c>
      <c r="L414">
        <f>K413*$G$52</f>
        <v/>
      </c>
      <c r="M414">
        <f>IF(O413&gt;0,MAX(0,O413*(1+$G$53)-$H$53),0)</f>
        <v/>
      </c>
      <c r="N414">
        <f>MAX(0,J414-I414)</f>
        <v/>
      </c>
      <c r="O414">
        <f>IF(M414-N414&gt;1E-9,M414-N414,0)</f>
        <v/>
      </c>
      <c r="P414">
        <f>O413*$G$53</f>
        <v/>
      </c>
      <c r="Q414">
        <f>IF(S413&gt;0,MAX(0,S413*(1+$G$54)-$H$54),0)</f>
        <v/>
      </c>
      <c r="R414">
        <f>MAX(0,N414-M414)</f>
        <v/>
      </c>
      <c r="S414">
        <f>IF(Q414-R414&gt;1E-9,Q414-R414,0)</f>
        <v/>
      </c>
      <c r="T414">
        <f>S413*$G$54</f>
        <v/>
      </c>
      <c r="U414">
        <f>IF(W413&gt;0,MAX(0,W413*(1+$G$55)-$H$55),0)</f>
        <v/>
      </c>
      <c r="V414">
        <f>MAX(0,R414-Q414)</f>
        <v/>
      </c>
      <c r="W414">
        <f>IF(U414-V414&gt;1E-9,U414-V414,0)</f>
        <v/>
      </c>
      <c r="X414">
        <f>W413*$G$55</f>
        <v/>
      </c>
      <c r="Y414">
        <f>IF(Y413&gt;1E-9,IF(Y413*(1+$G$51)-MAX($B$9,0.01*Y413+Y413*$G$51)&gt;1E-9,Y413*(1+$G$51)-MAX($B$9,0.01*Y413+Y413*$G$51),0),0)</f>
        <v/>
      </c>
      <c r="Z414">
        <f>Y413*$G$51</f>
        <v/>
      </c>
      <c r="AA414">
        <f>IF(AA413&gt;1E-9,IF(AA413*(1+$G$52)-MAX($B$9,0.01*AA413+AA413*$G$52)&gt;1E-9,AA413*(1+$G$52)-MAX($B$9,0.01*AA413+AA413*$G$52),0),0)</f>
        <v/>
      </c>
      <c r="AB414">
        <f>AA413*$G$52</f>
        <v/>
      </c>
      <c r="AC414">
        <f>IF(AC413&gt;1E-9,IF(AC413*(1+$G$53)-MAX($B$9,0.01*AC413+AC413*$G$53)&gt;1E-9,AC413*(1+$G$53)-MAX($B$9,0.01*AC413+AC413*$G$53),0),0)</f>
        <v/>
      </c>
      <c r="AD414">
        <f>AC413*$G$53</f>
        <v/>
      </c>
      <c r="AE414">
        <f>IF(AE413&gt;1E-9,IF(AE413*(1+$G$54)-MAX($B$9,0.01*AE413+AE413*$G$54)&gt;1E-9,AE413*(1+$G$54)-MAX($B$9,0.01*AE413+AE413*$G$54),0),0)</f>
        <v/>
      </c>
      <c r="AF414">
        <f>AE413*$G$54</f>
        <v/>
      </c>
      <c r="AG414">
        <f>IF(AG413&gt;1E-9,IF(AG413*(1+$G$55)-MAX($B$9,0.01*AG413+AG413*$G$55)&gt;1E-9,AG413*(1+$G$55)-MAX($B$9,0.01*AG413+AG413*$G$55),0),0)</f>
        <v/>
      </c>
      <c r="AH414">
        <f>AG413*$G$55</f>
        <v/>
      </c>
      <c r="AI414">
        <f>G414+K414+O414+S414+W414</f>
        <v/>
      </c>
      <c r="AJ414">
        <f>AI413+AK414-AI414</f>
        <v/>
      </c>
      <c r="AK414">
        <f>H414+L414+P414+T414+X414</f>
        <v/>
      </c>
      <c r="AL414">
        <f>TEXT(EDATE($B$5,D414-1),"mmm yyyy")</f>
        <v/>
      </c>
      <c r="AM414">
        <f>AI414</f>
        <v/>
      </c>
    </row>
    <row r="415">
      <c r="D415" t="n">
        <v>354</v>
      </c>
      <c r="E415">
        <f>IF(G414&gt;0,MAX(0,G414*(1+$G$51)-$H$51),0)</f>
        <v/>
      </c>
      <c r="F415">
        <f>$B$6+IF($D415=$B$8,$B$7,0)</f>
        <v/>
      </c>
      <c r="G415">
        <f>IF(E415-F415&gt;1E-9,E415-F415,0)</f>
        <v/>
      </c>
      <c r="H415">
        <f>G414*$G$51</f>
        <v/>
      </c>
      <c r="I415">
        <f>IF(K414&gt;0,MAX(0,K414*(1+$G$52)-$H$52),0)</f>
        <v/>
      </c>
      <c r="J415">
        <f>MAX(0,F415-E415)</f>
        <v/>
      </c>
      <c r="K415">
        <f>IF(I415-J415&gt;1E-9,I415-J415,0)</f>
        <v/>
      </c>
      <c r="L415">
        <f>K414*$G$52</f>
        <v/>
      </c>
      <c r="M415">
        <f>IF(O414&gt;0,MAX(0,O414*(1+$G$53)-$H$53),0)</f>
        <v/>
      </c>
      <c r="N415">
        <f>MAX(0,J415-I415)</f>
        <v/>
      </c>
      <c r="O415">
        <f>IF(M415-N415&gt;1E-9,M415-N415,0)</f>
        <v/>
      </c>
      <c r="P415">
        <f>O414*$G$53</f>
        <v/>
      </c>
      <c r="Q415">
        <f>IF(S414&gt;0,MAX(0,S414*(1+$G$54)-$H$54),0)</f>
        <v/>
      </c>
      <c r="R415">
        <f>MAX(0,N415-M415)</f>
        <v/>
      </c>
      <c r="S415">
        <f>IF(Q415-R415&gt;1E-9,Q415-R415,0)</f>
        <v/>
      </c>
      <c r="T415">
        <f>S414*$G$54</f>
        <v/>
      </c>
      <c r="U415">
        <f>IF(W414&gt;0,MAX(0,W414*(1+$G$55)-$H$55),0)</f>
        <v/>
      </c>
      <c r="V415">
        <f>MAX(0,R415-Q415)</f>
        <v/>
      </c>
      <c r="W415">
        <f>IF(U415-V415&gt;1E-9,U415-V415,0)</f>
        <v/>
      </c>
      <c r="X415">
        <f>W414*$G$55</f>
        <v/>
      </c>
      <c r="Y415">
        <f>IF(Y414&gt;1E-9,IF(Y414*(1+$G$51)-MAX($B$9,0.01*Y414+Y414*$G$51)&gt;1E-9,Y414*(1+$G$51)-MAX($B$9,0.01*Y414+Y414*$G$51),0),0)</f>
        <v/>
      </c>
      <c r="Z415">
        <f>Y414*$G$51</f>
        <v/>
      </c>
      <c r="AA415">
        <f>IF(AA414&gt;1E-9,IF(AA414*(1+$G$52)-MAX($B$9,0.01*AA414+AA414*$G$52)&gt;1E-9,AA414*(1+$G$52)-MAX($B$9,0.01*AA414+AA414*$G$52),0),0)</f>
        <v/>
      </c>
      <c r="AB415">
        <f>AA414*$G$52</f>
        <v/>
      </c>
      <c r="AC415">
        <f>IF(AC414&gt;1E-9,IF(AC414*(1+$G$53)-MAX($B$9,0.01*AC414+AC414*$G$53)&gt;1E-9,AC414*(1+$G$53)-MAX($B$9,0.01*AC414+AC414*$G$53),0),0)</f>
        <v/>
      </c>
      <c r="AD415">
        <f>AC414*$G$53</f>
        <v/>
      </c>
      <c r="AE415">
        <f>IF(AE414&gt;1E-9,IF(AE414*(1+$G$54)-MAX($B$9,0.01*AE414+AE414*$G$54)&gt;1E-9,AE414*(1+$G$54)-MAX($B$9,0.01*AE414+AE414*$G$54),0),0)</f>
        <v/>
      </c>
      <c r="AF415">
        <f>AE414*$G$54</f>
        <v/>
      </c>
      <c r="AG415">
        <f>IF(AG414&gt;1E-9,IF(AG414*(1+$G$55)-MAX($B$9,0.01*AG414+AG414*$G$55)&gt;1E-9,AG414*(1+$G$55)-MAX($B$9,0.01*AG414+AG414*$G$55),0),0)</f>
        <v/>
      </c>
      <c r="AH415">
        <f>AG414*$G$55</f>
        <v/>
      </c>
      <c r="AI415">
        <f>G415+K415+O415+S415+W415</f>
        <v/>
      </c>
      <c r="AJ415">
        <f>AI414+AK415-AI415</f>
        <v/>
      </c>
      <c r="AK415">
        <f>H415+L415+P415+T415+X415</f>
        <v/>
      </c>
      <c r="AL415">
        <f>TEXT(EDATE($B$5,D415-1),"mmm yyyy")</f>
        <v/>
      </c>
      <c r="AM415">
        <f>AI415</f>
        <v/>
      </c>
    </row>
    <row r="416">
      <c r="D416" t="n">
        <v>355</v>
      </c>
      <c r="E416">
        <f>IF(G415&gt;0,MAX(0,G415*(1+$G$51)-$H$51),0)</f>
        <v/>
      </c>
      <c r="F416">
        <f>$B$6+IF($D416=$B$8,$B$7,0)</f>
        <v/>
      </c>
      <c r="G416">
        <f>IF(E416-F416&gt;1E-9,E416-F416,0)</f>
        <v/>
      </c>
      <c r="H416">
        <f>G415*$G$51</f>
        <v/>
      </c>
      <c r="I416">
        <f>IF(K415&gt;0,MAX(0,K415*(1+$G$52)-$H$52),0)</f>
        <v/>
      </c>
      <c r="J416">
        <f>MAX(0,F416-E416)</f>
        <v/>
      </c>
      <c r="K416">
        <f>IF(I416-J416&gt;1E-9,I416-J416,0)</f>
        <v/>
      </c>
      <c r="L416">
        <f>K415*$G$52</f>
        <v/>
      </c>
      <c r="M416">
        <f>IF(O415&gt;0,MAX(0,O415*(1+$G$53)-$H$53),0)</f>
        <v/>
      </c>
      <c r="N416">
        <f>MAX(0,J416-I416)</f>
        <v/>
      </c>
      <c r="O416">
        <f>IF(M416-N416&gt;1E-9,M416-N416,0)</f>
        <v/>
      </c>
      <c r="P416">
        <f>O415*$G$53</f>
        <v/>
      </c>
      <c r="Q416">
        <f>IF(S415&gt;0,MAX(0,S415*(1+$G$54)-$H$54),0)</f>
        <v/>
      </c>
      <c r="R416">
        <f>MAX(0,N416-M416)</f>
        <v/>
      </c>
      <c r="S416">
        <f>IF(Q416-R416&gt;1E-9,Q416-R416,0)</f>
        <v/>
      </c>
      <c r="T416">
        <f>S415*$G$54</f>
        <v/>
      </c>
      <c r="U416">
        <f>IF(W415&gt;0,MAX(0,W415*(1+$G$55)-$H$55),0)</f>
        <v/>
      </c>
      <c r="V416">
        <f>MAX(0,R416-Q416)</f>
        <v/>
      </c>
      <c r="W416">
        <f>IF(U416-V416&gt;1E-9,U416-V416,0)</f>
        <v/>
      </c>
      <c r="X416">
        <f>W415*$G$55</f>
        <v/>
      </c>
      <c r="Y416">
        <f>IF(Y415&gt;1E-9,IF(Y415*(1+$G$51)-MAX($B$9,0.01*Y415+Y415*$G$51)&gt;1E-9,Y415*(1+$G$51)-MAX($B$9,0.01*Y415+Y415*$G$51),0),0)</f>
        <v/>
      </c>
      <c r="Z416">
        <f>Y415*$G$51</f>
        <v/>
      </c>
      <c r="AA416">
        <f>IF(AA415&gt;1E-9,IF(AA415*(1+$G$52)-MAX($B$9,0.01*AA415+AA415*$G$52)&gt;1E-9,AA415*(1+$G$52)-MAX($B$9,0.01*AA415+AA415*$G$52),0),0)</f>
        <v/>
      </c>
      <c r="AB416">
        <f>AA415*$G$52</f>
        <v/>
      </c>
      <c r="AC416">
        <f>IF(AC415&gt;1E-9,IF(AC415*(1+$G$53)-MAX($B$9,0.01*AC415+AC415*$G$53)&gt;1E-9,AC415*(1+$G$53)-MAX($B$9,0.01*AC415+AC415*$G$53),0),0)</f>
        <v/>
      </c>
      <c r="AD416">
        <f>AC415*$G$53</f>
        <v/>
      </c>
      <c r="AE416">
        <f>IF(AE415&gt;1E-9,IF(AE415*(1+$G$54)-MAX($B$9,0.01*AE415+AE415*$G$54)&gt;1E-9,AE415*(1+$G$54)-MAX($B$9,0.01*AE415+AE415*$G$54),0),0)</f>
        <v/>
      </c>
      <c r="AF416">
        <f>AE415*$G$54</f>
        <v/>
      </c>
      <c r="AG416">
        <f>IF(AG415&gt;1E-9,IF(AG415*(1+$G$55)-MAX($B$9,0.01*AG415+AG415*$G$55)&gt;1E-9,AG415*(1+$G$55)-MAX($B$9,0.01*AG415+AG415*$G$55),0),0)</f>
        <v/>
      </c>
      <c r="AH416">
        <f>AG415*$G$55</f>
        <v/>
      </c>
      <c r="AI416">
        <f>G416+K416+O416+S416+W416</f>
        <v/>
      </c>
      <c r="AJ416">
        <f>AI415+AK416-AI416</f>
        <v/>
      </c>
      <c r="AK416">
        <f>H416+L416+P416+T416+X416</f>
        <v/>
      </c>
      <c r="AL416">
        <f>TEXT(EDATE($B$5,D416-1),"mmm yyyy")</f>
        <v/>
      </c>
      <c r="AM416">
        <f>AI416</f>
        <v/>
      </c>
    </row>
    <row r="417">
      <c r="D417" t="n">
        <v>356</v>
      </c>
      <c r="E417">
        <f>IF(G416&gt;0,MAX(0,G416*(1+$G$51)-$H$51),0)</f>
        <v/>
      </c>
      <c r="F417">
        <f>$B$6+IF($D417=$B$8,$B$7,0)</f>
        <v/>
      </c>
      <c r="G417">
        <f>IF(E417-F417&gt;1E-9,E417-F417,0)</f>
        <v/>
      </c>
      <c r="H417">
        <f>G416*$G$51</f>
        <v/>
      </c>
      <c r="I417">
        <f>IF(K416&gt;0,MAX(0,K416*(1+$G$52)-$H$52),0)</f>
        <v/>
      </c>
      <c r="J417">
        <f>MAX(0,F417-E417)</f>
        <v/>
      </c>
      <c r="K417">
        <f>IF(I417-J417&gt;1E-9,I417-J417,0)</f>
        <v/>
      </c>
      <c r="L417">
        <f>K416*$G$52</f>
        <v/>
      </c>
      <c r="M417">
        <f>IF(O416&gt;0,MAX(0,O416*(1+$G$53)-$H$53),0)</f>
        <v/>
      </c>
      <c r="N417">
        <f>MAX(0,J417-I417)</f>
        <v/>
      </c>
      <c r="O417">
        <f>IF(M417-N417&gt;1E-9,M417-N417,0)</f>
        <v/>
      </c>
      <c r="P417">
        <f>O416*$G$53</f>
        <v/>
      </c>
      <c r="Q417">
        <f>IF(S416&gt;0,MAX(0,S416*(1+$G$54)-$H$54),0)</f>
        <v/>
      </c>
      <c r="R417">
        <f>MAX(0,N417-M417)</f>
        <v/>
      </c>
      <c r="S417">
        <f>IF(Q417-R417&gt;1E-9,Q417-R417,0)</f>
        <v/>
      </c>
      <c r="T417">
        <f>S416*$G$54</f>
        <v/>
      </c>
      <c r="U417">
        <f>IF(W416&gt;0,MAX(0,W416*(1+$G$55)-$H$55),0)</f>
        <v/>
      </c>
      <c r="V417">
        <f>MAX(0,R417-Q417)</f>
        <v/>
      </c>
      <c r="W417">
        <f>IF(U417-V417&gt;1E-9,U417-V417,0)</f>
        <v/>
      </c>
      <c r="X417">
        <f>W416*$G$55</f>
        <v/>
      </c>
      <c r="Y417">
        <f>IF(Y416&gt;1E-9,IF(Y416*(1+$G$51)-MAX($B$9,0.01*Y416+Y416*$G$51)&gt;1E-9,Y416*(1+$G$51)-MAX($B$9,0.01*Y416+Y416*$G$51),0),0)</f>
        <v/>
      </c>
      <c r="Z417">
        <f>Y416*$G$51</f>
        <v/>
      </c>
      <c r="AA417">
        <f>IF(AA416&gt;1E-9,IF(AA416*(1+$G$52)-MAX($B$9,0.01*AA416+AA416*$G$52)&gt;1E-9,AA416*(1+$G$52)-MAX($B$9,0.01*AA416+AA416*$G$52),0),0)</f>
        <v/>
      </c>
      <c r="AB417">
        <f>AA416*$G$52</f>
        <v/>
      </c>
      <c r="AC417">
        <f>IF(AC416&gt;1E-9,IF(AC416*(1+$G$53)-MAX($B$9,0.01*AC416+AC416*$G$53)&gt;1E-9,AC416*(1+$G$53)-MAX($B$9,0.01*AC416+AC416*$G$53),0),0)</f>
        <v/>
      </c>
      <c r="AD417">
        <f>AC416*$G$53</f>
        <v/>
      </c>
      <c r="AE417">
        <f>IF(AE416&gt;1E-9,IF(AE416*(1+$G$54)-MAX($B$9,0.01*AE416+AE416*$G$54)&gt;1E-9,AE416*(1+$G$54)-MAX($B$9,0.01*AE416+AE416*$G$54),0),0)</f>
        <v/>
      </c>
      <c r="AF417">
        <f>AE416*$G$54</f>
        <v/>
      </c>
      <c r="AG417">
        <f>IF(AG416&gt;1E-9,IF(AG416*(1+$G$55)-MAX($B$9,0.01*AG416+AG416*$G$55)&gt;1E-9,AG416*(1+$G$55)-MAX($B$9,0.01*AG416+AG416*$G$55),0),0)</f>
        <v/>
      </c>
      <c r="AH417">
        <f>AG416*$G$55</f>
        <v/>
      </c>
      <c r="AI417">
        <f>G417+K417+O417+S417+W417</f>
        <v/>
      </c>
      <c r="AJ417">
        <f>AI416+AK417-AI417</f>
        <v/>
      </c>
      <c r="AK417">
        <f>H417+L417+P417+T417+X417</f>
        <v/>
      </c>
      <c r="AL417">
        <f>TEXT(EDATE($B$5,D417-1),"mmm yyyy")</f>
        <v/>
      </c>
      <c r="AM417">
        <f>AI417</f>
        <v/>
      </c>
    </row>
    <row r="418">
      <c r="D418" t="n">
        <v>357</v>
      </c>
      <c r="E418">
        <f>IF(G417&gt;0,MAX(0,G417*(1+$G$51)-$H$51),0)</f>
        <v/>
      </c>
      <c r="F418">
        <f>$B$6+IF($D418=$B$8,$B$7,0)</f>
        <v/>
      </c>
      <c r="G418">
        <f>IF(E418-F418&gt;1E-9,E418-F418,0)</f>
        <v/>
      </c>
      <c r="H418">
        <f>G417*$G$51</f>
        <v/>
      </c>
      <c r="I418">
        <f>IF(K417&gt;0,MAX(0,K417*(1+$G$52)-$H$52),0)</f>
        <v/>
      </c>
      <c r="J418">
        <f>MAX(0,F418-E418)</f>
        <v/>
      </c>
      <c r="K418">
        <f>IF(I418-J418&gt;1E-9,I418-J418,0)</f>
        <v/>
      </c>
      <c r="L418">
        <f>K417*$G$52</f>
        <v/>
      </c>
      <c r="M418">
        <f>IF(O417&gt;0,MAX(0,O417*(1+$G$53)-$H$53),0)</f>
        <v/>
      </c>
      <c r="N418">
        <f>MAX(0,J418-I418)</f>
        <v/>
      </c>
      <c r="O418">
        <f>IF(M418-N418&gt;1E-9,M418-N418,0)</f>
        <v/>
      </c>
      <c r="P418">
        <f>O417*$G$53</f>
        <v/>
      </c>
      <c r="Q418">
        <f>IF(S417&gt;0,MAX(0,S417*(1+$G$54)-$H$54),0)</f>
        <v/>
      </c>
      <c r="R418">
        <f>MAX(0,N418-M418)</f>
        <v/>
      </c>
      <c r="S418">
        <f>IF(Q418-R418&gt;1E-9,Q418-R418,0)</f>
        <v/>
      </c>
      <c r="T418">
        <f>S417*$G$54</f>
        <v/>
      </c>
      <c r="U418">
        <f>IF(W417&gt;0,MAX(0,W417*(1+$G$55)-$H$55),0)</f>
        <v/>
      </c>
      <c r="V418">
        <f>MAX(0,R418-Q418)</f>
        <v/>
      </c>
      <c r="W418">
        <f>IF(U418-V418&gt;1E-9,U418-V418,0)</f>
        <v/>
      </c>
      <c r="X418">
        <f>W417*$G$55</f>
        <v/>
      </c>
      <c r="Y418">
        <f>IF(Y417&gt;1E-9,IF(Y417*(1+$G$51)-MAX($B$9,0.01*Y417+Y417*$G$51)&gt;1E-9,Y417*(1+$G$51)-MAX($B$9,0.01*Y417+Y417*$G$51),0),0)</f>
        <v/>
      </c>
      <c r="Z418">
        <f>Y417*$G$51</f>
        <v/>
      </c>
      <c r="AA418">
        <f>IF(AA417&gt;1E-9,IF(AA417*(1+$G$52)-MAX($B$9,0.01*AA417+AA417*$G$52)&gt;1E-9,AA417*(1+$G$52)-MAX($B$9,0.01*AA417+AA417*$G$52),0),0)</f>
        <v/>
      </c>
      <c r="AB418">
        <f>AA417*$G$52</f>
        <v/>
      </c>
      <c r="AC418">
        <f>IF(AC417&gt;1E-9,IF(AC417*(1+$G$53)-MAX($B$9,0.01*AC417+AC417*$G$53)&gt;1E-9,AC417*(1+$G$53)-MAX($B$9,0.01*AC417+AC417*$G$53),0),0)</f>
        <v/>
      </c>
      <c r="AD418">
        <f>AC417*$G$53</f>
        <v/>
      </c>
      <c r="AE418">
        <f>IF(AE417&gt;1E-9,IF(AE417*(1+$G$54)-MAX($B$9,0.01*AE417+AE417*$G$54)&gt;1E-9,AE417*(1+$G$54)-MAX($B$9,0.01*AE417+AE417*$G$54),0),0)</f>
        <v/>
      </c>
      <c r="AF418">
        <f>AE417*$G$54</f>
        <v/>
      </c>
      <c r="AG418">
        <f>IF(AG417&gt;1E-9,IF(AG417*(1+$G$55)-MAX($B$9,0.01*AG417+AG417*$G$55)&gt;1E-9,AG417*(1+$G$55)-MAX($B$9,0.01*AG417+AG417*$G$55),0),0)</f>
        <v/>
      </c>
      <c r="AH418">
        <f>AG417*$G$55</f>
        <v/>
      </c>
      <c r="AI418">
        <f>G418+K418+O418+S418+W418</f>
        <v/>
      </c>
      <c r="AJ418">
        <f>AI417+AK418-AI418</f>
        <v/>
      </c>
      <c r="AK418">
        <f>H418+L418+P418+T418+X418</f>
        <v/>
      </c>
      <c r="AL418">
        <f>TEXT(EDATE($B$5,D418-1),"mmm yyyy")</f>
        <v/>
      </c>
      <c r="AM418">
        <f>AI418</f>
        <v/>
      </c>
    </row>
    <row r="419">
      <c r="D419" t="n">
        <v>358</v>
      </c>
      <c r="E419">
        <f>IF(G418&gt;0,MAX(0,G418*(1+$G$51)-$H$51),0)</f>
        <v/>
      </c>
      <c r="F419">
        <f>$B$6+IF($D419=$B$8,$B$7,0)</f>
        <v/>
      </c>
      <c r="G419">
        <f>IF(E419-F419&gt;1E-9,E419-F419,0)</f>
        <v/>
      </c>
      <c r="H419">
        <f>G418*$G$51</f>
        <v/>
      </c>
      <c r="I419">
        <f>IF(K418&gt;0,MAX(0,K418*(1+$G$52)-$H$52),0)</f>
        <v/>
      </c>
      <c r="J419">
        <f>MAX(0,F419-E419)</f>
        <v/>
      </c>
      <c r="K419">
        <f>IF(I419-J419&gt;1E-9,I419-J419,0)</f>
        <v/>
      </c>
      <c r="L419">
        <f>K418*$G$52</f>
        <v/>
      </c>
      <c r="M419">
        <f>IF(O418&gt;0,MAX(0,O418*(1+$G$53)-$H$53),0)</f>
        <v/>
      </c>
      <c r="N419">
        <f>MAX(0,J419-I419)</f>
        <v/>
      </c>
      <c r="O419">
        <f>IF(M419-N419&gt;1E-9,M419-N419,0)</f>
        <v/>
      </c>
      <c r="P419">
        <f>O418*$G$53</f>
        <v/>
      </c>
      <c r="Q419">
        <f>IF(S418&gt;0,MAX(0,S418*(1+$G$54)-$H$54),0)</f>
        <v/>
      </c>
      <c r="R419">
        <f>MAX(0,N419-M419)</f>
        <v/>
      </c>
      <c r="S419">
        <f>IF(Q419-R419&gt;1E-9,Q419-R419,0)</f>
        <v/>
      </c>
      <c r="T419">
        <f>S418*$G$54</f>
        <v/>
      </c>
      <c r="U419">
        <f>IF(W418&gt;0,MAX(0,W418*(1+$G$55)-$H$55),0)</f>
        <v/>
      </c>
      <c r="V419">
        <f>MAX(0,R419-Q419)</f>
        <v/>
      </c>
      <c r="W419">
        <f>IF(U419-V419&gt;1E-9,U419-V419,0)</f>
        <v/>
      </c>
      <c r="X419">
        <f>W418*$G$55</f>
        <v/>
      </c>
      <c r="Y419">
        <f>IF(Y418&gt;1E-9,IF(Y418*(1+$G$51)-MAX($B$9,0.01*Y418+Y418*$G$51)&gt;1E-9,Y418*(1+$G$51)-MAX($B$9,0.01*Y418+Y418*$G$51),0),0)</f>
        <v/>
      </c>
      <c r="Z419">
        <f>Y418*$G$51</f>
        <v/>
      </c>
      <c r="AA419">
        <f>IF(AA418&gt;1E-9,IF(AA418*(1+$G$52)-MAX($B$9,0.01*AA418+AA418*$G$52)&gt;1E-9,AA418*(1+$G$52)-MAX($B$9,0.01*AA418+AA418*$G$52),0),0)</f>
        <v/>
      </c>
      <c r="AB419">
        <f>AA418*$G$52</f>
        <v/>
      </c>
      <c r="AC419">
        <f>IF(AC418&gt;1E-9,IF(AC418*(1+$G$53)-MAX($B$9,0.01*AC418+AC418*$G$53)&gt;1E-9,AC418*(1+$G$53)-MAX($B$9,0.01*AC418+AC418*$G$53),0),0)</f>
        <v/>
      </c>
      <c r="AD419">
        <f>AC418*$G$53</f>
        <v/>
      </c>
      <c r="AE419">
        <f>IF(AE418&gt;1E-9,IF(AE418*(1+$G$54)-MAX($B$9,0.01*AE418+AE418*$G$54)&gt;1E-9,AE418*(1+$G$54)-MAX($B$9,0.01*AE418+AE418*$G$54),0),0)</f>
        <v/>
      </c>
      <c r="AF419">
        <f>AE418*$G$54</f>
        <v/>
      </c>
      <c r="AG419">
        <f>IF(AG418&gt;1E-9,IF(AG418*(1+$G$55)-MAX($B$9,0.01*AG418+AG418*$G$55)&gt;1E-9,AG418*(1+$G$55)-MAX($B$9,0.01*AG418+AG418*$G$55),0),0)</f>
        <v/>
      </c>
      <c r="AH419">
        <f>AG418*$G$55</f>
        <v/>
      </c>
      <c r="AI419">
        <f>G419+K419+O419+S419+W419</f>
        <v/>
      </c>
      <c r="AJ419">
        <f>AI418+AK419-AI419</f>
        <v/>
      </c>
      <c r="AK419">
        <f>H419+L419+P419+T419+X419</f>
        <v/>
      </c>
      <c r="AL419">
        <f>TEXT(EDATE($B$5,D419-1),"mmm yyyy")</f>
        <v/>
      </c>
      <c r="AM419">
        <f>AI419</f>
        <v/>
      </c>
    </row>
    <row r="420">
      <c r="D420" t="n">
        <v>359</v>
      </c>
      <c r="E420">
        <f>IF(G419&gt;0,MAX(0,G419*(1+$G$51)-$H$51),0)</f>
        <v/>
      </c>
      <c r="F420">
        <f>$B$6+IF($D420=$B$8,$B$7,0)</f>
        <v/>
      </c>
      <c r="G420">
        <f>IF(E420-F420&gt;1E-9,E420-F420,0)</f>
        <v/>
      </c>
      <c r="H420">
        <f>G419*$G$51</f>
        <v/>
      </c>
      <c r="I420">
        <f>IF(K419&gt;0,MAX(0,K419*(1+$G$52)-$H$52),0)</f>
        <v/>
      </c>
      <c r="J420">
        <f>MAX(0,F420-E420)</f>
        <v/>
      </c>
      <c r="K420">
        <f>IF(I420-J420&gt;1E-9,I420-J420,0)</f>
        <v/>
      </c>
      <c r="L420">
        <f>K419*$G$52</f>
        <v/>
      </c>
      <c r="M420">
        <f>IF(O419&gt;0,MAX(0,O419*(1+$G$53)-$H$53),0)</f>
        <v/>
      </c>
      <c r="N420">
        <f>MAX(0,J420-I420)</f>
        <v/>
      </c>
      <c r="O420">
        <f>IF(M420-N420&gt;1E-9,M420-N420,0)</f>
        <v/>
      </c>
      <c r="P420">
        <f>O419*$G$53</f>
        <v/>
      </c>
      <c r="Q420">
        <f>IF(S419&gt;0,MAX(0,S419*(1+$G$54)-$H$54),0)</f>
        <v/>
      </c>
      <c r="R420">
        <f>MAX(0,N420-M420)</f>
        <v/>
      </c>
      <c r="S420">
        <f>IF(Q420-R420&gt;1E-9,Q420-R420,0)</f>
        <v/>
      </c>
      <c r="T420">
        <f>S419*$G$54</f>
        <v/>
      </c>
      <c r="U420">
        <f>IF(W419&gt;0,MAX(0,W419*(1+$G$55)-$H$55),0)</f>
        <v/>
      </c>
      <c r="V420">
        <f>MAX(0,R420-Q420)</f>
        <v/>
      </c>
      <c r="W420">
        <f>IF(U420-V420&gt;1E-9,U420-V420,0)</f>
        <v/>
      </c>
      <c r="X420">
        <f>W419*$G$55</f>
        <v/>
      </c>
      <c r="Y420">
        <f>IF(Y419&gt;1E-9,IF(Y419*(1+$G$51)-MAX($B$9,0.01*Y419+Y419*$G$51)&gt;1E-9,Y419*(1+$G$51)-MAX($B$9,0.01*Y419+Y419*$G$51),0),0)</f>
        <v/>
      </c>
      <c r="Z420">
        <f>Y419*$G$51</f>
        <v/>
      </c>
      <c r="AA420">
        <f>IF(AA419&gt;1E-9,IF(AA419*(1+$G$52)-MAX($B$9,0.01*AA419+AA419*$G$52)&gt;1E-9,AA419*(1+$G$52)-MAX($B$9,0.01*AA419+AA419*$G$52),0),0)</f>
        <v/>
      </c>
      <c r="AB420">
        <f>AA419*$G$52</f>
        <v/>
      </c>
      <c r="AC420">
        <f>IF(AC419&gt;1E-9,IF(AC419*(1+$G$53)-MAX($B$9,0.01*AC419+AC419*$G$53)&gt;1E-9,AC419*(1+$G$53)-MAX($B$9,0.01*AC419+AC419*$G$53),0),0)</f>
        <v/>
      </c>
      <c r="AD420">
        <f>AC419*$G$53</f>
        <v/>
      </c>
      <c r="AE420">
        <f>IF(AE419&gt;1E-9,IF(AE419*(1+$G$54)-MAX($B$9,0.01*AE419+AE419*$G$54)&gt;1E-9,AE419*(1+$G$54)-MAX($B$9,0.01*AE419+AE419*$G$54),0),0)</f>
        <v/>
      </c>
      <c r="AF420">
        <f>AE419*$G$54</f>
        <v/>
      </c>
      <c r="AG420">
        <f>IF(AG419&gt;1E-9,IF(AG419*(1+$G$55)-MAX($B$9,0.01*AG419+AG419*$G$55)&gt;1E-9,AG419*(1+$G$55)-MAX($B$9,0.01*AG419+AG419*$G$55),0),0)</f>
        <v/>
      </c>
      <c r="AH420">
        <f>AG419*$G$55</f>
        <v/>
      </c>
      <c r="AI420">
        <f>G420+K420+O420+S420+W420</f>
        <v/>
      </c>
      <c r="AJ420">
        <f>AI419+AK420-AI420</f>
        <v/>
      </c>
      <c r="AK420">
        <f>H420+L420+P420+T420+X420</f>
        <v/>
      </c>
      <c r="AL420">
        <f>TEXT(EDATE($B$5,D420-1),"mmm yyyy")</f>
        <v/>
      </c>
      <c r="AM420">
        <f>AI420</f>
        <v/>
      </c>
    </row>
    <row r="421">
      <c r="D421" t="n">
        <v>360</v>
      </c>
      <c r="E421">
        <f>IF(G420&gt;0,MAX(0,G420*(1+$G$51)-$H$51),0)</f>
        <v/>
      </c>
      <c r="F421">
        <f>$B$6+IF($D421=$B$8,$B$7,0)</f>
        <v/>
      </c>
      <c r="G421">
        <f>IF(E421-F421&gt;1E-9,E421-F421,0)</f>
        <v/>
      </c>
      <c r="H421">
        <f>G420*$G$51</f>
        <v/>
      </c>
      <c r="I421">
        <f>IF(K420&gt;0,MAX(0,K420*(1+$G$52)-$H$52),0)</f>
        <v/>
      </c>
      <c r="J421">
        <f>MAX(0,F421-E421)</f>
        <v/>
      </c>
      <c r="K421">
        <f>IF(I421-J421&gt;1E-9,I421-J421,0)</f>
        <v/>
      </c>
      <c r="L421">
        <f>K420*$G$52</f>
        <v/>
      </c>
      <c r="M421">
        <f>IF(O420&gt;0,MAX(0,O420*(1+$G$53)-$H$53),0)</f>
        <v/>
      </c>
      <c r="N421">
        <f>MAX(0,J421-I421)</f>
        <v/>
      </c>
      <c r="O421">
        <f>IF(M421-N421&gt;1E-9,M421-N421,0)</f>
        <v/>
      </c>
      <c r="P421">
        <f>O420*$G$53</f>
        <v/>
      </c>
      <c r="Q421">
        <f>IF(S420&gt;0,MAX(0,S420*(1+$G$54)-$H$54),0)</f>
        <v/>
      </c>
      <c r="R421">
        <f>MAX(0,N421-M421)</f>
        <v/>
      </c>
      <c r="S421">
        <f>IF(Q421-R421&gt;1E-9,Q421-R421,0)</f>
        <v/>
      </c>
      <c r="T421">
        <f>S420*$G$54</f>
        <v/>
      </c>
      <c r="U421">
        <f>IF(W420&gt;0,MAX(0,W420*(1+$G$55)-$H$55),0)</f>
        <v/>
      </c>
      <c r="V421">
        <f>MAX(0,R421-Q421)</f>
        <v/>
      </c>
      <c r="W421">
        <f>IF(U421-V421&gt;1E-9,U421-V421,0)</f>
        <v/>
      </c>
      <c r="X421">
        <f>W420*$G$55</f>
        <v/>
      </c>
      <c r="Y421">
        <f>IF(Y420&gt;1E-9,IF(Y420*(1+$G$51)-MAX($B$9,0.01*Y420+Y420*$G$51)&gt;1E-9,Y420*(1+$G$51)-MAX($B$9,0.01*Y420+Y420*$G$51),0),0)</f>
        <v/>
      </c>
      <c r="Z421">
        <f>Y420*$G$51</f>
        <v/>
      </c>
      <c r="AA421">
        <f>IF(AA420&gt;1E-9,IF(AA420*(1+$G$52)-MAX($B$9,0.01*AA420+AA420*$G$52)&gt;1E-9,AA420*(1+$G$52)-MAX($B$9,0.01*AA420+AA420*$G$52),0),0)</f>
        <v/>
      </c>
      <c r="AB421">
        <f>AA420*$G$52</f>
        <v/>
      </c>
      <c r="AC421">
        <f>IF(AC420&gt;1E-9,IF(AC420*(1+$G$53)-MAX($B$9,0.01*AC420+AC420*$G$53)&gt;1E-9,AC420*(1+$G$53)-MAX($B$9,0.01*AC420+AC420*$G$53),0),0)</f>
        <v/>
      </c>
      <c r="AD421">
        <f>AC420*$G$53</f>
        <v/>
      </c>
      <c r="AE421">
        <f>IF(AE420&gt;1E-9,IF(AE420*(1+$G$54)-MAX($B$9,0.01*AE420+AE420*$G$54)&gt;1E-9,AE420*(1+$G$54)-MAX($B$9,0.01*AE420+AE420*$G$54),0),0)</f>
        <v/>
      </c>
      <c r="AF421">
        <f>AE420*$G$54</f>
        <v/>
      </c>
      <c r="AG421">
        <f>IF(AG420&gt;1E-9,IF(AG420*(1+$G$55)-MAX($B$9,0.01*AG420+AG420*$G$55)&gt;1E-9,AG420*(1+$G$55)-MAX($B$9,0.01*AG420+AG420*$G$55),0),0)</f>
        <v/>
      </c>
      <c r="AH421">
        <f>AG420*$G$55</f>
        <v/>
      </c>
      <c r="AI421">
        <f>G421+K421+O421+S421+W421</f>
        <v/>
      </c>
      <c r="AJ421">
        <f>AI420+AK421-AI421</f>
        <v/>
      </c>
      <c r="AK421">
        <f>H421+L421+P421+T421+X421</f>
        <v/>
      </c>
      <c r="AL421">
        <f>TEXT(EDATE($B$5,D421-1),"mmm yyyy")</f>
        <v/>
      </c>
      <c r="AM421">
        <f>AI421</f>
        <v/>
      </c>
    </row>
    <row r="422">
      <c r="D422" t="n">
        <v>361</v>
      </c>
      <c r="E422">
        <f>IF(G421&gt;0,MAX(0,G421*(1+$G$51)-$H$51),0)</f>
        <v/>
      </c>
      <c r="F422">
        <f>$B$6+IF($D422=$B$8,$B$7,0)</f>
        <v/>
      </c>
      <c r="G422">
        <f>IF(E422-F422&gt;1E-9,E422-F422,0)</f>
        <v/>
      </c>
      <c r="H422">
        <f>G421*$G$51</f>
        <v/>
      </c>
      <c r="I422">
        <f>IF(K421&gt;0,MAX(0,K421*(1+$G$52)-$H$52),0)</f>
        <v/>
      </c>
      <c r="J422">
        <f>MAX(0,F422-E422)</f>
        <v/>
      </c>
      <c r="K422">
        <f>IF(I422-J422&gt;1E-9,I422-J422,0)</f>
        <v/>
      </c>
      <c r="L422">
        <f>K421*$G$52</f>
        <v/>
      </c>
      <c r="M422">
        <f>IF(O421&gt;0,MAX(0,O421*(1+$G$53)-$H$53),0)</f>
        <v/>
      </c>
      <c r="N422">
        <f>MAX(0,J422-I422)</f>
        <v/>
      </c>
      <c r="O422">
        <f>IF(M422-N422&gt;1E-9,M422-N422,0)</f>
        <v/>
      </c>
      <c r="P422">
        <f>O421*$G$53</f>
        <v/>
      </c>
      <c r="Q422">
        <f>IF(S421&gt;0,MAX(0,S421*(1+$G$54)-$H$54),0)</f>
        <v/>
      </c>
      <c r="R422">
        <f>MAX(0,N422-M422)</f>
        <v/>
      </c>
      <c r="S422">
        <f>IF(Q422-R422&gt;1E-9,Q422-R422,0)</f>
        <v/>
      </c>
      <c r="T422">
        <f>S421*$G$54</f>
        <v/>
      </c>
      <c r="U422">
        <f>IF(W421&gt;0,MAX(0,W421*(1+$G$55)-$H$55),0)</f>
        <v/>
      </c>
      <c r="V422">
        <f>MAX(0,R422-Q422)</f>
        <v/>
      </c>
      <c r="W422">
        <f>IF(U422-V422&gt;1E-9,U422-V422,0)</f>
        <v/>
      </c>
      <c r="X422">
        <f>W421*$G$55</f>
        <v/>
      </c>
      <c r="Y422">
        <f>IF(Y421&gt;1E-9,IF(Y421*(1+$G$51)-MAX($B$9,0.01*Y421+Y421*$G$51)&gt;1E-9,Y421*(1+$G$51)-MAX($B$9,0.01*Y421+Y421*$G$51),0),0)</f>
        <v/>
      </c>
      <c r="Z422">
        <f>Y421*$G$51</f>
        <v/>
      </c>
      <c r="AA422">
        <f>IF(AA421&gt;1E-9,IF(AA421*(1+$G$52)-MAX($B$9,0.01*AA421+AA421*$G$52)&gt;1E-9,AA421*(1+$G$52)-MAX($B$9,0.01*AA421+AA421*$G$52),0),0)</f>
        <v/>
      </c>
      <c r="AB422">
        <f>AA421*$G$52</f>
        <v/>
      </c>
      <c r="AC422">
        <f>IF(AC421&gt;1E-9,IF(AC421*(1+$G$53)-MAX($B$9,0.01*AC421+AC421*$G$53)&gt;1E-9,AC421*(1+$G$53)-MAX($B$9,0.01*AC421+AC421*$G$53),0),0)</f>
        <v/>
      </c>
      <c r="AD422">
        <f>AC421*$G$53</f>
        <v/>
      </c>
      <c r="AE422">
        <f>IF(AE421&gt;1E-9,IF(AE421*(1+$G$54)-MAX($B$9,0.01*AE421+AE421*$G$54)&gt;1E-9,AE421*(1+$G$54)-MAX($B$9,0.01*AE421+AE421*$G$54),0),0)</f>
        <v/>
      </c>
      <c r="AF422">
        <f>AE421*$G$54</f>
        <v/>
      </c>
      <c r="AG422">
        <f>IF(AG421&gt;1E-9,IF(AG421*(1+$G$55)-MAX($B$9,0.01*AG421+AG421*$G$55)&gt;1E-9,AG421*(1+$G$55)-MAX($B$9,0.01*AG421+AG421*$G$55),0),0)</f>
        <v/>
      </c>
      <c r="AH422">
        <f>AG421*$G$55</f>
        <v/>
      </c>
      <c r="AI422">
        <f>G422+K422+O422+S422+W422</f>
        <v/>
      </c>
      <c r="AJ422">
        <f>AI421+AK422-AI422</f>
        <v/>
      </c>
      <c r="AK422">
        <f>H422+L422+P422+T422+X422</f>
        <v/>
      </c>
      <c r="AL422">
        <f>TEXT(EDATE($B$5,D422-1),"mmm yyyy")</f>
        <v/>
      </c>
      <c r="AM422">
        <f>AI422</f>
        <v/>
      </c>
    </row>
    <row r="423">
      <c r="D423" t="n">
        <v>362</v>
      </c>
      <c r="E423">
        <f>IF(G422&gt;0,MAX(0,G422*(1+$G$51)-$H$51),0)</f>
        <v/>
      </c>
      <c r="F423">
        <f>$B$6+IF($D423=$B$8,$B$7,0)</f>
        <v/>
      </c>
      <c r="G423">
        <f>IF(E423-F423&gt;1E-9,E423-F423,0)</f>
        <v/>
      </c>
      <c r="H423">
        <f>G422*$G$51</f>
        <v/>
      </c>
      <c r="I423">
        <f>IF(K422&gt;0,MAX(0,K422*(1+$G$52)-$H$52),0)</f>
        <v/>
      </c>
      <c r="J423">
        <f>MAX(0,F423-E423)</f>
        <v/>
      </c>
      <c r="K423">
        <f>IF(I423-J423&gt;1E-9,I423-J423,0)</f>
        <v/>
      </c>
      <c r="L423">
        <f>K422*$G$52</f>
        <v/>
      </c>
      <c r="M423">
        <f>IF(O422&gt;0,MAX(0,O422*(1+$G$53)-$H$53),0)</f>
        <v/>
      </c>
      <c r="N423">
        <f>MAX(0,J423-I423)</f>
        <v/>
      </c>
      <c r="O423">
        <f>IF(M423-N423&gt;1E-9,M423-N423,0)</f>
        <v/>
      </c>
      <c r="P423">
        <f>O422*$G$53</f>
        <v/>
      </c>
      <c r="Q423">
        <f>IF(S422&gt;0,MAX(0,S422*(1+$G$54)-$H$54),0)</f>
        <v/>
      </c>
      <c r="R423">
        <f>MAX(0,N423-M423)</f>
        <v/>
      </c>
      <c r="S423">
        <f>IF(Q423-R423&gt;1E-9,Q423-R423,0)</f>
        <v/>
      </c>
      <c r="T423">
        <f>S422*$G$54</f>
        <v/>
      </c>
      <c r="U423">
        <f>IF(W422&gt;0,MAX(0,W422*(1+$G$55)-$H$55),0)</f>
        <v/>
      </c>
      <c r="V423">
        <f>MAX(0,R423-Q423)</f>
        <v/>
      </c>
      <c r="W423">
        <f>IF(U423-V423&gt;1E-9,U423-V423,0)</f>
        <v/>
      </c>
      <c r="X423">
        <f>W422*$G$55</f>
        <v/>
      </c>
      <c r="Y423">
        <f>IF(Y422&gt;1E-9,IF(Y422*(1+$G$51)-MAX($B$9,0.01*Y422+Y422*$G$51)&gt;1E-9,Y422*(1+$G$51)-MAX($B$9,0.01*Y422+Y422*$G$51),0),0)</f>
        <v/>
      </c>
      <c r="Z423">
        <f>Y422*$G$51</f>
        <v/>
      </c>
      <c r="AA423">
        <f>IF(AA422&gt;1E-9,IF(AA422*(1+$G$52)-MAX($B$9,0.01*AA422+AA422*$G$52)&gt;1E-9,AA422*(1+$G$52)-MAX($B$9,0.01*AA422+AA422*$G$52),0),0)</f>
        <v/>
      </c>
      <c r="AB423">
        <f>AA422*$G$52</f>
        <v/>
      </c>
      <c r="AC423">
        <f>IF(AC422&gt;1E-9,IF(AC422*(1+$G$53)-MAX($B$9,0.01*AC422+AC422*$G$53)&gt;1E-9,AC422*(1+$G$53)-MAX($B$9,0.01*AC422+AC422*$G$53),0),0)</f>
        <v/>
      </c>
      <c r="AD423">
        <f>AC422*$G$53</f>
        <v/>
      </c>
      <c r="AE423">
        <f>IF(AE422&gt;1E-9,IF(AE422*(1+$G$54)-MAX($B$9,0.01*AE422+AE422*$G$54)&gt;1E-9,AE422*(1+$G$54)-MAX($B$9,0.01*AE422+AE422*$G$54),0),0)</f>
        <v/>
      </c>
      <c r="AF423">
        <f>AE422*$G$54</f>
        <v/>
      </c>
      <c r="AG423">
        <f>IF(AG422&gt;1E-9,IF(AG422*(1+$G$55)-MAX($B$9,0.01*AG422+AG422*$G$55)&gt;1E-9,AG422*(1+$G$55)-MAX($B$9,0.01*AG422+AG422*$G$55),0),0)</f>
        <v/>
      </c>
      <c r="AH423">
        <f>AG422*$G$55</f>
        <v/>
      </c>
      <c r="AI423">
        <f>G423+K423+O423+S423+W423</f>
        <v/>
      </c>
      <c r="AJ423">
        <f>AI422+AK423-AI423</f>
        <v/>
      </c>
      <c r="AK423">
        <f>H423+L423+P423+T423+X423</f>
        <v/>
      </c>
      <c r="AL423">
        <f>TEXT(EDATE($B$5,D423-1),"mmm yyyy")</f>
        <v/>
      </c>
      <c r="AM423">
        <f>AI423</f>
        <v/>
      </c>
    </row>
    <row r="424">
      <c r="D424" t="n">
        <v>363</v>
      </c>
      <c r="E424">
        <f>IF(G423&gt;0,MAX(0,G423*(1+$G$51)-$H$51),0)</f>
        <v/>
      </c>
      <c r="F424">
        <f>$B$6+IF($D424=$B$8,$B$7,0)</f>
        <v/>
      </c>
      <c r="G424">
        <f>IF(E424-F424&gt;1E-9,E424-F424,0)</f>
        <v/>
      </c>
      <c r="H424">
        <f>G423*$G$51</f>
        <v/>
      </c>
      <c r="I424">
        <f>IF(K423&gt;0,MAX(0,K423*(1+$G$52)-$H$52),0)</f>
        <v/>
      </c>
      <c r="J424">
        <f>MAX(0,F424-E424)</f>
        <v/>
      </c>
      <c r="K424">
        <f>IF(I424-J424&gt;1E-9,I424-J424,0)</f>
        <v/>
      </c>
      <c r="L424">
        <f>K423*$G$52</f>
        <v/>
      </c>
      <c r="M424">
        <f>IF(O423&gt;0,MAX(0,O423*(1+$G$53)-$H$53),0)</f>
        <v/>
      </c>
      <c r="N424">
        <f>MAX(0,J424-I424)</f>
        <v/>
      </c>
      <c r="O424">
        <f>IF(M424-N424&gt;1E-9,M424-N424,0)</f>
        <v/>
      </c>
      <c r="P424">
        <f>O423*$G$53</f>
        <v/>
      </c>
      <c r="Q424">
        <f>IF(S423&gt;0,MAX(0,S423*(1+$G$54)-$H$54),0)</f>
        <v/>
      </c>
      <c r="R424">
        <f>MAX(0,N424-M424)</f>
        <v/>
      </c>
      <c r="S424">
        <f>IF(Q424-R424&gt;1E-9,Q424-R424,0)</f>
        <v/>
      </c>
      <c r="T424">
        <f>S423*$G$54</f>
        <v/>
      </c>
      <c r="U424">
        <f>IF(W423&gt;0,MAX(0,W423*(1+$G$55)-$H$55),0)</f>
        <v/>
      </c>
      <c r="V424">
        <f>MAX(0,R424-Q424)</f>
        <v/>
      </c>
      <c r="W424">
        <f>IF(U424-V424&gt;1E-9,U424-V424,0)</f>
        <v/>
      </c>
      <c r="X424">
        <f>W423*$G$55</f>
        <v/>
      </c>
      <c r="Y424">
        <f>IF(Y423&gt;1E-9,IF(Y423*(1+$G$51)-MAX($B$9,0.01*Y423+Y423*$G$51)&gt;1E-9,Y423*(1+$G$51)-MAX($B$9,0.01*Y423+Y423*$G$51),0),0)</f>
        <v/>
      </c>
      <c r="Z424">
        <f>Y423*$G$51</f>
        <v/>
      </c>
      <c r="AA424">
        <f>IF(AA423&gt;1E-9,IF(AA423*(1+$G$52)-MAX($B$9,0.01*AA423+AA423*$G$52)&gt;1E-9,AA423*(1+$G$52)-MAX($B$9,0.01*AA423+AA423*$G$52),0),0)</f>
        <v/>
      </c>
      <c r="AB424">
        <f>AA423*$G$52</f>
        <v/>
      </c>
      <c r="AC424">
        <f>IF(AC423&gt;1E-9,IF(AC423*(1+$G$53)-MAX($B$9,0.01*AC423+AC423*$G$53)&gt;1E-9,AC423*(1+$G$53)-MAX($B$9,0.01*AC423+AC423*$G$53),0),0)</f>
        <v/>
      </c>
      <c r="AD424">
        <f>AC423*$G$53</f>
        <v/>
      </c>
      <c r="AE424">
        <f>IF(AE423&gt;1E-9,IF(AE423*(1+$G$54)-MAX($B$9,0.01*AE423+AE423*$G$54)&gt;1E-9,AE423*(1+$G$54)-MAX($B$9,0.01*AE423+AE423*$G$54),0),0)</f>
        <v/>
      </c>
      <c r="AF424">
        <f>AE423*$G$54</f>
        <v/>
      </c>
      <c r="AG424">
        <f>IF(AG423&gt;1E-9,IF(AG423*(1+$G$55)-MAX($B$9,0.01*AG423+AG423*$G$55)&gt;1E-9,AG423*(1+$G$55)-MAX($B$9,0.01*AG423+AG423*$G$55),0),0)</f>
        <v/>
      </c>
      <c r="AH424">
        <f>AG423*$G$55</f>
        <v/>
      </c>
      <c r="AI424">
        <f>G424+K424+O424+S424+W424</f>
        <v/>
      </c>
      <c r="AJ424">
        <f>AI423+AK424-AI424</f>
        <v/>
      </c>
      <c r="AK424">
        <f>H424+L424+P424+T424+X424</f>
        <v/>
      </c>
      <c r="AL424">
        <f>TEXT(EDATE($B$5,D424-1),"mmm yyyy")</f>
        <v/>
      </c>
      <c r="AM424">
        <f>AI424</f>
        <v/>
      </c>
    </row>
    <row r="425">
      <c r="D425" t="n">
        <v>364</v>
      </c>
      <c r="E425">
        <f>IF(G424&gt;0,MAX(0,G424*(1+$G$51)-$H$51),0)</f>
        <v/>
      </c>
      <c r="F425">
        <f>$B$6+IF($D425=$B$8,$B$7,0)</f>
        <v/>
      </c>
      <c r="G425">
        <f>IF(E425-F425&gt;1E-9,E425-F425,0)</f>
        <v/>
      </c>
      <c r="H425">
        <f>G424*$G$51</f>
        <v/>
      </c>
      <c r="I425">
        <f>IF(K424&gt;0,MAX(0,K424*(1+$G$52)-$H$52),0)</f>
        <v/>
      </c>
      <c r="J425">
        <f>MAX(0,F425-E425)</f>
        <v/>
      </c>
      <c r="K425">
        <f>IF(I425-J425&gt;1E-9,I425-J425,0)</f>
        <v/>
      </c>
      <c r="L425">
        <f>K424*$G$52</f>
        <v/>
      </c>
      <c r="M425">
        <f>IF(O424&gt;0,MAX(0,O424*(1+$G$53)-$H$53),0)</f>
        <v/>
      </c>
      <c r="N425">
        <f>MAX(0,J425-I425)</f>
        <v/>
      </c>
      <c r="O425">
        <f>IF(M425-N425&gt;1E-9,M425-N425,0)</f>
        <v/>
      </c>
      <c r="P425">
        <f>O424*$G$53</f>
        <v/>
      </c>
      <c r="Q425">
        <f>IF(S424&gt;0,MAX(0,S424*(1+$G$54)-$H$54),0)</f>
        <v/>
      </c>
      <c r="R425">
        <f>MAX(0,N425-M425)</f>
        <v/>
      </c>
      <c r="S425">
        <f>IF(Q425-R425&gt;1E-9,Q425-R425,0)</f>
        <v/>
      </c>
      <c r="T425">
        <f>S424*$G$54</f>
        <v/>
      </c>
      <c r="U425">
        <f>IF(W424&gt;0,MAX(0,W424*(1+$G$55)-$H$55),0)</f>
        <v/>
      </c>
      <c r="V425">
        <f>MAX(0,R425-Q425)</f>
        <v/>
      </c>
      <c r="W425">
        <f>IF(U425-V425&gt;1E-9,U425-V425,0)</f>
        <v/>
      </c>
      <c r="X425">
        <f>W424*$G$55</f>
        <v/>
      </c>
      <c r="Y425">
        <f>IF(Y424&gt;1E-9,IF(Y424*(1+$G$51)-MAX($B$9,0.01*Y424+Y424*$G$51)&gt;1E-9,Y424*(1+$G$51)-MAX($B$9,0.01*Y424+Y424*$G$51),0),0)</f>
        <v/>
      </c>
      <c r="Z425">
        <f>Y424*$G$51</f>
        <v/>
      </c>
      <c r="AA425">
        <f>IF(AA424&gt;1E-9,IF(AA424*(1+$G$52)-MAX($B$9,0.01*AA424+AA424*$G$52)&gt;1E-9,AA424*(1+$G$52)-MAX($B$9,0.01*AA424+AA424*$G$52),0),0)</f>
        <v/>
      </c>
      <c r="AB425">
        <f>AA424*$G$52</f>
        <v/>
      </c>
      <c r="AC425">
        <f>IF(AC424&gt;1E-9,IF(AC424*(1+$G$53)-MAX($B$9,0.01*AC424+AC424*$G$53)&gt;1E-9,AC424*(1+$G$53)-MAX($B$9,0.01*AC424+AC424*$G$53),0),0)</f>
        <v/>
      </c>
      <c r="AD425">
        <f>AC424*$G$53</f>
        <v/>
      </c>
      <c r="AE425">
        <f>IF(AE424&gt;1E-9,IF(AE424*(1+$G$54)-MAX($B$9,0.01*AE424+AE424*$G$54)&gt;1E-9,AE424*(1+$G$54)-MAX($B$9,0.01*AE424+AE424*$G$54),0),0)</f>
        <v/>
      </c>
      <c r="AF425">
        <f>AE424*$G$54</f>
        <v/>
      </c>
      <c r="AG425">
        <f>IF(AG424&gt;1E-9,IF(AG424*(1+$G$55)-MAX($B$9,0.01*AG424+AG424*$G$55)&gt;1E-9,AG424*(1+$G$55)-MAX($B$9,0.01*AG424+AG424*$G$55),0),0)</f>
        <v/>
      </c>
      <c r="AH425">
        <f>AG424*$G$55</f>
        <v/>
      </c>
      <c r="AI425">
        <f>G425+K425+O425+S425+W425</f>
        <v/>
      </c>
      <c r="AJ425">
        <f>AI424+AK425-AI425</f>
        <v/>
      </c>
      <c r="AK425">
        <f>H425+L425+P425+T425+X425</f>
        <v/>
      </c>
      <c r="AL425">
        <f>TEXT(EDATE($B$5,D425-1),"mmm yyyy")</f>
        <v/>
      </c>
      <c r="AM425">
        <f>AI425</f>
        <v/>
      </c>
    </row>
    <row r="426">
      <c r="D426" t="n">
        <v>365</v>
      </c>
      <c r="E426">
        <f>IF(G425&gt;0,MAX(0,G425*(1+$G$51)-$H$51),0)</f>
        <v/>
      </c>
      <c r="F426">
        <f>$B$6+IF($D426=$B$8,$B$7,0)</f>
        <v/>
      </c>
      <c r="G426">
        <f>IF(E426-F426&gt;1E-9,E426-F426,0)</f>
        <v/>
      </c>
      <c r="H426">
        <f>G425*$G$51</f>
        <v/>
      </c>
      <c r="I426">
        <f>IF(K425&gt;0,MAX(0,K425*(1+$G$52)-$H$52),0)</f>
        <v/>
      </c>
      <c r="J426">
        <f>MAX(0,F426-E426)</f>
        <v/>
      </c>
      <c r="K426">
        <f>IF(I426-J426&gt;1E-9,I426-J426,0)</f>
        <v/>
      </c>
      <c r="L426">
        <f>K425*$G$52</f>
        <v/>
      </c>
      <c r="M426">
        <f>IF(O425&gt;0,MAX(0,O425*(1+$G$53)-$H$53),0)</f>
        <v/>
      </c>
      <c r="N426">
        <f>MAX(0,J426-I426)</f>
        <v/>
      </c>
      <c r="O426">
        <f>IF(M426-N426&gt;1E-9,M426-N426,0)</f>
        <v/>
      </c>
      <c r="P426">
        <f>O425*$G$53</f>
        <v/>
      </c>
      <c r="Q426">
        <f>IF(S425&gt;0,MAX(0,S425*(1+$G$54)-$H$54),0)</f>
        <v/>
      </c>
      <c r="R426">
        <f>MAX(0,N426-M426)</f>
        <v/>
      </c>
      <c r="S426">
        <f>IF(Q426-R426&gt;1E-9,Q426-R426,0)</f>
        <v/>
      </c>
      <c r="T426">
        <f>S425*$G$54</f>
        <v/>
      </c>
      <c r="U426">
        <f>IF(W425&gt;0,MAX(0,W425*(1+$G$55)-$H$55),0)</f>
        <v/>
      </c>
      <c r="V426">
        <f>MAX(0,R426-Q426)</f>
        <v/>
      </c>
      <c r="W426">
        <f>IF(U426-V426&gt;1E-9,U426-V426,0)</f>
        <v/>
      </c>
      <c r="X426">
        <f>W425*$G$55</f>
        <v/>
      </c>
      <c r="Y426">
        <f>IF(Y425&gt;1E-9,IF(Y425*(1+$G$51)-MAX($B$9,0.01*Y425+Y425*$G$51)&gt;1E-9,Y425*(1+$G$51)-MAX($B$9,0.01*Y425+Y425*$G$51),0),0)</f>
        <v/>
      </c>
      <c r="Z426">
        <f>Y425*$G$51</f>
        <v/>
      </c>
      <c r="AA426">
        <f>IF(AA425&gt;1E-9,IF(AA425*(1+$G$52)-MAX($B$9,0.01*AA425+AA425*$G$52)&gt;1E-9,AA425*(1+$G$52)-MAX($B$9,0.01*AA425+AA425*$G$52),0),0)</f>
        <v/>
      </c>
      <c r="AB426">
        <f>AA425*$G$52</f>
        <v/>
      </c>
      <c r="AC426">
        <f>IF(AC425&gt;1E-9,IF(AC425*(1+$G$53)-MAX($B$9,0.01*AC425+AC425*$G$53)&gt;1E-9,AC425*(1+$G$53)-MAX($B$9,0.01*AC425+AC425*$G$53),0),0)</f>
        <v/>
      </c>
      <c r="AD426">
        <f>AC425*$G$53</f>
        <v/>
      </c>
      <c r="AE426">
        <f>IF(AE425&gt;1E-9,IF(AE425*(1+$G$54)-MAX($B$9,0.01*AE425+AE425*$G$54)&gt;1E-9,AE425*(1+$G$54)-MAX($B$9,0.01*AE425+AE425*$G$54),0),0)</f>
        <v/>
      </c>
      <c r="AF426">
        <f>AE425*$G$54</f>
        <v/>
      </c>
      <c r="AG426">
        <f>IF(AG425&gt;1E-9,IF(AG425*(1+$G$55)-MAX($B$9,0.01*AG425+AG425*$G$55)&gt;1E-9,AG425*(1+$G$55)-MAX($B$9,0.01*AG425+AG425*$G$55),0),0)</f>
        <v/>
      </c>
      <c r="AH426">
        <f>AG425*$G$55</f>
        <v/>
      </c>
      <c r="AI426">
        <f>G426+K426+O426+S426+W426</f>
        <v/>
      </c>
      <c r="AJ426">
        <f>AI425+AK426-AI426</f>
        <v/>
      </c>
      <c r="AK426">
        <f>H426+L426+P426+T426+X426</f>
        <v/>
      </c>
      <c r="AL426">
        <f>TEXT(EDATE($B$5,D426-1),"mmm yyyy")</f>
        <v/>
      </c>
      <c r="AM426">
        <f>AI426</f>
        <v/>
      </c>
    </row>
    <row r="427">
      <c r="D427" t="n">
        <v>366</v>
      </c>
      <c r="E427">
        <f>IF(G426&gt;0,MAX(0,G426*(1+$G$51)-$H$51),0)</f>
        <v/>
      </c>
      <c r="F427">
        <f>$B$6+IF($D427=$B$8,$B$7,0)</f>
        <v/>
      </c>
      <c r="G427">
        <f>IF(E427-F427&gt;1E-9,E427-F427,0)</f>
        <v/>
      </c>
      <c r="H427">
        <f>G426*$G$51</f>
        <v/>
      </c>
      <c r="I427">
        <f>IF(K426&gt;0,MAX(0,K426*(1+$G$52)-$H$52),0)</f>
        <v/>
      </c>
      <c r="J427">
        <f>MAX(0,F427-E427)</f>
        <v/>
      </c>
      <c r="K427">
        <f>IF(I427-J427&gt;1E-9,I427-J427,0)</f>
        <v/>
      </c>
      <c r="L427">
        <f>K426*$G$52</f>
        <v/>
      </c>
      <c r="M427">
        <f>IF(O426&gt;0,MAX(0,O426*(1+$G$53)-$H$53),0)</f>
        <v/>
      </c>
      <c r="N427">
        <f>MAX(0,J427-I427)</f>
        <v/>
      </c>
      <c r="O427">
        <f>IF(M427-N427&gt;1E-9,M427-N427,0)</f>
        <v/>
      </c>
      <c r="P427">
        <f>O426*$G$53</f>
        <v/>
      </c>
      <c r="Q427">
        <f>IF(S426&gt;0,MAX(0,S426*(1+$G$54)-$H$54),0)</f>
        <v/>
      </c>
      <c r="R427">
        <f>MAX(0,N427-M427)</f>
        <v/>
      </c>
      <c r="S427">
        <f>IF(Q427-R427&gt;1E-9,Q427-R427,0)</f>
        <v/>
      </c>
      <c r="T427">
        <f>S426*$G$54</f>
        <v/>
      </c>
      <c r="U427">
        <f>IF(W426&gt;0,MAX(0,W426*(1+$G$55)-$H$55),0)</f>
        <v/>
      </c>
      <c r="V427">
        <f>MAX(0,R427-Q427)</f>
        <v/>
      </c>
      <c r="W427">
        <f>IF(U427-V427&gt;1E-9,U427-V427,0)</f>
        <v/>
      </c>
      <c r="X427">
        <f>W426*$G$55</f>
        <v/>
      </c>
      <c r="Y427">
        <f>IF(Y426&gt;1E-9,IF(Y426*(1+$G$51)-MAX($B$9,0.01*Y426+Y426*$G$51)&gt;1E-9,Y426*(1+$G$51)-MAX($B$9,0.01*Y426+Y426*$G$51),0),0)</f>
        <v/>
      </c>
      <c r="Z427">
        <f>Y426*$G$51</f>
        <v/>
      </c>
      <c r="AA427">
        <f>IF(AA426&gt;1E-9,IF(AA426*(1+$G$52)-MAX($B$9,0.01*AA426+AA426*$G$52)&gt;1E-9,AA426*(1+$G$52)-MAX($B$9,0.01*AA426+AA426*$G$52),0),0)</f>
        <v/>
      </c>
      <c r="AB427">
        <f>AA426*$G$52</f>
        <v/>
      </c>
      <c r="AC427">
        <f>IF(AC426&gt;1E-9,IF(AC426*(1+$G$53)-MAX($B$9,0.01*AC426+AC426*$G$53)&gt;1E-9,AC426*(1+$G$53)-MAX($B$9,0.01*AC426+AC426*$G$53),0),0)</f>
        <v/>
      </c>
      <c r="AD427">
        <f>AC426*$G$53</f>
        <v/>
      </c>
      <c r="AE427">
        <f>IF(AE426&gt;1E-9,IF(AE426*(1+$G$54)-MAX($B$9,0.01*AE426+AE426*$G$54)&gt;1E-9,AE426*(1+$G$54)-MAX($B$9,0.01*AE426+AE426*$G$54),0),0)</f>
        <v/>
      </c>
      <c r="AF427">
        <f>AE426*$G$54</f>
        <v/>
      </c>
      <c r="AG427">
        <f>IF(AG426&gt;1E-9,IF(AG426*(1+$G$55)-MAX($B$9,0.01*AG426+AG426*$G$55)&gt;1E-9,AG426*(1+$G$55)-MAX($B$9,0.01*AG426+AG426*$G$55),0),0)</f>
        <v/>
      </c>
      <c r="AH427">
        <f>AG426*$G$55</f>
        <v/>
      </c>
      <c r="AI427">
        <f>G427+K427+O427+S427+W427</f>
        <v/>
      </c>
      <c r="AJ427">
        <f>AI426+AK427-AI427</f>
        <v/>
      </c>
      <c r="AK427">
        <f>H427+L427+P427+T427+X427</f>
        <v/>
      </c>
      <c r="AL427">
        <f>TEXT(EDATE($B$5,D427-1),"mmm yyyy")</f>
        <v/>
      </c>
      <c r="AM427">
        <f>AI427</f>
        <v/>
      </c>
    </row>
    <row r="428">
      <c r="D428" t="n">
        <v>367</v>
      </c>
      <c r="E428">
        <f>IF(G427&gt;0,MAX(0,G427*(1+$G$51)-$H$51),0)</f>
        <v/>
      </c>
      <c r="F428">
        <f>$B$6+IF($D428=$B$8,$B$7,0)</f>
        <v/>
      </c>
      <c r="G428">
        <f>IF(E428-F428&gt;1E-9,E428-F428,0)</f>
        <v/>
      </c>
      <c r="H428">
        <f>G427*$G$51</f>
        <v/>
      </c>
      <c r="I428">
        <f>IF(K427&gt;0,MAX(0,K427*(1+$G$52)-$H$52),0)</f>
        <v/>
      </c>
      <c r="J428">
        <f>MAX(0,F428-E428)</f>
        <v/>
      </c>
      <c r="K428">
        <f>IF(I428-J428&gt;1E-9,I428-J428,0)</f>
        <v/>
      </c>
      <c r="L428">
        <f>K427*$G$52</f>
        <v/>
      </c>
      <c r="M428">
        <f>IF(O427&gt;0,MAX(0,O427*(1+$G$53)-$H$53),0)</f>
        <v/>
      </c>
      <c r="N428">
        <f>MAX(0,J428-I428)</f>
        <v/>
      </c>
      <c r="O428">
        <f>IF(M428-N428&gt;1E-9,M428-N428,0)</f>
        <v/>
      </c>
      <c r="P428">
        <f>O427*$G$53</f>
        <v/>
      </c>
      <c r="Q428">
        <f>IF(S427&gt;0,MAX(0,S427*(1+$G$54)-$H$54),0)</f>
        <v/>
      </c>
      <c r="R428">
        <f>MAX(0,N428-M428)</f>
        <v/>
      </c>
      <c r="S428">
        <f>IF(Q428-R428&gt;1E-9,Q428-R428,0)</f>
        <v/>
      </c>
      <c r="T428">
        <f>S427*$G$54</f>
        <v/>
      </c>
      <c r="U428">
        <f>IF(W427&gt;0,MAX(0,W427*(1+$G$55)-$H$55),0)</f>
        <v/>
      </c>
      <c r="V428">
        <f>MAX(0,R428-Q428)</f>
        <v/>
      </c>
      <c r="W428">
        <f>IF(U428-V428&gt;1E-9,U428-V428,0)</f>
        <v/>
      </c>
      <c r="X428">
        <f>W427*$G$55</f>
        <v/>
      </c>
      <c r="Y428">
        <f>IF(Y427&gt;1E-9,IF(Y427*(1+$G$51)-MAX($B$9,0.01*Y427+Y427*$G$51)&gt;1E-9,Y427*(1+$G$51)-MAX($B$9,0.01*Y427+Y427*$G$51),0),0)</f>
        <v/>
      </c>
      <c r="Z428">
        <f>Y427*$G$51</f>
        <v/>
      </c>
      <c r="AA428">
        <f>IF(AA427&gt;1E-9,IF(AA427*(1+$G$52)-MAX($B$9,0.01*AA427+AA427*$G$52)&gt;1E-9,AA427*(1+$G$52)-MAX($B$9,0.01*AA427+AA427*$G$52),0),0)</f>
        <v/>
      </c>
      <c r="AB428">
        <f>AA427*$G$52</f>
        <v/>
      </c>
      <c r="AC428">
        <f>IF(AC427&gt;1E-9,IF(AC427*(1+$G$53)-MAX($B$9,0.01*AC427+AC427*$G$53)&gt;1E-9,AC427*(1+$G$53)-MAX($B$9,0.01*AC427+AC427*$G$53),0),0)</f>
        <v/>
      </c>
      <c r="AD428">
        <f>AC427*$G$53</f>
        <v/>
      </c>
      <c r="AE428">
        <f>IF(AE427&gt;1E-9,IF(AE427*(1+$G$54)-MAX($B$9,0.01*AE427+AE427*$G$54)&gt;1E-9,AE427*(1+$G$54)-MAX($B$9,0.01*AE427+AE427*$G$54),0),0)</f>
        <v/>
      </c>
      <c r="AF428">
        <f>AE427*$G$54</f>
        <v/>
      </c>
      <c r="AG428">
        <f>IF(AG427&gt;1E-9,IF(AG427*(1+$G$55)-MAX($B$9,0.01*AG427+AG427*$G$55)&gt;1E-9,AG427*(1+$G$55)-MAX($B$9,0.01*AG427+AG427*$G$55),0),0)</f>
        <v/>
      </c>
      <c r="AH428">
        <f>AG427*$G$55</f>
        <v/>
      </c>
      <c r="AI428">
        <f>G428+K428+O428+S428+W428</f>
        <v/>
      </c>
      <c r="AJ428">
        <f>AI427+AK428-AI428</f>
        <v/>
      </c>
      <c r="AK428">
        <f>H428+L428+P428+T428+X428</f>
        <v/>
      </c>
      <c r="AL428">
        <f>TEXT(EDATE($B$5,D428-1),"mmm yyyy")</f>
        <v/>
      </c>
      <c r="AM428">
        <f>AI428</f>
        <v/>
      </c>
    </row>
    <row r="429">
      <c r="D429" t="n">
        <v>368</v>
      </c>
      <c r="E429">
        <f>IF(G428&gt;0,MAX(0,G428*(1+$G$51)-$H$51),0)</f>
        <v/>
      </c>
      <c r="F429">
        <f>$B$6+IF($D429=$B$8,$B$7,0)</f>
        <v/>
      </c>
      <c r="G429">
        <f>IF(E429-F429&gt;1E-9,E429-F429,0)</f>
        <v/>
      </c>
      <c r="H429">
        <f>G428*$G$51</f>
        <v/>
      </c>
      <c r="I429">
        <f>IF(K428&gt;0,MAX(0,K428*(1+$G$52)-$H$52),0)</f>
        <v/>
      </c>
      <c r="J429">
        <f>MAX(0,F429-E429)</f>
        <v/>
      </c>
      <c r="K429">
        <f>IF(I429-J429&gt;1E-9,I429-J429,0)</f>
        <v/>
      </c>
      <c r="L429">
        <f>K428*$G$52</f>
        <v/>
      </c>
      <c r="M429">
        <f>IF(O428&gt;0,MAX(0,O428*(1+$G$53)-$H$53),0)</f>
        <v/>
      </c>
      <c r="N429">
        <f>MAX(0,J429-I429)</f>
        <v/>
      </c>
      <c r="O429">
        <f>IF(M429-N429&gt;1E-9,M429-N429,0)</f>
        <v/>
      </c>
      <c r="P429">
        <f>O428*$G$53</f>
        <v/>
      </c>
      <c r="Q429">
        <f>IF(S428&gt;0,MAX(0,S428*(1+$G$54)-$H$54),0)</f>
        <v/>
      </c>
      <c r="R429">
        <f>MAX(0,N429-M429)</f>
        <v/>
      </c>
      <c r="S429">
        <f>IF(Q429-R429&gt;1E-9,Q429-R429,0)</f>
        <v/>
      </c>
      <c r="T429">
        <f>S428*$G$54</f>
        <v/>
      </c>
      <c r="U429">
        <f>IF(W428&gt;0,MAX(0,W428*(1+$G$55)-$H$55),0)</f>
        <v/>
      </c>
      <c r="V429">
        <f>MAX(0,R429-Q429)</f>
        <v/>
      </c>
      <c r="W429">
        <f>IF(U429-V429&gt;1E-9,U429-V429,0)</f>
        <v/>
      </c>
      <c r="X429">
        <f>W428*$G$55</f>
        <v/>
      </c>
      <c r="Y429">
        <f>IF(Y428&gt;1E-9,IF(Y428*(1+$G$51)-MAX($B$9,0.01*Y428+Y428*$G$51)&gt;1E-9,Y428*(1+$G$51)-MAX($B$9,0.01*Y428+Y428*$G$51),0),0)</f>
        <v/>
      </c>
      <c r="Z429">
        <f>Y428*$G$51</f>
        <v/>
      </c>
      <c r="AA429">
        <f>IF(AA428&gt;1E-9,IF(AA428*(1+$G$52)-MAX($B$9,0.01*AA428+AA428*$G$52)&gt;1E-9,AA428*(1+$G$52)-MAX($B$9,0.01*AA428+AA428*$G$52),0),0)</f>
        <v/>
      </c>
      <c r="AB429">
        <f>AA428*$G$52</f>
        <v/>
      </c>
      <c r="AC429">
        <f>IF(AC428&gt;1E-9,IF(AC428*(1+$G$53)-MAX($B$9,0.01*AC428+AC428*$G$53)&gt;1E-9,AC428*(1+$G$53)-MAX($B$9,0.01*AC428+AC428*$G$53),0),0)</f>
        <v/>
      </c>
      <c r="AD429">
        <f>AC428*$G$53</f>
        <v/>
      </c>
      <c r="AE429">
        <f>IF(AE428&gt;1E-9,IF(AE428*(1+$G$54)-MAX($B$9,0.01*AE428+AE428*$G$54)&gt;1E-9,AE428*(1+$G$54)-MAX($B$9,0.01*AE428+AE428*$G$54),0),0)</f>
        <v/>
      </c>
      <c r="AF429">
        <f>AE428*$G$54</f>
        <v/>
      </c>
      <c r="AG429">
        <f>IF(AG428&gt;1E-9,IF(AG428*(1+$G$55)-MAX($B$9,0.01*AG428+AG428*$G$55)&gt;1E-9,AG428*(1+$G$55)-MAX($B$9,0.01*AG428+AG428*$G$55),0),0)</f>
        <v/>
      </c>
      <c r="AH429">
        <f>AG428*$G$55</f>
        <v/>
      </c>
      <c r="AI429">
        <f>G429+K429+O429+S429+W429</f>
        <v/>
      </c>
      <c r="AJ429">
        <f>AI428+AK429-AI429</f>
        <v/>
      </c>
      <c r="AK429">
        <f>H429+L429+P429+T429+X429</f>
        <v/>
      </c>
      <c r="AL429">
        <f>TEXT(EDATE($B$5,D429-1),"mmm yyyy")</f>
        <v/>
      </c>
      <c r="AM429">
        <f>AI429</f>
        <v/>
      </c>
    </row>
    <row r="430">
      <c r="D430" t="n">
        <v>369</v>
      </c>
      <c r="E430">
        <f>IF(G429&gt;0,MAX(0,G429*(1+$G$51)-$H$51),0)</f>
        <v/>
      </c>
      <c r="F430">
        <f>$B$6+IF($D430=$B$8,$B$7,0)</f>
        <v/>
      </c>
      <c r="G430">
        <f>IF(E430-F430&gt;1E-9,E430-F430,0)</f>
        <v/>
      </c>
      <c r="H430">
        <f>G429*$G$51</f>
        <v/>
      </c>
      <c r="I430">
        <f>IF(K429&gt;0,MAX(0,K429*(1+$G$52)-$H$52),0)</f>
        <v/>
      </c>
      <c r="J430">
        <f>MAX(0,F430-E430)</f>
        <v/>
      </c>
      <c r="K430">
        <f>IF(I430-J430&gt;1E-9,I430-J430,0)</f>
        <v/>
      </c>
      <c r="L430">
        <f>K429*$G$52</f>
        <v/>
      </c>
      <c r="M430">
        <f>IF(O429&gt;0,MAX(0,O429*(1+$G$53)-$H$53),0)</f>
        <v/>
      </c>
      <c r="N430">
        <f>MAX(0,J430-I430)</f>
        <v/>
      </c>
      <c r="O430">
        <f>IF(M430-N430&gt;1E-9,M430-N430,0)</f>
        <v/>
      </c>
      <c r="P430">
        <f>O429*$G$53</f>
        <v/>
      </c>
      <c r="Q430">
        <f>IF(S429&gt;0,MAX(0,S429*(1+$G$54)-$H$54),0)</f>
        <v/>
      </c>
      <c r="R430">
        <f>MAX(0,N430-M430)</f>
        <v/>
      </c>
      <c r="S430">
        <f>IF(Q430-R430&gt;1E-9,Q430-R430,0)</f>
        <v/>
      </c>
      <c r="T430">
        <f>S429*$G$54</f>
        <v/>
      </c>
      <c r="U430">
        <f>IF(W429&gt;0,MAX(0,W429*(1+$G$55)-$H$55),0)</f>
        <v/>
      </c>
      <c r="V430">
        <f>MAX(0,R430-Q430)</f>
        <v/>
      </c>
      <c r="W430">
        <f>IF(U430-V430&gt;1E-9,U430-V430,0)</f>
        <v/>
      </c>
      <c r="X430">
        <f>W429*$G$55</f>
        <v/>
      </c>
      <c r="Y430">
        <f>IF(Y429&gt;1E-9,IF(Y429*(1+$G$51)-MAX($B$9,0.01*Y429+Y429*$G$51)&gt;1E-9,Y429*(1+$G$51)-MAX($B$9,0.01*Y429+Y429*$G$51),0),0)</f>
        <v/>
      </c>
      <c r="Z430">
        <f>Y429*$G$51</f>
        <v/>
      </c>
      <c r="AA430">
        <f>IF(AA429&gt;1E-9,IF(AA429*(1+$G$52)-MAX($B$9,0.01*AA429+AA429*$G$52)&gt;1E-9,AA429*(1+$G$52)-MAX($B$9,0.01*AA429+AA429*$G$52),0),0)</f>
        <v/>
      </c>
      <c r="AB430">
        <f>AA429*$G$52</f>
        <v/>
      </c>
      <c r="AC430">
        <f>IF(AC429&gt;1E-9,IF(AC429*(1+$G$53)-MAX($B$9,0.01*AC429+AC429*$G$53)&gt;1E-9,AC429*(1+$G$53)-MAX($B$9,0.01*AC429+AC429*$G$53),0),0)</f>
        <v/>
      </c>
      <c r="AD430">
        <f>AC429*$G$53</f>
        <v/>
      </c>
      <c r="AE430">
        <f>IF(AE429&gt;1E-9,IF(AE429*(1+$G$54)-MAX($B$9,0.01*AE429+AE429*$G$54)&gt;1E-9,AE429*(1+$G$54)-MAX($B$9,0.01*AE429+AE429*$G$54),0),0)</f>
        <v/>
      </c>
      <c r="AF430">
        <f>AE429*$G$54</f>
        <v/>
      </c>
      <c r="AG430">
        <f>IF(AG429&gt;1E-9,IF(AG429*(1+$G$55)-MAX($B$9,0.01*AG429+AG429*$G$55)&gt;1E-9,AG429*(1+$G$55)-MAX($B$9,0.01*AG429+AG429*$G$55),0),0)</f>
        <v/>
      </c>
      <c r="AH430">
        <f>AG429*$G$55</f>
        <v/>
      </c>
      <c r="AI430">
        <f>G430+K430+O430+S430+W430</f>
        <v/>
      </c>
      <c r="AJ430">
        <f>AI429+AK430-AI430</f>
        <v/>
      </c>
      <c r="AK430">
        <f>H430+L430+P430+T430+X430</f>
        <v/>
      </c>
      <c r="AL430">
        <f>TEXT(EDATE($B$5,D430-1),"mmm yyyy")</f>
        <v/>
      </c>
      <c r="AM430">
        <f>AI430</f>
        <v/>
      </c>
    </row>
    <row r="431">
      <c r="D431" t="n">
        <v>370</v>
      </c>
      <c r="E431">
        <f>IF(G430&gt;0,MAX(0,G430*(1+$G$51)-$H$51),0)</f>
        <v/>
      </c>
      <c r="F431">
        <f>$B$6+IF($D431=$B$8,$B$7,0)</f>
        <v/>
      </c>
      <c r="G431">
        <f>IF(E431-F431&gt;1E-9,E431-F431,0)</f>
        <v/>
      </c>
      <c r="H431">
        <f>G430*$G$51</f>
        <v/>
      </c>
      <c r="I431">
        <f>IF(K430&gt;0,MAX(0,K430*(1+$G$52)-$H$52),0)</f>
        <v/>
      </c>
      <c r="J431">
        <f>MAX(0,F431-E431)</f>
        <v/>
      </c>
      <c r="K431">
        <f>IF(I431-J431&gt;1E-9,I431-J431,0)</f>
        <v/>
      </c>
      <c r="L431">
        <f>K430*$G$52</f>
        <v/>
      </c>
      <c r="M431">
        <f>IF(O430&gt;0,MAX(0,O430*(1+$G$53)-$H$53),0)</f>
        <v/>
      </c>
      <c r="N431">
        <f>MAX(0,J431-I431)</f>
        <v/>
      </c>
      <c r="O431">
        <f>IF(M431-N431&gt;1E-9,M431-N431,0)</f>
        <v/>
      </c>
      <c r="P431">
        <f>O430*$G$53</f>
        <v/>
      </c>
      <c r="Q431">
        <f>IF(S430&gt;0,MAX(0,S430*(1+$G$54)-$H$54),0)</f>
        <v/>
      </c>
      <c r="R431">
        <f>MAX(0,N431-M431)</f>
        <v/>
      </c>
      <c r="S431">
        <f>IF(Q431-R431&gt;1E-9,Q431-R431,0)</f>
        <v/>
      </c>
      <c r="T431">
        <f>S430*$G$54</f>
        <v/>
      </c>
      <c r="U431">
        <f>IF(W430&gt;0,MAX(0,W430*(1+$G$55)-$H$55),0)</f>
        <v/>
      </c>
      <c r="V431">
        <f>MAX(0,R431-Q431)</f>
        <v/>
      </c>
      <c r="W431">
        <f>IF(U431-V431&gt;1E-9,U431-V431,0)</f>
        <v/>
      </c>
      <c r="X431">
        <f>W430*$G$55</f>
        <v/>
      </c>
      <c r="Y431">
        <f>IF(Y430&gt;1E-9,IF(Y430*(1+$G$51)-MAX($B$9,0.01*Y430+Y430*$G$51)&gt;1E-9,Y430*(1+$G$51)-MAX($B$9,0.01*Y430+Y430*$G$51),0),0)</f>
        <v/>
      </c>
      <c r="Z431">
        <f>Y430*$G$51</f>
        <v/>
      </c>
      <c r="AA431">
        <f>IF(AA430&gt;1E-9,IF(AA430*(1+$G$52)-MAX($B$9,0.01*AA430+AA430*$G$52)&gt;1E-9,AA430*(1+$G$52)-MAX($B$9,0.01*AA430+AA430*$G$52),0),0)</f>
        <v/>
      </c>
      <c r="AB431">
        <f>AA430*$G$52</f>
        <v/>
      </c>
      <c r="AC431">
        <f>IF(AC430&gt;1E-9,IF(AC430*(1+$G$53)-MAX($B$9,0.01*AC430+AC430*$G$53)&gt;1E-9,AC430*(1+$G$53)-MAX($B$9,0.01*AC430+AC430*$G$53),0),0)</f>
        <v/>
      </c>
      <c r="AD431">
        <f>AC430*$G$53</f>
        <v/>
      </c>
      <c r="AE431">
        <f>IF(AE430&gt;1E-9,IF(AE430*(1+$G$54)-MAX($B$9,0.01*AE430+AE430*$G$54)&gt;1E-9,AE430*(1+$G$54)-MAX($B$9,0.01*AE430+AE430*$G$54),0),0)</f>
        <v/>
      </c>
      <c r="AF431">
        <f>AE430*$G$54</f>
        <v/>
      </c>
      <c r="AG431">
        <f>IF(AG430&gt;1E-9,IF(AG430*(1+$G$55)-MAX($B$9,0.01*AG430+AG430*$G$55)&gt;1E-9,AG430*(1+$G$55)-MAX($B$9,0.01*AG430+AG430*$G$55),0),0)</f>
        <v/>
      </c>
      <c r="AH431">
        <f>AG430*$G$55</f>
        <v/>
      </c>
      <c r="AI431">
        <f>G431+K431+O431+S431+W431</f>
        <v/>
      </c>
      <c r="AJ431">
        <f>AI430+AK431-AI431</f>
        <v/>
      </c>
      <c r="AK431">
        <f>H431+L431+P431+T431+X431</f>
        <v/>
      </c>
      <c r="AL431">
        <f>TEXT(EDATE($B$5,D431-1),"mmm yyyy")</f>
        <v/>
      </c>
      <c r="AM431">
        <f>AI431</f>
        <v/>
      </c>
    </row>
    <row r="432">
      <c r="D432" t="n">
        <v>371</v>
      </c>
      <c r="E432">
        <f>IF(G431&gt;0,MAX(0,G431*(1+$G$51)-$H$51),0)</f>
        <v/>
      </c>
      <c r="F432">
        <f>$B$6+IF($D432=$B$8,$B$7,0)</f>
        <v/>
      </c>
      <c r="G432">
        <f>IF(E432-F432&gt;1E-9,E432-F432,0)</f>
        <v/>
      </c>
      <c r="H432">
        <f>G431*$G$51</f>
        <v/>
      </c>
      <c r="I432">
        <f>IF(K431&gt;0,MAX(0,K431*(1+$G$52)-$H$52),0)</f>
        <v/>
      </c>
      <c r="J432">
        <f>MAX(0,F432-E432)</f>
        <v/>
      </c>
      <c r="K432">
        <f>IF(I432-J432&gt;1E-9,I432-J432,0)</f>
        <v/>
      </c>
      <c r="L432">
        <f>K431*$G$52</f>
        <v/>
      </c>
      <c r="M432">
        <f>IF(O431&gt;0,MAX(0,O431*(1+$G$53)-$H$53),0)</f>
        <v/>
      </c>
      <c r="N432">
        <f>MAX(0,J432-I432)</f>
        <v/>
      </c>
      <c r="O432">
        <f>IF(M432-N432&gt;1E-9,M432-N432,0)</f>
        <v/>
      </c>
      <c r="P432">
        <f>O431*$G$53</f>
        <v/>
      </c>
      <c r="Q432">
        <f>IF(S431&gt;0,MAX(0,S431*(1+$G$54)-$H$54),0)</f>
        <v/>
      </c>
      <c r="R432">
        <f>MAX(0,N432-M432)</f>
        <v/>
      </c>
      <c r="S432">
        <f>IF(Q432-R432&gt;1E-9,Q432-R432,0)</f>
        <v/>
      </c>
      <c r="T432">
        <f>S431*$G$54</f>
        <v/>
      </c>
      <c r="U432">
        <f>IF(W431&gt;0,MAX(0,W431*(1+$G$55)-$H$55),0)</f>
        <v/>
      </c>
      <c r="V432">
        <f>MAX(0,R432-Q432)</f>
        <v/>
      </c>
      <c r="W432">
        <f>IF(U432-V432&gt;1E-9,U432-V432,0)</f>
        <v/>
      </c>
      <c r="X432">
        <f>W431*$G$55</f>
        <v/>
      </c>
      <c r="Y432">
        <f>IF(Y431&gt;1E-9,IF(Y431*(1+$G$51)-MAX($B$9,0.01*Y431+Y431*$G$51)&gt;1E-9,Y431*(1+$G$51)-MAX($B$9,0.01*Y431+Y431*$G$51),0),0)</f>
        <v/>
      </c>
      <c r="Z432">
        <f>Y431*$G$51</f>
        <v/>
      </c>
      <c r="AA432">
        <f>IF(AA431&gt;1E-9,IF(AA431*(1+$G$52)-MAX($B$9,0.01*AA431+AA431*$G$52)&gt;1E-9,AA431*(1+$G$52)-MAX($B$9,0.01*AA431+AA431*$G$52),0),0)</f>
        <v/>
      </c>
      <c r="AB432">
        <f>AA431*$G$52</f>
        <v/>
      </c>
      <c r="AC432">
        <f>IF(AC431&gt;1E-9,IF(AC431*(1+$G$53)-MAX($B$9,0.01*AC431+AC431*$G$53)&gt;1E-9,AC431*(1+$G$53)-MAX($B$9,0.01*AC431+AC431*$G$53),0),0)</f>
        <v/>
      </c>
      <c r="AD432">
        <f>AC431*$G$53</f>
        <v/>
      </c>
      <c r="AE432">
        <f>IF(AE431&gt;1E-9,IF(AE431*(1+$G$54)-MAX($B$9,0.01*AE431+AE431*$G$54)&gt;1E-9,AE431*(1+$G$54)-MAX($B$9,0.01*AE431+AE431*$G$54),0),0)</f>
        <v/>
      </c>
      <c r="AF432">
        <f>AE431*$G$54</f>
        <v/>
      </c>
      <c r="AG432">
        <f>IF(AG431&gt;1E-9,IF(AG431*(1+$G$55)-MAX($B$9,0.01*AG431+AG431*$G$55)&gt;1E-9,AG431*(1+$G$55)-MAX($B$9,0.01*AG431+AG431*$G$55),0),0)</f>
        <v/>
      </c>
      <c r="AH432">
        <f>AG431*$G$55</f>
        <v/>
      </c>
      <c r="AI432">
        <f>G432+K432+O432+S432+W432</f>
        <v/>
      </c>
      <c r="AJ432">
        <f>AI431+AK432-AI432</f>
        <v/>
      </c>
      <c r="AK432">
        <f>H432+L432+P432+T432+X432</f>
        <v/>
      </c>
      <c r="AL432">
        <f>TEXT(EDATE($B$5,D432-1),"mmm yyyy")</f>
        <v/>
      </c>
      <c r="AM432">
        <f>AI432</f>
        <v/>
      </c>
    </row>
    <row r="433">
      <c r="D433" t="n">
        <v>372</v>
      </c>
      <c r="E433">
        <f>IF(G432&gt;0,MAX(0,G432*(1+$G$51)-$H$51),0)</f>
        <v/>
      </c>
      <c r="F433">
        <f>$B$6+IF($D433=$B$8,$B$7,0)</f>
        <v/>
      </c>
      <c r="G433">
        <f>IF(E433-F433&gt;1E-9,E433-F433,0)</f>
        <v/>
      </c>
      <c r="H433">
        <f>G432*$G$51</f>
        <v/>
      </c>
      <c r="I433">
        <f>IF(K432&gt;0,MAX(0,K432*(1+$G$52)-$H$52),0)</f>
        <v/>
      </c>
      <c r="J433">
        <f>MAX(0,F433-E433)</f>
        <v/>
      </c>
      <c r="K433">
        <f>IF(I433-J433&gt;1E-9,I433-J433,0)</f>
        <v/>
      </c>
      <c r="L433">
        <f>K432*$G$52</f>
        <v/>
      </c>
      <c r="M433">
        <f>IF(O432&gt;0,MAX(0,O432*(1+$G$53)-$H$53),0)</f>
        <v/>
      </c>
      <c r="N433">
        <f>MAX(0,J433-I433)</f>
        <v/>
      </c>
      <c r="O433">
        <f>IF(M433-N433&gt;1E-9,M433-N433,0)</f>
        <v/>
      </c>
      <c r="P433">
        <f>O432*$G$53</f>
        <v/>
      </c>
      <c r="Q433">
        <f>IF(S432&gt;0,MAX(0,S432*(1+$G$54)-$H$54),0)</f>
        <v/>
      </c>
      <c r="R433">
        <f>MAX(0,N433-M433)</f>
        <v/>
      </c>
      <c r="S433">
        <f>IF(Q433-R433&gt;1E-9,Q433-R433,0)</f>
        <v/>
      </c>
      <c r="T433">
        <f>S432*$G$54</f>
        <v/>
      </c>
      <c r="U433">
        <f>IF(W432&gt;0,MAX(0,W432*(1+$G$55)-$H$55),0)</f>
        <v/>
      </c>
      <c r="V433">
        <f>MAX(0,R433-Q433)</f>
        <v/>
      </c>
      <c r="W433">
        <f>IF(U433-V433&gt;1E-9,U433-V433,0)</f>
        <v/>
      </c>
      <c r="X433">
        <f>W432*$G$55</f>
        <v/>
      </c>
      <c r="Y433">
        <f>IF(Y432&gt;1E-9,IF(Y432*(1+$G$51)-MAX($B$9,0.01*Y432+Y432*$G$51)&gt;1E-9,Y432*(1+$G$51)-MAX($B$9,0.01*Y432+Y432*$G$51),0),0)</f>
        <v/>
      </c>
      <c r="Z433">
        <f>Y432*$G$51</f>
        <v/>
      </c>
      <c r="AA433">
        <f>IF(AA432&gt;1E-9,IF(AA432*(1+$G$52)-MAX($B$9,0.01*AA432+AA432*$G$52)&gt;1E-9,AA432*(1+$G$52)-MAX($B$9,0.01*AA432+AA432*$G$52),0),0)</f>
        <v/>
      </c>
      <c r="AB433">
        <f>AA432*$G$52</f>
        <v/>
      </c>
      <c r="AC433">
        <f>IF(AC432&gt;1E-9,IF(AC432*(1+$G$53)-MAX($B$9,0.01*AC432+AC432*$G$53)&gt;1E-9,AC432*(1+$G$53)-MAX($B$9,0.01*AC432+AC432*$G$53),0),0)</f>
        <v/>
      </c>
      <c r="AD433">
        <f>AC432*$G$53</f>
        <v/>
      </c>
      <c r="AE433">
        <f>IF(AE432&gt;1E-9,IF(AE432*(1+$G$54)-MAX($B$9,0.01*AE432+AE432*$G$54)&gt;1E-9,AE432*(1+$G$54)-MAX($B$9,0.01*AE432+AE432*$G$54),0),0)</f>
        <v/>
      </c>
      <c r="AF433">
        <f>AE432*$G$54</f>
        <v/>
      </c>
      <c r="AG433">
        <f>IF(AG432&gt;1E-9,IF(AG432*(1+$G$55)-MAX($B$9,0.01*AG432+AG432*$G$55)&gt;1E-9,AG432*(1+$G$55)-MAX($B$9,0.01*AG432+AG432*$G$55),0),0)</f>
        <v/>
      </c>
      <c r="AH433">
        <f>AG432*$G$55</f>
        <v/>
      </c>
      <c r="AI433">
        <f>G433+K433+O433+S433+W433</f>
        <v/>
      </c>
      <c r="AJ433">
        <f>AI432+AK433-AI433</f>
        <v/>
      </c>
      <c r="AK433">
        <f>H433+L433+P433+T433+X433</f>
        <v/>
      </c>
      <c r="AL433">
        <f>TEXT(EDATE($B$5,D433-1),"mmm yyyy")</f>
        <v/>
      </c>
      <c r="AM433">
        <f>AI433</f>
        <v/>
      </c>
    </row>
    <row r="434">
      <c r="D434" t="n">
        <v>373</v>
      </c>
      <c r="E434">
        <f>IF(G433&gt;0,MAX(0,G433*(1+$G$51)-$H$51),0)</f>
        <v/>
      </c>
      <c r="F434">
        <f>$B$6+IF($D434=$B$8,$B$7,0)</f>
        <v/>
      </c>
      <c r="G434">
        <f>IF(E434-F434&gt;1E-9,E434-F434,0)</f>
        <v/>
      </c>
      <c r="H434">
        <f>G433*$G$51</f>
        <v/>
      </c>
      <c r="I434">
        <f>IF(K433&gt;0,MAX(0,K433*(1+$G$52)-$H$52),0)</f>
        <v/>
      </c>
      <c r="J434">
        <f>MAX(0,F434-E434)</f>
        <v/>
      </c>
      <c r="K434">
        <f>IF(I434-J434&gt;1E-9,I434-J434,0)</f>
        <v/>
      </c>
      <c r="L434">
        <f>K433*$G$52</f>
        <v/>
      </c>
      <c r="M434">
        <f>IF(O433&gt;0,MAX(0,O433*(1+$G$53)-$H$53),0)</f>
        <v/>
      </c>
      <c r="N434">
        <f>MAX(0,J434-I434)</f>
        <v/>
      </c>
      <c r="O434">
        <f>IF(M434-N434&gt;1E-9,M434-N434,0)</f>
        <v/>
      </c>
      <c r="P434">
        <f>O433*$G$53</f>
        <v/>
      </c>
      <c r="Q434">
        <f>IF(S433&gt;0,MAX(0,S433*(1+$G$54)-$H$54),0)</f>
        <v/>
      </c>
      <c r="R434">
        <f>MAX(0,N434-M434)</f>
        <v/>
      </c>
      <c r="S434">
        <f>IF(Q434-R434&gt;1E-9,Q434-R434,0)</f>
        <v/>
      </c>
      <c r="T434">
        <f>S433*$G$54</f>
        <v/>
      </c>
      <c r="U434">
        <f>IF(W433&gt;0,MAX(0,W433*(1+$G$55)-$H$55),0)</f>
        <v/>
      </c>
      <c r="V434">
        <f>MAX(0,R434-Q434)</f>
        <v/>
      </c>
      <c r="W434">
        <f>IF(U434-V434&gt;1E-9,U434-V434,0)</f>
        <v/>
      </c>
      <c r="X434">
        <f>W433*$G$55</f>
        <v/>
      </c>
      <c r="Y434">
        <f>IF(Y433&gt;1E-9,IF(Y433*(1+$G$51)-MAX($B$9,0.01*Y433+Y433*$G$51)&gt;1E-9,Y433*(1+$G$51)-MAX($B$9,0.01*Y433+Y433*$G$51),0),0)</f>
        <v/>
      </c>
      <c r="Z434">
        <f>Y433*$G$51</f>
        <v/>
      </c>
      <c r="AA434">
        <f>IF(AA433&gt;1E-9,IF(AA433*(1+$G$52)-MAX($B$9,0.01*AA433+AA433*$G$52)&gt;1E-9,AA433*(1+$G$52)-MAX($B$9,0.01*AA433+AA433*$G$52),0),0)</f>
        <v/>
      </c>
      <c r="AB434">
        <f>AA433*$G$52</f>
        <v/>
      </c>
      <c r="AC434">
        <f>IF(AC433&gt;1E-9,IF(AC433*(1+$G$53)-MAX($B$9,0.01*AC433+AC433*$G$53)&gt;1E-9,AC433*(1+$G$53)-MAX($B$9,0.01*AC433+AC433*$G$53),0),0)</f>
        <v/>
      </c>
      <c r="AD434">
        <f>AC433*$G$53</f>
        <v/>
      </c>
      <c r="AE434">
        <f>IF(AE433&gt;1E-9,IF(AE433*(1+$G$54)-MAX($B$9,0.01*AE433+AE433*$G$54)&gt;1E-9,AE433*(1+$G$54)-MAX($B$9,0.01*AE433+AE433*$G$54),0),0)</f>
        <v/>
      </c>
      <c r="AF434">
        <f>AE433*$G$54</f>
        <v/>
      </c>
      <c r="AG434">
        <f>IF(AG433&gt;1E-9,IF(AG433*(1+$G$55)-MAX($B$9,0.01*AG433+AG433*$G$55)&gt;1E-9,AG433*(1+$G$55)-MAX($B$9,0.01*AG433+AG433*$G$55),0),0)</f>
        <v/>
      </c>
      <c r="AH434">
        <f>AG433*$G$55</f>
        <v/>
      </c>
      <c r="AI434">
        <f>G434+K434+O434+S434+W434</f>
        <v/>
      </c>
      <c r="AJ434">
        <f>AI433+AK434-AI434</f>
        <v/>
      </c>
      <c r="AK434">
        <f>H434+L434+P434+T434+X434</f>
        <v/>
      </c>
      <c r="AL434">
        <f>TEXT(EDATE($B$5,D434-1),"mmm yyyy")</f>
        <v/>
      </c>
      <c r="AM434">
        <f>AI434</f>
        <v/>
      </c>
    </row>
    <row r="435">
      <c r="D435" t="n">
        <v>374</v>
      </c>
      <c r="E435">
        <f>IF(G434&gt;0,MAX(0,G434*(1+$G$51)-$H$51),0)</f>
        <v/>
      </c>
      <c r="F435">
        <f>$B$6+IF($D435=$B$8,$B$7,0)</f>
        <v/>
      </c>
      <c r="G435">
        <f>IF(E435-F435&gt;1E-9,E435-F435,0)</f>
        <v/>
      </c>
      <c r="H435">
        <f>G434*$G$51</f>
        <v/>
      </c>
      <c r="I435">
        <f>IF(K434&gt;0,MAX(0,K434*(1+$G$52)-$H$52),0)</f>
        <v/>
      </c>
      <c r="J435">
        <f>MAX(0,F435-E435)</f>
        <v/>
      </c>
      <c r="K435">
        <f>IF(I435-J435&gt;1E-9,I435-J435,0)</f>
        <v/>
      </c>
      <c r="L435">
        <f>K434*$G$52</f>
        <v/>
      </c>
      <c r="M435">
        <f>IF(O434&gt;0,MAX(0,O434*(1+$G$53)-$H$53),0)</f>
        <v/>
      </c>
      <c r="N435">
        <f>MAX(0,J435-I435)</f>
        <v/>
      </c>
      <c r="O435">
        <f>IF(M435-N435&gt;1E-9,M435-N435,0)</f>
        <v/>
      </c>
      <c r="P435">
        <f>O434*$G$53</f>
        <v/>
      </c>
      <c r="Q435">
        <f>IF(S434&gt;0,MAX(0,S434*(1+$G$54)-$H$54),0)</f>
        <v/>
      </c>
      <c r="R435">
        <f>MAX(0,N435-M435)</f>
        <v/>
      </c>
      <c r="S435">
        <f>IF(Q435-R435&gt;1E-9,Q435-R435,0)</f>
        <v/>
      </c>
      <c r="T435">
        <f>S434*$G$54</f>
        <v/>
      </c>
      <c r="U435">
        <f>IF(W434&gt;0,MAX(0,W434*(1+$G$55)-$H$55),0)</f>
        <v/>
      </c>
      <c r="V435">
        <f>MAX(0,R435-Q435)</f>
        <v/>
      </c>
      <c r="W435">
        <f>IF(U435-V435&gt;1E-9,U435-V435,0)</f>
        <v/>
      </c>
      <c r="X435">
        <f>W434*$G$55</f>
        <v/>
      </c>
      <c r="Y435">
        <f>IF(Y434&gt;1E-9,IF(Y434*(1+$G$51)-MAX($B$9,0.01*Y434+Y434*$G$51)&gt;1E-9,Y434*(1+$G$51)-MAX($B$9,0.01*Y434+Y434*$G$51),0),0)</f>
        <v/>
      </c>
      <c r="Z435">
        <f>Y434*$G$51</f>
        <v/>
      </c>
      <c r="AA435">
        <f>IF(AA434&gt;1E-9,IF(AA434*(1+$G$52)-MAX($B$9,0.01*AA434+AA434*$G$52)&gt;1E-9,AA434*(1+$G$52)-MAX($B$9,0.01*AA434+AA434*$G$52),0),0)</f>
        <v/>
      </c>
      <c r="AB435">
        <f>AA434*$G$52</f>
        <v/>
      </c>
      <c r="AC435">
        <f>IF(AC434&gt;1E-9,IF(AC434*(1+$G$53)-MAX($B$9,0.01*AC434+AC434*$G$53)&gt;1E-9,AC434*(1+$G$53)-MAX($B$9,0.01*AC434+AC434*$G$53),0),0)</f>
        <v/>
      </c>
      <c r="AD435">
        <f>AC434*$G$53</f>
        <v/>
      </c>
      <c r="AE435">
        <f>IF(AE434&gt;1E-9,IF(AE434*(1+$G$54)-MAX($B$9,0.01*AE434+AE434*$G$54)&gt;1E-9,AE434*(1+$G$54)-MAX($B$9,0.01*AE434+AE434*$G$54),0),0)</f>
        <v/>
      </c>
      <c r="AF435">
        <f>AE434*$G$54</f>
        <v/>
      </c>
      <c r="AG435">
        <f>IF(AG434&gt;1E-9,IF(AG434*(1+$G$55)-MAX($B$9,0.01*AG434+AG434*$G$55)&gt;1E-9,AG434*(1+$G$55)-MAX($B$9,0.01*AG434+AG434*$G$55),0),0)</f>
        <v/>
      </c>
      <c r="AH435">
        <f>AG434*$G$55</f>
        <v/>
      </c>
      <c r="AI435">
        <f>G435+K435+O435+S435+W435</f>
        <v/>
      </c>
      <c r="AJ435">
        <f>AI434+AK435-AI435</f>
        <v/>
      </c>
      <c r="AK435">
        <f>H435+L435+P435+T435+X435</f>
        <v/>
      </c>
      <c r="AL435">
        <f>TEXT(EDATE($B$5,D435-1),"mmm yyyy")</f>
        <v/>
      </c>
      <c r="AM435">
        <f>AI435</f>
        <v/>
      </c>
    </row>
    <row r="436">
      <c r="D436" t="n">
        <v>375</v>
      </c>
      <c r="E436">
        <f>IF(G435&gt;0,MAX(0,G435*(1+$G$51)-$H$51),0)</f>
        <v/>
      </c>
      <c r="F436">
        <f>$B$6+IF($D436=$B$8,$B$7,0)</f>
        <v/>
      </c>
      <c r="G436">
        <f>IF(E436-F436&gt;1E-9,E436-F436,0)</f>
        <v/>
      </c>
      <c r="H436">
        <f>G435*$G$51</f>
        <v/>
      </c>
      <c r="I436">
        <f>IF(K435&gt;0,MAX(0,K435*(1+$G$52)-$H$52),0)</f>
        <v/>
      </c>
      <c r="J436">
        <f>MAX(0,F436-E436)</f>
        <v/>
      </c>
      <c r="K436">
        <f>IF(I436-J436&gt;1E-9,I436-J436,0)</f>
        <v/>
      </c>
      <c r="L436">
        <f>K435*$G$52</f>
        <v/>
      </c>
      <c r="M436">
        <f>IF(O435&gt;0,MAX(0,O435*(1+$G$53)-$H$53),0)</f>
        <v/>
      </c>
      <c r="N436">
        <f>MAX(0,J436-I436)</f>
        <v/>
      </c>
      <c r="O436">
        <f>IF(M436-N436&gt;1E-9,M436-N436,0)</f>
        <v/>
      </c>
      <c r="P436">
        <f>O435*$G$53</f>
        <v/>
      </c>
      <c r="Q436">
        <f>IF(S435&gt;0,MAX(0,S435*(1+$G$54)-$H$54),0)</f>
        <v/>
      </c>
      <c r="R436">
        <f>MAX(0,N436-M436)</f>
        <v/>
      </c>
      <c r="S436">
        <f>IF(Q436-R436&gt;1E-9,Q436-R436,0)</f>
        <v/>
      </c>
      <c r="T436">
        <f>S435*$G$54</f>
        <v/>
      </c>
      <c r="U436">
        <f>IF(W435&gt;0,MAX(0,W435*(1+$G$55)-$H$55),0)</f>
        <v/>
      </c>
      <c r="V436">
        <f>MAX(0,R436-Q436)</f>
        <v/>
      </c>
      <c r="W436">
        <f>IF(U436-V436&gt;1E-9,U436-V436,0)</f>
        <v/>
      </c>
      <c r="X436">
        <f>W435*$G$55</f>
        <v/>
      </c>
      <c r="Y436">
        <f>IF(Y435&gt;1E-9,IF(Y435*(1+$G$51)-MAX($B$9,0.01*Y435+Y435*$G$51)&gt;1E-9,Y435*(1+$G$51)-MAX($B$9,0.01*Y435+Y435*$G$51),0),0)</f>
        <v/>
      </c>
      <c r="Z436">
        <f>Y435*$G$51</f>
        <v/>
      </c>
      <c r="AA436">
        <f>IF(AA435&gt;1E-9,IF(AA435*(1+$G$52)-MAX($B$9,0.01*AA435+AA435*$G$52)&gt;1E-9,AA435*(1+$G$52)-MAX($B$9,0.01*AA435+AA435*$G$52),0),0)</f>
        <v/>
      </c>
      <c r="AB436">
        <f>AA435*$G$52</f>
        <v/>
      </c>
      <c r="AC436">
        <f>IF(AC435&gt;1E-9,IF(AC435*(1+$G$53)-MAX($B$9,0.01*AC435+AC435*$G$53)&gt;1E-9,AC435*(1+$G$53)-MAX($B$9,0.01*AC435+AC435*$G$53),0),0)</f>
        <v/>
      </c>
      <c r="AD436">
        <f>AC435*$G$53</f>
        <v/>
      </c>
      <c r="AE436">
        <f>IF(AE435&gt;1E-9,IF(AE435*(1+$G$54)-MAX($B$9,0.01*AE435+AE435*$G$54)&gt;1E-9,AE435*(1+$G$54)-MAX($B$9,0.01*AE435+AE435*$G$54),0),0)</f>
        <v/>
      </c>
      <c r="AF436">
        <f>AE435*$G$54</f>
        <v/>
      </c>
      <c r="AG436">
        <f>IF(AG435&gt;1E-9,IF(AG435*(1+$G$55)-MAX($B$9,0.01*AG435+AG435*$G$55)&gt;1E-9,AG435*(1+$G$55)-MAX($B$9,0.01*AG435+AG435*$G$55),0),0)</f>
        <v/>
      </c>
      <c r="AH436">
        <f>AG435*$G$55</f>
        <v/>
      </c>
      <c r="AI436">
        <f>G436+K436+O436+S436+W436</f>
        <v/>
      </c>
      <c r="AJ436">
        <f>AI435+AK436-AI436</f>
        <v/>
      </c>
      <c r="AK436">
        <f>H436+L436+P436+T436+X436</f>
        <v/>
      </c>
      <c r="AL436">
        <f>TEXT(EDATE($B$5,D436-1),"mmm yyyy")</f>
        <v/>
      </c>
      <c r="AM436">
        <f>AI436</f>
        <v/>
      </c>
    </row>
    <row r="437">
      <c r="D437" t="n">
        <v>376</v>
      </c>
      <c r="E437">
        <f>IF(G436&gt;0,MAX(0,G436*(1+$G$51)-$H$51),0)</f>
        <v/>
      </c>
      <c r="F437">
        <f>$B$6+IF($D437=$B$8,$B$7,0)</f>
        <v/>
      </c>
      <c r="G437">
        <f>IF(E437-F437&gt;1E-9,E437-F437,0)</f>
        <v/>
      </c>
      <c r="H437">
        <f>G436*$G$51</f>
        <v/>
      </c>
      <c r="I437">
        <f>IF(K436&gt;0,MAX(0,K436*(1+$G$52)-$H$52),0)</f>
        <v/>
      </c>
      <c r="J437">
        <f>MAX(0,F437-E437)</f>
        <v/>
      </c>
      <c r="K437">
        <f>IF(I437-J437&gt;1E-9,I437-J437,0)</f>
        <v/>
      </c>
      <c r="L437">
        <f>K436*$G$52</f>
        <v/>
      </c>
      <c r="M437">
        <f>IF(O436&gt;0,MAX(0,O436*(1+$G$53)-$H$53),0)</f>
        <v/>
      </c>
      <c r="N437">
        <f>MAX(0,J437-I437)</f>
        <v/>
      </c>
      <c r="O437">
        <f>IF(M437-N437&gt;1E-9,M437-N437,0)</f>
        <v/>
      </c>
      <c r="P437">
        <f>O436*$G$53</f>
        <v/>
      </c>
      <c r="Q437">
        <f>IF(S436&gt;0,MAX(0,S436*(1+$G$54)-$H$54),0)</f>
        <v/>
      </c>
      <c r="R437">
        <f>MAX(0,N437-M437)</f>
        <v/>
      </c>
      <c r="S437">
        <f>IF(Q437-R437&gt;1E-9,Q437-R437,0)</f>
        <v/>
      </c>
      <c r="T437">
        <f>S436*$G$54</f>
        <v/>
      </c>
      <c r="U437">
        <f>IF(W436&gt;0,MAX(0,W436*(1+$G$55)-$H$55),0)</f>
        <v/>
      </c>
      <c r="V437">
        <f>MAX(0,R437-Q437)</f>
        <v/>
      </c>
      <c r="W437">
        <f>IF(U437-V437&gt;1E-9,U437-V437,0)</f>
        <v/>
      </c>
      <c r="X437">
        <f>W436*$G$55</f>
        <v/>
      </c>
      <c r="Y437">
        <f>IF(Y436&gt;1E-9,IF(Y436*(1+$G$51)-MAX($B$9,0.01*Y436+Y436*$G$51)&gt;1E-9,Y436*(1+$G$51)-MAX($B$9,0.01*Y436+Y436*$G$51),0),0)</f>
        <v/>
      </c>
      <c r="Z437">
        <f>Y436*$G$51</f>
        <v/>
      </c>
      <c r="AA437">
        <f>IF(AA436&gt;1E-9,IF(AA436*(1+$G$52)-MAX($B$9,0.01*AA436+AA436*$G$52)&gt;1E-9,AA436*(1+$G$52)-MAX($B$9,0.01*AA436+AA436*$G$52),0),0)</f>
        <v/>
      </c>
      <c r="AB437">
        <f>AA436*$G$52</f>
        <v/>
      </c>
      <c r="AC437">
        <f>IF(AC436&gt;1E-9,IF(AC436*(1+$G$53)-MAX($B$9,0.01*AC436+AC436*$G$53)&gt;1E-9,AC436*(1+$G$53)-MAX($B$9,0.01*AC436+AC436*$G$53),0),0)</f>
        <v/>
      </c>
      <c r="AD437">
        <f>AC436*$G$53</f>
        <v/>
      </c>
      <c r="AE437">
        <f>IF(AE436&gt;1E-9,IF(AE436*(1+$G$54)-MAX($B$9,0.01*AE436+AE436*$G$54)&gt;1E-9,AE436*(1+$G$54)-MAX($B$9,0.01*AE436+AE436*$G$54),0),0)</f>
        <v/>
      </c>
      <c r="AF437">
        <f>AE436*$G$54</f>
        <v/>
      </c>
      <c r="AG437">
        <f>IF(AG436&gt;1E-9,IF(AG436*(1+$G$55)-MAX($B$9,0.01*AG436+AG436*$G$55)&gt;1E-9,AG436*(1+$G$55)-MAX($B$9,0.01*AG436+AG436*$G$55),0),0)</f>
        <v/>
      </c>
      <c r="AH437">
        <f>AG436*$G$55</f>
        <v/>
      </c>
      <c r="AI437">
        <f>G437+K437+O437+S437+W437</f>
        <v/>
      </c>
      <c r="AJ437">
        <f>AI436+AK437-AI437</f>
        <v/>
      </c>
      <c r="AK437">
        <f>H437+L437+P437+T437+X437</f>
        <v/>
      </c>
      <c r="AL437">
        <f>TEXT(EDATE($B$5,D437-1),"mmm yyyy")</f>
        <v/>
      </c>
      <c r="AM437">
        <f>AI437</f>
        <v/>
      </c>
    </row>
    <row r="438">
      <c r="D438" t="n">
        <v>377</v>
      </c>
      <c r="E438">
        <f>IF(G437&gt;0,MAX(0,G437*(1+$G$51)-$H$51),0)</f>
        <v/>
      </c>
      <c r="F438">
        <f>$B$6+IF($D438=$B$8,$B$7,0)</f>
        <v/>
      </c>
      <c r="G438">
        <f>IF(E438-F438&gt;1E-9,E438-F438,0)</f>
        <v/>
      </c>
      <c r="H438">
        <f>G437*$G$51</f>
        <v/>
      </c>
      <c r="I438">
        <f>IF(K437&gt;0,MAX(0,K437*(1+$G$52)-$H$52),0)</f>
        <v/>
      </c>
      <c r="J438">
        <f>MAX(0,F438-E438)</f>
        <v/>
      </c>
      <c r="K438">
        <f>IF(I438-J438&gt;1E-9,I438-J438,0)</f>
        <v/>
      </c>
      <c r="L438">
        <f>K437*$G$52</f>
        <v/>
      </c>
      <c r="M438">
        <f>IF(O437&gt;0,MAX(0,O437*(1+$G$53)-$H$53),0)</f>
        <v/>
      </c>
      <c r="N438">
        <f>MAX(0,J438-I438)</f>
        <v/>
      </c>
      <c r="O438">
        <f>IF(M438-N438&gt;1E-9,M438-N438,0)</f>
        <v/>
      </c>
      <c r="P438">
        <f>O437*$G$53</f>
        <v/>
      </c>
      <c r="Q438">
        <f>IF(S437&gt;0,MAX(0,S437*(1+$G$54)-$H$54),0)</f>
        <v/>
      </c>
      <c r="R438">
        <f>MAX(0,N438-M438)</f>
        <v/>
      </c>
      <c r="S438">
        <f>IF(Q438-R438&gt;1E-9,Q438-R438,0)</f>
        <v/>
      </c>
      <c r="T438">
        <f>S437*$G$54</f>
        <v/>
      </c>
      <c r="U438">
        <f>IF(W437&gt;0,MAX(0,W437*(1+$G$55)-$H$55),0)</f>
        <v/>
      </c>
      <c r="V438">
        <f>MAX(0,R438-Q438)</f>
        <v/>
      </c>
      <c r="W438">
        <f>IF(U438-V438&gt;1E-9,U438-V438,0)</f>
        <v/>
      </c>
      <c r="X438">
        <f>W437*$G$55</f>
        <v/>
      </c>
      <c r="Y438">
        <f>IF(Y437&gt;1E-9,IF(Y437*(1+$G$51)-MAX($B$9,0.01*Y437+Y437*$G$51)&gt;1E-9,Y437*(1+$G$51)-MAX($B$9,0.01*Y437+Y437*$G$51),0),0)</f>
        <v/>
      </c>
      <c r="Z438">
        <f>Y437*$G$51</f>
        <v/>
      </c>
      <c r="AA438">
        <f>IF(AA437&gt;1E-9,IF(AA437*(1+$G$52)-MAX($B$9,0.01*AA437+AA437*$G$52)&gt;1E-9,AA437*(1+$G$52)-MAX($B$9,0.01*AA437+AA437*$G$52),0),0)</f>
        <v/>
      </c>
      <c r="AB438">
        <f>AA437*$G$52</f>
        <v/>
      </c>
      <c r="AC438">
        <f>IF(AC437&gt;1E-9,IF(AC437*(1+$G$53)-MAX($B$9,0.01*AC437+AC437*$G$53)&gt;1E-9,AC437*(1+$G$53)-MAX($B$9,0.01*AC437+AC437*$G$53),0),0)</f>
        <v/>
      </c>
      <c r="AD438">
        <f>AC437*$G$53</f>
        <v/>
      </c>
      <c r="AE438">
        <f>IF(AE437&gt;1E-9,IF(AE437*(1+$G$54)-MAX($B$9,0.01*AE437+AE437*$G$54)&gt;1E-9,AE437*(1+$G$54)-MAX($B$9,0.01*AE437+AE437*$G$54),0),0)</f>
        <v/>
      </c>
      <c r="AF438">
        <f>AE437*$G$54</f>
        <v/>
      </c>
      <c r="AG438">
        <f>IF(AG437&gt;1E-9,IF(AG437*(1+$G$55)-MAX($B$9,0.01*AG437+AG437*$G$55)&gt;1E-9,AG437*(1+$G$55)-MAX($B$9,0.01*AG437+AG437*$G$55),0),0)</f>
        <v/>
      </c>
      <c r="AH438">
        <f>AG437*$G$55</f>
        <v/>
      </c>
      <c r="AI438">
        <f>G438+K438+O438+S438+W438</f>
        <v/>
      </c>
      <c r="AJ438">
        <f>AI437+AK438-AI438</f>
        <v/>
      </c>
      <c r="AK438">
        <f>H438+L438+P438+T438+X438</f>
        <v/>
      </c>
      <c r="AL438">
        <f>TEXT(EDATE($B$5,D438-1),"mmm yyyy")</f>
        <v/>
      </c>
      <c r="AM438">
        <f>AI438</f>
        <v/>
      </c>
    </row>
    <row r="439">
      <c r="D439" t="n">
        <v>378</v>
      </c>
      <c r="E439">
        <f>IF(G438&gt;0,MAX(0,G438*(1+$G$51)-$H$51),0)</f>
        <v/>
      </c>
      <c r="F439">
        <f>$B$6+IF($D439=$B$8,$B$7,0)</f>
        <v/>
      </c>
      <c r="G439">
        <f>IF(E439-F439&gt;1E-9,E439-F439,0)</f>
        <v/>
      </c>
      <c r="H439">
        <f>G438*$G$51</f>
        <v/>
      </c>
      <c r="I439">
        <f>IF(K438&gt;0,MAX(0,K438*(1+$G$52)-$H$52),0)</f>
        <v/>
      </c>
      <c r="J439">
        <f>MAX(0,F439-E439)</f>
        <v/>
      </c>
      <c r="K439">
        <f>IF(I439-J439&gt;1E-9,I439-J439,0)</f>
        <v/>
      </c>
      <c r="L439">
        <f>K438*$G$52</f>
        <v/>
      </c>
      <c r="M439">
        <f>IF(O438&gt;0,MAX(0,O438*(1+$G$53)-$H$53),0)</f>
        <v/>
      </c>
      <c r="N439">
        <f>MAX(0,J439-I439)</f>
        <v/>
      </c>
      <c r="O439">
        <f>IF(M439-N439&gt;1E-9,M439-N439,0)</f>
        <v/>
      </c>
      <c r="P439">
        <f>O438*$G$53</f>
        <v/>
      </c>
      <c r="Q439">
        <f>IF(S438&gt;0,MAX(0,S438*(1+$G$54)-$H$54),0)</f>
        <v/>
      </c>
      <c r="R439">
        <f>MAX(0,N439-M439)</f>
        <v/>
      </c>
      <c r="S439">
        <f>IF(Q439-R439&gt;1E-9,Q439-R439,0)</f>
        <v/>
      </c>
      <c r="T439">
        <f>S438*$G$54</f>
        <v/>
      </c>
      <c r="U439">
        <f>IF(W438&gt;0,MAX(0,W438*(1+$G$55)-$H$55),0)</f>
        <v/>
      </c>
      <c r="V439">
        <f>MAX(0,R439-Q439)</f>
        <v/>
      </c>
      <c r="W439">
        <f>IF(U439-V439&gt;1E-9,U439-V439,0)</f>
        <v/>
      </c>
      <c r="X439">
        <f>W438*$G$55</f>
        <v/>
      </c>
      <c r="Y439">
        <f>IF(Y438&gt;1E-9,IF(Y438*(1+$G$51)-MAX($B$9,0.01*Y438+Y438*$G$51)&gt;1E-9,Y438*(1+$G$51)-MAX($B$9,0.01*Y438+Y438*$G$51),0),0)</f>
        <v/>
      </c>
      <c r="Z439">
        <f>Y438*$G$51</f>
        <v/>
      </c>
      <c r="AA439">
        <f>IF(AA438&gt;1E-9,IF(AA438*(1+$G$52)-MAX($B$9,0.01*AA438+AA438*$G$52)&gt;1E-9,AA438*(1+$G$52)-MAX($B$9,0.01*AA438+AA438*$G$52),0),0)</f>
        <v/>
      </c>
      <c r="AB439">
        <f>AA438*$G$52</f>
        <v/>
      </c>
      <c r="AC439">
        <f>IF(AC438&gt;1E-9,IF(AC438*(1+$G$53)-MAX($B$9,0.01*AC438+AC438*$G$53)&gt;1E-9,AC438*(1+$G$53)-MAX($B$9,0.01*AC438+AC438*$G$53),0),0)</f>
        <v/>
      </c>
      <c r="AD439">
        <f>AC438*$G$53</f>
        <v/>
      </c>
      <c r="AE439">
        <f>IF(AE438&gt;1E-9,IF(AE438*(1+$G$54)-MAX($B$9,0.01*AE438+AE438*$G$54)&gt;1E-9,AE438*(1+$G$54)-MAX($B$9,0.01*AE438+AE438*$G$54),0),0)</f>
        <v/>
      </c>
      <c r="AF439">
        <f>AE438*$G$54</f>
        <v/>
      </c>
      <c r="AG439">
        <f>IF(AG438&gt;1E-9,IF(AG438*(1+$G$55)-MAX($B$9,0.01*AG438+AG438*$G$55)&gt;1E-9,AG438*(1+$G$55)-MAX($B$9,0.01*AG438+AG438*$G$55),0),0)</f>
        <v/>
      </c>
      <c r="AH439">
        <f>AG438*$G$55</f>
        <v/>
      </c>
      <c r="AI439">
        <f>G439+K439+O439+S439+W439</f>
        <v/>
      </c>
      <c r="AJ439">
        <f>AI438+AK439-AI439</f>
        <v/>
      </c>
      <c r="AK439">
        <f>H439+L439+P439+T439+X439</f>
        <v/>
      </c>
      <c r="AL439">
        <f>TEXT(EDATE($B$5,D439-1),"mmm yyyy")</f>
        <v/>
      </c>
      <c r="AM439">
        <f>AI439</f>
        <v/>
      </c>
    </row>
    <row r="440">
      <c r="D440" t="n">
        <v>379</v>
      </c>
      <c r="E440">
        <f>IF(G439&gt;0,MAX(0,G439*(1+$G$51)-$H$51),0)</f>
        <v/>
      </c>
      <c r="F440">
        <f>$B$6+IF($D440=$B$8,$B$7,0)</f>
        <v/>
      </c>
      <c r="G440">
        <f>IF(E440-F440&gt;1E-9,E440-F440,0)</f>
        <v/>
      </c>
      <c r="H440">
        <f>G439*$G$51</f>
        <v/>
      </c>
      <c r="I440">
        <f>IF(K439&gt;0,MAX(0,K439*(1+$G$52)-$H$52),0)</f>
        <v/>
      </c>
      <c r="J440">
        <f>MAX(0,F440-E440)</f>
        <v/>
      </c>
      <c r="K440">
        <f>IF(I440-J440&gt;1E-9,I440-J440,0)</f>
        <v/>
      </c>
      <c r="L440">
        <f>K439*$G$52</f>
        <v/>
      </c>
      <c r="M440">
        <f>IF(O439&gt;0,MAX(0,O439*(1+$G$53)-$H$53),0)</f>
        <v/>
      </c>
      <c r="N440">
        <f>MAX(0,J440-I440)</f>
        <v/>
      </c>
      <c r="O440">
        <f>IF(M440-N440&gt;1E-9,M440-N440,0)</f>
        <v/>
      </c>
      <c r="P440">
        <f>O439*$G$53</f>
        <v/>
      </c>
      <c r="Q440">
        <f>IF(S439&gt;0,MAX(0,S439*(1+$G$54)-$H$54),0)</f>
        <v/>
      </c>
      <c r="R440">
        <f>MAX(0,N440-M440)</f>
        <v/>
      </c>
      <c r="S440">
        <f>IF(Q440-R440&gt;1E-9,Q440-R440,0)</f>
        <v/>
      </c>
      <c r="T440">
        <f>S439*$G$54</f>
        <v/>
      </c>
      <c r="U440">
        <f>IF(W439&gt;0,MAX(0,W439*(1+$G$55)-$H$55),0)</f>
        <v/>
      </c>
      <c r="V440">
        <f>MAX(0,R440-Q440)</f>
        <v/>
      </c>
      <c r="W440">
        <f>IF(U440-V440&gt;1E-9,U440-V440,0)</f>
        <v/>
      </c>
      <c r="X440">
        <f>W439*$G$55</f>
        <v/>
      </c>
      <c r="Y440">
        <f>IF(Y439&gt;1E-9,IF(Y439*(1+$G$51)-MAX($B$9,0.01*Y439+Y439*$G$51)&gt;1E-9,Y439*(1+$G$51)-MAX($B$9,0.01*Y439+Y439*$G$51),0),0)</f>
        <v/>
      </c>
      <c r="Z440">
        <f>Y439*$G$51</f>
        <v/>
      </c>
      <c r="AA440">
        <f>IF(AA439&gt;1E-9,IF(AA439*(1+$G$52)-MAX($B$9,0.01*AA439+AA439*$G$52)&gt;1E-9,AA439*(1+$G$52)-MAX($B$9,0.01*AA439+AA439*$G$52),0),0)</f>
        <v/>
      </c>
      <c r="AB440">
        <f>AA439*$G$52</f>
        <v/>
      </c>
      <c r="AC440">
        <f>IF(AC439&gt;1E-9,IF(AC439*(1+$G$53)-MAX($B$9,0.01*AC439+AC439*$G$53)&gt;1E-9,AC439*(1+$G$53)-MAX($B$9,0.01*AC439+AC439*$G$53),0),0)</f>
        <v/>
      </c>
      <c r="AD440">
        <f>AC439*$G$53</f>
        <v/>
      </c>
      <c r="AE440">
        <f>IF(AE439&gt;1E-9,IF(AE439*(1+$G$54)-MAX($B$9,0.01*AE439+AE439*$G$54)&gt;1E-9,AE439*(1+$G$54)-MAX($B$9,0.01*AE439+AE439*$G$54),0),0)</f>
        <v/>
      </c>
      <c r="AF440">
        <f>AE439*$G$54</f>
        <v/>
      </c>
      <c r="AG440">
        <f>IF(AG439&gt;1E-9,IF(AG439*(1+$G$55)-MAX($B$9,0.01*AG439+AG439*$G$55)&gt;1E-9,AG439*(1+$G$55)-MAX($B$9,0.01*AG439+AG439*$G$55),0),0)</f>
        <v/>
      </c>
      <c r="AH440">
        <f>AG439*$G$55</f>
        <v/>
      </c>
      <c r="AI440">
        <f>G440+K440+O440+S440+W440</f>
        <v/>
      </c>
      <c r="AJ440">
        <f>AI439+AK440-AI440</f>
        <v/>
      </c>
      <c r="AK440">
        <f>H440+L440+P440+T440+X440</f>
        <v/>
      </c>
      <c r="AL440">
        <f>TEXT(EDATE($B$5,D440-1),"mmm yyyy")</f>
        <v/>
      </c>
      <c r="AM440">
        <f>AI440</f>
        <v/>
      </c>
    </row>
    <row r="441">
      <c r="D441" t="n">
        <v>380</v>
      </c>
      <c r="E441">
        <f>IF(G440&gt;0,MAX(0,G440*(1+$G$51)-$H$51),0)</f>
        <v/>
      </c>
      <c r="F441">
        <f>$B$6+IF($D441=$B$8,$B$7,0)</f>
        <v/>
      </c>
      <c r="G441">
        <f>IF(E441-F441&gt;1E-9,E441-F441,0)</f>
        <v/>
      </c>
      <c r="H441">
        <f>G440*$G$51</f>
        <v/>
      </c>
      <c r="I441">
        <f>IF(K440&gt;0,MAX(0,K440*(1+$G$52)-$H$52),0)</f>
        <v/>
      </c>
      <c r="J441">
        <f>MAX(0,F441-E441)</f>
        <v/>
      </c>
      <c r="K441">
        <f>IF(I441-J441&gt;1E-9,I441-J441,0)</f>
        <v/>
      </c>
      <c r="L441">
        <f>K440*$G$52</f>
        <v/>
      </c>
      <c r="M441">
        <f>IF(O440&gt;0,MAX(0,O440*(1+$G$53)-$H$53),0)</f>
        <v/>
      </c>
      <c r="N441">
        <f>MAX(0,J441-I441)</f>
        <v/>
      </c>
      <c r="O441">
        <f>IF(M441-N441&gt;1E-9,M441-N441,0)</f>
        <v/>
      </c>
      <c r="P441">
        <f>O440*$G$53</f>
        <v/>
      </c>
      <c r="Q441">
        <f>IF(S440&gt;0,MAX(0,S440*(1+$G$54)-$H$54),0)</f>
        <v/>
      </c>
      <c r="R441">
        <f>MAX(0,N441-M441)</f>
        <v/>
      </c>
      <c r="S441">
        <f>IF(Q441-R441&gt;1E-9,Q441-R441,0)</f>
        <v/>
      </c>
      <c r="T441">
        <f>S440*$G$54</f>
        <v/>
      </c>
      <c r="U441">
        <f>IF(W440&gt;0,MAX(0,W440*(1+$G$55)-$H$55),0)</f>
        <v/>
      </c>
      <c r="V441">
        <f>MAX(0,R441-Q441)</f>
        <v/>
      </c>
      <c r="W441">
        <f>IF(U441-V441&gt;1E-9,U441-V441,0)</f>
        <v/>
      </c>
      <c r="X441">
        <f>W440*$G$55</f>
        <v/>
      </c>
      <c r="Y441">
        <f>IF(Y440&gt;1E-9,IF(Y440*(1+$G$51)-MAX($B$9,0.01*Y440+Y440*$G$51)&gt;1E-9,Y440*(1+$G$51)-MAX($B$9,0.01*Y440+Y440*$G$51),0),0)</f>
        <v/>
      </c>
      <c r="Z441">
        <f>Y440*$G$51</f>
        <v/>
      </c>
      <c r="AA441">
        <f>IF(AA440&gt;1E-9,IF(AA440*(1+$G$52)-MAX($B$9,0.01*AA440+AA440*$G$52)&gt;1E-9,AA440*(1+$G$52)-MAX($B$9,0.01*AA440+AA440*$G$52),0),0)</f>
        <v/>
      </c>
      <c r="AB441">
        <f>AA440*$G$52</f>
        <v/>
      </c>
      <c r="AC441">
        <f>IF(AC440&gt;1E-9,IF(AC440*(1+$G$53)-MAX($B$9,0.01*AC440+AC440*$G$53)&gt;1E-9,AC440*(1+$G$53)-MAX($B$9,0.01*AC440+AC440*$G$53),0),0)</f>
        <v/>
      </c>
      <c r="AD441">
        <f>AC440*$G$53</f>
        <v/>
      </c>
      <c r="AE441">
        <f>IF(AE440&gt;1E-9,IF(AE440*(1+$G$54)-MAX($B$9,0.01*AE440+AE440*$G$54)&gt;1E-9,AE440*(1+$G$54)-MAX($B$9,0.01*AE440+AE440*$G$54),0),0)</f>
        <v/>
      </c>
      <c r="AF441">
        <f>AE440*$G$54</f>
        <v/>
      </c>
      <c r="AG441">
        <f>IF(AG440&gt;1E-9,IF(AG440*(1+$G$55)-MAX($B$9,0.01*AG440+AG440*$G$55)&gt;1E-9,AG440*(1+$G$55)-MAX($B$9,0.01*AG440+AG440*$G$55),0),0)</f>
        <v/>
      </c>
      <c r="AH441">
        <f>AG440*$G$55</f>
        <v/>
      </c>
      <c r="AI441">
        <f>G441+K441+O441+S441+W441</f>
        <v/>
      </c>
      <c r="AJ441">
        <f>AI440+AK441-AI441</f>
        <v/>
      </c>
      <c r="AK441">
        <f>H441+L441+P441+T441+X441</f>
        <v/>
      </c>
      <c r="AL441">
        <f>TEXT(EDATE($B$5,D441-1),"mmm yyyy")</f>
        <v/>
      </c>
      <c r="AM441">
        <f>AI441</f>
        <v/>
      </c>
    </row>
    <row r="442">
      <c r="D442" t="n">
        <v>381</v>
      </c>
      <c r="E442">
        <f>IF(G441&gt;0,MAX(0,G441*(1+$G$51)-$H$51),0)</f>
        <v/>
      </c>
      <c r="F442">
        <f>$B$6+IF($D442=$B$8,$B$7,0)</f>
        <v/>
      </c>
      <c r="G442">
        <f>IF(E442-F442&gt;1E-9,E442-F442,0)</f>
        <v/>
      </c>
      <c r="H442">
        <f>G441*$G$51</f>
        <v/>
      </c>
      <c r="I442">
        <f>IF(K441&gt;0,MAX(0,K441*(1+$G$52)-$H$52),0)</f>
        <v/>
      </c>
      <c r="J442">
        <f>MAX(0,F442-E442)</f>
        <v/>
      </c>
      <c r="K442">
        <f>IF(I442-J442&gt;1E-9,I442-J442,0)</f>
        <v/>
      </c>
      <c r="L442">
        <f>K441*$G$52</f>
        <v/>
      </c>
      <c r="M442">
        <f>IF(O441&gt;0,MAX(0,O441*(1+$G$53)-$H$53),0)</f>
        <v/>
      </c>
      <c r="N442">
        <f>MAX(0,J442-I442)</f>
        <v/>
      </c>
      <c r="O442">
        <f>IF(M442-N442&gt;1E-9,M442-N442,0)</f>
        <v/>
      </c>
      <c r="P442">
        <f>O441*$G$53</f>
        <v/>
      </c>
      <c r="Q442">
        <f>IF(S441&gt;0,MAX(0,S441*(1+$G$54)-$H$54),0)</f>
        <v/>
      </c>
      <c r="R442">
        <f>MAX(0,N442-M442)</f>
        <v/>
      </c>
      <c r="S442">
        <f>IF(Q442-R442&gt;1E-9,Q442-R442,0)</f>
        <v/>
      </c>
      <c r="T442">
        <f>S441*$G$54</f>
        <v/>
      </c>
      <c r="U442">
        <f>IF(W441&gt;0,MAX(0,W441*(1+$G$55)-$H$55),0)</f>
        <v/>
      </c>
      <c r="V442">
        <f>MAX(0,R442-Q442)</f>
        <v/>
      </c>
      <c r="W442">
        <f>IF(U442-V442&gt;1E-9,U442-V442,0)</f>
        <v/>
      </c>
      <c r="X442">
        <f>W441*$G$55</f>
        <v/>
      </c>
      <c r="Y442">
        <f>IF(Y441&gt;1E-9,IF(Y441*(1+$G$51)-MAX($B$9,0.01*Y441+Y441*$G$51)&gt;1E-9,Y441*(1+$G$51)-MAX($B$9,0.01*Y441+Y441*$G$51),0),0)</f>
        <v/>
      </c>
      <c r="Z442">
        <f>Y441*$G$51</f>
        <v/>
      </c>
      <c r="AA442">
        <f>IF(AA441&gt;1E-9,IF(AA441*(1+$G$52)-MAX($B$9,0.01*AA441+AA441*$G$52)&gt;1E-9,AA441*(1+$G$52)-MAX($B$9,0.01*AA441+AA441*$G$52),0),0)</f>
        <v/>
      </c>
      <c r="AB442">
        <f>AA441*$G$52</f>
        <v/>
      </c>
      <c r="AC442">
        <f>IF(AC441&gt;1E-9,IF(AC441*(1+$G$53)-MAX($B$9,0.01*AC441+AC441*$G$53)&gt;1E-9,AC441*(1+$G$53)-MAX($B$9,0.01*AC441+AC441*$G$53),0),0)</f>
        <v/>
      </c>
      <c r="AD442">
        <f>AC441*$G$53</f>
        <v/>
      </c>
      <c r="AE442">
        <f>IF(AE441&gt;1E-9,IF(AE441*(1+$G$54)-MAX($B$9,0.01*AE441+AE441*$G$54)&gt;1E-9,AE441*(1+$G$54)-MAX($B$9,0.01*AE441+AE441*$G$54),0),0)</f>
        <v/>
      </c>
      <c r="AF442">
        <f>AE441*$G$54</f>
        <v/>
      </c>
      <c r="AG442">
        <f>IF(AG441&gt;1E-9,IF(AG441*(1+$G$55)-MAX($B$9,0.01*AG441+AG441*$G$55)&gt;1E-9,AG441*(1+$G$55)-MAX($B$9,0.01*AG441+AG441*$G$55),0),0)</f>
        <v/>
      </c>
      <c r="AH442">
        <f>AG441*$G$55</f>
        <v/>
      </c>
      <c r="AI442">
        <f>G442+K442+O442+S442+W442</f>
        <v/>
      </c>
      <c r="AJ442">
        <f>AI441+AK442-AI442</f>
        <v/>
      </c>
      <c r="AK442">
        <f>H442+L442+P442+T442+X442</f>
        <v/>
      </c>
      <c r="AL442">
        <f>TEXT(EDATE($B$5,D442-1),"mmm yyyy")</f>
        <v/>
      </c>
      <c r="AM442">
        <f>AI442</f>
        <v/>
      </c>
    </row>
    <row r="443">
      <c r="D443" t="n">
        <v>382</v>
      </c>
      <c r="E443">
        <f>IF(G442&gt;0,MAX(0,G442*(1+$G$51)-$H$51),0)</f>
        <v/>
      </c>
      <c r="F443">
        <f>$B$6+IF($D443=$B$8,$B$7,0)</f>
        <v/>
      </c>
      <c r="G443">
        <f>IF(E443-F443&gt;1E-9,E443-F443,0)</f>
        <v/>
      </c>
      <c r="H443">
        <f>G442*$G$51</f>
        <v/>
      </c>
      <c r="I443">
        <f>IF(K442&gt;0,MAX(0,K442*(1+$G$52)-$H$52),0)</f>
        <v/>
      </c>
      <c r="J443">
        <f>MAX(0,F443-E443)</f>
        <v/>
      </c>
      <c r="K443">
        <f>IF(I443-J443&gt;1E-9,I443-J443,0)</f>
        <v/>
      </c>
      <c r="L443">
        <f>K442*$G$52</f>
        <v/>
      </c>
      <c r="M443">
        <f>IF(O442&gt;0,MAX(0,O442*(1+$G$53)-$H$53),0)</f>
        <v/>
      </c>
      <c r="N443">
        <f>MAX(0,J443-I443)</f>
        <v/>
      </c>
      <c r="O443">
        <f>IF(M443-N443&gt;1E-9,M443-N443,0)</f>
        <v/>
      </c>
      <c r="P443">
        <f>O442*$G$53</f>
        <v/>
      </c>
      <c r="Q443">
        <f>IF(S442&gt;0,MAX(0,S442*(1+$G$54)-$H$54),0)</f>
        <v/>
      </c>
      <c r="R443">
        <f>MAX(0,N443-M443)</f>
        <v/>
      </c>
      <c r="S443">
        <f>IF(Q443-R443&gt;1E-9,Q443-R443,0)</f>
        <v/>
      </c>
      <c r="T443">
        <f>S442*$G$54</f>
        <v/>
      </c>
      <c r="U443">
        <f>IF(W442&gt;0,MAX(0,W442*(1+$G$55)-$H$55),0)</f>
        <v/>
      </c>
      <c r="V443">
        <f>MAX(0,R443-Q443)</f>
        <v/>
      </c>
      <c r="W443">
        <f>IF(U443-V443&gt;1E-9,U443-V443,0)</f>
        <v/>
      </c>
      <c r="X443">
        <f>W442*$G$55</f>
        <v/>
      </c>
      <c r="Y443">
        <f>IF(Y442&gt;1E-9,IF(Y442*(1+$G$51)-MAX($B$9,0.01*Y442+Y442*$G$51)&gt;1E-9,Y442*(1+$G$51)-MAX($B$9,0.01*Y442+Y442*$G$51),0),0)</f>
        <v/>
      </c>
      <c r="Z443">
        <f>Y442*$G$51</f>
        <v/>
      </c>
      <c r="AA443">
        <f>IF(AA442&gt;1E-9,IF(AA442*(1+$G$52)-MAX($B$9,0.01*AA442+AA442*$G$52)&gt;1E-9,AA442*(1+$G$52)-MAX($B$9,0.01*AA442+AA442*$G$52),0),0)</f>
        <v/>
      </c>
      <c r="AB443">
        <f>AA442*$G$52</f>
        <v/>
      </c>
      <c r="AC443">
        <f>IF(AC442&gt;1E-9,IF(AC442*(1+$G$53)-MAX($B$9,0.01*AC442+AC442*$G$53)&gt;1E-9,AC442*(1+$G$53)-MAX($B$9,0.01*AC442+AC442*$G$53),0),0)</f>
        <v/>
      </c>
      <c r="AD443">
        <f>AC442*$G$53</f>
        <v/>
      </c>
      <c r="AE443">
        <f>IF(AE442&gt;1E-9,IF(AE442*(1+$G$54)-MAX($B$9,0.01*AE442+AE442*$G$54)&gt;1E-9,AE442*(1+$G$54)-MAX($B$9,0.01*AE442+AE442*$G$54),0),0)</f>
        <v/>
      </c>
      <c r="AF443">
        <f>AE442*$G$54</f>
        <v/>
      </c>
      <c r="AG443">
        <f>IF(AG442&gt;1E-9,IF(AG442*(1+$G$55)-MAX($B$9,0.01*AG442+AG442*$G$55)&gt;1E-9,AG442*(1+$G$55)-MAX($B$9,0.01*AG442+AG442*$G$55),0),0)</f>
        <v/>
      </c>
      <c r="AH443">
        <f>AG442*$G$55</f>
        <v/>
      </c>
      <c r="AI443">
        <f>G443+K443+O443+S443+W443</f>
        <v/>
      </c>
      <c r="AJ443">
        <f>AI442+AK443-AI443</f>
        <v/>
      </c>
      <c r="AK443">
        <f>H443+L443+P443+T443+X443</f>
        <v/>
      </c>
      <c r="AL443">
        <f>TEXT(EDATE($B$5,D443-1),"mmm yyyy")</f>
        <v/>
      </c>
      <c r="AM443">
        <f>AI443</f>
        <v/>
      </c>
    </row>
    <row r="444">
      <c r="D444" t="n">
        <v>383</v>
      </c>
      <c r="E444">
        <f>IF(G443&gt;0,MAX(0,G443*(1+$G$51)-$H$51),0)</f>
        <v/>
      </c>
      <c r="F444">
        <f>$B$6+IF($D444=$B$8,$B$7,0)</f>
        <v/>
      </c>
      <c r="G444">
        <f>IF(E444-F444&gt;1E-9,E444-F444,0)</f>
        <v/>
      </c>
      <c r="H444">
        <f>G443*$G$51</f>
        <v/>
      </c>
      <c r="I444">
        <f>IF(K443&gt;0,MAX(0,K443*(1+$G$52)-$H$52),0)</f>
        <v/>
      </c>
      <c r="J444">
        <f>MAX(0,F444-E444)</f>
        <v/>
      </c>
      <c r="K444">
        <f>IF(I444-J444&gt;1E-9,I444-J444,0)</f>
        <v/>
      </c>
      <c r="L444">
        <f>K443*$G$52</f>
        <v/>
      </c>
      <c r="M444">
        <f>IF(O443&gt;0,MAX(0,O443*(1+$G$53)-$H$53),0)</f>
        <v/>
      </c>
      <c r="N444">
        <f>MAX(0,J444-I444)</f>
        <v/>
      </c>
      <c r="O444">
        <f>IF(M444-N444&gt;1E-9,M444-N444,0)</f>
        <v/>
      </c>
      <c r="P444">
        <f>O443*$G$53</f>
        <v/>
      </c>
      <c r="Q444">
        <f>IF(S443&gt;0,MAX(0,S443*(1+$G$54)-$H$54),0)</f>
        <v/>
      </c>
      <c r="R444">
        <f>MAX(0,N444-M444)</f>
        <v/>
      </c>
      <c r="S444">
        <f>IF(Q444-R444&gt;1E-9,Q444-R444,0)</f>
        <v/>
      </c>
      <c r="T444">
        <f>S443*$G$54</f>
        <v/>
      </c>
      <c r="U444">
        <f>IF(W443&gt;0,MAX(0,W443*(1+$G$55)-$H$55),0)</f>
        <v/>
      </c>
      <c r="V444">
        <f>MAX(0,R444-Q444)</f>
        <v/>
      </c>
      <c r="W444">
        <f>IF(U444-V444&gt;1E-9,U444-V444,0)</f>
        <v/>
      </c>
      <c r="X444">
        <f>W443*$G$55</f>
        <v/>
      </c>
      <c r="Y444">
        <f>IF(Y443&gt;1E-9,IF(Y443*(1+$G$51)-MAX($B$9,0.01*Y443+Y443*$G$51)&gt;1E-9,Y443*(1+$G$51)-MAX($B$9,0.01*Y443+Y443*$G$51),0),0)</f>
        <v/>
      </c>
      <c r="Z444">
        <f>Y443*$G$51</f>
        <v/>
      </c>
      <c r="AA444">
        <f>IF(AA443&gt;1E-9,IF(AA443*(1+$G$52)-MAX($B$9,0.01*AA443+AA443*$G$52)&gt;1E-9,AA443*(1+$G$52)-MAX($B$9,0.01*AA443+AA443*$G$52),0),0)</f>
        <v/>
      </c>
      <c r="AB444">
        <f>AA443*$G$52</f>
        <v/>
      </c>
      <c r="AC444">
        <f>IF(AC443&gt;1E-9,IF(AC443*(1+$G$53)-MAX($B$9,0.01*AC443+AC443*$G$53)&gt;1E-9,AC443*(1+$G$53)-MAX($B$9,0.01*AC443+AC443*$G$53),0),0)</f>
        <v/>
      </c>
      <c r="AD444">
        <f>AC443*$G$53</f>
        <v/>
      </c>
      <c r="AE444">
        <f>IF(AE443&gt;1E-9,IF(AE443*(1+$G$54)-MAX($B$9,0.01*AE443+AE443*$G$54)&gt;1E-9,AE443*(1+$G$54)-MAX($B$9,0.01*AE443+AE443*$G$54),0),0)</f>
        <v/>
      </c>
      <c r="AF444">
        <f>AE443*$G$54</f>
        <v/>
      </c>
      <c r="AG444">
        <f>IF(AG443&gt;1E-9,IF(AG443*(1+$G$55)-MAX($B$9,0.01*AG443+AG443*$G$55)&gt;1E-9,AG443*(1+$G$55)-MAX($B$9,0.01*AG443+AG443*$G$55),0),0)</f>
        <v/>
      </c>
      <c r="AH444">
        <f>AG443*$G$55</f>
        <v/>
      </c>
      <c r="AI444">
        <f>G444+K444+O444+S444+W444</f>
        <v/>
      </c>
      <c r="AJ444">
        <f>AI443+AK444-AI444</f>
        <v/>
      </c>
      <c r="AK444">
        <f>H444+L444+P444+T444+X444</f>
        <v/>
      </c>
      <c r="AL444">
        <f>TEXT(EDATE($B$5,D444-1),"mmm yyyy")</f>
        <v/>
      </c>
      <c r="AM444">
        <f>AI444</f>
        <v/>
      </c>
    </row>
    <row r="445">
      <c r="D445" t="n">
        <v>384</v>
      </c>
      <c r="E445">
        <f>IF(G444&gt;0,MAX(0,G444*(1+$G$51)-$H$51),0)</f>
        <v/>
      </c>
      <c r="F445">
        <f>$B$6+IF($D445=$B$8,$B$7,0)</f>
        <v/>
      </c>
      <c r="G445">
        <f>IF(E445-F445&gt;1E-9,E445-F445,0)</f>
        <v/>
      </c>
      <c r="H445">
        <f>G444*$G$51</f>
        <v/>
      </c>
      <c r="I445">
        <f>IF(K444&gt;0,MAX(0,K444*(1+$G$52)-$H$52),0)</f>
        <v/>
      </c>
      <c r="J445">
        <f>MAX(0,F445-E445)</f>
        <v/>
      </c>
      <c r="K445">
        <f>IF(I445-J445&gt;1E-9,I445-J445,0)</f>
        <v/>
      </c>
      <c r="L445">
        <f>K444*$G$52</f>
        <v/>
      </c>
      <c r="M445">
        <f>IF(O444&gt;0,MAX(0,O444*(1+$G$53)-$H$53),0)</f>
        <v/>
      </c>
      <c r="N445">
        <f>MAX(0,J445-I445)</f>
        <v/>
      </c>
      <c r="O445">
        <f>IF(M445-N445&gt;1E-9,M445-N445,0)</f>
        <v/>
      </c>
      <c r="P445">
        <f>O444*$G$53</f>
        <v/>
      </c>
      <c r="Q445">
        <f>IF(S444&gt;0,MAX(0,S444*(1+$G$54)-$H$54),0)</f>
        <v/>
      </c>
      <c r="R445">
        <f>MAX(0,N445-M445)</f>
        <v/>
      </c>
      <c r="S445">
        <f>IF(Q445-R445&gt;1E-9,Q445-R445,0)</f>
        <v/>
      </c>
      <c r="T445">
        <f>S444*$G$54</f>
        <v/>
      </c>
      <c r="U445">
        <f>IF(W444&gt;0,MAX(0,W444*(1+$G$55)-$H$55),0)</f>
        <v/>
      </c>
      <c r="V445">
        <f>MAX(0,R445-Q445)</f>
        <v/>
      </c>
      <c r="W445">
        <f>IF(U445-V445&gt;1E-9,U445-V445,0)</f>
        <v/>
      </c>
      <c r="X445">
        <f>W444*$G$55</f>
        <v/>
      </c>
      <c r="Y445">
        <f>IF(Y444&gt;1E-9,IF(Y444*(1+$G$51)-MAX($B$9,0.01*Y444+Y444*$G$51)&gt;1E-9,Y444*(1+$G$51)-MAX($B$9,0.01*Y444+Y444*$G$51),0),0)</f>
        <v/>
      </c>
      <c r="Z445">
        <f>Y444*$G$51</f>
        <v/>
      </c>
      <c r="AA445">
        <f>IF(AA444&gt;1E-9,IF(AA444*(1+$G$52)-MAX($B$9,0.01*AA444+AA444*$G$52)&gt;1E-9,AA444*(1+$G$52)-MAX($B$9,0.01*AA444+AA444*$G$52),0),0)</f>
        <v/>
      </c>
      <c r="AB445">
        <f>AA444*$G$52</f>
        <v/>
      </c>
      <c r="AC445">
        <f>IF(AC444&gt;1E-9,IF(AC444*(1+$G$53)-MAX($B$9,0.01*AC444+AC444*$G$53)&gt;1E-9,AC444*(1+$G$53)-MAX($B$9,0.01*AC444+AC444*$G$53),0),0)</f>
        <v/>
      </c>
      <c r="AD445">
        <f>AC444*$G$53</f>
        <v/>
      </c>
      <c r="AE445">
        <f>IF(AE444&gt;1E-9,IF(AE444*(1+$G$54)-MAX($B$9,0.01*AE444+AE444*$G$54)&gt;1E-9,AE444*(1+$G$54)-MAX($B$9,0.01*AE444+AE444*$G$54),0),0)</f>
        <v/>
      </c>
      <c r="AF445">
        <f>AE444*$G$54</f>
        <v/>
      </c>
      <c r="AG445">
        <f>IF(AG444&gt;1E-9,IF(AG444*(1+$G$55)-MAX($B$9,0.01*AG444+AG444*$G$55)&gt;1E-9,AG444*(1+$G$55)-MAX($B$9,0.01*AG444+AG444*$G$55),0),0)</f>
        <v/>
      </c>
      <c r="AH445">
        <f>AG444*$G$55</f>
        <v/>
      </c>
      <c r="AI445">
        <f>G445+K445+O445+S445+W445</f>
        <v/>
      </c>
      <c r="AJ445">
        <f>AI444+AK445-AI445</f>
        <v/>
      </c>
      <c r="AK445">
        <f>H445+L445+P445+T445+X445</f>
        <v/>
      </c>
      <c r="AL445">
        <f>TEXT(EDATE($B$5,D445-1),"mmm yyyy")</f>
        <v/>
      </c>
      <c r="AM445">
        <f>AI445</f>
        <v/>
      </c>
    </row>
    <row r="446">
      <c r="D446" t="n">
        <v>385</v>
      </c>
      <c r="E446">
        <f>IF(G445&gt;0,MAX(0,G445*(1+$G$51)-$H$51),0)</f>
        <v/>
      </c>
      <c r="F446">
        <f>$B$6+IF($D446=$B$8,$B$7,0)</f>
        <v/>
      </c>
      <c r="G446">
        <f>IF(E446-F446&gt;1E-9,E446-F446,0)</f>
        <v/>
      </c>
      <c r="H446">
        <f>G445*$G$51</f>
        <v/>
      </c>
      <c r="I446">
        <f>IF(K445&gt;0,MAX(0,K445*(1+$G$52)-$H$52),0)</f>
        <v/>
      </c>
      <c r="J446">
        <f>MAX(0,F446-E446)</f>
        <v/>
      </c>
      <c r="K446">
        <f>IF(I446-J446&gt;1E-9,I446-J446,0)</f>
        <v/>
      </c>
      <c r="L446">
        <f>K445*$G$52</f>
        <v/>
      </c>
      <c r="M446">
        <f>IF(O445&gt;0,MAX(0,O445*(1+$G$53)-$H$53),0)</f>
        <v/>
      </c>
      <c r="N446">
        <f>MAX(0,J446-I446)</f>
        <v/>
      </c>
      <c r="O446">
        <f>IF(M446-N446&gt;1E-9,M446-N446,0)</f>
        <v/>
      </c>
      <c r="P446">
        <f>O445*$G$53</f>
        <v/>
      </c>
      <c r="Q446">
        <f>IF(S445&gt;0,MAX(0,S445*(1+$G$54)-$H$54),0)</f>
        <v/>
      </c>
      <c r="R446">
        <f>MAX(0,N446-M446)</f>
        <v/>
      </c>
      <c r="S446">
        <f>IF(Q446-R446&gt;1E-9,Q446-R446,0)</f>
        <v/>
      </c>
      <c r="T446">
        <f>S445*$G$54</f>
        <v/>
      </c>
      <c r="U446">
        <f>IF(W445&gt;0,MAX(0,W445*(1+$G$55)-$H$55),0)</f>
        <v/>
      </c>
      <c r="V446">
        <f>MAX(0,R446-Q446)</f>
        <v/>
      </c>
      <c r="W446">
        <f>IF(U446-V446&gt;1E-9,U446-V446,0)</f>
        <v/>
      </c>
      <c r="X446">
        <f>W445*$G$55</f>
        <v/>
      </c>
      <c r="Y446">
        <f>IF(Y445&gt;1E-9,IF(Y445*(1+$G$51)-MAX($B$9,0.01*Y445+Y445*$G$51)&gt;1E-9,Y445*(1+$G$51)-MAX($B$9,0.01*Y445+Y445*$G$51),0),0)</f>
        <v/>
      </c>
      <c r="Z446">
        <f>Y445*$G$51</f>
        <v/>
      </c>
      <c r="AA446">
        <f>IF(AA445&gt;1E-9,IF(AA445*(1+$G$52)-MAX($B$9,0.01*AA445+AA445*$G$52)&gt;1E-9,AA445*(1+$G$52)-MAX($B$9,0.01*AA445+AA445*$G$52),0),0)</f>
        <v/>
      </c>
      <c r="AB446">
        <f>AA445*$G$52</f>
        <v/>
      </c>
      <c r="AC446">
        <f>IF(AC445&gt;1E-9,IF(AC445*(1+$G$53)-MAX($B$9,0.01*AC445+AC445*$G$53)&gt;1E-9,AC445*(1+$G$53)-MAX($B$9,0.01*AC445+AC445*$G$53),0),0)</f>
        <v/>
      </c>
      <c r="AD446">
        <f>AC445*$G$53</f>
        <v/>
      </c>
      <c r="AE446">
        <f>IF(AE445&gt;1E-9,IF(AE445*(1+$G$54)-MAX($B$9,0.01*AE445+AE445*$G$54)&gt;1E-9,AE445*(1+$G$54)-MAX($B$9,0.01*AE445+AE445*$G$54),0),0)</f>
        <v/>
      </c>
      <c r="AF446">
        <f>AE445*$G$54</f>
        <v/>
      </c>
      <c r="AG446">
        <f>IF(AG445&gt;1E-9,IF(AG445*(1+$G$55)-MAX($B$9,0.01*AG445+AG445*$G$55)&gt;1E-9,AG445*(1+$G$55)-MAX($B$9,0.01*AG445+AG445*$G$55),0),0)</f>
        <v/>
      </c>
      <c r="AH446">
        <f>AG445*$G$55</f>
        <v/>
      </c>
      <c r="AI446">
        <f>G446+K446+O446+S446+W446</f>
        <v/>
      </c>
      <c r="AJ446">
        <f>AI445+AK446-AI446</f>
        <v/>
      </c>
      <c r="AK446">
        <f>H446+L446+P446+T446+X446</f>
        <v/>
      </c>
      <c r="AL446">
        <f>TEXT(EDATE($B$5,D446-1),"mmm yyyy")</f>
        <v/>
      </c>
      <c r="AM446">
        <f>AI446</f>
        <v/>
      </c>
    </row>
    <row r="447">
      <c r="D447" t="n">
        <v>386</v>
      </c>
      <c r="E447">
        <f>IF(G446&gt;0,MAX(0,G446*(1+$G$51)-$H$51),0)</f>
        <v/>
      </c>
      <c r="F447">
        <f>$B$6+IF($D447=$B$8,$B$7,0)</f>
        <v/>
      </c>
      <c r="G447">
        <f>IF(E447-F447&gt;1E-9,E447-F447,0)</f>
        <v/>
      </c>
      <c r="H447">
        <f>G446*$G$51</f>
        <v/>
      </c>
      <c r="I447">
        <f>IF(K446&gt;0,MAX(0,K446*(1+$G$52)-$H$52),0)</f>
        <v/>
      </c>
      <c r="J447">
        <f>MAX(0,F447-E447)</f>
        <v/>
      </c>
      <c r="K447">
        <f>IF(I447-J447&gt;1E-9,I447-J447,0)</f>
        <v/>
      </c>
      <c r="L447">
        <f>K446*$G$52</f>
        <v/>
      </c>
      <c r="M447">
        <f>IF(O446&gt;0,MAX(0,O446*(1+$G$53)-$H$53),0)</f>
        <v/>
      </c>
      <c r="N447">
        <f>MAX(0,J447-I447)</f>
        <v/>
      </c>
      <c r="O447">
        <f>IF(M447-N447&gt;1E-9,M447-N447,0)</f>
        <v/>
      </c>
      <c r="P447">
        <f>O446*$G$53</f>
        <v/>
      </c>
      <c r="Q447">
        <f>IF(S446&gt;0,MAX(0,S446*(1+$G$54)-$H$54),0)</f>
        <v/>
      </c>
      <c r="R447">
        <f>MAX(0,N447-M447)</f>
        <v/>
      </c>
      <c r="S447">
        <f>IF(Q447-R447&gt;1E-9,Q447-R447,0)</f>
        <v/>
      </c>
      <c r="T447">
        <f>S446*$G$54</f>
        <v/>
      </c>
      <c r="U447">
        <f>IF(W446&gt;0,MAX(0,W446*(1+$G$55)-$H$55),0)</f>
        <v/>
      </c>
      <c r="V447">
        <f>MAX(0,R447-Q447)</f>
        <v/>
      </c>
      <c r="W447">
        <f>IF(U447-V447&gt;1E-9,U447-V447,0)</f>
        <v/>
      </c>
      <c r="X447">
        <f>W446*$G$55</f>
        <v/>
      </c>
      <c r="Y447">
        <f>IF(Y446&gt;1E-9,IF(Y446*(1+$G$51)-MAX($B$9,0.01*Y446+Y446*$G$51)&gt;1E-9,Y446*(1+$G$51)-MAX($B$9,0.01*Y446+Y446*$G$51),0),0)</f>
        <v/>
      </c>
      <c r="Z447">
        <f>Y446*$G$51</f>
        <v/>
      </c>
      <c r="AA447">
        <f>IF(AA446&gt;1E-9,IF(AA446*(1+$G$52)-MAX($B$9,0.01*AA446+AA446*$G$52)&gt;1E-9,AA446*(1+$G$52)-MAX($B$9,0.01*AA446+AA446*$G$52),0),0)</f>
        <v/>
      </c>
      <c r="AB447">
        <f>AA446*$G$52</f>
        <v/>
      </c>
      <c r="AC447">
        <f>IF(AC446&gt;1E-9,IF(AC446*(1+$G$53)-MAX($B$9,0.01*AC446+AC446*$G$53)&gt;1E-9,AC446*(1+$G$53)-MAX($B$9,0.01*AC446+AC446*$G$53),0),0)</f>
        <v/>
      </c>
      <c r="AD447">
        <f>AC446*$G$53</f>
        <v/>
      </c>
      <c r="AE447">
        <f>IF(AE446&gt;1E-9,IF(AE446*(1+$G$54)-MAX($B$9,0.01*AE446+AE446*$G$54)&gt;1E-9,AE446*(1+$G$54)-MAX($B$9,0.01*AE446+AE446*$G$54),0),0)</f>
        <v/>
      </c>
      <c r="AF447">
        <f>AE446*$G$54</f>
        <v/>
      </c>
      <c r="AG447">
        <f>IF(AG446&gt;1E-9,IF(AG446*(1+$G$55)-MAX($B$9,0.01*AG446+AG446*$G$55)&gt;1E-9,AG446*(1+$G$55)-MAX($B$9,0.01*AG446+AG446*$G$55),0),0)</f>
        <v/>
      </c>
      <c r="AH447">
        <f>AG446*$G$55</f>
        <v/>
      </c>
      <c r="AI447">
        <f>G447+K447+O447+S447+W447</f>
        <v/>
      </c>
      <c r="AJ447">
        <f>AI446+AK447-AI447</f>
        <v/>
      </c>
      <c r="AK447">
        <f>H447+L447+P447+T447+X447</f>
        <v/>
      </c>
      <c r="AL447">
        <f>TEXT(EDATE($B$5,D447-1),"mmm yyyy")</f>
        <v/>
      </c>
      <c r="AM447">
        <f>AI447</f>
        <v/>
      </c>
    </row>
    <row r="448">
      <c r="D448" t="n">
        <v>387</v>
      </c>
      <c r="E448">
        <f>IF(G447&gt;0,MAX(0,G447*(1+$G$51)-$H$51),0)</f>
        <v/>
      </c>
      <c r="F448">
        <f>$B$6+IF($D448=$B$8,$B$7,0)</f>
        <v/>
      </c>
      <c r="G448">
        <f>IF(E448-F448&gt;1E-9,E448-F448,0)</f>
        <v/>
      </c>
      <c r="H448">
        <f>G447*$G$51</f>
        <v/>
      </c>
      <c r="I448">
        <f>IF(K447&gt;0,MAX(0,K447*(1+$G$52)-$H$52),0)</f>
        <v/>
      </c>
      <c r="J448">
        <f>MAX(0,F448-E448)</f>
        <v/>
      </c>
      <c r="K448">
        <f>IF(I448-J448&gt;1E-9,I448-J448,0)</f>
        <v/>
      </c>
      <c r="L448">
        <f>K447*$G$52</f>
        <v/>
      </c>
      <c r="M448">
        <f>IF(O447&gt;0,MAX(0,O447*(1+$G$53)-$H$53),0)</f>
        <v/>
      </c>
      <c r="N448">
        <f>MAX(0,J448-I448)</f>
        <v/>
      </c>
      <c r="O448">
        <f>IF(M448-N448&gt;1E-9,M448-N448,0)</f>
        <v/>
      </c>
      <c r="P448">
        <f>O447*$G$53</f>
        <v/>
      </c>
      <c r="Q448">
        <f>IF(S447&gt;0,MAX(0,S447*(1+$G$54)-$H$54),0)</f>
        <v/>
      </c>
      <c r="R448">
        <f>MAX(0,N448-M448)</f>
        <v/>
      </c>
      <c r="S448">
        <f>IF(Q448-R448&gt;1E-9,Q448-R448,0)</f>
        <v/>
      </c>
      <c r="T448">
        <f>S447*$G$54</f>
        <v/>
      </c>
      <c r="U448">
        <f>IF(W447&gt;0,MAX(0,W447*(1+$G$55)-$H$55),0)</f>
        <v/>
      </c>
      <c r="V448">
        <f>MAX(0,R448-Q448)</f>
        <v/>
      </c>
      <c r="W448">
        <f>IF(U448-V448&gt;1E-9,U448-V448,0)</f>
        <v/>
      </c>
      <c r="X448">
        <f>W447*$G$55</f>
        <v/>
      </c>
      <c r="Y448">
        <f>IF(Y447&gt;1E-9,IF(Y447*(1+$G$51)-MAX($B$9,0.01*Y447+Y447*$G$51)&gt;1E-9,Y447*(1+$G$51)-MAX($B$9,0.01*Y447+Y447*$G$51),0),0)</f>
        <v/>
      </c>
      <c r="Z448">
        <f>Y447*$G$51</f>
        <v/>
      </c>
      <c r="AA448">
        <f>IF(AA447&gt;1E-9,IF(AA447*(1+$G$52)-MAX($B$9,0.01*AA447+AA447*$G$52)&gt;1E-9,AA447*(1+$G$52)-MAX($B$9,0.01*AA447+AA447*$G$52),0),0)</f>
        <v/>
      </c>
      <c r="AB448">
        <f>AA447*$G$52</f>
        <v/>
      </c>
      <c r="AC448">
        <f>IF(AC447&gt;1E-9,IF(AC447*(1+$G$53)-MAX($B$9,0.01*AC447+AC447*$G$53)&gt;1E-9,AC447*(1+$G$53)-MAX($B$9,0.01*AC447+AC447*$G$53),0),0)</f>
        <v/>
      </c>
      <c r="AD448">
        <f>AC447*$G$53</f>
        <v/>
      </c>
      <c r="AE448">
        <f>IF(AE447&gt;1E-9,IF(AE447*(1+$G$54)-MAX($B$9,0.01*AE447+AE447*$G$54)&gt;1E-9,AE447*(1+$G$54)-MAX($B$9,0.01*AE447+AE447*$G$54),0),0)</f>
        <v/>
      </c>
      <c r="AF448">
        <f>AE447*$G$54</f>
        <v/>
      </c>
      <c r="AG448">
        <f>IF(AG447&gt;1E-9,IF(AG447*(1+$G$55)-MAX($B$9,0.01*AG447+AG447*$G$55)&gt;1E-9,AG447*(1+$G$55)-MAX($B$9,0.01*AG447+AG447*$G$55),0),0)</f>
        <v/>
      </c>
      <c r="AH448">
        <f>AG447*$G$55</f>
        <v/>
      </c>
      <c r="AI448">
        <f>G448+K448+O448+S448+W448</f>
        <v/>
      </c>
      <c r="AJ448">
        <f>AI447+AK448-AI448</f>
        <v/>
      </c>
      <c r="AK448">
        <f>H448+L448+P448+T448+X448</f>
        <v/>
      </c>
      <c r="AL448">
        <f>TEXT(EDATE($B$5,D448-1),"mmm yyyy")</f>
        <v/>
      </c>
      <c r="AM448">
        <f>AI448</f>
        <v/>
      </c>
    </row>
    <row r="449">
      <c r="D449" t="n">
        <v>388</v>
      </c>
      <c r="E449">
        <f>IF(G448&gt;0,MAX(0,G448*(1+$G$51)-$H$51),0)</f>
        <v/>
      </c>
      <c r="F449">
        <f>$B$6+IF($D449=$B$8,$B$7,0)</f>
        <v/>
      </c>
      <c r="G449">
        <f>IF(E449-F449&gt;1E-9,E449-F449,0)</f>
        <v/>
      </c>
      <c r="H449">
        <f>G448*$G$51</f>
        <v/>
      </c>
      <c r="I449">
        <f>IF(K448&gt;0,MAX(0,K448*(1+$G$52)-$H$52),0)</f>
        <v/>
      </c>
      <c r="J449">
        <f>MAX(0,F449-E449)</f>
        <v/>
      </c>
      <c r="K449">
        <f>IF(I449-J449&gt;1E-9,I449-J449,0)</f>
        <v/>
      </c>
      <c r="L449">
        <f>K448*$G$52</f>
        <v/>
      </c>
      <c r="M449">
        <f>IF(O448&gt;0,MAX(0,O448*(1+$G$53)-$H$53),0)</f>
        <v/>
      </c>
      <c r="N449">
        <f>MAX(0,J449-I449)</f>
        <v/>
      </c>
      <c r="O449">
        <f>IF(M449-N449&gt;1E-9,M449-N449,0)</f>
        <v/>
      </c>
      <c r="P449">
        <f>O448*$G$53</f>
        <v/>
      </c>
      <c r="Q449">
        <f>IF(S448&gt;0,MAX(0,S448*(1+$G$54)-$H$54),0)</f>
        <v/>
      </c>
      <c r="R449">
        <f>MAX(0,N449-M449)</f>
        <v/>
      </c>
      <c r="S449">
        <f>IF(Q449-R449&gt;1E-9,Q449-R449,0)</f>
        <v/>
      </c>
      <c r="T449">
        <f>S448*$G$54</f>
        <v/>
      </c>
      <c r="U449">
        <f>IF(W448&gt;0,MAX(0,W448*(1+$G$55)-$H$55),0)</f>
        <v/>
      </c>
      <c r="V449">
        <f>MAX(0,R449-Q449)</f>
        <v/>
      </c>
      <c r="W449">
        <f>IF(U449-V449&gt;1E-9,U449-V449,0)</f>
        <v/>
      </c>
      <c r="X449">
        <f>W448*$G$55</f>
        <v/>
      </c>
      <c r="Y449">
        <f>IF(Y448&gt;1E-9,IF(Y448*(1+$G$51)-MAX($B$9,0.01*Y448+Y448*$G$51)&gt;1E-9,Y448*(1+$G$51)-MAX($B$9,0.01*Y448+Y448*$G$51),0),0)</f>
        <v/>
      </c>
      <c r="Z449">
        <f>Y448*$G$51</f>
        <v/>
      </c>
      <c r="AA449">
        <f>IF(AA448&gt;1E-9,IF(AA448*(1+$G$52)-MAX($B$9,0.01*AA448+AA448*$G$52)&gt;1E-9,AA448*(1+$G$52)-MAX($B$9,0.01*AA448+AA448*$G$52),0),0)</f>
        <v/>
      </c>
      <c r="AB449">
        <f>AA448*$G$52</f>
        <v/>
      </c>
      <c r="AC449">
        <f>IF(AC448&gt;1E-9,IF(AC448*(1+$G$53)-MAX($B$9,0.01*AC448+AC448*$G$53)&gt;1E-9,AC448*(1+$G$53)-MAX($B$9,0.01*AC448+AC448*$G$53),0),0)</f>
        <v/>
      </c>
      <c r="AD449">
        <f>AC448*$G$53</f>
        <v/>
      </c>
      <c r="AE449">
        <f>IF(AE448&gt;1E-9,IF(AE448*(1+$G$54)-MAX($B$9,0.01*AE448+AE448*$G$54)&gt;1E-9,AE448*(1+$G$54)-MAX($B$9,0.01*AE448+AE448*$G$54),0),0)</f>
        <v/>
      </c>
      <c r="AF449">
        <f>AE448*$G$54</f>
        <v/>
      </c>
      <c r="AG449">
        <f>IF(AG448&gt;1E-9,IF(AG448*(1+$G$55)-MAX($B$9,0.01*AG448+AG448*$G$55)&gt;1E-9,AG448*(1+$G$55)-MAX($B$9,0.01*AG448+AG448*$G$55),0),0)</f>
        <v/>
      </c>
      <c r="AH449">
        <f>AG448*$G$55</f>
        <v/>
      </c>
      <c r="AI449">
        <f>G449+K449+O449+S449+W449</f>
        <v/>
      </c>
      <c r="AJ449">
        <f>AI448+AK449-AI449</f>
        <v/>
      </c>
      <c r="AK449">
        <f>H449+L449+P449+T449+X449</f>
        <v/>
      </c>
      <c r="AL449">
        <f>TEXT(EDATE($B$5,D449-1),"mmm yyyy")</f>
        <v/>
      </c>
      <c r="AM449">
        <f>AI449</f>
        <v/>
      </c>
    </row>
    <row r="450">
      <c r="D450" t="n">
        <v>389</v>
      </c>
      <c r="E450">
        <f>IF(G449&gt;0,MAX(0,G449*(1+$G$51)-$H$51),0)</f>
        <v/>
      </c>
      <c r="F450">
        <f>$B$6+IF($D450=$B$8,$B$7,0)</f>
        <v/>
      </c>
      <c r="G450">
        <f>IF(E450-F450&gt;1E-9,E450-F450,0)</f>
        <v/>
      </c>
      <c r="H450">
        <f>G449*$G$51</f>
        <v/>
      </c>
      <c r="I450">
        <f>IF(K449&gt;0,MAX(0,K449*(1+$G$52)-$H$52),0)</f>
        <v/>
      </c>
      <c r="J450">
        <f>MAX(0,F450-E450)</f>
        <v/>
      </c>
      <c r="K450">
        <f>IF(I450-J450&gt;1E-9,I450-J450,0)</f>
        <v/>
      </c>
      <c r="L450">
        <f>K449*$G$52</f>
        <v/>
      </c>
      <c r="M450">
        <f>IF(O449&gt;0,MAX(0,O449*(1+$G$53)-$H$53),0)</f>
        <v/>
      </c>
      <c r="N450">
        <f>MAX(0,J450-I450)</f>
        <v/>
      </c>
      <c r="O450">
        <f>IF(M450-N450&gt;1E-9,M450-N450,0)</f>
        <v/>
      </c>
      <c r="P450">
        <f>O449*$G$53</f>
        <v/>
      </c>
      <c r="Q450">
        <f>IF(S449&gt;0,MAX(0,S449*(1+$G$54)-$H$54),0)</f>
        <v/>
      </c>
      <c r="R450">
        <f>MAX(0,N450-M450)</f>
        <v/>
      </c>
      <c r="S450">
        <f>IF(Q450-R450&gt;1E-9,Q450-R450,0)</f>
        <v/>
      </c>
      <c r="T450">
        <f>S449*$G$54</f>
        <v/>
      </c>
      <c r="U450">
        <f>IF(W449&gt;0,MAX(0,W449*(1+$G$55)-$H$55),0)</f>
        <v/>
      </c>
      <c r="V450">
        <f>MAX(0,R450-Q450)</f>
        <v/>
      </c>
      <c r="W450">
        <f>IF(U450-V450&gt;1E-9,U450-V450,0)</f>
        <v/>
      </c>
      <c r="X450">
        <f>W449*$G$55</f>
        <v/>
      </c>
      <c r="Y450">
        <f>IF(Y449&gt;1E-9,IF(Y449*(1+$G$51)-MAX($B$9,0.01*Y449+Y449*$G$51)&gt;1E-9,Y449*(1+$G$51)-MAX($B$9,0.01*Y449+Y449*$G$51),0),0)</f>
        <v/>
      </c>
      <c r="Z450">
        <f>Y449*$G$51</f>
        <v/>
      </c>
      <c r="AA450">
        <f>IF(AA449&gt;1E-9,IF(AA449*(1+$G$52)-MAX($B$9,0.01*AA449+AA449*$G$52)&gt;1E-9,AA449*(1+$G$52)-MAX($B$9,0.01*AA449+AA449*$G$52),0),0)</f>
        <v/>
      </c>
      <c r="AB450">
        <f>AA449*$G$52</f>
        <v/>
      </c>
      <c r="AC450">
        <f>IF(AC449&gt;1E-9,IF(AC449*(1+$G$53)-MAX($B$9,0.01*AC449+AC449*$G$53)&gt;1E-9,AC449*(1+$G$53)-MAX($B$9,0.01*AC449+AC449*$G$53),0),0)</f>
        <v/>
      </c>
      <c r="AD450">
        <f>AC449*$G$53</f>
        <v/>
      </c>
      <c r="AE450">
        <f>IF(AE449&gt;1E-9,IF(AE449*(1+$G$54)-MAX($B$9,0.01*AE449+AE449*$G$54)&gt;1E-9,AE449*(1+$G$54)-MAX($B$9,0.01*AE449+AE449*$G$54),0),0)</f>
        <v/>
      </c>
      <c r="AF450">
        <f>AE449*$G$54</f>
        <v/>
      </c>
      <c r="AG450">
        <f>IF(AG449&gt;1E-9,IF(AG449*(1+$G$55)-MAX($B$9,0.01*AG449+AG449*$G$55)&gt;1E-9,AG449*(1+$G$55)-MAX($B$9,0.01*AG449+AG449*$G$55),0),0)</f>
        <v/>
      </c>
      <c r="AH450">
        <f>AG449*$G$55</f>
        <v/>
      </c>
      <c r="AI450">
        <f>G450+K450+O450+S450+W450</f>
        <v/>
      </c>
      <c r="AJ450">
        <f>AI449+AK450-AI450</f>
        <v/>
      </c>
      <c r="AK450">
        <f>H450+L450+P450+T450+X450</f>
        <v/>
      </c>
      <c r="AL450">
        <f>TEXT(EDATE($B$5,D450-1),"mmm yyyy")</f>
        <v/>
      </c>
      <c r="AM450">
        <f>AI450</f>
        <v/>
      </c>
    </row>
    <row r="451">
      <c r="D451" t="n">
        <v>390</v>
      </c>
      <c r="E451">
        <f>IF(G450&gt;0,MAX(0,G450*(1+$G$51)-$H$51),0)</f>
        <v/>
      </c>
      <c r="F451">
        <f>$B$6+IF($D451=$B$8,$B$7,0)</f>
        <v/>
      </c>
      <c r="G451">
        <f>IF(E451-F451&gt;1E-9,E451-F451,0)</f>
        <v/>
      </c>
      <c r="H451">
        <f>G450*$G$51</f>
        <v/>
      </c>
      <c r="I451">
        <f>IF(K450&gt;0,MAX(0,K450*(1+$G$52)-$H$52),0)</f>
        <v/>
      </c>
      <c r="J451">
        <f>MAX(0,F451-E451)</f>
        <v/>
      </c>
      <c r="K451">
        <f>IF(I451-J451&gt;1E-9,I451-J451,0)</f>
        <v/>
      </c>
      <c r="L451">
        <f>K450*$G$52</f>
        <v/>
      </c>
      <c r="M451">
        <f>IF(O450&gt;0,MAX(0,O450*(1+$G$53)-$H$53),0)</f>
        <v/>
      </c>
      <c r="N451">
        <f>MAX(0,J451-I451)</f>
        <v/>
      </c>
      <c r="O451">
        <f>IF(M451-N451&gt;1E-9,M451-N451,0)</f>
        <v/>
      </c>
      <c r="P451">
        <f>O450*$G$53</f>
        <v/>
      </c>
      <c r="Q451">
        <f>IF(S450&gt;0,MAX(0,S450*(1+$G$54)-$H$54),0)</f>
        <v/>
      </c>
      <c r="R451">
        <f>MAX(0,N451-M451)</f>
        <v/>
      </c>
      <c r="S451">
        <f>IF(Q451-R451&gt;1E-9,Q451-R451,0)</f>
        <v/>
      </c>
      <c r="T451">
        <f>S450*$G$54</f>
        <v/>
      </c>
      <c r="U451">
        <f>IF(W450&gt;0,MAX(0,W450*(1+$G$55)-$H$55),0)</f>
        <v/>
      </c>
      <c r="V451">
        <f>MAX(0,R451-Q451)</f>
        <v/>
      </c>
      <c r="W451">
        <f>IF(U451-V451&gt;1E-9,U451-V451,0)</f>
        <v/>
      </c>
      <c r="X451">
        <f>W450*$G$55</f>
        <v/>
      </c>
      <c r="Y451">
        <f>IF(Y450&gt;1E-9,IF(Y450*(1+$G$51)-MAX($B$9,0.01*Y450+Y450*$G$51)&gt;1E-9,Y450*(1+$G$51)-MAX($B$9,0.01*Y450+Y450*$G$51),0),0)</f>
        <v/>
      </c>
      <c r="Z451">
        <f>Y450*$G$51</f>
        <v/>
      </c>
      <c r="AA451">
        <f>IF(AA450&gt;1E-9,IF(AA450*(1+$G$52)-MAX($B$9,0.01*AA450+AA450*$G$52)&gt;1E-9,AA450*(1+$G$52)-MAX($B$9,0.01*AA450+AA450*$G$52),0),0)</f>
        <v/>
      </c>
      <c r="AB451">
        <f>AA450*$G$52</f>
        <v/>
      </c>
      <c r="AC451">
        <f>IF(AC450&gt;1E-9,IF(AC450*(1+$G$53)-MAX($B$9,0.01*AC450+AC450*$G$53)&gt;1E-9,AC450*(1+$G$53)-MAX($B$9,0.01*AC450+AC450*$G$53),0),0)</f>
        <v/>
      </c>
      <c r="AD451">
        <f>AC450*$G$53</f>
        <v/>
      </c>
      <c r="AE451">
        <f>IF(AE450&gt;1E-9,IF(AE450*(1+$G$54)-MAX($B$9,0.01*AE450+AE450*$G$54)&gt;1E-9,AE450*(1+$G$54)-MAX($B$9,0.01*AE450+AE450*$G$54),0),0)</f>
        <v/>
      </c>
      <c r="AF451">
        <f>AE450*$G$54</f>
        <v/>
      </c>
      <c r="AG451">
        <f>IF(AG450&gt;1E-9,IF(AG450*(1+$G$55)-MAX($B$9,0.01*AG450+AG450*$G$55)&gt;1E-9,AG450*(1+$G$55)-MAX($B$9,0.01*AG450+AG450*$G$55),0),0)</f>
        <v/>
      </c>
      <c r="AH451">
        <f>AG450*$G$55</f>
        <v/>
      </c>
      <c r="AI451">
        <f>G451+K451+O451+S451+W451</f>
        <v/>
      </c>
      <c r="AJ451">
        <f>AI450+AK451-AI451</f>
        <v/>
      </c>
      <c r="AK451">
        <f>H451+L451+P451+T451+X451</f>
        <v/>
      </c>
      <c r="AL451">
        <f>TEXT(EDATE($B$5,D451-1),"mmm yyyy")</f>
        <v/>
      </c>
      <c r="AM451">
        <f>AI451</f>
        <v/>
      </c>
    </row>
    <row r="452">
      <c r="D452" t="n">
        <v>391</v>
      </c>
      <c r="E452">
        <f>IF(G451&gt;0,MAX(0,G451*(1+$G$51)-$H$51),0)</f>
        <v/>
      </c>
      <c r="F452">
        <f>$B$6+IF($D452=$B$8,$B$7,0)</f>
        <v/>
      </c>
      <c r="G452">
        <f>IF(E452-F452&gt;1E-9,E452-F452,0)</f>
        <v/>
      </c>
      <c r="H452">
        <f>G451*$G$51</f>
        <v/>
      </c>
      <c r="I452">
        <f>IF(K451&gt;0,MAX(0,K451*(1+$G$52)-$H$52),0)</f>
        <v/>
      </c>
      <c r="J452">
        <f>MAX(0,F452-E452)</f>
        <v/>
      </c>
      <c r="K452">
        <f>IF(I452-J452&gt;1E-9,I452-J452,0)</f>
        <v/>
      </c>
      <c r="L452">
        <f>K451*$G$52</f>
        <v/>
      </c>
      <c r="M452">
        <f>IF(O451&gt;0,MAX(0,O451*(1+$G$53)-$H$53),0)</f>
        <v/>
      </c>
      <c r="N452">
        <f>MAX(0,J452-I452)</f>
        <v/>
      </c>
      <c r="O452">
        <f>IF(M452-N452&gt;1E-9,M452-N452,0)</f>
        <v/>
      </c>
      <c r="P452">
        <f>O451*$G$53</f>
        <v/>
      </c>
      <c r="Q452">
        <f>IF(S451&gt;0,MAX(0,S451*(1+$G$54)-$H$54),0)</f>
        <v/>
      </c>
      <c r="R452">
        <f>MAX(0,N452-M452)</f>
        <v/>
      </c>
      <c r="S452">
        <f>IF(Q452-R452&gt;1E-9,Q452-R452,0)</f>
        <v/>
      </c>
      <c r="T452">
        <f>S451*$G$54</f>
        <v/>
      </c>
      <c r="U452">
        <f>IF(W451&gt;0,MAX(0,W451*(1+$G$55)-$H$55),0)</f>
        <v/>
      </c>
      <c r="V452">
        <f>MAX(0,R452-Q452)</f>
        <v/>
      </c>
      <c r="W452">
        <f>IF(U452-V452&gt;1E-9,U452-V452,0)</f>
        <v/>
      </c>
      <c r="X452">
        <f>W451*$G$55</f>
        <v/>
      </c>
      <c r="Y452">
        <f>IF(Y451&gt;1E-9,IF(Y451*(1+$G$51)-MAX($B$9,0.01*Y451+Y451*$G$51)&gt;1E-9,Y451*(1+$G$51)-MAX($B$9,0.01*Y451+Y451*$G$51),0),0)</f>
        <v/>
      </c>
      <c r="Z452">
        <f>Y451*$G$51</f>
        <v/>
      </c>
      <c r="AA452">
        <f>IF(AA451&gt;1E-9,IF(AA451*(1+$G$52)-MAX($B$9,0.01*AA451+AA451*$G$52)&gt;1E-9,AA451*(1+$G$52)-MAX($B$9,0.01*AA451+AA451*$G$52),0),0)</f>
        <v/>
      </c>
      <c r="AB452">
        <f>AA451*$G$52</f>
        <v/>
      </c>
      <c r="AC452">
        <f>IF(AC451&gt;1E-9,IF(AC451*(1+$G$53)-MAX($B$9,0.01*AC451+AC451*$G$53)&gt;1E-9,AC451*(1+$G$53)-MAX($B$9,0.01*AC451+AC451*$G$53),0),0)</f>
        <v/>
      </c>
      <c r="AD452">
        <f>AC451*$G$53</f>
        <v/>
      </c>
      <c r="AE452">
        <f>IF(AE451&gt;1E-9,IF(AE451*(1+$G$54)-MAX($B$9,0.01*AE451+AE451*$G$54)&gt;1E-9,AE451*(1+$G$54)-MAX($B$9,0.01*AE451+AE451*$G$54),0),0)</f>
        <v/>
      </c>
      <c r="AF452">
        <f>AE451*$G$54</f>
        <v/>
      </c>
      <c r="AG452">
        <f>IF(AG451&gt;1E-9,IF(AG451*(1+$G$55)-MAX($B$9,0.01*AG451+AG451*$G$55)&gt;1E-9,AG451*(1+$G$55)-MAX($B$9,0.01*AG451+AG451*$G$55),0),0)</f>
        <v/>
      </c>
      <c r="AH452">
        <f>AG451*$G$55</f>
        <v/>
      </c>
      <c r="AI452">
        <f>G452+K452+O452+S452+W452</f>
        <v/>
      </c>
      <c r="AJ452">
        <f>AI451+AK452-AI452</f>
        <v/>
      </c>
      <c r="AK452">
        <f>H452+L452+P452+T452+X452</f>
        <v/>
      </c>
      <c r="AL452">
        <f>TEXT(EDATE($B$5,D452-1),"mmm yyyy")</f>
        <v/>
      </c>
      <c r="AM452">
        <f>AI452</f>
        <v/>
      </c>
    </row>
    <row r="453">
      <c r="D453" t="n">
        <v>392</v>
      </c>
      <c r="E453">
        <f>IF(G452&gt;0,MAX(0,G452*(1+$G$51)-$H$51),0)</f>
        <v/>
      </c>
      <c r="F453">
        <f>$B$6+IF($D453=$B$8,$B$7,0)</f>
        <v/>
      </c>
      <c r="G453">
        <f>IF(E453-F453&gt;1E-9,E453-F453,0)</f>
        <v/>
      </c>
      <c r="H453">
        <f>G452*$G$51</f>
        <v/>
      </c>
      <c r="I453">
        <f>IF(K452&gt;0,MAX(0,K452*(1+$G$52)-$H$52),0)</f>
        <v/>
      </c>
      <c r="J453">
        <f>MAX(0,F453-E453)</f>
        <v/>
      </c>
      <c r="K453">
        <f>IF(I453-J453&gt;1E-9,I453-J453,0)</f>
        <v/>
      </c>
      <c r="L453">
        <f>K452*$G$52</f>
        <v/>
      </c>
      <c r="M453">
        <f>IF(O452&gt;0,MAX(0,O452*(1+$G$53)-$H$53),0)</f>
        <v/>
      </c>
      <c r="N453">
        <f>MAX(0,J453-I453)</f>
        <v/>
      </c>
      <c r="O453">
        <f>IF(M453-N453&gt;1E-9,M453-N453,0)</f>
        <v/>
      </c>
      <c r="P453">
        <f>O452*$G$53</f>
        <v/>
      </c>
      <c r="Q453">
        <f>IF(S452&gt;0,MAX(0,S452*(1+$G$54)-$H$54),0)</f>
        <v/>
      </c>
      <c r="R453">
        <f>MAX(0,N453-M453)</f>
        <v/>
      </c>
      <c r="S453">
        <f>IF(Q453-R453&gt;1E-9,Q453-R453,0)</f>
        <v/>
      </c>
      <c r="T453">
        <f>S452*$G$54</f>
        <v/>
      </c>
      <c r="U453">
        <f>IF(W452&gt;0,MAX(0,W452*(1+$G$55)-$H$55),0)</f>
        <v/>
      </c>
      <c r="V453">
        <f>MAX(0,R453-Q453)</f>
        <v/>
      </c>
      <c r="W453">
        <f>IF(U453-V453&gt;1E-9,U453-V453,0)</f>
        <v/>
      </c>
      <c r="X453">
        <f>W452*$G$55</f>
        <v/>
      </c>
      <c r="Y453">
        <f>IF(Y452&gt;1E-9,IF(Y452*(1+$G$51)-MAX($B$9,0.01*Y452+Y452*$G$51)&gt;1E-9,Y452*(1+$G$51)-MAX($B$9,0.01*Y452+Y452*$G$51),0),0)</f>
        <v/>
      </c>
      <c r="Z453">
        <f>Y452*$G$51</f>
        <v/>
      </c>
      <c r="AA453">
        <f>IF(AA452&gt;1E-9,IF(AA452*(1+$G$52)-MAX($B$9,0.01*AA452+AA452*$G$52)&gt;1E-9,AA452*(1+$G$52)-MAX($B$9,0.01*AA452+AA452*$G$52),0),0)</f>
        <v/>
      </c>
      <c r="AB453">
        <f>AA452*$G$52</f>
        <v/>
      </c>
      <c r="AC453">
        <f>IF(AC452&gt;1E-9,IF(AC452*(1+$G$53)-MAX($B$9,0.01*AC452+AC452*$G$53)&gt;1E-9,AC452*(1+$G$53)-MAX($B$9,0.01*AC452+AC452*$G$53),0),0)</f>
        <v/>
      </c>
      <c r="AD453">
        <f>AC452*$G$53</f>
        <v/>
      </c>
      <c r="AE453">
        <f>IF(AE452&gt;1E-9,IF(AE452*(1+$G$54)-MAX($B$9,0.01*AE452+AE452*$G$54)&gt;1E-9,AE452*(1+$G$54)-MAX($B$9,0.01*AE452+AE452*$G$54),0),0)</f>
        <v/>
      </c>
      <c r="AF453">
        <f>AE452*$G$54</f>
        <v/>
      </c>
      <c r="AG453">
        <f>IF(AG452&gt;1E-9,IF(AG452*(1+$G$55)-MAX($B$9,0.01*AG452+AG452*$G$55)&gt;1E-9,AG452*(1+$G$55)-MAX($B$9,0.01*AG452+AG452*$G$55),0),0)</f>
        <v/>
      </c>
      <c r="AH453">
        <f>AG452*$G$55</f>
        <v/>
      </c>
      <c r="AI453">
        <f>G453+K453+O453+S453+W453</f>
        <v/>
      </c>
      <c r="AJ453">
        <f>AI452+AK453-AI453</f>
        <v/>
      </c>
      <c r="AK453">
        <f>H453+L453+P453+T453+X453</f>
        <v/>
      </c>
      <c r="AL453">
        <f>TEXT(EDATE($B$5,D453-1),"mmm yyyy")</f>
        <v/>
      </c>
      <c r="AM453">
        <f>AI453</f>
        <v/>
      </c>
    </row>
    <row r="454">
      <c r="D454" t="n">
        <v>393</v>
      </c>
      <c r="E454">
        <f>IF(G453&gt;0,MAX(0,G453*(1+$G$51)-$H$51),0)</f>
        <v/>
      </c>
      <c r="F454">
        <f>$B$6+IF($D454=$B$8,$B$7,0)</f>
        <v/>
      </c>
      <c r="G454">
        <f>IF(E454-F454&gt;1E-9,E454-F454,0)</f>
        <v/>
      </c>
      <c r="H454">
        <f>G453*$G$51</f>
        <v/>
      </c>
      <c r="I454">
        <f>IF(K453&gt;0,MAX(0,K453*(1+$G$52)-$H$52),0)</f>
        <v/>
      </c>
      <c r="J454">
        <f>MAX(0,F454-E454)</f>
        <v/>
      </c>
      <c r="K454">
        <f>IF(I454-J454&gt;1E-9,I454-J454,0)</f>
        <v/>
      </c>
      <c r="L454">
        <f>K453*$G$52</f>
        <v/>
      </c>
      <c r="M454">
        <f>IF(O453&gt;0,MAX(0,O453*(1+$G$53)-$H$53),0)</f>
        <v/>
      </c>
      <c r="N454">
        <f>MAX(0,J454-I454)</f>
        <v/>
      </c>
      <c r="O454">
        <f>IF(M454-N454&gt;1E-9,M454-N454,0)</f>
        <v/>
      </c>
      <c r="P454">
        <f>O453*$G$53</f>
        <v/>
      </c>
      <c r="Q454">
        <f>IF(S453&gt;0,MAX(0,S453*(1+$G$54)-$H$54),0)</f>
        <v/>
      </c>
      <c r="R454">
        <f>MAX(0,N454-M454)</f>
        <v/>
      </c>
      <c r="S454">
        <f>IF(Q454-R454&gt;1E-9,Q454-R454,0)</f>
        <v/>
      </c>
      <c r="T454">
        <f>S453*$G$54</f>
        <v/>
      </c>
      <c r="U454">
        <f>IF(W453&gt;0,MAX(0,W453*(1+$G$55)-$H$55),0)</f>
        <v/>
      </c>
      <c r="V454">
        <f>MAX(0,R454-Q454)</f>
        <v/>
      </c>
      <c r="W454">
        <f>IF(U454-V454&gt;1E-9,U454-V454,0)</f>
        <v/>
      </c>
      <c r="X454">
        <f>W453*$G$55</f>
        <v/>
      </c>
      <c r="Y454">
        <f>IF(Y453&gt;1E-9,IF(Y453*(1+$G$51)-MAX($B$9,0.01*Y453+Y453*$G$51)&gt;1E-9,Y453*(1+$G$51)-MAX($B$9,0.01*Y453+Y453*$G$51),0),0)</f>
        <v/>
      </c>
      <c r="Z454">
        <f>Y453*$G$51</f>
        <v/>
      </c>
      <c r="AA454">
        <f>IF(AA453&gt;1E-9,IF(AA453*(1+$G$52)-MAX($B$9,0.01*AA453+AA453*$G$52)&gt;1E-9,AA453*(1+$G$52)-MAX($B$9,0.01*AA453+AA453*$G$52),0),0)</f>
        <v/>
      </c>
      <c r="AB454">
        <f>AA453*$G$52</f>
        <v/>
      </c>
      <c r="AC454">
        <f>IF(AC453&gt;1E-9,IF(AC453*(1+$G$53)-MAX($B$9,0.01*AC453+AC453*$G$53)&gt;1E-9,AC453*(1+$G$53)-MAX($B$9,0.01*AC453+AC453*$G$53),0),0)</f>
        <v/>
      </c>
      <c r="AD454">
        <f>AC453*$G$53</f>
        <v/>
      </c>
      <c r="AE454">
        <f>IF(AE453&gt;1E-9,IF(AE453*(1+$G$54)-MAX($B$9,0.01*AE453+AE453*$G$54)&gt;1E-9,AE453*(1+$G$54)-MAX($B$9,0.01*AE453+AE453*$G$54),0),0)</f>
        <v/>
      </c>
      <c r="AF454">
        <f>AE453*$G$54</f>
        <v/>
      </c>
      <c r="AG454">
        <f>IF(AG453&gt;1E-9,IF(AG453*(1+$G$55)-MAX($B$9,0.01*AG453+AG453*$G$55)&gt;1E-9,AG453*(1+$G$55)-MAX($B$9,0.01*AG453+AG453*$G$55),0),0)</f>
        <v/>
      </c>
      <c r="AH454">
        <f>AG453*$G$55</f>
        <v/>
      </c>
      <c r="AI454">
        <f>G454+K454+O454+S454+W454</f>
        <v/>
      </c>
      <c r="AJ454">
        <f>AI453+AK454-AI454</f>
        <v/>
      </c>
      <c r="AK454">
        <f>H454+L454+P454+T454+X454</f>
        <v/>
      </c>
      <c r="AL454">
        <f>TEXT(EDATE($B$5,D454-1),"mmm yyyy")</f>
        <v/>
      </c>
      <c r="AM454">
        <f>AI454</f>
        <v/>
      </c>
    </row>
    <row r="455">
      <c r="D455" t="n">
        <v>394</v>
      </c>
      <c r="E455">
        <f>IF(G454&gt;0,MAX(0,G454*(1+$G$51)-$H$51),0)</f>
        <v/>
      </c>
      <c r="F455">
        <f>$B$6+IF($D455=$B$8,$B$7,0)</f>
        <v/>
      </c>
      <c r="G455">
        <f>IF(E455-F455&gt;1E-9,E455-F455,0)</f>
        <v/>
      </c>
      <c r="H455">
        <f>G454*$G$51</f>
        <v/>
      </c>
      <c r="I455">
        <f>IF(K454&gt;0,MAX(0,K454*(1+$G$52)-$H$52),0)</f>
        <v/>
      </c>
      <c r="J455">
        <f>MAX(0,F455-E455)</f>
        <v/>
      </c>
      <c r="K455">
        <f>IF(I455-J455&gt;1E-9,I455-J455,0)</f>
        <v/>
      </c>
      <c r="L455">
        <f>K454*$G$52</f>
        <v/>
      </c>
      <c r="M455">
        <f>IF(O454&gt;0,MAX(0,O454*(1+$G$53)-$H$53),0)</f>
        <v/>
      </c>
      <c r="N455">
        <f>MAX(0,J455-I455)</f>
        <v/>
      </c>
      <c r="O455">
        <f>IF(M455-N455&gt;1E-9,M455-N455,0)</f>
        <v/>
      </c>
      <c r="P455">
        <f>O454*$G$53</f>
        <v/>
      </c>
      <c r="Q455">
        <f>IF(S454&gt;0,MAX(0,S454*(1+$G$54)-$H$54),0)</f>
        <v/>
      </c>
      <c r="R455">
        <f>MAX(0,N455-M455)</f>
        <v/>
      </c>
      <c r="S455">
        <f>IF(Q455-R455&gt;1E-9,Q455-R455,0)</f>
        <v/>
      </c>
      <c r="T455">
        <f>S454*$G$54</f>
        <v/>
      </c>
      <c r="U455">
        <f>IF(W454&gt;0,MAX(0,W454*(1+$G$55)-$H$55),0)</f>
        <v/>
      </c>
      <c r="V455">
        <f>MAX(0,R455-Q455)</f>
        <v/>
      </c>
      <c r="W455">
        <f>IF(U455-V455&gt;1E-9,U455-V455,0)</f>
        <v/>
      </c>
      <c r="X455">
        <f>W454*$G$55</f>
        <v/>
      </c>
      <c r="Y455">
        <f>IF(Y454&gt;1E-9,IF(Y454*(1+$G$51)-MAX($B$9,0.01*Y454+Y454*$G$51)&gt;1E-9,Y454*(1+$G$51)-MAX($B$9,0.01*Y454+Y454*$G$51),0),0)</f>
        <v/>
      </c>
      <c r="Z455">
        <f>Y454*$G$51</f>
        <v/>
      </c>
      <c r="AA455">
        <f>IF(AA454&gt;1E-9,IF(AA454*(1+$G$52)-MAX($B$9,0.01*AA454+AA454*$G$52)&gt;1E-9,AA454*(1+$G$52)-MAX($B$9,0.01*AA454+AA454*$G$52),0),0)</f>
        <v/>
      </c>
      <c r="AB455">
        <f>AA454*$G$52</f>
        <v/>
      </c>
      <c r="AC455">
        <f>IF(AC454&gt;1E-9,IF(AC454*(1+$G$53)-MAX($B$9,0.01*AC454+AC454*$G$53)&gt;1E-9,AC454*(1+$G$53)-MAX($B$9,0.01*AC454+AC454*$G$53),0),0)</f>
        <v/>
      </c>
      <c r="AD455">
        <f>AC454*$G$53</f>
        <v/>
      </c>
      <c r="AE455">
        <f>IF(AE454&gt;1E-9,IF(AE454*(1+$G$54)-MAX($B$9,0.01*AE454+AE454*$G$54)&gt;1E-9,AE454*(1+$G$54)-MAX($B$9,0.01*AE454+AE454*$G$54),0),0)</f>
        <v/>
      </c>
      <c r="AF455">
        <f>AE454*$G$54</f>
        <v/>
      </c>
      <c r="AG455">
        <f>IF(AG454&gt;1E-9,IF(AG454*(1+$G$55)-MAX($B$9,0.01*AG454+AG454*$G$55)&gt;1E-9,AG454*(1+$G$55)-MAX($B$9,0.01*AG454+AG454*$G$55),0),0)</f>
        <v/>
      </c>
      <c r="AH455">
        <f>AG454*$G$55</f>
        <v/>
      </c>
      <c r="AI455">
        <f>G455+K455+O455+S455+W455</f>
        <v/>
      </c>
      <c r="AJ455">
        <f>AI454+AK455-AI455</f>
        <v/>
      </c>
      <c r="AK455">
        <f>H455+L455+P455+T455+X455</f>
        <v/>
      </c>
      <c r="AL455">
        <f>TEXT(EDATE($B$5,D455-1),"mmm yyyy")</f>
        <v/>
      </c>
      <c r="AM455">
        <f>AI455</f>
        <v/>
      </c>
    </row>
    <row r="456">
      <c r="D456" t="n">
        <v>395</v>
      </c>
      <c r="E456">
        <f>IF(G455&gt;0,MAX(0,G455*(1+$G$51)-$H$51),0)</f>
        <v/>
      </c>
      <c r="F456">
        <f>$B$6+IF($D456=$B$8,$B$7,0)</f>
        <v/>
      </c>
      <c r="G456">
        <f>IF(E456-F456&gt;1E-9,E456-F456,0)</f>
        <v/>
      </c>
      <c r="H456">
        <f>G455*$G$51</f>
        <v/>
      </c>
      <c r="I456">
        <f>IF(K455&gt;0,MAX(0,K455*(1+$G$52)-$H$52),0)</f>
        <v/>
      </c>
      <c r="J456">
        <f>MAX(0,F456-E456)</f>
        <v/>
      </c>
      <c r="K456">
        <f>IF(I456-J456&gt;1E-9,I456-J456,0)</f>
        <v/>
      </c>
      <c r="L456">
        <f>K455*$G$52</f>
        <v/>
      </c>
      <c r="M456">
        <f>IF(O455&gt;0,MAX(0,O455*(1+$G$53)-$H$53),0)</f>
        <v/>
      </c>
      <c r="N456">
        <f>MAX(0,J456-I456)</f>
        <v/>
      </c>
      <c r="O456">
        <f>IF(M456-N456&gt;1E-9,M456-N456,0)</f>
        <v/>
      </c>
      <c r="P456">
        <f>O455*$G$53</f>
        <v/>
      </c>
      <c r="Q456">
        <f>IF(S455&gt;0,MAX(0,S455*(1+$G$54)-$H$54),0)</f>
        <v/>
      </c>
      <c r="R456">
        <f>MAX(0,N456-M456)</f>
        <v/>
      </c>
      <c r="S456">
        <f>IF(Q456-R456&gt;1E-9,Q456-R456,0)</f>
        <v/>
      </c>
      <c r="T456">
        <f>S455*$G$54</f>
        <v/>
      </c>
      <c r="U456">
        <f>IF(W455&gt;0,MAX(0,W455*(1+$G$55)-$H$55),0)</f>
        <v/>
      </c>
      <c r="V456">
        <f>MAX(0,R456-Q456)</f>
        <v/>
      </c>
      <c r="W456">
        <f>IF(U456-V456&gt;1E-9,U456-V456,0)</f>
        <v/>
      </c>
      <c r="X456">
        <f>W455*$G$55</f>
        <v/>
      </c>
      <c r="Y456">
        <f>IF(Y455&gt;1E-9,IF(Y455*(1+$G$51)-MAX($B$9,0.01*Y455+Y455*$G$51)&gt;1E-9,Y455*(1+$G$51)-MAX($B$9,0.01*Y455+Y455*$G$51),0),0)</f>
        <v/>
      </c>
      <c r="Z456">
        <f>Y455*$G$51</f>
        <v/>
      </c>
      <c r="AA456">
        <f>IF(AA455&gt;1E-9,IF(AA455*(1+$G$52)-MAX($B$9,0.01*AA455+AA455*$G$52)&gt;1E-9,AA455*(1+$G$52)-MAX($B$9,0.01*AA455+AA455*$G$52),0),0)</f>
        <v/>
      </c>
      <c r="AB456">
        <f>AA455*$G$52</f>
        <v/>
      </c>
      <c r="AC456">
        <f>IF(AC455&gt;1E-9,IF(AC455*(1+$G$53)-MAX($B$9,0.01*AC455+AC455*$G$53)&gt;1E-9,AC455*(1+$G$53)-MAX($B$9,0.01*AC455+AC455*$G$53),0),0)</f>
        <v/>
      </c>
      <c r="AD456">
        <f>AC455*$G$53</f>
        <v/>
      </c>
      <c r="AE456">
        <f>IF(AE455&gt;1E-9,IF(AE455*(1+$G$54)-MAX($B$9,0.01*AE455+AE455*$G$54)&gt;1E-9,AE455*(1+$G$54)-MAX($B$9,0.01*AE455+AE455*$G$54),0),0)</f>
        <v/>
      </c>
      <c r="AF456">
        <f>AE455*$G$54</f>
        <v/>
      </c>
      <c r="AG456">
        <f>IF(AG455&gt;1E-9,IF(AG455*(1+$G$55)-MAX($B$9,0.01*AG455+AG455*$G$55)&gt;1E-9,AG455*(1+$G$55)-MAX($B$9,0.01*AG455+AG455*$G$55),0),0)</f>
        <v/>
      </c>
      <c r="AH456">
        <f>AG455*$G$55</f>
        <v/>
      </c>
      <c r="AI456">
        <f>G456+K456+O456+S456+W456</f>
        <v/>
      </c>
      <c r="AJ456">
        <f>AI455+AK456-AI456</f>
        <v/>
      </c>
      <c r="AK456">
        <f>H456+L456+P456+T456+X456</f>
        <v/>
      </c>
      <c r="AL456">
        <f>TEXT(EDATE($B$5,D456-1),"mmm yyyy")</f>
        <v/>
      </c>
      <c r="AM456">
        <f>AI456</f>
        <v/>
      </c>
    </row>
    <row r="457">
      <c r="D457" t="n">
        <v>396</v>
      </c>
      <c r="E457">
        <f>IF(G456&gt;0,MAX(0,G456*(1+$G$51)-$H$51),0)</f>
        <v/>
      </c>
      <c r="F457">
        <f>$B$6+IF($D457=$B$8,$B$7,0)</f>
        <v/>
      </c>
      <c r="G457">
        <f>IF(E457-F457&gt;1E-9,E457-F457,0)</f>
        <v/>
      </c>
      <c r="H457">
        <f>G456*$G$51</f>
        <v/>
      </c>
      <c r="I457">
        <f>IF(K456&gt;0,MAX(0,K456*(1+$G$52)-$H$52),0)</f>
        <v/>
      </c>
      <c r="J457">
        <f>MAX(0,F457-E457)</f>
        <v/>
      </c>
      <c r="K457">
        <f>IF(I457-J457&gt;1E-9,I457-J457,0)</f>
        <v/>
      </c>
      <c r="L457">
        <f>K456*$G$52</f>
        <v/>
      </c>
      <c r="M457">
        <f>IF(O456&gt;0,MAX(0,O456*(1+$G$53)-$H$53),0)</f>
        <v/>
      </c>
      <c r="N457">
        <f>MAX(0,J457-I457)</f>
        <v/>
      </c>
      <c r="O457">
        <f>IF(M457-N457&gt;1E-9,M457-N457,0)</f>
        <v/>
      </c>
      <c r="P457">
        <f>O456*$G$53</f>
        <v/>
      </c>
      <c r="Q457">
        <f>IF(S456&gt;0,MAX(0,S456*(1+$G$54)-$H$54),0)</f>
        <v/>
      </c>
      <c r="R457">
        <f>MAX(0,N457-M457)</f>
        <v/>
      </c>
      <c r="S457">
        <f>IF(Q457-R457&gt;1E-9,Q457-R457,0)</f>
        <v/>
      </c>
      <c r="T457">
        <f>S456*$G$54</f>
        <v/>
      </c>
      <c r="U457">
        <f>IF(W456&gt;0,MAX(0,W456*(1+$G$55)-$H$55),0)</f>
        <v/>
      </c>
      <c r="V457">
        <f>MAX(0,R457-Q457)</f>
        <v/>
      </c>
      <c r="W457">
        <f>IF(U457-V457&gt;1E-9,U457-V457,0)</f>
        <v/>
      </c>
      <c r="X457">
        <f>W456*$G$55</f>
        <v/>
      </c>
      <c r="Y457">
        <f>IF(Y456&gt;1E-9,IF(Y456*(1+$G$51)-MAX($B$9,0.01*Y456+Y456*$G$51)&gt;1E-9,Y456*(1+$G$51)-MAX($B$9,0.01*Y456+Y456*$G$51),0),0)</f>
        <v/>
      </c>
      <c r="Z457">
        <f>Y456*$G$51</f>
        <v/>
      </c>
      <c r="AA457">
        <f>IF(AA456&gt;1E-9,IF(AA456*(1+$G$52)-MAX($B$9,0.01*AA456+AA456*$G$52)&gt;1E-9,AA456*(1+$G$52)-MAX($B$9,0.01*AA456+AA456*$G$52),0),0)</f>
        <v/>
      </c>
      <c r="AB457">
        <f>AA456*$G$52</f>
        <v/>
      </c>
      <c r="AC457">
        <f>IF(AC456&gt;1E-9,IF(AC456*(1+$G$53)-MAX($B$9,0.01*AC456+AC456*$G$53)&gt;1E-9,AC456*(1+$G$53)-MAX($B$9,0.01*AC456+AC456*$G$53),0),0)</f>
        <v/>
      </c>
      <c r="AD457">
        <f>AC456*$G$53</f>
        <v/>
      </c>
      <c r="AE457">
        <f>IF(AE456&gt;1E-9,IF(AE456*(1+$G$54)-MAX($B$9,0.01*AE456+AE456*$G$54)&gt;1E-9,AE456*(1+$G$54)-MAX($B$9,0.01*AE456+AE456*$G$54),0),0)</f>
        <v/>
      </c>
      <c r="AF457">
        <f>AE456*$G$54</f>
        <v/>
      </c>
      <c r="AG457">
        <f>IF(AG456&gt;1E-9,IF(AG456*(1+$G$55)-MAX($B$9,0.01*AG456+AG456*$G$55)&gt;1E-9,AG456*(1+$G$55)-MAX($B$9,0.01*AG456+AG456*$G$55),0),0)</f>
        <v/>
      </c>
      <c r="AH457">
        <f>AG456*$G$55</f>
        <v/>
      </c>
      <c r="AI457">
        <f>G457+K457+O457+S457+W457</f>
        <v/>
      </c>
      <c r="AJ457">
        <f>AI456+AK457-AI457</f>
        <v/>
      </c>
      <c r="AK457">
        <f>H457+L457+P457+T457+X457</f>
        <v/>
      </c>
      <c r="AL457">
        <f>TEXT(EDATE($B$5,D457-1),"mmm yyyy")</f>
        <v/>
      </c>
      <c r="AM457">
        <f>AI457</f>
        <v/>
      </c>
    </row>
    <row r="458">
      <c r="D458" t="n">
        <v>397</v>
      </c>
      <c r="E458">
        <f>IF(G457&gt;0,MAX(0,G457*(1+$G$51)-$H$51),0)</f>
        <v/>
      </c>
      <c r="F458">
        <f>$B$6+IF($D458=$B$8,$B$7,0)</f>
        <v/>
      </c>
      <c r="G458">
        <f>IF(E458-F458&gt;1E-9,E458-F458,0)</f>
        <v/>
      </c>
      <c r="H458">
        <f>G457*$G$51</f>
        <v/>
      </c>
      <c r="I458">
        <f>IF(K457&gt;0,MAX(0,K457*(1+$G$52)-$H$52),0)</f>
        <v/>
      </c>
      <c r="J458">
        <f>MAX(0,F458-E458)</f>
        <v/>
      </c>
      <c r="K458">
        <f>IF(I458-J458&gt;1E-9,I458-J458,0)</f>
        <v/>
      </c>
      <c r="L458">
        <f>K457*$G$52</f>
        <v/>
      </c>
      <c r="M458">
        <f>IF(O457&gt;0,MAX(0,O457*(1+$G$53)-$H$53),0)</f>
        <v/>
      </c>
      <c r="N458">
        <f>MAX(0,J458-I458)</f>
        <v/>
      </c>
      <c r="O458">
        <f>IF(M458-N458&gt;1E-9,M458-N458,0)</f>
        <v/>
      </c>
      <c r="P458">
        <f>O457*$G$53</f>
        <v/>
      </c>
      <c r="Q458">
        <f>IF(S457&gt;0,MAX(0,S457*(1+$G$54)-$H$54),0)</f>
        <v/>
      </c>
      <c r="R458">
        <f>MAX(0,N458-M458)</f>
        <v/>
      </c>
      <c r="S458">
        <f>IF(Q458-R458&gt;1E-9,Q458-R458,0)</f>
        <v/>
      </c>
      <c r="T458">
        <f>S457*$G$54</f>
        <v/>
      </c>
      <c r="U458">
        <f>IF(W457&gt;0,MAX(0,W457*(1+$G$55)-$H$55),0)</f>
        <v/>
      </c>
      <c r="V458">
        <f>MAX(0,R458-Q458)</f>
        <v/>
      </c>
      <c r="W458">
        <f>IF(U458-V458&gt;1E-9,U458-V458,0)</f>
        <v/>
      </c>
      <c r="X458">
        <f>W457*$G$55</f>
        <v/>
      </c>
      <c r="Y458">
        <f>IF(Y457&gt;1E-9,IF(Y457*(1+$G$51)-MAX($B$9,0.01*Y457+Y457*$G$51)&gt;1E-9,Y457*(1+$G$51)-MAX($B$9,0.01*Y457+Y457*$G$51),0),0)</f>
        <v/>
      </c>
      <c r="Z458">
        <f>Y457*$G$51</f>
        <v/>
      </c>
      <c r="AA458">
        <f>IF(AA457&gt;1E-9,IF(AA457*(1+$G$52)-MAX($B$9,0.01*AA457+AA457*$G$52)&gt;1E-9,AA457*(1+$G$52)-MAX($B$9,0.01*AA457+AA457*$G$52),0),0)</f>
        <v/>
      </c>
      <c r="AB458">
        <f>AA457*$G$52</f>
        <v/>
      </c>
      <c r="AC458">
        <f>IF(AC457&gt;1E-9,IF(AC457*(1+$G$53)-MAX($B$9,0.01*AC457+AC457*$G$53)&gt;1E-9,AC457*(1+$G$53)-MAX($B$9,0.01*AC457+AC457*$G$53),0),0)</f>
        <v/>
      </c>
      <c r="AD458">
        <f>AC457*$G$53</f>
        <v/>
      </c>
      <c r="AE458">
        <f>IF(AE457&gt;1E-9,IF(AE457*(1+$G$54)-MAX($B$9,0.01*AE457+AE457*$G$54)&gt;1E-9,AE457*(1+$G$54)-MAX($B$9,0.01*AE457+AE457*$G$54),0),0)</f>
        <v/>
      </c>
      <c r="AF458">
        <f>AE457*$G$54</f>
        <v/>
      </c>
      <c r="AG458">
        <f>IF(AG457&gt;1E-9,IF(AG457*(1+$G$55)-MAX($B$9,0.01*AG457+AG457*$G$55)&gt;1E-9,AG457*(1+$G$55)-MAX($B$9,0.01*AG457+AG457*$G$55),0),0)</f>
        <v/>
      </c>
      <c r="AH458">
        <f>AG457*$G$55</f>
        <v/>
      </c>
      <c r="AI458">
        <f>G458+K458+O458+S458+W458</f>
        <v/>
      </c>
      <c r="AJ458">
        <f>AI457+AK458-AI458</f>
        <v/>
      </c>
      <c r="AK458">
        <f>H458+L458+P458+T458+X458</f>
        <v/>
      </c>
      <c r="AL458">
        <f>TEXT(EDATE($B$5,D458-1),"mmm yyyy")</f>
        <v/>
      </c>
      <c r="AM458">
        <f>AI458</f>
        <v/>
      </c>
    </row>
    <row r="459">
      <c r="D459" t="n">
        <v>398</v>
      </c>
      <c r="E459">
        <f>IF(G458&gt;0,MAX(0,G458*(1+$G$51)-$H$51),0)</f>
        <v/>
      </c>
      <c r="F459">
        <f>$B$6+IF($D459=$B$8,$B$7,0)</f>
        <v/>
      </c>
      <c r="G459">
        <f>IF(E459-F459&gt;1E-9,E459-F459,0)</f>
        <v/>
      </c>
      <c r="H459">
        <f>G458*$G$51</f>
        <v/>
      </c>
      <c r="I459">
        <f>IF(K458&gt;0,MAX(0,K458*(1+$G$52)-$H$52),0)</f>
        <v/>
      </c>
      <c r="J459">
        <f>MAX(0,F459-E459)</f>
        <v/>
      </c>
      <c r="K459">
        <f>IF(I459-J459&gt;1E-9,I459-J459,0)</f>
        <v/>
      </c>
      <c r="L459">
        <f>K458*$G$52</f>
        <v/>
      </c>
      <c r="M459">
        <f>IF(O458&gt;0,MAX(0,O458*(1+$G$53)-$H$53),0)</f>
        <v/>
      </c>
      <c r="N459">
        <f>MAX(0,J459-I459)</f>
        <v/>
      </c>
      <c r="O459">
        <f>IF(M459-N459&gt;1E-9,M459-N459,0)</f>
        <v/>
      </c>
      <c r="P459">
        <f>O458*$G$53</f>
        <v/>
      </c>
      <c r="Q459">
        <f>IF(S458&gt;0,MAX(0,S458*(1+$G$54)-$H$54),0)</f>
        <v/>
      </c>
      <c r="R459">
        <f>MAX(0,N459-M459)</f>
        <v/>
      </c>
      <c r="S459">
        <f>IF(Q459-R459&gt;1E-9,Q459-R459,0)</f>
        <v/>
      </c>
      <c r="T459">
        <f>S458*$G$54</f>
        <v/>
      </c>
      <c r="U459">
        <f>IF(W458&gt;0,MAX(0,W458*(1+$G$55)-$H$55),0)</f>
        <v/>
      </c>
      <c r="V459">
        <f>MAX(0,R459-Q459)</f>
        <v/>
      </c>
      <c r="W459">
        <f>IF(U459-V459&gt;1E-9,U459-V459,0)</f>
        <v/>
      </c>
      <c r="X459">
        <f>W458*$G$55</f>
        <v/>
      </c>
      <c r="Y459">
        <f>IF(Y458&gt;1E-9,IF(Y458*(1+$G$51)-MAX($B$9,0.01*Y458+Y458*$G$51)&gt;1E-9,Y458*(1+$G$51)-MAX($B$9,0.01*Y458+Y458*$G$51),0),0)</f>
        <v/>
      </c>
      <c r="Z459">
        <f>Y458*$G$51</f>
        <v/>
      </c>
      <c r="AA459">
        <f>IF(AA458&gt;1E-9,IF(AA458*(1+$G$52)-MAX($B$9,0.01*AA458+AA458*$G$52)&gt;1E-9,AA458*(1+$G$52)-MAX($B$9,0.01*AA458+AA458*$G$52),0),0)</f>
        <v/>
      </c>
      <c r="AB459">
        <f>AA458*$G$52</f>
        <v/>
      </c>
      <c r="AC459">
        <f>IF(AC458&gt;1E-9,IF(AC458*(1+$G$53)-MAX($B$9,0.01*AC458+AC458*$G$53)&gt;1E-9,AC458*(1+$G$53)-MAX($B$9,0.01*AC458+AC458*$G$53),0),0)</f>
        <v/>
      </c>
      <c r="AD459">
        <f>AC458*$G$53</f>
        <v/>
      </c>
      <c r="AE459">
        <f>IF(AE458&gt;1E-9,IF(AE458*(1+$G$54)-MAX($B$9,0.01*AE458+AE458*$G$54)&gt;1E-9,AE458*(1+$G$54)-MAX($B$9,0.01*AE458+AE458*$G$54),0),0)</f>
        <v/>
      </c>
      <c r="AF459">
        <f>AE458*$G$54</f>
        <v/>
      </c>
      <c r="AG459">
        <f>IF(AG458&gt;1E-9,IF(AG458*(1+$G$55)-MAX($B$9,0.01*AG458+AG458*$G$55)&gt;1E-9,AG458*(1+$G$55)-MAX($B$9,0.01*AG458+AG458*$G$55),0),0)</f>
        <v/>
      </c>
      <c r="AH459">
        <f>AG458*$G$55</f>
        <v/>
      </c>
      <c r="AI459">
        <f>G459+K459+O459+S459+W459</f>
        <v/>
      </c>
      <c r="AJ459">
        <f>AI458+AK459-AI459</f>
        <v/>
      </c>
      <c r="AK459">
        <f>H459+L459+P459+T459+X459</f>
        <v/>
      </c>
      <c r="AL459">
        <f>TEXT(EDATE($B$5,D459-1),"mmm yyyy")</f>
        <v/>
      </c>
      <c r="AM459">
        <f>AI459</f>
        <v/>
      </c>
    </row>
    <row r="460">
      <c r="D460" t="n">
        <v>399</v>
      </c>
      <c r="E460">
        <f>IF(G459&gt;0,MAX(0,G459*(1+$G$51)-$H$51),0)</f>
        <v/>
      </c>
      <c r="F460">
        <f>$B$6+IF($D460=$B$8,$B$7,0)</f>
        <v/>
      </c>
      <c r="G460">
        <f>IF(E460-F460&gt;1E-9,E460-F460,0)</f>
        <v/>
      </c>
      <c r="H460">
        <f>G459*$G$51</f>
        <v/>
      </c>
      <c r="I460">
        <f>IF(K459&gt;0,MAX(0,K459*(1+$G$52)-$H$52),0)</f>
        <v/>
      </c>
      <c r="J460">
        <f>MAX(0,F460-E460)</f>
        <v/>
      </c>
      <c r="K460">
        <f>IF(I460-J460&gt;1E-9,I460-J460,0)</f>
        <v/>
      </c>
      <c r="L460">
        <f>K459*$G$52</f>
        <v/>
      </c>
      <c r="M460">
        <f>IF(O459&gt;0,MAX(0,O459*(1+$G$53)-$H$53),0)</f>
        <v/>
      </c>
      <c r="N460">
        <f>MAX(0,J460-I460)</f>
        <v/>
      </c>
      <c r="O460">
        <f>IF(M460-N460&gt;1E-9,M460-N460,0)</f>
        <v/>
      </c>
      <c r="P460">
        <f>O459*$G$53</f>
        <v/>
      </c>
      <c r="Q460">
        <f>IF(S459&gt;0,MAX(0,S459*(1+$G$54)-$H$54),0)</f>
        <v/>
      </c>
      <c r="R460">
        <f>MAX(0,N460-M460)</f>
        <v/>
      </c>
      <c r="S460">
        <f>IF(Q460-R460&gt;1E-9,Q460-R460,0)</f>
        <v/>
      </c>
      <c r="T460">
        <f>S459*$G$54</f>
        <v/>
      </c>
      <c r="U460">
        <f>IF(W459&gt;0,MAX(0,W459*(1+$G$55)-$H$55),0)</f>
        <v/>
      </c>
      <c r="V460">
        <f>MAX(0,R460-Q460)</f>
        <v/>
      </c>
      <c r="W460">
        <f>IF(U460-V460&gt;1E-9,U460-V460,0)</f>
        <v/>
      </c>
      <c r="X460">
        <f>W459*$G$55</f>
        <v/>
      </c>
      <c r="Y460">
        <f>IF(Y459&gt;1E-9,IF(Y459*(1+$G$51)-MAX($B$9,0.01*Y459+Y459*$G$51)&gt;1E-9,Y459*(1+$G$51)-MAX($B$9,0.01*Y459+Y459*$G$51),0),0)</f>
        <v/>
      </c>
      <c r="Z460">
        <f>Y459*$G$51</f>
        <v/>
      </c>
      <c r="AA460">
        <f>IF(AA459&gt;1E-9,IF(AA459*(1+$G$52)-MAX($B$9,0.01*AA459+AA459*$G$52)&gt;1E-9,AA459*(1+$G$52)-MAX($B$9,0.01*AA459+AA459*$G$52),0),0)</f>
        <v/>
      </c>
      <c r="AB460">
        <f>AA459*$G$52</f>
        <v/>
      </c>
      <c r="AC460">
        <f>IF(AC459&gt;1E-9,IF(AC459*(1+$G$53)-MAX($B$9,0.01*AC459+AC459*$G$53)&gt;1E-9,AC459*(1+$G$53)-MAX($B$9,0.01*AC459+AC459*$G$53),0),0)</f>
        <v/>
      </c>
      <c r="AD460">
        <f>AC459*$G$53</f>
        <v/>
      </c>
      <c r="AE460">
        <f>IF(AE459&gt;1E-9,IF(AE459*(1+$G$54)-MAX($B$9,0.01*AE459+AE459*$G$54)&gt;1E-9,AE459*(1+$G$54)-MAX($B$9,0.01*AE459+AE459*$G$54),0),0)</f>
        <v/>
      </c>
      <c r="AF460">
        <f>AE459*$G$54</f>
        <v/>
      </c>
      <c r="AG460">
        <f>IF(AG459&gt;1E-9,IF(AG459*(1+$G$55)-MAX($B$9,0.01*AG459+AG459*$G$55)&gt;1E-9,AG459*(1+$G$55)-MAX($B$9,0.01*AG459+AG459*$G$55),0),0)</f>
        <v/>
      </c>
      <c r="AH460">
        <f>AG459*$G$55</f>
        <v/>
      </c>
      <c r="AI460">
        <f>G460+K460+O460+S460+W460</f>
        <v/>
      </c>
      <c r="AJ460">
        <f>AI459+AK460-AI460</f>
        <v/>
      </c>
      <c r="AK460">
        <f>H460+L460+P460+T460+X460</f>
        <v/>
      </c>
      <c r="AL460">
        <f>TEXT(EDATE($B$5,D460-1),"mmm yyyy")</f>
        <v/>
      </c>
      <c r="AM460">
        <f>AI460</f>
        <v/>
      </c>
    </row>
    <row r="461">
      <c r="D461" t="n">
        <v>400</v>
      </c>
      <c r="E461">
        <f>IF(G460&gt;0,MAX(0,G460*(1+$G$51)-$H$51),0)</f>
        <v/>
      </c>
      <c r="F461">
        <f>$B$6+IF($D461=$B$8,$B$7,0)</f>
        <v/>
      </c>
      <c r="G461">
        <f>IF(E461-F461&gt;1E-9,E461-F461,0)</f>
        <v/>
      </c>
      <c r="H461">
        <f>G460*$G$51</f>
        <v/>
      </c>
      <c r="I461">
        <f>IF(K460&gt;0,MAX(0,K460*(1+$G$52)-$H$52),0)</f>
        <v/>
      </c>
      <c r="J461">
        <f>MAX(0,F461-E461)</f>
        <v/>
      </c>
      <c r="K461">
        <f>IF(I461-J461&gt;1E-9,I461-J461,0)</f>
        <v/>
      </c>
      <c r="L461">
        <f>K460*$G$52</f>
        <v/>
      </c>
      <c r="M461">
        <f>IF(O460&gt;0,MAX(0,O460*(1+$G$53)-$H$53),0)</f>
        <v/>
      </c>
      <c r="N461">
        <f>MAX(0,J461-I461)</f>
        <v/>
      </c>
      <c r="O461">
        <f>IF(M461-N461&gt;1E-9,M461-N461,0)</f>
        <v/>
      </c>
      <c r="P461">
        <f>O460*$G$53</f>
        <v/>
      </c>
      <c r="Q461">
        <f>IF(S460&gt;0,MAX(0,S460*(1+$G$54)-$H$54),0)</f>
        <v/>
      </c>
      <c r="R461">
        <f>MAX(0,N461-M461)</f>
        <v/>
      </c>
      <c r="S461">
        <f>IF(Q461-R461&gt;1E-9,Q461-R461,0)</f>
        <v/>
      </c>
      <c r="T461">
        <f>S460*$G$54</f>
        <v/>
      </c>
      <c r="U461">
        <f>IF(W460&gt;0,MAX(0,W460*(1+$G$55)-$H$55),0)</f>
        <v/>
      </c>
      <c r="V461">
        <f>MAX(0,R461-Q461)</f>
        <v/>
      </c>
      <c r="W461">
        <f>IF(U461-V461&gt;1E-9,U461-V461,0)</f>
        <v/>
      </c>
      <c r="X461">
        <f>W460*$G$55</f>
        <v/>
      </c>
      <c r="Y461">
        <f>IF(Y460&gt;1E-9,IF(Y460*(1+$G$51)-MAX($B$9,0.01*Y460+Y460*$G$51)&gt;1E-9,Y460*(1+$G$51)-MAX($B$9,0.01*Y460+Y460*$G$51),0),0)</f>
        <v/>
      </c>
      <c r="Z461">
        <f>Y460*$G$51</f>
        <v/>
      </c>
      <c r="AA461">
        <f>IF(AA460&gt;1E-9,IF(AA460*(1+$G$52)-MAX($B$9,0.01*AA460+AA460*$G$52)&gt;1E-9,AA460*(1+$G$52)-MAX($B$9,0.01*AA460+AA460*$G$52),0),0)</f>
        <v/>
      </c>
      <c r="AB461">
        <f>AA460*$G$52</f>
        <v/>
      </c>
      <c r="AC461">
        <f>IF(AC460&gt;1E-9,IF(AC460*(1+$G$53)-MAX($B$9,0.01*AC460+AC460*$G$53)&gt;1E-9,AC460*(1+$G$53)-MAX($B$9,0.01*AC460+AC460*$G$53),0),0)</f>
        <v/>
      </c>
      <c r="AD461">
        <f>AC460*$G$53</f>
        <v/>
      </c>
      <c r="AE461">
        <f>IF(AE460&gt;1E-9,IF(AE460*(1+$G$54)-MAX($B$9,0.01*AE460+AE460*$G$54)&gt;1E-9,AE460*(1+$G$54)-MAX($B$9,0.01*AE460+AE460*$G$54),0),0)</f>
        <v/>
      </c>
      <c r="AF461">
        <f>AE460*$G$54</f>
        <v/>
      </c>
      <c r="AG461">
        <f>IF(AG460&gt;1E-9,IF(AG460*(1+$G$55)-MAX($B$9,0.01*AG460+AG460*$G$55)&gt;1E-9,AG460*(1+$G$55)-MAX($B$9,0.01*AG460+AG460*$G$55),0),0)</f>
        <v/>
      </c>
      <c r="AH461">
        <f>AG460*$G$55</f>
        <v/>
      </c>
      <c r="AI461">
        <f>G461+K461+O461+S461+W461</f>
        <v/>
      </c>
      <c r="AJ461">
        <f>AI460+AK461-AI461</f>
        <v/>
      </c>
      <c r="AK461">
        <f>H461+L461+P461+T461+X461</f>
        <v/>
      </c>
      <c r="AL461">
        <f>TEXT(EDATE($B$5,D461-1),"mmm yyyy")</f>
        <v/>
      </c>
      <c r="AM461">
        <f>AI461</f>
        <v/>
      </c>
    </row>
    <row r="462">
      <c r="D462" t="n">
        <v>401</v>
      </c>
      <c r="E462">
        <f>IF(G461&gt;0,MAX(0,G461*(1+$G$51)-$H$51),0)</f>
        <v/>
      </c>
      <c r="F462">
        <f>$B$6+IF($D462=$B$8,$B$7,0)</f>
        <v/>
      </c>
      <c r="G462">
        <f>IF(E462-F462&gt;1E-9,E462-F462,0)</f>
        <v/>
      </c>
      <c r="H462">
        <f>G461*$G$51</f>
        <v/>
      </c>
      <c r="I462">
        <f>IF(K461&gt;0,MAX(0,K461*(1+$G$52)-$H$52),0)</f>
        <v/>
      </c>
      <c r="J462">
        <f>MAX(0,F462-E462)</f>
        <v/>
      </c>
      <c r="K462">
        <f>IF(I462-J462&gt;1E-9,I462-J462,0)</f>
        <v/>
      </c>
      <c r="L462">
        <f>K461*$G$52</f>
        <v/>
      </c>
      <c r="M462">
        <f>IF(O461&gt;0,MAX(0,O461*(1+$G$53)-$H$53),0)</f>
        <v/>
      </c>
      <c r="N462">
        <f>MAX(0,J462-I462)</f>
        <v/>
      </c>
      <c r="O462">
        <f>IF(M462-N462&gt;1E-9,M462-N462,0)</f>
        <v/>
      </c>
      <c r="P462">
        <f>O461*$G$53</f>
        <v/>
      </c>
      <c r="Q462">
        <f>IF(S461&gt;0,MAX(0,S461*(1+$G$54)-$H$54),0)</f>
        <v/>
      </c>
      <c r="R462">
        <f>MAX(0,N462-M462)</f>
        <v/>
      </c>
      <c r="S462">
        <f>IF(Q462-R462&gt;1E-9,Q462-R462,0)</f>
        <v/>
      </c>
      <c r="T462">
        <f>S461*$G$54</f>
        <v/>
      </c>
      <c r="U462">
        <f>IF(W461&gt;0,MAX(0,W461*(1+$G$55)-$H$55),0)</f>
        <v/>
      </c>
      <c r="V462">
        <f>MAX(0,R462-Q462)</f>
        <v/>
      </c>
      <c r="W462">
        <f>IF(U462-V462&gt;1E-9,U462-V462,0)</f>
        <v/>
      </c>
      <c r="X462">
        <f>W461*$G$55</f>
        <v/>
      </c>
      <c r="Y462">
        <f>IF(Y461&gt;1E-9,IF(Y461*(1+$G$51)-MAX($B$9,0.01*Y461+Y461*$G$51)&gt;1E-9,Y461*(1+$G$51)-MAX($B$9,0.01*Y461+Y461*$G$51),0),0)</f>
        <v/>
      </c>
      <c r="Z462">
        <f>Y461*$G$51</f>
        <v/>
      </c>
      <c r="AA462">
        <f>IF(AA461&gt;1E-9,IF(AA461*(1+$G$52)-MAX($B$9,0.01*AA461+AA461*$G$52)&gt;1E-9,AA461*(1+$G$52)-MAX($B$9,0.01*AA461+AA461*$G$52),0),0)</f>
        <v/>
      </c>
      <c r="AB462">
        <f>AA461*$G$52</f>
        <v/>
      </c>
      <c r="AC462">
        <f>IF(AC461&gt;1E-9,IF(AC461*(1+$G$53)-MAX($B$9,0.01*AC461+AC461*$G$53)&gt;1E-9,AC461*(1+$G$53)-MAX($B$9,0.01*AC461+AC461*$G$53),0),0)</f>
        <v/>
      </c>
      <c r="AD462">
        <f>AC461*$G$53</f>
        <v/>
      </c>
      <c r="AE462">
        <f>IF(AE461&gt;1E-9,IF(AE461*(1+$G$54)-MAX($B$9,0.01*AE461+AE461*$G$54)&gt;1E-9,AE461*(1+$G$54)-MAX($B$9,0.01*AE461+AE461*$G$54),0),0)</f>
        <v/>
      </c>
      <c r="AF462">
        <f>AE461*$G$54</f>
        <v/>
      </c>
      <c r="AG462">
        <f>IF(AG461&gt;1E-9,IF(AG461*(1+$G$55)-MAX($B$9,0.01*AG461+AG461*$G$55)&gt;1E-9,AG461*(1+$G$55)-MAX($B$9,0.01*AG461+AG461*$G$55),0),0)</f>
        <v/>
      </c>
      <c r="AH462">
        <f>AG461*$G$55</f>
        <v/>
      </c>
      <c r="AI462">
        <f>G462+K462+O462+S462+W462</f>
        <v/>
      </c>
      <c r="AJ462">
        <f>AI461+AK462-AI462</f>
        <v/>
      </c>
      <c r="AK462">
        <f>H462+L462+P462+T462+X462</f>
        <v/>
      </c>
      <c r="AL462">
        <f>TEXT(EDATE($B$5,D462-1),"mmm yyyy")</f>
        <v/>
      </c>
      <c r="AM462">
        <f>AI462</f>
        <v/>
      </c>
    </row>
    <row r="463">
      <c r="D463" t="n">
        <v>402</v>
      </c>
      <c r="E463">
        <f>IF(G462&gt;0,MAX(0,G462*(1+$G$51)-$H$51),0)</f>
        <v/>
      </c>
      <c r="F463">
        <f>$B$6+IF($D463=$B$8,$B$7,0)</f>
        <v/>
      </c>
      <c r="G463">
        <f>IF(E463-F463&gt;1E-9,E463-F463,0)</f>
        <v/>
      </c>
      <c r="H463">
        <f>G462*$G$51</f>
        <v/>
      </c>
      <c r="I463">
        <f>IF(K462&gt;0,MAX(0,K462*(1+$G$52)-$H$52),0)</f>
        <v/>
      </c>
      <c r="J463">
        <f>MAX(0,F463-E463)</f>
        <v/>
      </c>
      <c r="K463">
        <f>IF(I463-J463&gt;1E-9,I463-J463,0)</f>
        <v/>
      </c>
      <c r="L463">
        <f>K462*$G$52</f>
        <v/>
      </c>
      <c r="M463">
        <f>IF(O462&gt;0,MAX(0,O462*(1+$G$53)-$H$53),0)</f>
        <v/>
      </c>
      <c r="N463">
        <f>MAX(0,J463-I463)</f>
        <v/>
      </c>
      <c r="O463">
        <f>IF(M463-N463&gt;1E-9,M463-N463,0)</f>
        <v/>
      </c>
      <c r="P463">
        <f>O462*$G$53</f>
        <v/>
      </c>
      <c r="Q463">
        <f>IF(S462&gt;0,MAX(0,S462*(1+$G$54)-$H$54),0)</f>
        <v/>
      </c>
      <c r="R463">
        <f>MAX(0,N463-M463)</f>
        <v/>
      </c>
      <c r="S463">
        <f>IF(Q463-R463&gt;1E-9,Q463-R463,0)</f>
        <v/>
      </c>
      <c r="T463">
        <f>S462*$G$54</f>
        <v/>
      </c>
      <c r="U463">
        <f>IF(W462&gt;0,MAX(0,W462*(1+$G$55)-$H$55),0)</f>
        <v/>
      </c>
      <c r="V463">
        <f>MAX(0,R463-Q463)</f>
        <v/>
      </c>
      <c r="W463">
        <f>IF(U463-V463&gt;1E-9,U463-V463,0)</f>
        <v/>
      </c>
      <c r="X463">
        <f>W462*$G$55</f>
        <v/>
      </c>
      <c r="Y463">
        <f>IF(Y462&gt;1E-9,IF(Y462*(1+$G$51)-MAX($B$9,0.01*Y462+Y462*$G$51)&gt;1E-9,Y462*(1+$G$51)-MAX($B$9,0.01*Y462+Y462*$G$51),0),0)</f>
        <v/>
      </c>
      <c r="Z463">
        <f>Y462*$G$51</f>
        <v/>
      </c>
      <c r="AA463">
        <f>IF(AA462&gt;1E-9,IF(AA462*(1+$G$52)-MAX($B$9,0.01*AA462+AA462*$G$52)&gt;1E-9,AA462*(1+$G$52)-MAX($B$9,0.01*AA462+AA462*$G$52),0),0)</f>
        <v/>
      </c>
      <c r="AB463">
        <f>AA462*$G$52</f>
        <v/>
      </c>
      <c r="AC463">
        <f>IF(AC462&gt;1E-9,IF(AC462*(1+$G$53)-MAX($B$9,0.01*AC462+AC462*$G$53)&gt;1E-9,AC462*(1+$G$53)-MAX($B$9,0.01*AC462+AC462*$G$53),0),0)</f>
        <v/>
      </c>
      <c r="AD463">
        <f>AC462*$G$53</f>
        <v/>
      </c>
      <c r="AE463">
        <f>IF(AE462&gt;1E-9,IF(AE462*(1+$G$54)-MAX($B$9,0.01*AE462+AE462*$G$54)&gt;1E-9,AE462*(1+$G$54)-MAX($B$9,0.01*AE462+AE462*$G$54),0),0)</f>
        <v/>
      </c>
      <c r="AF463">
        <f>AE462*$G$54</f>
        <v/>
      </c>
      <c r="AG463">
        <f>IF(AG462&gt;1E-9,IF(AG462*(1+$G$55)-MAX($B$9,0.01*AG462+AG462*$G$55)&gt;1E-9,AG462*(1+$G$55)-MAX($B$9,0.01*AG462+AG462*$G$55),0),0)</f>
        <v/>
      </c>
      <c r="AH463">
        <f>AG462*$G$55</f>
        <v/>
      </c>
      <c r="AI463">
        <f>G463+K463+O463+S463+W463</f>
        <v/>
      </c>
      <c r="AJ463">
        <f>AI462+AK463-AI463</f>
        <v/>
      </c>
      <c r="AK463">
        <f>H463+L463+P463+T463+X463</f>
        <v/>
      </c>
      <c r="AL463">
        <f>TEXT(EDATE($B$5,D463-1),"mmm yyyy")</f>
        <v/>
      </c>
      <c r="AM463">
        <f>AI463</f>
        <v/>
      </c>
    </row>
    <row r="464">
      <c r="D464" t="n">
        <v>403</v>
      </c>
      <c r="E464">
        <f>IF(G463&gt;0,MAX(0,G463*(1+$G$51)-$H$51),0)</f>
        <v/>
      </c>
      <c r="F464">
        <f>$B$6+IF($D464=$B$8,$B$7,0)</f>
        <v/>
      </c>
      <c r="G464">
        <f>IF(E464-F464&gt;1E-9,E464-F464,0)</f>
        <v/>
      </c>
      <c r="H464">
        <f>G463*$G$51</f>
        <v/>
      </c>
      <c r="I464">
        <f>IF(K463&gt;0,MAX(0,K463*(1+$G$52)-$H$52),0)</f>
        <v/>
      </c>
      <c r="J464">
        <f>MAX(0,F464-E464)</f>
        <v/>
      </c>
      <c r="K464">
        <f>IF(I464-J464&gt;1E-9,I464-J464,0)</f>
        <v/>
      </c>
      <c r="L464">
        <f>K463*$G$52</f>
        <v/>
      </c>
      <c r="M464">
        <f>IF(O463&gt;0,MAX(0,O463*(1+$G$53)-$H$53),0)</f>
        <v/>
      </c>
      <c r="N464">
        <f>MAX(0,J464-I464)</f>
        <v/>
      </c>
      <c r="O464">
        <f>IF(M464-N464&gt;1E-9,M464-N464,0)</f>
        <v/>
      </c>
      <c r="P464">
        <f>O463*$G$53</f>
        <v/>
      </c>
      <c r="Q464">
        <f>IF(S463&gt;0,MAX(0,S463*(1+$G$54)-$H$54),0)</f>
        <v/>
      </c>
      <c r="R464">
        <f>MAX(0,N464-M464)</f>
        <v/>
      </c>
      <c r="S464">
        <f>IF(Q464-R464&gt;1E-9,Q464-R464,0)</f>
        <v/>
      </c>
      <c r="T464">
        <f>S463*$G$54</f>
        <v/>
      </c>
      <c r="U464">
        <f>IF(W463&gt;0,MAX(0,W463*(1+$G$55)-$H$55),0)</f>
        <v/>
      </c>
      <c r="V464">
        <f>MAX(0,R464-Q464)</f>
        <v/>
      </c>
      <c r="W464">
        <f>IF(U464-V464&gt;1E-9,U464-V464,0)</f>
        <v/>
      </c>
      <c r="X464">
        <f>W463*$G$55</f>
        <v/>
      </c>
      <c r="Y464">
        <f>IF(Y463&gt;1E-9,IF(Y463*(1+$G$51)-MAX($B$9,0.01*Y463+Y463*$G$51)&gt;1E-9,Y463*(1+$G$51)-MAX($B$9,0.01*Y463+Y463*$G$51),0),0)</f>
        <v/>
      </c>
      <c r="Z464">
        <f>Y463*$G$51</f>
        <v/>
      </c>
      <c r="AA464">
        <f>IF(AA463&gt;1E-9,IF(AA463*(1+$G$52)-MAX($B$9,0.01*AA463+AA463*$G$52)&gt;1E-9,AA463*(1+$G$52)-MAX($B$9,0.01*AA463+AA463*$G$52),0),0)</f>
        <v/>
      </c>
      <c r="AB464">
        <f>AA463*$G$52</f>
        <v/>
      </c>
      <c r="AC464">
        <f>IF(AC463&gt;1E-9,IF(AC463*(1+$G$53)-MAX($B$9,0.01*AC463+AC463*$G$53)&gt;1E-9,AC463*(1+$G$53)-MAX($B$9,0.01*AC463+AC463*$G$53),0),0)</f>
        <v/>
      </c>
      <c r="AD464">
        <f>AC463*$G$53</f>
        <v/>
      </c>
      <c r="AE464">
        <f>IF(AE463&gt;1E-9,IF(AE463*(1+$G$54)-MAX($B$9,0.01*AE463+AE463*$G$54)&gt;1E-9,AE463*(1+$G$54)-MAX($B$9,0.01*AE463+AE463*$G$54),0),0)</f>
        <v/>
      </c>
      <c r="AF464">
        <f>AE463*$G$54</f>
        <v/>
      </c>
      <c r="AG464">
        <f>IF(AG463&gt;1E-9,IF(AG463*(1+$G$55)-MAX($B$9,0.01*AG463+AG463*$G$55)&gt;1E-9,AG463*(1+$G$55)-MAX($B$9,0.01*AG463+AG463*$G$55),0),0)</f>
        <v/>
      </c>
      <c r="AH464">
        <f>AG463*$G$55</f>
        <v/>
      </c>
      <c r="AI464">
        <f>G464+K464+O464+S464+W464</f>
        <v/>
      </c>
      <c r="AJ464">
        <f>AI463+AK464-AI464</f>
        <v/>
      </c>
      <c r="AK464">
        <f>H464+L464+P464+T464+X464</f>
        <v/>
      </c>
      <c r="AL464">
        <f>TEXT(EDATE($B$5,D464-1),"mmm yyyy")</f>
        <v/>
      </c>
      <c r="AM464">
        <f>AI464</f>
        <v/>
      </c>
    </row>
    <row r="465">
      <c r="D465" t="n">
        <v>404</v>
      </c>
      <c r="E465">
        <f>IF(G464&gt;0,MAX(0,G464*(1+$G$51)-$H$51),0)</f>
        <v/>
      </c>
      <c r="F465">
        <f>$B$6+IF($D465=$B$8,$B$7,0)</f>
        <v/>
      </c>
      <c r="G465">
        <f>IF(E465-F465&gt;1E-9,E465-F465,0)</f>
        <v/>
      </c>
      <c r="H465">
        <f>G464*$G$51</f>
        <v/>
      </c>
      <c r="I465">
        <f>IF(K464&gt;0,MAX(0,K464*(1+$G$52)-$H$52),0)</f>
        <v/>
      </c>
      <c r="J465">
        <f>MAX(0,F465-E465)</f>
        <v/>
      </c>
      <c r="K465">
        <f>IF(I465-J465&gt;1E-9,I465-J465,0)</f>
        <v/>
      </c>
      <c r="L465">
        <f>K464*$G$52</f>
        <v/>
      </c>
      <c r="M465">
        <f>IF(O464&gt;0,MAX(0,O464*(1+$G$53)-$H$53),0)</f>
        <v/>
      </c>
      <c r="N465">
        <f>MAX(0,J465-I465)</f>
        <v/>
      </c>
      <c r="O465">
        <f>IF(M465-N465&gt;1E-9,M465-N465,0)</f>
        <v/>
      </c>
      <c r="P465">
        <f>O464*$G$53</f>
        <v/>
      </c>
      <c r="Q465">
        <f>IF(S464&gt;0,MAX(0,S464*(1+$G$54)-$H$54),0)</f>
        <v/>
      </c>
      <c r="R465">
        <f>MAX(0,N465-M465)</f>
        <v/>
      </c>
      <c r="S465">
        <f>IF(Q465-R465&gt;1E-9,Q465-R465,0)</f>
        <v/>
      </c>
      <c r="T465">
        <f>S464*$G$54</f>
        <v/>
      </c>
      <c r="U465">
        <f>IF(W464&gt;0,MAX(0,W464*(1+$G$55)-$H$55),0)</f>
        <v/>
      </c>
      <c r="V465">
        <f>MAX(0,R465-Q465)</f>
        <v/>
      </c>
      <c r="W465">
        <f>IF(U465-V465&gt;1E-9,U465-V465,0)</f>
        <v/>
      </c>
      <c r="X465">
        <f>W464*$G$55</f>
        <v/>
      </c>
      <c r="Y465">
        <f>IF(Y464&gt;1E-9,IF(Y464*(1+$G$51)-MAX($B$9,0.01*Y464+Y464*$G$51)&gt;1E-9,Y464*(1+$G$51)-MAX($B$9,0.01*Y464+Y464*$G$51),0),0)</f>
        <v/>
      </c>
      <c r="Z465">
        <f>Y464*$G$51</f>
        <v/>
      </c>
      <c r="AA465">
        <f>IF(AA464&gt;1E-9,IF(AA464*(1+$G$52)-MAX($B$9,0.01*AA464+AA464*$G$52)&gt;1E-9,AA464*(1+$G$52)-MAX($B$9,0.01*AA464+AA464*$G$52),0),0)</f>
        <v/>
      </c>
      <c r="AB465">
        <f>AA464*$G$52</f>
        <v/>
      </c>
      <c r="AC465">
        <f>IF(AC464&gt;1E-9,IF(AC464*(1+$G$53)-MAX($B$9,0.01*AC464+AC464*$G$53)&gt;1E-9,AC464*(1+$G$53)-MAX($B$9,0.01*AC464+AC464*$G$53),0),0)</f>
        <v/>
      </c>
      <c r="AD465">
        <f>AC464*$G$53</f>
        <v/>
      </c>
      <c r="AE465">
        <f>IF(AE464&gt;1E-9,IF(AE464*(1+$G$54)-MAX($B$9,0.01*AE464+AE464*$G$54)&gt;1E-9,AE464*(1+$G$54)-MAX($B$9,0.01*AE464+AE464*$G$54),0),0)</f>
        <v/>
      </c>
      <c r="AF465">
        <f>AE464*$G$54</f>
        <v/>
      </c>
      <c r="AG465">
        <f>IF(AG464&gt;1E-9,IF(AG464*(1+$G$55)-MAX($B$9,0.01*AG464+AG464*$G$55)&gt;1E-9,AG464*(1+$G$55)-MAX($B$9,0.01*AG464+AG464*$G$55),0),0)</f>
        <v/>
      </c>
      <c r="AH465">
        <f>AG464*$G$55</f>
        <v/>
      </c>
      <c r="AI465">
        <f>G465+K465+O465+S465+W465</f>
        <v/>
      </c>
      <c r="AJ465">
        <f>AI464+AK465-AI465</f>
        <v/>
      </c>
      <c r="AK465">
        <f>H465+L465+P465+T465+X465</f>
        <v/>
      </c>
      <c r="AL465">
        <f>TEXT(EDATE($B$5,D465-1),"mmm yyyy")</f>
        <v/>
      </c>
      <c r="AM465">
        <f>AI465</f>
        <v/>
      </c>
    </row>
    <row r="466">
      <c r="D466" t="n">
        <v>405</v>
      </c>
      <c r="E466">
        <f>IF(G465&gt;0,MAX(0,G465*(1+$G$51)-$H$51),0)</f>
        <v/>
      </c>
      <c r="F466">
        <f>$B$6+IF($D466=$B$8,$B$7,0)</f>
        <v/>
      </c>
      <c r="G466">
        <f>IF(E466-F466&gt;1E-9,E466-F466,0)</f>
        <v/>
      </c>
      <c r="H466">
        <f>G465*$G$51</f>
        <v/>
      </c>
      <c r="I466">
        <f>IF(K465&gt;0,MAX(0,K465*(1+$G$52)-$H$52),0)</f>
        <v/>
      </c>
      <c r="J466">
        <f>MAX(0,F466-E466)</f>
        <v/>
      </c>
      <c r="K466">
        <f>IF(I466-J466&gt;1E-9,I466-J466,0)</f>
        <v/>
      </c>
      <c r="L466">
        <f>K465*$G$52</f>
        <v/>
      </c>
      <c r="M466">
        <f>IF(O465&gt;0,MAX(0,O465*(1+$G$53)-$H$53),0)</f>
        <v/>
      </c>
      <c r="N466">
        <f>MAX(0,J466-I466)</f>
        <v/>
      </c>
      <c r="O466">
        <f>IF(M466-N466&gt;1E-9,M466-N466,0)</f>
        <v/>
      </c>
      <c r="P466">
        <f>O465*$G$53</f>
        <v/>
      </c>
      <c r="Q466">
        <f>IF(S465&gt;0,MAX(0,S465*(1+$G$54)-$H$54),0)</f>
        <v/>
      </c>
      <c r="R466">
        <f>MAX(0,N466-M466)</f>
        <v/>
      </c>
      <c r="S466">
        <f>IF(Q466-R466&gt;1E-9,Q466-R466,0)</f>
        <v/>
      </c>
      <c r="T466">
        <f>S465*$G$54</f>
        <v/>
      </c>
      <c r="U466">
        <f>IF(W465&gt;0,MAX(0,W465*(1+$G$55)-$H$55),0)</f>
        <v/>
      </c>
      <c r="V466">
        <f>MAX(0,R466-Q466)</f>
        <v/>
      </c>
      <c r="W466">
        <f>IF(U466-V466&gt;1E-9,U466-V466,0)</f>
        <v/>
      </c>
      <c r="X466">
        <f>W465*$G$55</f>
        <v/>
      </c>
      <c r="Y466">
        <f>IF(Y465&gt;1E-9,IF(Y465*(1+$G$51)-MAX($B$9,0.01*Y465+Y465*$G$51)&gt;1E-9,Y465*(1+$G$51)-MAX($B$9,0.01*Y465+Y465*$G$51),0),0)</f>
        <v/>
      </c>
      <c r="Z466">
        <f>Y465*$G$51</f>
        <v/>
      </c>
      <c r="AA466">
        <f>IF(AA465&gt;1E-9,IF(AA465*(1+$G$52)-MAX($B$9,0.01*AA465+AA465*$G$52)&gt;1E-9,AA465*(1+$G$52)-MAX($B$9,0.01*AA465+AA465*$G$52),0),0)</f>
        <v/>
      </c>
      <c r="AB466">
        <f>AA465*$G$52</f>
        <v/>
      </c>
      <c r="AC466">
        <f>IF(AC465&gt;1E-9,IF(AC465*(1+$G$53)-MAX($B$9,0.01*AC465+AC465*$G$53)&gt;1E-9,AC465*(1+$G$53)-MAX($B$9,0.01*AC465+AC465*$G$53),0),0)</f>
        <v/>
      </c>
      <c r="AD466">
        <f>AC465*$G$53</f>
        <v/>
      </c>
      <c r="AE466">
        <f>IF(AE465&gt;1E-9,IF(AE465*(1+$G$54)-MAX($B$9,0.01*AE465+AE465*$G$54)&gt;1E-9,AE465*(1+$G$54)-MAX($B$9,0.01*AE465+AE465*$G$54),0),0)</f>
        <v/>
      </c>
      <c r="AF466">
        <f>AE465*$G$54</f>
        <v/>
      </c>
      <c r="AG466">
        <f>IF(AG465&gt;1E-9,IF(AG465*(1+$G$55)-MAX($B$9,0.01*AG465+AG465*$G$55)&gt;1E-9,AG465*(1+$G$55)-MAX($B$9,0.01*AG465+AG465*$G$55),0),0)</f>
        <v/>
      </c>
      <c r="AH466">
        <f>AG465*$G$55</f>
        <v/>
      </c>
      <c r="AI466">
        <f>G466+K466+O466+S466+W466</f>
        <v/>
      </c>
      <c r="AJ466">
        <f>AI465+AK466-AI466</f>
        <v/>
      </c>
      <c r="AK466">
        <f>H466+L466+P466+T466+X466</f>
        <v/>
      </c>
      <c r="AL466">
        <f>TEXT(EDATE($B$5,D466-1),"mmm yyyy")</f>
        <v/>
      </c>
      <c r="AM466">
        <f>AI466</f>
        <v/>
      </c>
    </row>
    <row r="467">
      <c r="D467" t="n">
        <v>406</v>
      </c>
      <c r="E467">
        <f>IF(G466&gt;0,MAX(0,G466*(1+$G$51)-$H$51),0)</f>
        <v/>
      </c>
      <c r="F467">
        <f>$B$6+IF($D467=$B$8,$B$7,0)</f>
        <v/>
      </c>
      <c r="G467">
        <f>IF(E467-F467&gt;1E-9,E467-F467,0)</f>
        <v/>
      </c>
      <c r="H467">
        <f>G466*$G$51</f>
        <v/>
      </c>
      <c r="I467">
        <f>IF(K466&gt;0,MAX(0,K466*(1+$G$52)-$H$52),0)</f>
        <v/>
      </c>
      <c r="J467">
        <f>MAX(0,F467-E467)</f>
        <v/>
      </c>
      <c r="K467">
        <f>IF(I467-J467&gt;1E-9,I467-J467,0)</f>
        <v/>
      </c>
      <c r="L467">
        <f>K466*$G$52</f>
        <v/>
      </c>
      <c r="M467">
        <f>IF(O466&gt;0,MAX(0,O466*(1+$G$53)-$H$53),0)</f>
        <v/>
      </c>
      <c r="N467">
        <f>MAX(0,J467-I467)</f>
        <v/>
      </c>
      <c r="O467">
        <f>IF(M467-N467&gt;1E-9,M467-N467,0)</f>
        <v/>
      </c>
      <c r="P467">
        <f>O466*$G$53</f>
        <v/>
      </c>
      <c r="Q467">
        <f>IF(S466&gt;0,MAX(0,S466*(1+$G$54)-$H$54),0)</f>
        <v/>
      </c>
      <c r="R467">
        <f>MAX(0,N467-M467)</f>
        <v/>
      </c>
      <c r="S467">
        <f>IF(Q467-R467&gt;1E-9,Q467-R467,0)</f>
        <v/>
      </c>
      <c r="T467">
        <f>S466*$G$54</f>
        <v/>
      </c>
      <c r="U467">
        <f>IF(W466&gt;0,MAX(0,W466*(1+$G$55)-$H$55),0)</f>
        <v/>
      </c>
      <c r="V467">
        <f>MAX(0,R467-Q467)</f>
        <v/>
      </c>
      <c r="W467">
        <f>IF(U467-V467&gt;1E-9,U467-V467,0)</f>
        <v/>
      </c>
      <c r="X467">
        <f>W466*$G$55</f>
        <v/>
      </c>
      <c r="Y467">
        <f>IF(Y466&gt;1E-9,IF(Y466*(1+$G$51)-MAX($B$9,0.01*Y466+Y466*$G$51)&gt;1E-9,Y466*(1+$G$51)-MAX($B$9,0.01*Y466+Y466*$G$51),0),0)</f>
        <v/>
      </c>
      <c r="Z467">
        <f>Y466*$G$51</f>
        <v/>
      </c>
      <c r="AA467">
        <f>IF(AA466&gt;1E-9,IF(AA466*(1+$G$52)-MAX($B$9,0.01*AA466+AA466*$G$52)&gt;1E-9,AA466*(1+$G$52)-MAX($B$9,0.01*AA466+AA466*$G$52),0),0)</f>
        <v/>
      </c>
      <c r="AB467">
        <f>AA466*$G$52</f>
        <v/>
      </c>
      <c r="AC467">
        <f>IF(AC466&gt;1E-9,IF(AC466*(1+$G$53)-MAX($B$9,0.01*AC466+AC466*$G$53)&gt;1E-9,AC466*(1+$G$53)-MAX($B$9,0.01*AC466+AC466*$G$53),0),0)</f>
        <v/>
      </c>
      <c r="AD467">
        <f>AC466*$G$53</f>
        <v/>
      </c>
      <c r="AE467">
        <f>IF(AE466&gt;1E-9,IF(AE466*(1+$G$54)-MAX($B$9,0.01*AE466+AE466*$G$54)&gt;1E-9,AE466*(1+$G$54)-MAX($B$9,0.01*AE466+AE466*$G$54),0),0)</f>
        <v/>
      </c>
      <c r="AF467">
        <f>AE466*$G$54</f>
        <v/>
      </c>
      <c r="AG467">
        <f>IF(AG466&gt;1E-9,IF(AG466*(1+$G$55)-MAX($B$9,0.01*AG466+AG466*$G$55)&gt;1E-9,AG466*(1+$G$55)-MAX($B$9,0.01*AG466+AG466*$G$55),0),0)</f>
        <v/>
      </c>
      <c r="AH467">
        <f>AG466*$G$55</f>
        <v/>
      </c>
      <c r="AI467">
        <f>G467+K467+O467+S467+W467</f>
        <v/>
      </c>
      <c r="AJ467">
        <f>AI466+AK467-AI467</f>
        <v/>
      </c>
      <c r="AK467">
        <f>H467+L467+P467+T467+X467</f>
        <v/>
      </c>
      <c r="AL467">
        <f>TEXT(EDATE($B$5,D467-1),"mmm yyyy")</f>
        <v/>
      </c>
      <c r="AM467">
        <f>AI467</f>
        <v/>
      </c>
    </row>
    <row r="468">
      <c r="D468" t="n">
        <v>407</v>
      </c>
      <c r="E468">
        <f>IF(G467&gt;0,MAX(0,G467*(1+$G$51)-$H$51),0)</f>
        <v/>
      </c>
      <c r="F468">
        <f>$B$6+IF($D468=$B$8,$B$7,0)</f>
        <v/>
      </c>
      <c r="G468">
        <f>IF(E468-F468&gt;1E-9,E468-F468,0)</f>
        <v/>
      </c>
      <c r="H468">
        <f>G467*$G$51</f>
        <v/>
      </c>
      <c r="I468">
        <f>IF(K467&gt;0,MAX(0,K467*(1+$G$52)-$H$52),0)</f>
        <v/>
      </c>
      <c r="J468">
        <f>MAX(0,F468-E468)</f>
        <v/>
      </c>
      <c r="K468">
        <f>IF(I468-J468&gt;1E-9,I468-J468,0)</f>
        <v/>
      </c>
      <c r="L468">
        <f>K467*$G$52</f>
        <v/>
      </c>
      <c r="M468">
        <f>IF(O467&gt;0,MAX(0,O467*(1+$G$53)-$H$53),0)</f>
        <v/>
      </c>
      <c r="N468">
        <f>MAX(0,J468-I468)</f>
        <v/>
      </c>
      <c r="O468">
        <f>IF(M468-N468&gt;1E-9,M468-N468,0)</f>
        <v/>
      </c>
      <c r="P468">
        <f>O467*$G$53</f>
        <v/>
      </c>
      <c r="Q468">
        <f>IF(S467&gt;0,MAX(0,S467*(1+$G$54)-$H$54),0)</f>
        <v/>
      </c>
      <c r="R468">
        <f>MAX(0,N468-M468)</f>
        <v/>
      </c>
      <c r="S468">
        <f>IF(Q468-R468&gt;1E-9,Q468-R468,0)</f>
        <v/>
      </c>
      <c r="T468">
        <f>S467*$G$54</f>
        <v/>
      </c>
      <c r="U468">
        <f>IF(W467&gt;0,MAX(0,W467*(1+$G$55)-$H$55),0)</f>
        <v/>
      </c>
      <c r="V468">
        <f>MAX(0,R468-Q468)</f>
        <v/>
      </c>
      <c r="W468">
        <f>IF(U468-V468&gt;1E-9,U468-V468,0)</f>
        <v/>
      </c>
      <c r="X468">
        <f>W467*$G$55</f>
        <v/>
      </c>
      <c r="Y468">
        <f>IF(Y467&gt;1E-9,IF(Y467*(1+$G$51)-MAX($B$9,0.01*Y467+Y467*$G$51)&gt;1E-9,Y467*(1+$G$51)-MAX($B$9,0.01*Y467+Y467*$G$51),0),0)</f>
        <v/>
      </c>
      <c r="Z468">
        <f>Y467*$G$51</f>
        <v/>
      </c>
      <c r="AA468">
        <f>IF(AA467&gt;1E-9,IF(AA467*(1+$G$52)-MAX($B$9,0.01*AA467+AA467*$G$52)&gt;1E-9,AA467*(1+$G$52)-MAX($B$9,0.01*AA467+AA467*$G$52),0),0)</f>
        <v/>
      </c>
      <c r="AB468">
        <f>AA467*$G$52</f>
        <v/>
      </c>
      <c r="AC468">
        <f>IF(AC467&gt;1E-9,IF(AC467*(1+$G$53)-MAX($B$9,0.01*AC467+AC467*$G$53)&gt;1E-9,AC467*(1+$G$53)-MAX($B$9,0.01*AC467+AC467*$G$53),0),0)</f>
        <v/>
      </c>
      <c r="AD468">
        <f>AC467*$G$53</f>
        <v/>
      </c>
      <c r="AE468">
        <f>IF(AE467&gt;1E-9,IF(AE467*(1+$G$54)-MAX($B$9,0.01*AE467+AE467*$G$54)&gt;1E-9,AE467*(1+$G$54)-MAX($B$9,0.01*AE467+AE467*$G$54),0),0)</f>
        <v/>
      </c>
      <c r="AF468">
        <f>AE467*$G$54</f>
        <v/>
      </c>
      <c r="AG468">
        <f>IF(AG467&gt;1E-9,IF(AG467*(1+$G$55)-MAX($B$9,0.01*AG467+AG467*$G$55)&gt;1E-9,AG467*(1+$G$55)-MAX($B$9,0.01*AG467+AG467*$G$55),0),0)</f>
        <v/>
      </c>
      <c r="AH468">
        <f>AG467*$G$55</f>
        <v/>
      </c>
      <c r="AI468">
        <f>G468+K468+O468+S468+W468</f>
        <v/>
      </c>
      <c r="AJ468">
        <f>AI467+AK468-AI468</f>
        <v/>
      </c>
      <c r="AK468">
        <f>H468+L468+P468+T468+X468</f>
        <v/>
      </c>
      <c r="AL468">
        <f>TEXT(EDATE($B$5,D468-1),"mmm yyyy")</f>
        <v/>
      </c>
      <c r="AM468">
        <f>AI468</f>
        <v/>
      </c>
    </row>
    <row r="469">
      <c r="D469" t="n">
        <v>408</v>
      </c>
      <c r="E469">
        <f>IF(G468&gt;0,MAX(0,G468*(1+$G$51)-$H$51),0)</f>
        <v/>
      </c>
      <c r="F469">
        <f>$B$6+IF($D469=$B$8,$B$7,0)</f>
        <v/>
      </c>
      <c r="G469">
        <f>IF(E469-F469&gt;1E-9,E469-F469,0)</f>
        <v/>
      </c>
      <c r="H469">
        <f>G468*$G$51</f>
        <v/>
      </c>
      <c r="I469">
        <f>IF(K468&gt;0,MAX(0,K468*(1+$G$52)-$H$52),0)</f>
        <v/>
      </c>
      <c r="J469">
        <f>MAX(0,F469-E469)</f>
        <v/>
      </c>
      <c r="K469">
        <f>IF(I469-J469&gt;1E-9,I469-J469,0)</f>
        <v/>
      </c>
      <c r="L469">
        <f>K468*$G$52</f>
        <v/>
      </c>
      <c r="M469">
        <f>IF(O468&gt;0,MAX(0,O468*(1+$G$53)-$H$53),0)</f>
        <v/>
      </c>
      <c r="N469">
        <f>MAX(0,J469-I469)</f>
        <v/>
      </c>
      <c r="O469">
        <f>IF(M469-N469&gt;1E-9,M469-N469,0)</f>
        <v/>
      </c>
      <c r="P469">
        <f>O468*$G$53</f>
        <v/>
      </c>
      <c r="Q469">
        <f>IF(S468&gt;0,MAX(0,S468*(1+$G$54)-$H$54),0)</f>
        <v/>
      </c>
      <c r="R469">
        <f>MAX(0,N469-M469)</f>
        <v/>
      </c>
      <c r="S469">
        <f>IF(Q469-R469&gt;1E-9,Q469-R469,0)</f>
        <v/>
      </c>
      <c r="T469">
        <f>S468*$G$54</f>
        <v/>
      </c>
      <c r="U469">
        <f>IF(W468&gt;0,MAX(0,W468*(1+$G$55)-$H$55),0)</f>
        <v/>
      </c>
      <c r="V469">
        <f>MAX(0,R469-Q469)</f>
        <v/>
      </c>
      <c r="W469">
        <f>IF(U469-V469&gt;1E-9,U469-V469,0)</f>
        <v/>
      </c>
      <c r="X469">
        <f>W468*$G$55</f>
        <v/>
      </c>
      <c r="Y469">
        <f>IF(Y468&gt;1E-9,IF(Y468*(1+$G$51)-MAX($B$9,0.01*Y468+Y468*$G$51)&gt;1E-9,Y468*(1+$G$51)-MAX($B$9,0.01*Y468+Y468*$G$51),0),0)</f>
        <v/>
      </c>
      <c r="Z469">
        <f>Y468*$G$51</f>
        <v/>
      </c>
      <c r="AA469">
        <f>IF(AA468&gt;1E-9,IF(AA468*(1+$G$52)-MAX($B$9,0.01*AA468+AA468*$G$52)&gt;1E-9,AA468*(1+$G$52)-MAX($B$9,0.01*AA468+AA468*$G$52),0),0)</f>
        <v/>
      </c>
      <c r="AB469">
        <f>AA468*$G$52</f>
        <v/>
      </c>
      <c r="AC469">
        <f>IF(AC468&gt;1E-9,IF(AC468*(1+$G$53)-MAX($B$9,0.01*AC468+AC468*$G$53)&gt;1E-9,AC468*(1+$G$53)-MAX($B$9,0.01*AC468+AC468*$G$53),0),0)</f>
        <v/>
      </c>
      <c r="AD469">
        <f>AC468*$G$53</f>
        <v/>
      </c>
      <c r="AE469">
        <f>IF(AE468&gt;1E-9,IF(AE468*(1+$G$54)-MAX($B$9,0.01*AE468+AE468*$G$54)&gt;1E-9,AE468*(1+$G$54)-MAX($B$9,0.01*AE468+AE468*$G$54),0),0)</f>
        <v/>
      </c>
      <c r="AF469">
        <f>AE468*$G$54</f>
        <v/>
      </c>
      <c r="AG469">
        <f>IF(AG468&gt;1E-9,IF(AG468*(1+$G$55)-MAX($B$9,0.01*AG468+AG468*$G$55)&gt;1E-9,AG468*(1+$G$55)-MAX($B$9,0.01*AG468+AG468*$G$55),0),0)</f>
        <v/>
      </c>
      <c r="AH469">
        <f>AG468*$G$55</f>
        <v/>
      </c>
      <c r="AI469">
        <f>G469+K469+O469+S469+W469</f>
        <v/>
      </c>
      <c r="AJ469">
        <f>AI468+AK469-AI469</f>
        <v/>
      </c>
      <c r="AK469">
        <f>H469+L469+P469+T469+X469</f>
        <v/>
      </c>
      <c r="AL469">
        <f>TEXT(EDATE($B$5,D469-1),"mmm yyyy")</f>
        <v/>
      </c>
      <c r="AM469">
        <f>AI469</f>
        <v/>
      </c>
    </row>
    <row r="470">
      <c r="D470" t="n">
        <v>409</v>
      </c>
      <c r="E470">
        <f>IF(G469&gt;0,MAX(0,G469*(1+$G$51)-$H$51),0)</f>
        <v/>
      </c>
      <c r="F470">
        <f>$B$6+IF($D470=$B$8,$B$7,0)</f>
        <v/>
      </c>
      <c r="G470">
        <f>IF(E470-F470&gt;1E-9,E470-F470,0)</f>
        <v/>
      </c>
      <c r="H470">
        <f>G469*$G$51</f>
        <v/>
      </c>
      <c r="I470">
        <f>IF(K469&gt;0,MAX(0,K469*(1+$G$52)-$H$52),0)</f>
        <v/>
      </c>
      <c r="J470">
        <f>MAX(0,F470-E470)</f>
        <v/>
      </c>
      <c r="K470">
        <f>IF(I470-J470&gt;1E-9,I470-J470,0)</f>
        <v/>
      </c>
      <c r="L470">
        <f>K469*$G$52</f>
        <v/>
      </c>
      <c r="M470">
        <f>IF(O469&gt;0,MAX(0,O469*(1+$G$53)-$H$53),0)</f>
        <v/>
      </c>
      <c r="N470">
        <f>MAX(0,J470-I470)</f>
        <v/>
      </c>
      <c r="O470">
        <f>IF(M470-N470&gt;1E-9,M470-N470,0)</f>
        <v/>
      </c>
      <c r="P470">
        <f>O469*$G$53</f>
        <v/>
      </c>
      <c r="Q470">
        <f>IF(S469&gt;0,MAX(0,S469*(1+$G$54)-$H$54),0)</f>
        <v/>
      </c>
      <c r="R470">
        <f>MAX(0,N470-M470)</f>
        <v/>
      </c>
      <c r="S470">
        <f>IF(Q470-R470&gt;1E-9,Q470-R470,0)</f>
        <v/>
      </c>
      <c r="T470">
        <f>S469*$G$54</f>
        <v/>
      </c>
      <c r="U470">
        <f>IF(W469&gt;0,MAX(0,W469*(1+$G$55)-$H$55),0)</f>
        <v/>
      </c>
      <c r="V470">
        <f>MAX(0,R470-Q470)</f>
        <v/>
      </c>
      <c r="W470">
        <f>IF(U470-V470&gt;1E-9,U470-V470,0)</f>
        <v/>
      </c>
      <c r="X470">
        <f>W469*$G$55</f>
        <v/>
      </c>
      <c r="Y470">
        <f>IF(Y469&gt;1E-9,IF(Y469*(1+$G$51)-MAX($B$9,0.01*Y469+Y469*$G$51)&gt;1E-9,Y469*(1+$G$51)-MAX($B$9,0.01*Y469+Y469*$G$51),0),0)</f>
        <v/>
      </c>
      <c r="Z470">
        <f>Y469*$G$51</f>
        <v/>
      </c>
      <c r="AA470">
        <f>IF(AA469&gt;1E-9,IF(AA469*(1+$G$52)-MAX($B$9,0.01*AA469+AA469*$G$52)&gt;1E-9,AA469*(1+$G$52)-MAX($B$9,0.01*AA469+AA469*$G$52),0),0)</f>
        <v/>
      </c>
      <c r="AB470">
        <f>AA469*$G$52</f>
        <v/>
      </c>
      <c r="AC470">
        <f>IF(AC469&gt;1E-9,IF(AC469*(1+$G$53)-MAX($B$9,0.01*AC469+AC469*$G$53)&gt;1E-9,AC469*(1+$G$53)-MAX($B$9,0.01*AC469+AC469*$G$53),0),0)</f>
        <v/>
      </c>
      <c r="AD470">
        <f>AC469*$G$53</f>
        <v/>
      </c>
      <c r="AE470">
        <f>IF(AE469&gt;1E-9,IF(AE469*(1+$G$54)-MAX($B$9,0.01*AE469+AE469*$G$54)&gt;1E-9,AE469*(1+$G$54)-MAX($B$9,0.01*AE469+AE469*$G$54),0),0)</f>
        <v/>
      </c>
      <c r="AF470">
        <f>AE469*$G$54</f>
        <v/>
      </c>
      <c r="AG470">
        <f>IF(AG469&gt;1E-9,IF(AG469*(1+$G$55)-MAX($B$9,0.01*AG469+AG469*$G$55)&gt;1E-9,AG469*(1+$G$55)-MAX($B$9,0.01*AG469+AG469*$G$55),0),0)</f>
        <v/>
      </c>
      <c r="AH470">
        <f>AG469*$G$55</f>
        <v/>
      </c>
      <c r="AI470">
        <f>G470+K470+O470+S470+W470</f>
        <v/>
      </c>
      <c r="AJ470">
        <f>AI469+AK470-AI470</f>
        <v/>
      </c>
      <c r="AK470">
        <f>H470+L470+P470+T470+X470</f>
        <v/>
      </c>
      <c r="AL470">
        <f>TEXT(EDATE($B$5,D470-1),"mmm yyyy")</f>
        <v/>
      </c>
      <c r="AM470">
        <f>AI470</f>
        <v/>
      </c>
    </row>
    <row r="471">
      <c r="D471" t="n">
        <v>410</v>
      </c>
      <c r="E471">
        <f>IF(G470&gt;0,MAX(0,G470*(1+$G$51)-$H$51),0)</f>
        <v/>
      </c>
      <c r="F471">
        <f>$B$6+IF($D471=$B$8,$B$7,0)</f>
        <v/>
      </c>
      <c r="G471">
        <f>IF(E471-F471&gt;1E-9,E471-F471,0)</f>
        <v/>
      </c>
      <c r="H471">
        <f>G470*$G$51</f>
        <v/>
      </c>
      <c r="I471">
        <f>IF(K470&gt;0,MAX(0,K470*(1+$G$52)-$H$52),0)</f>
        <v/>
      </c>
      <c r="J471">
        <f>MAX(0,F471-E471)</f>
        <v/>
      </c>
      <c r="K471">
        <f>IF(I471-J471&gt;1E-9,I471-J471,0)</f>
        <v/>
      </c>
      <c r="L471">
        <f>K470*$G$52</f>
        <v/>
      </c>
      <c r="M471">
        <f>IF(O470&gt;0,MAX(0,O470*(1+$G$53)-$H$53),0)</f>
        <v/>
      </c>
      <c r="N471">
        <f>MAX(0,J471-I471)</f>
        <v/>
      </c>
      <c r="O471">
        <f>IF(M471-N471&gt;1E-9,M471-N471,0)</f>
        <v/>
      </c>
      <c r="P471">
        <f>O470*$G$53</f>
        <v/>
      </c>
      <c r="Q471">
        <f>IF(S470&gt;0,MAX(0,S470*(1+$G$54)-$H$54),0)</f>
        <v/>
      </c>
      <c r="R471">
        <f>MAX(0,N471-M471)</f>
        <v/>
      </c>
      <c r="S471">
        <f>IF(Q471-R471&gt;1E-9,Q471-R471,0)</f>
        <v/>
      </c>
      <c r="T471">
        <f>S470*$G$54</f>
        <v/>
      </c>
      <c r="U471">
        <f>IF(W470&gt;0,MAX(0,W470*(1+$G$55)-$H$55),0)</f>
        <v/>
      </c>
      <c r="V471">
        <f>MAX(0,R471-Q471)</f>
        <v/>
      </c>
      <c r="W471">
        <f>IF(U471-V471&gt;1E-9,U471-V471,0)</f>
        <v/>
      </c>
      <c r="X471">
        <f>W470*$G$55</f>
        <v/>
      </c>
      <c r="Y471">
        <f>IF(Y470&gt;1E-9,IF(Y470*(1+$G$51)-MAX($B$9,0.01*Y470+Y470*$G$51)&gt;1E-9,Y470*(1+$G$51)-MAX($B$9,0.01*Y470+Y470*$G$51),0),0)</f>
        <v/>
      </c>
      <c r="Z471">
        <f>Y470*$G$51</f>
        <v/>
      </c>
      <c r="AA471">
        <f>IF(AA470&gt;1E-9,IF(AA470*(1+$G$52)-MAX($B$9,0.01*AA470+AA470*$G$52)&gt;1E-9,AA470*(1+$G$52)-MAX($B$9,0.01*AA470+AA470*$G$52),0),0)</f>
        <v/>
      </c>
      <c r="AB471">
        <f>AA470*$G$52</f>
        <v/>
      </c>
      <c r="AC471">
        <f>IF(AC470&gt;1E-9,IF(AC470*(1+$G$53)-MAX($B$9,0.01*AC470+AC470*$G$53)&gt;1E-9,AC470*(1+$G$53)-MAX($B$9,0.01*AC470+AC470*$G$53),0),0)</f>
        <v/>
      </c>
      <c r="AD471">
        <f>AC470*$G$53</f>
        <v/>
      </c>
      <c r="AE471">
        <f>IF(AE470&gt;1E-9,IF(AE470*(1+$G$54)-MAX($B$9,0.01*AE470+AE470*$G$54)&gt;1E-9,AE470*(1+$G$54)-MAX($B$9,0.01*AE470+AE470*$G$54),0),0)</f>
        <v/>
      </c>
      <c r="AF471">
        <f>AE470*$G$54</f>
        <v/>
      </c>
      <c r="AG471">
        <f>IF(AG470&gt;1E-9,IF(AG470*(1+$G$55)-MAX($B$9,0.01*AG470+AG470*$G$55)&gt;1E-9,AG470*(1+$G$55)-MAX($B$9,0.01*AG470+AG470*$G$55),0),0)</f>
        <v/>
      </c>
      <c r="AH471">
        <f>AG470*$G$55</f>
        <v/>
      </c>
      <c r="AI471">
        <f>G471+K471+O471+S471+W471</f>
        <v/>
      </c>
      <c r="AJ471">
        <f>AI470+AK471-AI471</f>
        <v/>
      </c>
      <c r="AK471">
        <f>H471+L471+P471+T471+X471</f>
        <v/>
      </c>
      <c r="AL471">
        <f>TEXT(EDATE($B$5,D471-1),"mmm yyyy")</f>
        <v/>
      </c>
      <c r="AM471">
        <f>AI471</f>
        <v/>
      </c>
    </row>
    <row r="472">
      <c r="D472" t="n">
        <v>411</v>
      </c>
      <c r="E472">
        <f>IF(G471&gt;0,MAX(0,G471*(1+$G$51)-$H$51),0)</f>
        <v/>
      </c>
      <c r="F472">
        <f>$B$6+IF($D472=$B$8,$B$7,0)</f>
        <v/>
      </c>
      <c r="G472">
        <f>IF(E472-F472&gt;1E-9,E472-F472,0)</f>
        <v/>
      </c>
      <c r="H472">
        <f>G471*$G$51</f>
        <v/>
      </c>
      <c r="I472">
        <f>IF(K471&gt;0,MAX(0,K471*(1+$G$52)-$H$52),0)</f>
        <v/>
      </c>
      <c r="J472">
        <f>MAX(0,F472-E472)</f>
        <v/>
      </c>
      <c r="K472">
        <f>IF(I472-J472&gt;1E-9,I472-J472,0)</f>
        <v/>
      </c>
      <c r="L472">
        <f>K471*$G$52</f>
        <v/>
      </c>
      <c r="M472">
        <f>IF(O471&gt;0,MAX(0,O471*(1+$G$53)-$H$53),0)</f>
        <v/>
      </c>
      <c r="N472">
        <f>MAX(0,J472-I472)</f>
        <v/>
      </c>
      <c r="O472">
        <f>IF(M472-N472&gt;1E-9,M472-N472,0)</f>
        <v/>
      </c>
      <c r="P472">
        <f>O471*$G$53</f>
        <v/>
      </c>
      <c r="Q472">
        <f>IF(S471&gt;0,MAX(0,S471*(1+$G$54)-$H$54),0)</f>
        <v/>
      </c>
      <c r="R472">
        <f>MAX(0,N472-M472)</f>
        <v/>
      </c>
      <c r="S472">
        <f>IF(Q472-R472&gt;1E-9,Q472-R472,0)</f>
        <v/>
      </c>
      <c r="T472">
        <f>S471*$G$54</f>
        <v/>
      </c>
      <c r="U472">
        <f>IF(W471&gt;0,MAX(0,W471*(1+$G$55)-$H$55),0)</f>
        <v/>
      </c>
      <c r="V472">
        <f>MAX(0,R472-Q472)</f>
        <v/>
      </c>
      <c r="W472">
        <f>IF(U472-V472&gt;1E-9,U472-V472,0)</f>
        <v/>
      </c>
      <c r="X472">
        <f>W471*$G$55</f>
        <v/>
      </c>
      <c r="Y472">
        <f>IF(Y471&gt;1E-9,IF(Y471*(1+$G$51)-MAX($B$9,0.01*Y471+Y471*$G$51)&gt;1E-9,Y471*(1+$G$51)-MAX($B$9,0.01*Y471+Y471*$G$51),0),0)</f>
        <v/>
      </c>
      <c r="Z472">
        <f>Y471*$G$51</f>
        <v/>
      </c>
      <c r="AA472">
        <f>IF(AA471&gt;1E-9,IF(AA471*(1+$G$52)-MAX($B$9,0.01*AA471+AA471*$G$52)&gt;1E-9,AA471*(1+$G$52)-MAX($B$9,0.01*AA471+AA471*$G$52),0),0)</f>
        <v/>
      </c>
      <c r="AB472">
        <f>AA471*$G$52</f>
        <v/>
      </c>
      <c r="AC472">
        <f>IF(AC471&gt;1E-9,IF(AC471*(1+$G$53)-MAX($B$9,0.01*AC471+AC471*$G$53)&gt;1E-9,AC471*(1+$G$53)-MAX($B$9,0.01*AC471+AC471*$G$53),0),0)</f>
        <v/>
      </c>
      <c r="AD472">
        <f>AC471*$G$53</f>
        <v/>
      </c>
      <c r="AE472">
        <f>IF(AE471&gt;1E-9,IF(AE471*(1+$G$54)-MAX($B$9,0.01*AE471+AE471*$G$54)&gt;1E-9,AE471*(1+$G$54)-MAX($B$9,0.01*AE471+AE471*$G$54),0),0)</f>
        <v/>
      </c>
      <c r="AF472">
        <f>AE471*$G$54</f>
        <v/>
      </c>
      <c r="AG472">
        <f>IF(AG471&gt;1E-9,IF(AG471*(1+$G$55)-MAX($B$9,0.01*AG471+AG471*$G$55)&gt;1E-9,AG471*(1+$G$55)-MAX($B$9,0.01*AG471+AG471*$G$55),0),0)</f>
        <v/>
      </c>
      <c r="AH472">
        <f>AG471*$G$55</f>
        <v/>
      </c>
      <c r="AI472">
        <f>G472+K472+O472+S472+W472</f>
        <v/>
      </c>
      <c r="AJ472">
        <f>AI471+AK472-AI472</f>
        <v/>
      </c>
      <c r="AK472">
        <f>H472+L472+P472+T472+X472</f>
        <v/>
      </c>
      <c r="AL472">
        <f>TEXT(EDATE($B$5,D472-1),"mmm yyyy")</f>
        <v/>
      </c>
      <c r="AM472">
        <f>AI472</f>
        <v/>
      </c>
    </row>
    <row r="473">
      <c r="D473" t="n">
        <v>412</v>
      </c>
      <c r="E473">
        <f>IF(G472&gt;0,MAX(0,G472*(1+$G$51)-$H$51),0)</f>
        <v/>
      </c>
      <c r="F473">
        <f>$B$6+IF($D473=$B$8,$B$7,0)</f>
        <v/>
      </c>
      <c r="G473">
        <f>IF(E473-F473&gt;1E-9,E473-F473,0)</f>
        <v/>
      </c>
      <c r="H473">
        <f>G472*$G$51</f>
        <v/>
      </c>
      <c r="I473">
        <f>IF(K472&gt;0,MAX(0,K472*(1+$G$52)-$H$52),0)</f>
        <v/>
      </c>
      <c r="J473">
        <f>MAX(0,F473-E473)</f>
        <v/>
      </c>
      <c r="K473">
        <f>IF(I473-J473&gt;1E-9,I473-J473,0)</f>
        <v/>
      </c>
      <c r="L473">
        <f>K472*$G$52</f>
        <v/>
      </c>
      <c r="M473">
        <f>IF(O472&gt;0,MAX(0,O472*(1+$G$53)-$H$53),0)</f>
        <v/>
      </c>
      <c r="N473">
        <f>MAX(0,J473-I473)</f>
        <v/>
      </c>
      <c r="O473">
        <f>IF(M473-N473&gt;1E-9,M473-N473,0)</f>
        <v/>
      </c>
      <c r="P473">
        <f>O472*$G$53</f>
        <v/>
      </c>
      <c r="Q473">
        <f>IF(S472&gt;0,MAX(0,S472*(1+$G$54)-$H$54),0)</f>
        <v/>
      </c>
      <c r="R473">
        <f>MAX(0,N473-M473)</f>
        <v/>
      </c>
      <c r="S473">
        <f>IF(Q473-R473&gt;1E-9,Q473-R473,0)</f>
        <v/>
      </c>
      <c r="T473">
        <f>S472*$G$54</f>
        <v/>
      </c>
      <c r="U473">
        <f>IF(W472&gt;0,MAX(0,W472*(1+$G$55)-$H$55),0)</f>
        <v/>
      </c>
      <c r="V473">
        <f>MAX(0,R473-Q473)</f>
        <v/>
      </c>
      <c r="W473">
        <f>IF(U473-V473&gt;1E-9,U473-V473,0)</f>
        <v/>
      </c>
      <c r="X473">
        <f>W472*$G$55</f>
        <v/>
      </c>
      <c r="Y473">
        <f>IF(Y472&gt;1E-9,IF(Y472*(1+$G$51)-MAX($B$9,0.01*Y472+Y472*$G$51)&gt;1E-9,Y472*(1+$G$51)-MAX($B$9,0.01*Y472+Y472*$G$51),0),0)</f>
        <v/>
      </c>
      <c r="Z473">
        <f>Y472*$G$51</f>
        <v/>
      </c>
      <c r="AA473">
        <f>IF(AA472&gt;1E-9,IF(AA472*(1+$G$52)-MAX($B$9,0.01*AA472+AA472*$G$52)&gt;1E-9,AA472*(1+$G$52)-MAX($B$9,0.01*AA472+AA472*$G$52),0),0)</f>
        <v/>
      </c>
      <c r="AB473">
        <f>AA472*$G$52</f>
        <v/>
      </c>
      <c r="AC473">
        <f>IF(AC472&gt;1E-9,IF(AC472*(1+$G$53)-MAX($B$9,0.01*AC472+AC472*$G$53)&gt;1E-9,AC472*(1+$G$53)-MAX($B$9,0.01*AC472+AC472*$G$53),0),0)</f>
        <v/>
      </c>
      <c r="AD473">
        <f>AC472*$G$53</f>
        <v/>
      </c>
      <c r="AE473">
        <f>IF(AE472&gt;1E-9,IF(AE472*(1+$G$54)-MAX($B$9,0.01*AE472+AE472*$G$54)&gt;1E-9,AE472*(1+$G$54)-MAX($B$9,0.01*AE472+AE472*$G$54),0),0)</f>
        <v/>
      </c>
      <c r="AF473">
        <f>AE472*$G$54</f>
        <v/>
      </c>
      <c r="AG473">
        <f>IF(AG472&gt;1E-9,IF(AG472*(1+$G$55)-MAX($B$9,0.01*AG472+AG472*$G$55)&gt;1E-9,AG472*(1+$G$55)-MAX($B$9,0.01*AG472+AG472*$G$55),0),0)</f>
        <v/>
      </c>
      <c r="AH473">
        <f>AG472*$G$55</f>
        <v/>
      </c>
      <c r="AI473">
        <f>G473+K473+O473+S473+W473</f>
        <v/>
      </c>
      <c r="AJ473">
        <f>AI472+AK473-AI473</f>
        <v/>
      </c>
      <c r="AK473">
        <f>H473+L473+P473+T473+X473</f>
        <v/>
      </c>
      <c r="AL473">
        <f>TEXT(EDATE($B$5,D473-1),"mmm yyyy")</f>
        <v/>
      </c>
      <c r="AM473">
        <f>AI473</f>
        <v/>
      </c>
    </row>
    <row r="474">
      <c r="D474" t="n">
        <v>413</v>
      </c>
      <c r="E474">
        <f>IF(G473&gt;0,MAX(0,G473*(1+$G$51)-$H$51),0)</f>
        <v/>
      </c>
      <c r="F474">
        <f>$B$6+IF($D474=$B$8,$B$7,0)</f>
        <v/>
      </c>
      <c r="G474">
        <f>IF(E474-F474&gt;1E-9,E474-F474,0)</f>
        <v/>
      </c>
      <c r="H474">
        <f>G473*$G$51</f>
        <v/>
      </c>
      <c r="I474">
        <f>IF(K473&gt;0,MAX(0,K473*(1+$G$52)-$H$52),0)</f>
        <v/>
      </c>
      <c r="J474">
        <f>MAX(0,F474-E474)</f>
        <v/>
      </c>
      <c r="K474">
        <f>IF(I474-J474&gt;1E-9,I474-J474,0)</f>
        <v/>
      </c>
      <c r="L474">
        <f>K473*$G$52</f>
        <v/>
      </c>
      <c r="M474">
        <f>IF(O473&gt;0,MAX(0,O473*(1+$G$53)-$H$53),0)</f>
        <v/>
      </c>
      <c r="N474">
        <f>MAX(0,J474-I474)</f>
        <v/>
      </c>
      <c r="O474">
        <f>IF(M474-N474&gt;1E-9,M474-N474,0)</f>
        <v/>
      </c>
      <c r="P474">
        <f>O473*$G$53</f>
        <v/>
      </c>
      <c r="Q474">
        <f>IF(S473&gt;0,MAX(0,S473*(1+$G$54)-$H$54),0)</f>
        <v/>
      </c>
      <c r="R474">
        <f>MAX(0,N474-M474)</f>
        <v/>
      </c>
      <c r="S474">
        <f>IF(Q474-R474&gt;1E-9,Q474-R474,0)</f>
        <v/>
      </c>
      <c r="T474">
        <f>S473*$G$54</f>
        <v/>
      </c>
      <c r="U474">
        <f>IF(W473&gt;0,MAX(0,W473*(1+$G$55)-$H$55),0)</f>
        <v/>
      </c>
      <c r="V474">
        <f>MAX(0,R474-Q474)</f>
        <v/>
      </c>
      <c r="W474">
        <f>IF(U474-V474&gt;1E-9,U474-V474,0)</f>
        <v/>
      </c>
      <c r="X474">
        <f>W473*$G$55</f>
        <v/>
      </c>
      <c r="Y474">
        <f>IF(Y473&gt;1E-9,IF(Y473*(1+$G$51)-MAX($B$9,0.01*Y473+Y473*$G$51)&gt;1E-9,Y473*(1+$G$51)-MAX($B$9,0.01*Y473+Y473*$G$51),0),0)</f>
        <v/>
      </c>
      <c r="Z474">
        <f>Y473*$G$51</f>
        <v/>
      </c>
      <c r="AA474">
        <f>IF(AA473&gt;1E-9,IF(AA473*(1+$G$52)-MAX($B$9,0.01*AA473+AA473*$G$52)&gt;1E-9,AA473*(1+$G$52)-MAX($B$9,0.01*AA473+AA473*$G$52),0),0)</f>
        <v/>
      </c>
      <c r="AB474">
        <f>AA473*$G$52</f>
        <v/>
      </c>
      <c r="AC474">
        <f>IF(AC473&gt;1E-9,IF(AC473*(1+$G$53)-MAX($B$9,0.01*AC473+AC473*$G$53)&gt;1E-9,AC473*(1+$G$53)-MAX($B$9,0.01*AC473+AC473*$G$53),0),0)</f>
        <v/>
      </c>
      <c r="AD474">
        <f>AC473*$G$53</f>
        <v/>
      </c>
      <c r="AE474">
        <f>IF(AE473&gt;1E-9,IF(AE473*(1+$G$54)-MAX($B$9,0.01*AE473+AE473*$G$54)&gt;1E-9,AE473*(1+$G$54)-MAX($B$9,0.01*AE473+AE473*$G$54),0),0)</f>
        <v/>
      </c>
      <c r="AF474">
        <f>AE473*$G$54</f>
        <v/>
      </c>
      <c r="AG474">
        <f>IF(AG473&gt;1E-9,IF(AG473*(1+$G$55)-MAX($B$9,0.01*AG473+AG473*$G$55)&gt;1E-9,AG473*(1+$G$55)-MAX($B$9,0.01*AG473+AG473*$G$55),0),0)</f>
        <v/>
      </c>
      <c r="AH474">
        <f>AG473*$G$55</f>
        <v/>
      </c>
      <c r="AI474">
        <f>G474+K474+O474+S474+W474</f>
        <v/>
      </c>
      <c r="AJ474">
        <f>AI473+AK474-AI474</f>
        <v/>
      </c>
      <c r="AK474">
        <f>H474+L474+P474+T474+X474</f>
        <v/>
      </c>
      <c r="AL474">
        <f>TEXT(EDATE($B$5,D474-1),"mmm yyyy")</f>
        <v/>
      </c>
      <c r="AM474">
        <f>AI474</f>
        <v/>
      </c>
    </row>
    <row r="475">
      <c r="D475" t="n">
        <v>414</v>
      </c>
      <c r="E475">
        <f>IF(G474&gt;0,MAX(0,G474*(1+$G$51)-$H$51),0)</f>
        <v/>
      </c>
      <c r="F475">
        <f>$B$6+IF($D475=$B$8,$B$7,0)</f>
        <v/>
      </c>
      <c r="G475">
        <f>IF(E475-F475&gt;1E-9,E475-F475,0)</f>
        <v/>
      </c>
      <c r="H475">
        <f>G474*$G$51</f>
        <v/>
      </c>
      <c r="I475">
        <f>IF(K474&gt;0,MAX(0,K474*(1+$G$52)-$H$52),0)</f>
        <v/>
      </c>
      <c r="J475">
        <f>MAX(0,F475-E475)</f>
        <v/>
      </c>
      <c r="K475">
        <f>IF(I475-J475&gt;1E-9,I475-J475,0)</f>
        <v/>
      </c>
      <c r="L475">
        <f>K474*$G$52</f>
        <v/>
      </c>
      <c r="M475">
        <f>IF(O474&gt;0,MAX(0,O474*(1+$G$53)-$H$53),0)</f>
        <v/>
      </c>
      <c r="N475">
        <f>MAX(0,J475-I475)</f>
        <v/>
      </c>
      <c r="O475">
        <f>IF(M475-N475&gt;1E-9,M475-N475,0)</f>
        <v/>
      </c>
      <c r="P475">
        <f>O474*$G$53</f>
        <v/>
      </c>
      <c r="Q475">
        <f>IF(S474&gt;0,MAX(0,S474*(1+$G$54)-$H$54),0)</f>
        <v/>
      </c>
      <c r="R475">
        <f>MAX(0,N475-M475)</f>
        <v/>
      </c>
      <c r="S475">
        <f>IF(Q475-R475&gt;1E-9,Q475-R475,0)</f>
        <v/>
      </c>
      <c r="T475">
        <f>S474*$G$54</f>
        <v/>
      </c>
      <c r="U475">
        <f>IF(W474&gt;0,MAX(0,W474*(1+$G$55)-$H$55),0)</f>
        <v/>
      </c>
      <c r="V475">
        <f>MAX(0,R475-Q475)</f>
        <v/>
      </c>
      <c r="W475">
        <f>IF(U475-V475&gt;1E-9,U475-V475,0)</f>
        <v/>
      </c>
      <c r="X475">
        <f>W474*$G$55</f>
        <v/>
      </c>
      <c r="Y475">
        <f>IF(Y474&gt;1E-9,IF(Y474*(1+$G$51)-MAX($B$9,0.01*Y474+Y474*$G$51)&gt;1E-9,Y474*(1+$G$51)-MAX($B$9,0.01*Y474+Y474*$G$51),0),0)</f>
        <v/>
      </c>
      <c r="Z475">
        <f>Y474*$G$51</f>
        <v/>
      </c>
      <c r="AA475">
        <f>IF(AA474&gt;1E-9,IF(AA474*(1+$G$52)-MAX($B$9,0.01*AA474+AA474*$G$52)&gt;1E-9,AA474*(1+$G$52)-MAX($B$9,0.01*AA474+AA474*$G$52),0),0)</f>
        <v/>
      </c>
      <c r="AB475">
        <f>AA474*$G$52</f>
        <v/>
      </c>
      <c r="AC475">
        <f>IF(AC474&gt;1E-9,IF(AC474*(1+$G$53)-MAX($B$9,0.01*AC474+AC474*$G$53)&gt;1E-9,AC474*(1+$G$53)-MAX($B$9,0.01*AC474+AC474*$G$53),0),0)</f>
        <v/>
      </c>
      <c r="AD475">
        <f>AC474*$G$53</f>
        <v/>
      </c>
      <c r="AE475">
        <f>IF(AE474&gt;1E-9,IF(AE474*(1+$G$54)-MAX($B$9,0.01*AE474+AE474*$G$54)&gt;1E-9,AE474*(1+$G$54)-MAX($B$9,0.01*AE474+AE474*$G$54),0),0)</f>
        <v/>
      </c>
      <c r="AF475">
        <f>AE474*$G$54</f>
        <v/>
      </c>
      <c r="AG475">
        <f>IF(AG474&gt;1E-9,IF(AG474*(1+$G$55)-MAX($B$9,0.01*AG474+AG474*$G$55)&gt;1E-9,AG474*(1+$G$55)-MAX($B$9,0.01*AG474+AG474*$G$55),0),0)</f>
        <v/>
      </c>
      <c r="AH475">
        <f>AG474*$G$55</f>
        <v/>
      </c>
      <c r="AI475">
        <f>G475+K475+O475+S475+W475</f>
        <v/>
      </c>
      <c r="AJ475">
        <f>AI474+AK475-AI475</f>
        <v/>
      </c>
      <c r="AK475">
        <f>H475+L475+P475+T475+X475</f>
        <v/>
      </c>
      <c r="AL475">
        <f>TEXT(EDATE($B$5,D475-1),"mmm yyyy")</f>
        <v/>
      </c>
      <c r="AM475">
        <f>AI475</f>
        <v/>
      </c>
    </row>
    <row r="476">
      <c r="D476" t="n">
        <v>415</v>
      </c>
      <c r="E476">
        <f>IF(G475&gt;0,MAX(0,G475*(1+$G$51)-$H$51),0)</f>
        <v/>
      </c>
      <c r="F476">
        <f>$B$6+IF($D476=$B$8,$B$7,0)</f>
        <v/>
      </c>
      <c r="G476">
        <f>IF(E476-F476&gt;1E-9,E476-F476,0)</f>
        <v/>
      </c>
      <c r="H476">
        <f>G475*$G$51</f>
        <v/>
      </c>
      <c r="I476">
        <f>IF(K475&gt;0,MAX(0,K475*(1+$G$52)-$H$52),0)</f>
        <v/>
      </c>
      <c r="J476">
        <f>MAX(0,F476-E476)</f>
        <v/>
      </c>
      <c r="K476">
        <f>IF(I476-J476&gt;1E-9,I476-J476,0)</f>
        <v/>
      </c>
      <c r="L476">
        <f>K475*$G$52</f>
        <v/>
      </c>
      <c r="M476">
        <f>IF(O475&gt;0,MAX(0,O475*(1+$G$53)-$H$53),0)</f>
        <v/>
      </c>
      <c r="N476">
        <f>MAX(0,J476-I476)</f>
        <v/>
      </c>
      <c r="O476">
        <f>IF(M476-N476&gt;1E-9,M476-N476,0)</f>
        <v/>
      </c>
      <c r="P476">
        <f>O475*$G$53</f>
        <v/>
      </c>
      <c r="Q476">
        <f>IF(S475&gt;0,MAX(0,S475*(1+$G$54)-$H$54),0)</f>
        <v/>
      </c>
      <c r="R476">
        <f>MAX(0,N476-M476)</f>
        <v/>
      </c>
      <c r="S476">
        <f>IF(Q476-R476&gt;1E-9,Q476-R476,0)</f>
        <v/>
      </c>
      <c r="T476">
        <f>S475*$G$54</f>
        <v/>
      </c>
      <c r="U476">
        <f>IF(W475&gt;0,MAX(0,W475*(1+$G$55)-$H$55),0)</f>
        <v/>
      </c>
      <c r="V476">
        <f>MAX(0,R476-Q476)</f>
        <v/>
      </c>
      <c r="W476">
        <f>IF(U476-V476&gt;1E-9,U476-V476,0)</f>
        <v/>
      </c>
      <c r="X476">
        <f>W475*$G$55</f>
        <v/>
      </c>
      <c r="Y476">
        <f>IF(Y475&gt;1E-9,IF(Y475*(1+$G$51)-MAX($B$9,0.01*Y475+Y475*$G$51)&gt;1E-9,Y475*(1+$G$51)-MAX($B$9,0.01*Y475+Y475*$G$51),0),0)</f>
        <v/>
      </c>
      <c r="Z476">
        <f>Y475*$G$51</f>
        <v/>
      </c>
      <c r="AA476">
        <f>IF(AA475&gt;1E-9,IF(AA475*(1+$G$52)-MAX($B$9,0.01*AA475+AA475*$G$52)&gt;1E-9,AA475*(1+$G$52)-MAX($B$9,0.01*AA475+AA475*$G$52),0),0)</f>
        <v/>
      </c>
      <c r="AB476">
        <f>AA475*$G$52</f>
        <v/>
      </c>
      <c r="AC476">
        <f>IF(AC475&gt;1E-9,IF(AC475*(1+$G$53)-MAX($B$9,0.01*AC475+AC475*$G$53)&gt;1E-9,AC475*(1+$G$53)-MAX($B$9,0.01*AC475+AC475*$G$53),0),0)</f>
        <v/>
      </c>
      <c r="AD476">
        <f>AC475*$G$53</f>
        <v/>
      </c>
      <c r="AE476">
        <f>IF(AE475&gt;1E-9,IF(AE475*(1+$G$54)-MAX($B$9,0.01*AE475+AE475*$G$54)&gt;1E-9,AE475*(1+$G$54)-MAX($B$9,0.01*AE475+AE475*$G$54),0),0)</f>
        <v/>
      </c>
      <c r="AF476">
        <f>AE475*$G$54</f>
        <v/>
      </c>
      <c r="AG476">
        <f>IF(AG475&gt;1E-9,IF(AG475*(1+$G$55)-MAX($B$9,0.01*AG475+AG475*$G$55)&gt;1E-9,AG475*(1+$G$55)-MAX($B$9,0.01*AG475+AG475*$G$55),0),0)</f>
        <v/>
      </c>
      <c r="AH476">
        <f>AG475*$G$55</f>
        <v/>
      </c>
      <c r="AI476">
        <f>G476+K476+O476+S476+W476</f>
        <v/>
      </c>
      <c r="AJ476">
        <f>AI475+AK476-AI476</f>
        <v/>
      </c>
      <c r="AK476">
        <f>H476+L476+P476+T476+X476</f>
        <v/>
      </c>
      <c r="AL476">
        <f>TEXT(EDATE($B$5,D476-1),"mmm yyyy")</f>
        <v/>
      </c>
      <c r="AM476">
        <f>AI476</f>
        <v/>
      </c>
    </row>
    <row r="477">
      <c r="D477" t="n">
        <v>416</v>
      </c>
      <c r="E477">
        <f>IF(G476&gt;0,MAX(0,G476*(1+$G$51)-$H$51),0)</f>
        <v/>
      </c>
      <c r="F477">
        <f>$B$6+IF($D477=$B$8,$B$7,0)</f>
        <v/>
      </c>
      <c r="G477">
        <f>IF(E477-F477&gt;1E-9,E477-F477,0)</f>
        <v/>
      </c>
      <c r="H477">
        <f>G476*$G$51</f>
        <v/>
      </c>
      <c r="I477">
        <f>IF(K476&gt;0,MAX(0,K476*(1+$G$52)-$H$52),0)</f>
        <v/>
      </c>
      <c r="J477">
        <f>MAX(0,F477-E477)</f>
        <v/>
      </c>
      <c r="K477">
        <f>IF(I477-J477&gt;1E-9,I477-J477,0)</f>
        <v/>
      </c>
      <c r="L477">
        <f>K476*$G$52</f>
        <v/>
      </c>
      <c r="M477">
        <f>IF(O476&gt;0,MAX(0,O476*(1+$G$53)-$H$53),0)</f>
        <v/>
      </c>
      <c r="N477">
        <f>MAX(0,J477-I477)</f>
        <v/>
      </c>
      <c r="O477">
        <f>IF(M477-N477&gt;1E-9,M477-N477,0)</f>
        <v/>
      </c>
      <c r="P477">
        <f>O476*$G$53</f>
        <v/>
      </c>
      <c r="Q477">
        <f>IF(S476&gt;0,MAX(0,S476*(1+$G$54)-$H$54),0)</f>
        <v/>
      </c>
      <c r="R477">
        <f>MAX(0,N477-M477)</f>
        <v/>
      </c>
      <c r="S477">
        <f>IF(Q477-R477&gt;1E-9,Q477-R477,0)</f>
        <v/>
      </c>
      <c r="T477">
        <f>S476*$G$54</f>
        <v/>
      </c>
      <c r="U477">
        <f>IF(W476&gt;0,MAX(0,W476*(1+$G$55)-$H$55),0)</f>
        <v/>
      </c>
      <c r="V477">
        <f>MAX(0,R477-Q477)</f>
        <v/>
      </c>
      <c r="W477">
        <f>IF(U477-V477&gt;1E-9,U477-V477,0)</f>
        <v/>
      </c>
      <c r="X477">
        <f>W476*$G$55</f>
        <v/>
      </c>
      <c r="Y477">
        <f>IF(Y476&gt;1E-9,IF(Y476*(1+$G$51)-MAX($B$9,0.01*Y476+Y476*$G$51)&gt;1E-9,Y476*(1+$G$51)-MAX($B$9,0.01*Y476+Y476*$G$51),0),0)</f>
        <v/>
      </c>
      <c r="Z477">
        <f>Y476*$G$51</f>
        <v/>
      </c>
      <c r="AA477">
        <f>IF(AA476&gt;1E-9,IF(AA476*(1+$G$52)-MAX($B$9,0.01*AA476+AA476*$G$52)&gt;1E-9,AA476*(1+$G$52)-MAX($B$9,0.01*AA476+AA476*$G$52),0),0)</f>
        <v/>
      </c>
      <c r="AB477">
        <f>AA476*$G$52</f>
        <v/>
      </c>
      <c r="AC477">
        <f>IF(AC476&gt;1E-9,IF(AC476*(1+$G$53)-MAX($B$9,0.01*AC476+AC476*$G$53)&gt;1E-9,AC476*(1+$G$53)-MAX($B$9,0.01*AC476+AC476*$G$53),0),0)</f>
        <v/>
      </c>
      <c r="AD477">
        <f>AC476*$G$53</f>
        <v/>
      </c>
      <c r="AE477">
        <f>IF(AE476&gt;1E-9,IF(AE476*(1+$G$54)-MAX($B$9,0.01*AE476+AE476*$G$54)&gt;1E-9,AE476*(1+$G$54)-MAX($B$9,0.01*AE476+AE476*$G$54),0),0)</f>
        <v/>
      </c>
      <c r="AF477">
        <f>AE476*$G$54</f>
        <v/>
      </c>
      <c r="AG477">
        <f>IF(AG476&gt;1E-9,IF(AG476*(1+$G$55)-MAX($B$9,0.01*AG476+AG476*$G$55)&gt;1E-9,AG476*(1+$G$55)-MAX($B$9,0.01*AG476+AG476*$G$55),0),0)</f>
        <v/>
      </c>
      <c r="AH477">
        <f>AG476*$G$55</f>
        <v/>
      </c>
      <c r="AI477">
        <f>G477+K477+O477+S477+W477</f>
        <v/>
      </c>
      <c r="AJ477">
        <f>AI476+AK477-AI477</f>
        <v/>
      </c>
      <c r="AK477">
        <f>H477+L477+P477+T477+X477</f>
        <v/>
      </c>
      <c r="AL477">
        <f>TEXT(EDATE($B$5,D477-1),"mmm yyyy")</f>
        <v/>
      </c>
      <c r="AM477">
        <f>AI477</f>
        <v/>
      </c>
    </row>
    <row r="478">
      <c r="D478" t="n">
        <v>417</v>
      </c>
      <c r="E478">
        <f>IF(G477&gt;0,MAX(0,G477*(1+$G$51)-$H$51),0)</f>
        <v/>
      </c>
      <c r="F478">
        <f>$B$6+IF($D478=$B$8,$B$7,0)</f>
        <v/>
      </c>
      <c r="G478">
        <f>IF(E478-F478&gt;1E-9,E478-F478,0)</f>
        <v/>
      </c>
      <c r="H478">
        <f>G477*$G$51</f>
        <v/>
      </c>
      <c r="I478">
        <f>IF(K477&gt;0,MAX(0,K477*(1+$G$52)-$H$52),0)</f>
        <v/>
      </c>
      <c r="J478">
        <f>MAX(0,F478-E478)</f>
        <v/>
      </c>
      <c r="K478">
        <f>IF(I478-J478&gt;1E-9,I478-J478,0)</f>
        <v/>
      </c>
      <c r="L478">
        <f>K477*$G$52</f>
        <v/>
      </c>
      <c r="M478">
        <f>IF(O477&gt;0,MAX(0,O477*(1+$G$53)-$H$53),0)</f>
        <v/>
      </c>
      <c r="N478">
        <f>MAX(0,J478-I478)</f>
        <v/>
      </c>
      <c r="O478">
        <f>IF(M478-N478&gt;1E-9,M478-N478,0)</f>
        <v/>
      </c>
      <c r="P478">
        <f>O477*$G$53</f>
        <v/>
      </c>
      <c r="Q478">
        <f>IF(S477&gt;0,MAX(0,S477*(1+$G$54)-$H$54),0)</f>
        <v/>
      </c>
      <c r="R478">
        <f>MAX(0,N478-M478)</f>
        <v/>
      </c>
      <c r="S478">
        <f>IF(Q478-R478&gt;1E-9,Q478-R478,0)</f>
        <v/>
      </c>
      <c r="T478">
        <f>S477*$G$54</f>
        <v/>
      </c>
      <c r="U478">
        <f>IF(W477&gt;0,MAX(0,W477*(1+$G$55)-$H$55),0)</f>
        <v/>
      </c>
      <c r="V478">
        <f>MAX(0,R478-Q478)</f>
        <v/>
      </c>
      <c r="W478">
        <f>IF(U478-V478&gt;1E-9,U478-V478,0)</f>
        <v/>
      </c>
      <c r="X478">
        <f>W477*$G$55</f>
        <v/>
      </c>
      <c r="Y478">
        <f>IF(Y477&gt;1E-9,IF(Y477*(1+$G$51)-MAX($B$9,0.01*Y477+Y477*$G$51)&gt;1E-9,Y477*(1+$G$51)-MAX($B$9,0.01*Y477+Y477*$G$51),0),0)</f>
        <v/>
      </c>
      <c r="Z478">
        <f>Y477*$G$51</f>
        <v/>
      </c>
      <c r="AA478">
        <f>IF(AA477&gt;1E-9,IF(AA477*(1+$G$52)-MAX($B$9,0.01*AA477+AA477*$G$52)&gt;1E-9,AA477*(1+$G$52)-MAX($B$9,0.01*AA477+AA477*$G$52),0),0)</f>
        <v/>
      </c>
      <c r="AB478">
        <f>AA477*$G$52</f>
        <v/>
      </c>
      <c r="AC478">
        <f>IF(AC477&gt;1E-9,IF(AC477*(1+$G$53)-MAX($B$9,0.01*AC477+AC477*$G$53)&gt;1E-9,AC477*(1+$G$53)-MAX($B$9,0.01*AC477+AC477*$G$53),0),0)</f>
        <v/>
      </c>
      <c r="AD478">
        <f>AC477*$G$53</f>
        <v/>
      </c>
      <c r="AE478">
        <f>IF(AE477&gt;1E-9,IF(AE477*(1+$G$54)-MAX($B$9,0.01*AE477+AE477*$G$54)&gt;1E-9,AE477*(1+$G$54)-MAX($B$9,0.01*AE477+AE477*$G$54),0),0)</f>
        <v/>
      </c>
      <c r="AF478">
        <f>AE477*$G$54</f>
        <v/>
      </c>
      <c r="AG478">
        <f>IF(AG477&gt;1E-9,IF(AG477*(1+$G$55)-MAX($B$9,0.01*AG477+AG477*$G$55)&gt;1E-9,AG477*(1+$G$55)-MAX($B$9,0.01*AG477+AG477*$G$55),0),0)</f>
        <v/>
      </c>
      <c r="AH478">
        <f>AG477*$G$55</f>
        <v/>
      </c>
      <c r="AI478">
        <f>G478+K478+O478+S478+W478</f>
        <v/>
      </c>
      <c r="AJ478">
        <f>AI477+AK478-AI478</f>
        <v/>
      </c>
      <c r="AK478">
        <f>H478+L478+P478+T478+X478</f>
        <v/>
      </c>
      <c r="AL478">
        <f>TEXT(EDATE($B$5,D478-1),"mmm yyyy")</f>
        <v/>
      </c>
      <c r="AM478">
        <f>AI478</f>
        <v/>
      </c>
    </row>
    <row r="479">
      <c r="D479" t="n">
        <v>418</v>
      </c>
      <c r="E479">
        <f>IF(G478&gt;0,MAX(0,G478*(1+$G$51)-$H$51),0)</f>
        <v/>
      </c>
      <c r="F479">
        <f>$B$6+IF($D479=$B$8,$B$7,0)</f>
        <v/>
      </c>
      <c r="G479">
        <f>IF(E479-F479&gt;1E-9,E479-F479,0)</f>
        <v/>
      </c>
      <c r="H479">
        <f>G478*$G$51</f>
        <v/>
      </c>
      <c r="I479">
        <f>IF(K478&gt;0,MAX(0,K478*(1+$G$52)-$H$52),0)</f>
        <v/>
      </c>
      <c r="J479">
        <f>MAX(0,F479-E479)</f>
        <v/>
      </c>
      <c r="K479">
        <f>IF(I479-J479&gt;1E-9,I479-J479,0)</f>
        <v/>
      </c>
      <c r="L479">
        <f>K478*$G$52</f>
        <v/>
      </c>
      <c r="M479">
        <f>IF(O478&gt;0,MAX(0,O478*(1+$G$53)-$H$53),0)</f>
        <v/>
      </c>
      <c r="N479">
        <f>MAX(0,J479-I479)</f>
        <v/>
      </c>
      <c r="O479">
        <f>IF(M479-N479&gt;1E-9,M479-N479,0)</f>
        <v/>
      </c>
      <c r="P479">
        <f>O478*$G$53</f>
        <v/>
      </c>
      <c r="Q479">
        <f>IF(S478&gt;0,MAX(0,S478*(1+$G$54)-$H$54),0)</f>
        <v/>
      </c>
      <c r="R479">
        <f>MAX(0,N479-M479)</f>
        <v/>
      </c>
      <c r="S479">
        <f>IF(Q479-R479&gt;1E-9,Q479-R479,0)</f>
        <v/>
      </c>
      <c r="T479">
        <f>S478*$G$54</f>
        <v/>
      </c>
      <c r="U479">
        <f>IF(W478&gt;0,MAX(0,W478*(1+$G$55)-$H$55),0)</f>
        <v/>
      </c>
      <c r="V479">
        <f>MAX(0,R479-Q479)</f>
        <v/>
      </c>
      <c r="W479">
        <f>IF(U479-V479&gt;1E-9,U479-V479,0)</f>
        <v/>
      </c>
      <c r="X479">
        <f>W478*$G$55</f>
        <v/>
      </c>
      <c r="Y479">
        <f>IF(Y478&gt;1E-9,IF(Y478*(1+$G$51)-MAX($B$9,0.01*Y478+Y478*$G$51)&gt;1E-9,Y478*(1+$G$51)-MAX($B$9,0.01*Y478+Y478*$G$51),0),0)</f>
        <v/>
      </c>
      <c r="Z479">
        <f>Y478*$G$51</f>
        <v/>
      </c>
      <c r="AA479">
        <f>IF(AA478&gt;1E-9,IF(AA478*(1+$G$52)-MAX($B$9,0.01*AA478+AA478*$G$52)&gt;1E-9,AA478*(1+$G$52)-MAX($B$9,0.01*AA478+AA478*$G$52),0),0)</f>
        <v/>
      </c>
      <c r="AB479">
        <f>AA478*$G$52</f>
        <v/>
      </c>
      <c r="AC479">
        <f>IF(AC478&gt;1E-9,IF(AC478*(1+$G$53)-MAX($B$9,0.01*AC478+AC478*$G$53)&gt;1E-9,AC478*(1+$G$53)-MAX($B$9,0.01*AC478+AC478*$G$53),0),0)</f>
        <v/>
      </c>
      <c r="AD479">
        <f>AC478*$G$53</f>
        <v/>
      </c>
      <c r="AE479">
        <f>IF(AE478&gt;1E-9,IF(AE478*(1+$G$54)-MAX($B$9,0.01*AE478+AE478*$G$54)&gt;1E-9,AE478*(1+$G$54)-MAX($B$9,0.01*AE478+AE478*$G$54),0),0)</f>
        <v/>
      </c>
      <c r="AF479">
        <f>AE478*$G$54</f>
        <v/>
      </c>
      <c r="AG479">
        <f>IF(AG478&gt;1E-9,IF(AG478*(1+$G$55)-MAX($B$9,0.01*AG478+AG478*$G$55)&gt;1E-9,AG478*(1+$G$55)-MAX($B$9,0.01*AG478+AG478*$G$55),0),0)</f>
        <v/>
      </c>
      <c r="AH479">
        <f>AG478*$G$55</f>
        <v/>
      </c>
      <c r="AI479">
        <f>G479+K479+O479+S479+W479</f>
        <v/>
      </c>
      <c r="AJ479">
        <f>AI478+AK479-AI479</f>
        <v/>
      </c>
      <c r="AK479">
        <f>H479+L479+P479+T479+X479</f>
        <v/>
      </c>
      <c r="AL479">
        <f>TEXT(EDATE($B$5,D479-1),"mmm yyyy")</f>
        <v/>
      </c>
      <c r="AM479">
        <f>AI479</f>
        <v/>
      </c>
    </row>
    <row r="480">
      <c r="D480" t="n">
        <v>419</v>
      </c>
      <c r="E480">
        <f>IF(G479&gt;0,MAX(0,G479*(1+$G$51)-$H$51),0)</f>
        <v/>
      </c>
      <c r="F480">
        <f>$B$6+IF($D480=$B$8,$B$7,0)</f>
        <v/>
      </c>
      <c r="G480">
        <f>IF(E480-F480&gt;1E-9,E480-F480,0)</f>
        <v/>
      </c>
      <c r="H480">
        <f>G479*$G$51</f>
        <v/>
      </c>
      <c r="I480">
        <f>IF(K479&gt;0,MAX(0,K479*(1+$G$52)-$H$52),0)</f>
        <v/>
      </c>
      <c r="J480">
        <f>MAX(0,F480-E480)</f>
        <v/>
      </c>
      <c r="K480">
        <f>IF(I480-J480&gt;1E-9,I480-J480,0)</f>
        <v/>
      </c>
      <c r="L480">
        <f>K479*$G$52</f>
        <v/>
      </c>
      <c r="M480">
        <f>IF(O479&gt;0,MAX(0,O479*(1+$G$53)-$H$53),0)</f>
        <v/>
      </c>
      <c r="N480">
        <f>MAX(0,J480-I480)</f>
        <v/>
      </c>
      <c r="O480">
        <f>IF(M480-N480&gt;1E-9,M480-N480,0)</f>
        <v/>
      </c>
      <c r="P480">
        <f>O479*$G$53</f>
        <v/>
      </c>
      <c r="Q480">
        <f>IF(S479&gt;0,MAX(0,S479*(1+$G$54)-$H$54),0)</f>
        <v/>
      </c>
      <c r="R480">
        <f>MAX(0,N480-M480)</f>
        <v/>
      </c>
      <c r="S480">
        <f>IF(Q480-R480&gt;1E-9,Q480-R480,0)</f>
        <v/>
      </c>
      <c r="T480">
        <f>S479*$G$54</f>
        <v/>
      </c>
      <c r="U480">
        <f>IF(W479&gt;0,MAX(0,W479*(1+$G$55)-$H$55),0)</f>
        <v/>
      </c>
      <c r="V480">
        <f>MAX(0,R480-Q480)</f>
        <v/>
      </c>
      <c r="W480">
        <f>IF(U480-V480&gt;1E-9,U480-V480,0)</f>
        <v/>
      </c>
      <c r="X480">
        <f>W479*$G$55</f>
        <v/>
      </c>
      <c r="Y480">
        <f>IF(Y479&gt;1E-9,IF(Y479*(1+$G$51)-MAX($B$9,0.01*Y479+Y479*$G$51)&gt;1E-9,Y479*(1+$G$51)-MAX($B$9,0.01*Y479+Y479*$G$51),0),0)</f>
        <v/>
      </c>
      <c r="Z480">
        <f>Y479*$G$51</f>
        <v/>
      </c>
      <c r="AA480">
        <f>IF(AA479&gt;1E-9,IF(AA479*(1+$G$52)-MAX($B$9,0.01*AA479+AA479*$G$52)&gt;1E-9,AA479*(1+$G$52)-MAX($B$9,0.01*AA479+AA479*$G$52),0),0)</f>
        <v/>
      </c>
      <c r="AB480">
        <f>AA479*$G$52</f>
        <v/>
      </c>
      <c r="AC480">
        <f>IF(AC479&gt;1E-9,IF(AC479*(1+$G$53)-MAX($B$9,0.01*AC479+AC479*$G$53)&gt;1E-9,AC479*(1+$G$53)-MAX($B$9,0.01*AC479+AC479*$G$53),0),0)</f>
        <v/>
      </c>
      <c r="AD480">
        <f>AC479*$G$53</f>
        <v/>
      </c>
      <c r="AE480">
        <f>IF(AE479&gt;1E-9,IF(AE479*(1+$G$54)-MAX($B$9,0.01*AE479+AE479*$G$54)&gt;1E-9,AE479*(1+$G$54)-MAX($B$9,0.01*AE479+AE479*$G$54),0),0)</f>
        <v/>
      </c>
      <c r="AF480">
        <f>AE479*$G$54</f>
        <v/>
      </c>
      <c r="AG480">
        <f>IF(AG479&gt;1E-9,IF(AG479*(1+$G$55)-MAX($B$9,0.01*AG479+AG479*$G$55)&gt;1E-9,AG479*(1+$G$55)-MAX($B$9,0.01*AG479+AG479*$G$55),0),0)</f>
        <v/>
      </c>
      <c r="AH480">
        <f>AG479*$G$55</f>
        <v/>
      </c>
      <c r="AI480">
        <f>G480+K480+O480+S480+W480</f>
        <v/>
      </c>
      <c r="AJ480">
        <f>AI479+AK480-AI480</f>
        <v/>
      </c>
      <c r="AK480">
        <f>H480+L480+P480+T480+X480</f>
        <v/>
      </c>
      <c r="AL480">
        <f>TEXT(EDATE($B$5,D480-1),"mmm yyyy")</f>
        <v/>
      </c>
      <c r="AM480">
        <f>AI480</f>
        <v/>
      </c>
    </row>
    <row r="481">
      <c r="D481" t="n">
        <v>420</v>
      </c>
      <c r="E481">
        <f>IF(G480&gt;0,MAX(0,G480*(1+$G$51)-$H$51),0)</f>
        <v/>
      </c>
      <c r="F481">
        <f>$B$6+IF($D481=$B$8,$B$7,0)</f>
        <v/>
      </c>
      <c r="G481">
        <f>IF(E481-F481&gt;1E-9,E481-F481,0)</f>
        <v/>
      </c>
      <c r="H481">
        <f>G480*$G$51</f>
        <v/>
      </c>
      <c r="I481">
        <f>IF(K480&gt;0,MAX(0,K480*(1+$G$52)-$H$52),0)</f>
        <v/>
      </c>
      <c r="J481">
        <f>MAX(0,F481-E481)</f>
        <v/>
      </c>
      <c r="K481">
        <f>IF(I481-J481&gt;1E-9,I481-J481,0)</f>
        <v/>
      </c>
      <c r="L481">
        <f>K480*$G$52</f>
        <v/>
      </c>
      <c r="M481">
        <f>IF(O480&gt;0,MAX(0,O480*(1+$G$53)-$H$53),0)</f>
        <v/>
      </c>
      <c r="N481">
        <f>MAX(0,J481-I481)</f>
        <v/>
      </c>
      <c r="O481">
        <f>IF(M481-N481&gt;1E-9,M481-N481,0)</f>
        <v/>
      </c>
      <c r="P481">
        <f>O480*$G$53</f>
        <v/>
      </c>
      <c r="Q481">
        <f>IF(S480&gt;0,MAX(0,S480*(1+$G$54)-$H$54),0)</f>
        <v/>
      </c>
      <c r="R481">
        <f>MAX(0,N481-M481)</f>
        <v/>
      </c>
      <c r="S481">
        <f>IF(Q481-R481&gt;1E-9,Q481-R481,0)</f>
        <v/>
      </c>
      <c r="T481">
        <f>S480*$G$54</f>
        <v/>
      </c>
      <c r="U481">
        <f>IF(W480&gt;0,MAX(0,W480*(1+$G$55)-$H$55),0)</f>
        <v/>
      </c>
      <c r="V481">
        <f>MAX(0,R481-Q481)</f>
        <v/>
      </c>
      <c r="W481">
        <f>IF(U481-V481&gt;1E-9,U481-V481,0)</f>
        <v/>
      </c>
      <c r="X481">
        <f>W480*$G$55</f>
        <v/>
      </c>
      <c r="Y481">
        <f>IF(Y480&gt;1E-9,IF(Y480*(1+$G$51)-MAX($B$9,0.01*Y480+Y480*$G$51)&gt;1E-9,Y480*(1+$G$51)-MAX($B$9,0.01*Y480+Y480*$G$51),0),0)</f>
        <v/>
      </c>
      <c r="Z481">
        <f>Y480*$G$51</f>
        <v/>
      </c>
      <c r="AA481">
        <f>IF(AA480&gt;1E-9,IF(AA480*(1+$G$52)-MAX($B$9,0.01*AA480+AA480*$G$52)&gt;1E-9,AA480*(1+$G$52)-MAX($B$9,0.01*AA480+AA480*$G$52),0),0)</f>
        <v/>
      </c>
      <c r="AB481">
        <f>AA480*$G$52</f>
        <v/>
      </c>
      <c r="AC481">
        <f>IF(AC480&gt;1E-9,IF(AC480*(1+$G$53)-MAX($B$9,0.01*AC480+AC480*$G$53)&gt;1E-9,AC480*(1+$G$53)-MAX($B$9,0.01*AC480+AC480*$G$53),0),0)</f>
        <v/>
      </c>
      <c r="AD481">
        <f>AC480*$G$53</f>
        <v/>
      </c>
      <c r="AE481">
        <f>IF(AE480&gt;1E-9,IF(AE480*(1+$G$54)-MAX($B$9,0.01*AE480+AE480*$G$54)&gt;1E-9,AE480*(1+$G$54)-MAX($B$9,0.01*AE480+AE480*$G$54),0),0)</f>
        <v/>
      </c>
      <c r="AF481">
        <f>AE480*$G$54</f>
        <v/>
      </c>
      <c r="AG481">
        <f>IF(AG480&gt;1E-9,IF(AG480*(1+$G$55)-MAX($B$9,0.01*AG480+AG480*$G$55)&gt;1E-9,AG480*(1+$G$55)-MAX($B$9,0.01*AG480+AG480*$G$55),0),0)</f>
        <v/>
      </c>
      <c r="AH481">
        <f>AG480*$G$55</f>
        <v/>
      </c>
      <c r="AI481">
        <f>G481+K481+O481+S481+W481</f>
        <v/>
      </c>
      <c r="AJ481">
        <f>AI480+AK481-AI481</f>
        <v/>
      </c>
      <c r="AK481">
        <f>H481+L481+P481+T481+X481</f>
        <v/>
      </c>
      <c r="AL481">
        <f>TEXT(EDATE($B$5,D481-1),"mmm yyyy")</f>
        <v/>
      </c>
      <c r="AM481">
        <f>AI481</f>
        <v/>
      </c>
    </row>
    <row r="482">
      <c r="D482" t="n">
        <v>421</v>
      </c>
      <c r="E482">
        <f>IF(G481&gt;0,MAX(0,G481*(1+$G$51)-$H$51),0)</f>
        <v/>
      </c>
      <c r="F482">
        <f>$B$6+IF($D482=$B$8,$B$7,0)</f>
        <v/>
      </c>
      <c r="G482">
        <f>IF(E482-F482&gt;1E-9,E482-F482,0)</f>
        <v/>
      </c>
      <c r="H482">
        <f>G481*$G$51</f>
        <v/>
      </c>
      <c r="I482">
        <f>IF(K481&gt;0,MAX(0,K481*(1+$G$52)-$H$52),0)</f>
        <v/>
      </c>
      <c r="J482">
        <f>MAX(0,F482-E482)</f>
        <v/>
      </c>
      <c r="K482">
        <f>IF(I482-J482&gt;1E-9,I482-J482,0)</f>
        <v/>
      </c>
      <c r="L482">
        <f>K481*$G$52</f>
        <v/>
      </c>
      <c r="M482">
        <f>IF(O481&gt;0,MAX(0,O481*(1+$G$53)-$H$53),0)</f>
        <v/>
      </c>
      <c r="N482">
        <f>MAX(0,J482-I482)</f>
        <v/>
      </c>
      <c r="O482">
        <f>IF(M482-N482&gt;1E-9,M482-N482,0)</f>
        <v/>
      </c>
      <c r="P482">
        <f>O481*$G$53</f>
        <v/>
      </c>
      <c r="Q482">
        <f>IF(S481&gt;0,MAX(0,S481*(1+$G$54)-$H$54),0)</f>
        <v/>
      </c>
      <c r="R482">
        <f>MAX(0,N482-M482)</f>
        <v/>
      </c>
      <c r="S482">
        <f>IF(Q482-R482&gt;1E-9,Q482-R482,0)</f>
        <v/>
      </c>
      <c r="T482">
        <f>S481*$G$54</f>
        <v/>
      </c>
      <c r="U482">
        <f>IF(W481&gt;0,MAX(0,W481*(1+$G$55)-$H$55),0)</f>
        <v/>
      </c>
      <c r="V482">
        <f>MAX(0,R482-Q482)</f>
        <v/>
      </c>
      <c r="W482">
        <f>IF(U482-V482&gt;1E-9,U482-V482,0)</f>
        <v/>
      </c>
      <c r="X482">
        <f>W481*$G$55</f>
        <v/>
      </c>
      <c r="Y482">
        <f>IF(Y481&gt;1E-9,IF(Y481*(1+$G$51)-MAX($B$9,0.01*Y481+Y481*$G$51)&gt;1E-9,Y481*(1+$G$51)-MAX($B$9,0.01*Y481+Y481*$G$51),0),0)</f>
        <v/>
      </c>
      <c r="Z482">
        <f>Y481*$G$51</f>
        <v/>
      </c>
      <c r="AA482">
        <f>IF(AA481&gt;1E-9,IF(AA481*(1+$G$52)-MAX($B$9,0.01*AA481+AA481*$G$52)&gt;1E-9,AA481*(1+$G$52)-MAX($B$9,0.01*AA481+AA481*$G$52),0),0)</f>
        <v/>
      </c>
      <c r="AB482">
        <f>AA481*$G$52</f>
        <v/>
      </c>
      <c r="AC482">
        <f>IF(AC481&gt;1E-9,IF(AC481*(1+$G$53)-MAX($B$9,0.01*AC481+AC481*$G$53)&gt;1E-9,AC481*(1+$G$53)-MAX($B$9,0.01*AC481+AC481*$G$53),0),0)</f>
        <v/>
      </c>
      <c r="AD482">
        <f>AC481*$G$53</f>
        <v/>
      </c>
      <c r="AE482">
        <f>IF(AE481&gt;1E-9,IF(AE481*(1+$G$54)-MAX($B$9,0.01*AE481+AE481*$G$54)&gt;1E-9,AE481*(1+$G$54)-MAX($B$9,0.01*AE481+AE481*$G$54),0),0)</f>
        <v/>
      </c>
      <c r="AF482">
        <f>AE481*$G$54</f>
        <v/>
      </c>
      <c r="AG482">
        <f>IF(AG481&gt;1E-9,IF(AG481*(1+$G$55)-MAX($B$9,0.01*AG481+AG481*$G$55)&gt;1E-9,AG481*(1+$G$55)-MAX($B$9,0.01*AG481+AG481*$G$55),0),0)</f>
        <v/>
      </c>
      <c r="AH482">
        <f>AG481*$G$55</f>
        <v/>
      </c>
      <c r="AI482">
        <f>G482+K482+O482+S482+W482</f>
        <v/>
      </c>
      <c r="AJ482">
        <f>AI481+AK482-AI482</f>
        <v/>
      </c>
      <c r="AK482">
        <f>H482+L482+P482+T482+X482</f>
        <v/>
      </c>
      <c r="AL482">
        <f>TEXT(EDATE($B$5,D482-1),"mmm yyyy")</f>
        <v/>
      </c>
      <c r="AM482">
        <f>AI482</f>
        <v/>
      </c>
    </row>
    <row r="483">
      <c r="D483" t="n">
        <v>422</v>
      </c>
      <c r="E483">
        <f>IF(G482&gt;0,MAX(0,G482*(1+$G$51)-$H$51),0)</f>
        <v/>
      </c>
      <c r="F483">
        <f>$B$6+IF($D483=$B$8,$B$7,0)</f>
        <v/>
      </c>
      <c r="G483">
        <f>IF(E483-F483&gt;1E-9,E483-F483,0)</f>
        <v/>
      </c>
      <c r="H483">
        <f>G482*$G$51</f>
        <v/>
      </c>
      <c r="I483">
        <f>IF(K482&gt;0,MAX(0,K482*(1+$G$52)-$H$52),0)</f>
        <v/>
      </c>
      <c r="J483">
        <f>MAX(0,F483-E483)</f>
        <v/>
      </c>
      <c r="K483">
        <f>IF(I483-J483&gt;1E-9,I483-J483,0)</f>
        <v/>
      </c>
      <c r="L483">
        <f>K482*$G$52</f>
        <v/>
      </c>
      <c r="M483">
        <f>IF(O482&gt;0,MAX(0,O482*(1+$G$53)-$H$53),0)</f>
        <v/>
      </c>
      <c r="N483">
        <f>MAX(0,J483-I483)</f>
        <v/>
      </c>
      <c r="O483">
        <f>IF(M483-N483&gt;1E-9,M483-N483,0)</f>
        <v/>
      </c>
      <c r="P483">
        <f>O482*$G$53</f>
        <v/>
      </c>
      <c r="Q483">
        <f>IF(S482&gt;0,MAX(0,S482*(1+$G$54)-$H$54),0)</f>
        <v/>
      </c>
      <c r="R483">
        <f>MAX(0,N483-M483)</f>
        <v/>
      </c>
      <c r="S483">
        <f>IF(Q483-R483&gt;1E-9,Q483-R483,0)</f>
        <v/>
      </c>
      <c r="T483">
        <f>S482*$G$54</f>
        <v/>
      </c>
      <c r="U483">
        <f>IF(W482&gt;0,MAX(0,W482*(1+$G$55)-$H$55),0)</f>
        <v/>
      </c>
      <c r="V483">
        <f>MAX(0,R483-Q483)</f>
        <v/>
      </c>
      <c r="W483">
        <f>IF(U483-V483&gt;1E-9,U483-V483,0)</f>
        <v/>
      </c>
      <c r="X483">
        <f>W482*$G$55</f>
        <v/>
      </c>
      <c r="Y483">
        <f>IF(Y482&gt;1E-9,IF(Y482*(1+$G$51)-MAX($B$9,0.01*Y482+Y482*$G$51)&gt;1E-9,Y482*(1+$G$51)-MAX($B$9,0.01*Y482+Y482*$G$51),0),0)</f>
        <v/>
      </c>
      <c r="Z483">
        <f>Y482*$G$51</f>
        <v/>
      </c>
      <c r="AA483">
        <f>IF(AA482&gt;1E-9,IF(AA482*(1+$G$52)-MAX($B$9,0.01*AA482+AA482*$G$52)&gt;1E-9,AA482*(1+$G$52)-MAX($B$9,0.01*AA482+AA482*$G$52),0),0)</f>
        <v/>
      </c>
      <c r="AB483">
        <f>AA482*$G$52</f>
        <v/>
      </c>
      <c r="AC483">
        <f>IF(AC482&gt;1E-9,IF(AC482*(1+$G$53)-MAX($B$9,0.01*AC482+AC482*$G$53)&gt;1E-9,AC482*(1+$G$53)-MAX($B$9,0.01*AC482+AC482*$G$53),0),0)</f>
        <v/>
      </c>
      <c r="AD483">
        <f>AC482*$G$53</f>
        <v/>
      </c>
      <c r="AE483">
        <f>IF(AE482&gt;1E-9,IF(AE482*(1+$G$54)-MAX($B$9,0.01*AE482+AE482*$G$54)&gt;1E-9,AE482*(1+$G$54)-MAX($B$9,0.01*AE482+AE482*$G$54),0),0)</f>
        <v/>
      </c>
      <c r="AF483">
        <f>AE482*$G$54</f>
        <v/>
      </c>
      <c r="AG483">
        <f>IF(AG482&gt;1E-9,IF(AG482*(1+$G$55)-MAX($B$9,0.01*AG482+AG482*$G$55)&gt;1E-9,AG482*(1+$G$55)-MAX($B$9,0.01*AG482+AG482*$G$55),0),0)</f>
        <v/>
      </c>
      <c r="AH483">
        <f>AG482*$G$55</f>
        <v/>
      </c>
      <c r="AI483">
        <f>G483+K483+O483+S483+W483</f>
        <v/>
      </c>
      <c r="AJ483">
        <f>AI482+AK483-AI483</f>
        <v/>
      </c>
      <c r="AK483">
        <f>H483+L483+P483+T483+X483</f>
        <v/>
      </c>
      <c r="AL483">
        <f>TEXT(EDATE($B$5,D483-1),"mmm yyyy")</f>
        <v/>
      </c>
      <c r="AM483">
        <f>AI483</f>
        <v/>
      </c>
    </row>
    <row r="484">
      <c r="D484" t="n">
        <v>423</v>
      </c>
      <c r="E484">
        <f>IF(G483&gt;0,MAX(0,G483*(1+$G$51)-$H$51),0)</f>
        <v/>
      </c>
      <c r="F484">
        <f>$B$6+IF($D484=$B$8,$B$7,0)</f>
        <v/>
      </c>
      <c r="G484">
        <f>IF(E484-F484&gt;1E-9,E484-F484,0)</f>
        <v/>
      </c>
      <c r="H484">
        <f>G483*$G$51</f>
        <v/>
      </c>
      <c r="I484">
        <f>IF(K483&gt;0,MAX(0,K483*(1+$G$52)-$H$52),0)</f>
        <v/>
      </c>
      <c r="J484">
        <f>MAX(0,F484-E484)</f>
        <v/>
      </c>
      <c r="K484">
        <f>IF(I484-J484&gt;1E-9,I484-J484,0)</f>
        <v/>
      </c>
      <c r="L484">
        <f>K483*$G$52</f>
        <v/>
      </c>
      <c r="M484">
        <f>IF(O483&gt;0,MAX(0,O483*(1+$G$53)-$H$53),0)</f>
        <v/>
      </c>
      <c r="N484">
        <f>MAX(0,J484-I484)</f>
        <v/>
      </c>
      <c r="O484">
        <f>IF(M484-N484&gt;1E-9,M484-N484,0)</f>
        <v/>
      </c>
      <c r="P484">
        <f>O483*$G$53</f>
        <v/>
      </c>
      <c r="Q484">
        <f>IF(S483&gt;0,MAX(0,S483*(1+$G$54)-$H$54),0)</f>
        <v/>
      </c>
      <c r="R484">
        <f>MAX(0,N484-M484)</f>
        <v/>
      </c>
      <c r="S484">
        <f>IF(Q484-R484&gt;1E-9,Q484-R484,0)</f>
        <v/>
      </c>
      <c r="T484">
        <f>S483*$G$54</f>
        <v/>
      </c>
      <c r="U484">
        <f>IF(W483&gt;0,MAX(0,W483*(1+$G$55)-$H$55),0)</f>
        <v/>
      </c>
      <c r="V484">
        <f>MAX(0,R484-Q484)</f>
        <v/>
      </c>
      <c r="W484">
        <f>IF(U484-V484&gt;1E-9,U484-V484,0)</f>
        <v/>
      </c>
      <c r="X484">
        <f>W483*$G$55</f>
        <v/>
      </c>
      <c r="Y484">
        <f>IF(Y483&gt;1E-9,IF(Y483*(1+$G$51)-MAX($B$9,0.01*Y483+Y483*$G$51)&gt;1E-9,Y483*(1+$G$51)-MAX($B$9,0.01*Y483+Y483*$G$51),0),0)</f>
        <v/>
      </c>
      <c r="Z484">
        <f>Y483*$G$51</f>
        <v/>
      </c>
      <c r="AA484">
        <f>IF(AA483&gt;1E-9,IF(AA483*(1+$G$52)-MAX($B$9,0.01*AA483+AA483*$G$52)&gt;1E-9,AA483*(1+$G$52)-MAX($B$9,0.01*AA483+AA483*$G$52),0),0)</f>
        <v/>
      </c>
      <c r="AB484">
        <f>AA483*$G$52</f>
        <v/>
      </c>
      <c r="AC484">
        <f>IF(AC483&gt;1E-9,IF(AC483*(1+$G$53)-MAX($B$9,0.01*AC483+AC483*$G$53)&gt;1E-9,AC483*(1+$G$53)-MAX($B$9,0.01*AC483+AC483*$G$53),0),0)</f>
        <v/>
      </c>
      <c r="AD484">
        <f>AC483*$G$53</f>
        <v/>
      </c>
      <c r="AE484">
        <f>IF(AE483&gt;1E-9,IF(AE483*(1+$G$54)-MAX($B$9,0.01*AE483+AE483*$G$54)&gt;1E-9,AE483*(1+$G$54)-MAX($B$9,0.01*AE483+AE483*$G$54),0),0)</f>
        <v/>
      </c>
      <c r="AF484">
        <f>AE483*$G$54</f>
        <v/>
      </c>
      <c r="AG484">
        <f>IF(AG483&gt;1E-9,IF(AG483*(1+$G$55)-MAX($B$9,0.01*AG483+AG483*$G$55)&gt;1E-9,AG483*(1+$G$55)-MAX($B$9,0.01*AG483+AG483*$G$55),0),0)</f>
        <v/>
      </c>
      <c r="AH484">
        <f>AG483*$G$55</f>
        <v/>
      </c>
      <c r="AI484">
        <f>G484+K484+O484+S484+W484</f>
        <v/>
      </c>
      <c r="AJ484">
        <f>AI483+AK484-AI484</f>
        <v/>
      </c>
      <c r="AK484">
        <f>H484+L484+P484+T484+X484</f>
        <v/>
      </c>
      <c r="AL484">
        <f>TEXT(EDATE($B$5,D484-1),"mmm yyyy")</f>
        <v/>
      </c>
      <c r="AM484">
        <f>AI484</f>
        <v/>
      </c>
    </row>
    <row r="485">
      <c r="D485" t="n">
        <v>424</v>
      </c>
      <c r="E485">
        <f>IF(G484&gt;0,MAX(0,G484*(1+$G$51)-$H$51),0)</f>
        <v/>
      </c>
      <c r="F485">
        <f>$B$6+IF($D485=$B$8,$B$7,0)</f>
        <v/>
      </c>
      <c r="G485">
        <f>IF(E485-F485&gt;1E-9,E485-F485,0)</f>
        <v/>
      </c>
      <c r="H485">
        <f>G484*$G$51</f>
        <v/>
      </c>
      <c r="I485">
        <f>IF(K484&gt;0,MAX(0,K484*(1+$G$52)-$H$52),0)</f>
        <v/>
      </c>
      <c r="J485">
        <f>MAX(0,F485-E485)</f>
        <v/>
      </c>
      <c r="K485">
        <f>IF(I485-J485&gt;1E-9,I485-J485,0)</f>
        <v/>
      </c>
      <c r="L485">
        <f>K484*$G$52</f>
        <v/>
      </c>
      <c r="M485">
        <f>IF(O484&gt;0,MAX(0,O484*(1+$G$53)-$H$53),0)</f>
        <v/>
      </c>
      <c r="N485">
        <f>MAX(0,J485-I485)</f>
        <v/>
      </c>
      <c r="O485">
        <f>IF(M485-N485&gt;1E-9,M485-N485,0)</f>
        <v/>
      </c>
      <c r="P485">
        <f>O484*$G$53</f>
        <v/>
      </c>
      <c r="Q485">
        <f>IF(S484&gt;0,MAX(0,S484*(1+$G$54)-$H$54),0)</f>
        <v/>
      </c>
      <c r="R485">
        <f>MAX(0,N485-M485)</f>
        <v/>
      </c>
      <c r="S485">
        <f>IF(Q485-R485&gt;1E-9,Q485-R485,0)</f>
        <v/>
      </c>
      <c r="T485">
        <f>S484*$G$54</f>
        <v/>
      </c>
      <c r="U485">
        <f>IF(W484&gt;0,MAX(0,W484*(1+$G$55)-$H$55),0)</f>
        <v/>
      </c>
      <c r="V485">
        <f>MAX(0,R485-Q485)</f>
        <v/>
      </c>
      <c r="W485">
        <f>IF(U485-V485&gt;1E-9,U485-V485,0)</f>
        <v/>
      </c>
      <c r="X485">
        <f>W484*$G$55</f>
        <v/>
      </c>
      <c r="Y485">
        <f>IF(Y484&gt;1E-9,IF(Y484*(1+$G$51)-MAX($B$9,0.01*Y484+Y484*$G$51)&gt;1E-9,Y484*(1+$G$51)-MAX($B$9,0.01*Y484+Y484*$G$51),0),0)</f>
        <v/>
      </c>
      <c r="Z485">
        <f>Y484*$G$51</f>
        <v/>
      </c>
      <c r="AA485">
        <f>IF(AA484&gt;1E-9,IF(AA484*(1+$G$52)-MAX($B$9,0.01*AA484+AA484*$G$52)&gt;1E-9,AA484*(1+$G$52)-MAX($B$9,0.01*AA484+AA484*$G$52),0),0)</f>
        <v/>
      </c>
      <c r="AB485">
        <f>AA484*$G$52</f>
        <v/>
      </c>
      <c r="AC485">
        <f>IF(AC484&gt;1E-9,IF(AC484*(1+$G$53)-MAX($B$9,0.01*AC484+AC484*$G$53)&gt;1E-9,AC484*(1+$G$53)-MAX($B$9,0.01*AC484+AC484*$G$53),0),0)</f>
        <v/>
      </c>
      <c r="AD485">
        <f>AC484*$G$53</f>
        <v/>
      </c>
      <c r="AE485">
        <f>IF(AE484&gt;1E-9,IF(AE484*(1+$G$54)-MAX($B$9,0.01*AE484+AE484*$G$54)&gt;1E-9,AE484*(1+$G$54)-MAX($B$9,0.01*AE484+AE484*$G$54),0),0)</f>
        <v/>
      </c>
      <c r="AF485">
        <f>AE484*$G$54</f>
        <v/>
      </c>
      <c r="AG485">
        <f>IF(AG484&gt;1E-9,IF(AG484*(1+$G$55)-MAX($B$9,0.01*AG484+AG484*$G$55)&gt;1E-9,AG484*(1+$G$55)-MAX($B$9,0.01*AG484+AG484*$G$55),0),0)</f>
        <v/>
      </c>
      <c r="AH485">
        <f>AG484*$G$55</f>
        <v/>
      </c>
      <c r="AI485">
        <f>G485+K485+O485+S485+W485</f>
        <v/>
      </c>
      <c r="AJ485">
        <f>AI484+AK485-AI485</f>
        <v/>
      </c>
      <c r="AK485">
        <f>H485+L485+P485+T485+X485</f>
        <v/>
      </c>
      <c r="AL485">
        <f>TEXT(EDATE($B$5,D485-1),"mmm yyyy")</f>
        <v/>
      </c>
      <c r="AM485">
        <f>AI485</f>
        <v/>
      </c>
    </row>
    <row r="486">
      <c r="D486" t="n">
        <v>425</v>
      </c>
      <c r="E486">
        <f>IF(G485&gt;0,MAX(0,G485*(1+$G$51)-$H$51),0)</f>
        <v/>
      </c>
      <c r="F486">
        <f>$B$6+IF($D486=$B$8,$B$7,0)</f>
        <v/>
      </c>
      <c r="G486">
        <f>IF(E486-F486&gt;1E-9,E486-F486,0)</f>
        <v/>
      </c>
      <c r="H486">
        <f>G485*$G$51</f>
        <v/>
      </c>
      <c r="I486">
        <f>IF(K485&gt;0,MAX(0,K485*(1+$G$52)-$H$52),0)</f>
        <v/>
      </c>
      <c r="J486">
        <f>MAX(0,F486-E486)</f>
        <v/>
      </c>
      <c r="K486">
        <f>IF(I486-J486&gt;1E-9,I486-J486,0)</f>
        <v/>
      </c>
      <c r="L486">
        <f>K485*$G$52</f>
        <v/>
      </c>
      <c r="M486">
        <f>IF(O485&gt;0,MAX(0,O485*(1+$G$53)-$H$53),0)</f>
        <v/>
      </c>
      <c r="N486">
        <f>MAX(0,J486-I486)</f>
        <v/>
      </c>
      <c r="O486">
        <f>IF(M486-N486&gt;1E-9,M486-N486,0)</f>
        <v/>
      </c>
      <c r="P486">
        <f>O485*$G$53</f>
        <v/>
      </c>
      <c r="Q486">
        <f>IF(S485&gt;0,MAX(0,S485*(1+$G$54)-$H$54),0)</f>
        <v/>
      </c>
      <c r="R486">
        <f>MAX(0,N486-M486)</f>
        <v/>
      </c>
      <c r="S486">
        <f>IF(Q486-R486&gt;1E-9,Q486-R486,0)</f>
        <v/>
      </c>
      <c r="T486">
        <f>S485*$G$54</f>
        <v/>
      </c>
      <c r="U486">
        <f>IF(W485&gt;0,MAX(0,W485*(1+$G$55)-$H$55),0)</f>
        <v/>
      </c>
      <c r="V486">
        <f>MAX(0,R486-Q486)</f>
        <v/>
      </c>
      <c r="W486">
        <f>IF(U486-V486&gt;1E-9,U486-V486,0)</f>
        <v/>
      </c>
      <c r="X486">
        <f>W485*$G$55</f>
        <v/>
      </c>
      <c r="Y486">
        <f>IF(Y485&gt;1E-9,IF(Y485*(1+$G$51)-MAX($B$9,0.01*Y485+Y485*$G$51)&gt;1E-9,Y485*(1+$G$51)-MAX($B$9,0.01*Y485+Y485*$G$51),0),0)</f>
        <v/>
      </c>
      <c r="Z486">
        <f>Y485*$G$51</f>
        <v/>
      </c>
      <c r="AA486">
        <f>IF(AA485&gt;1E-9,IF(AA485*(1+$G$52)-MAX($B$9,0.01*AA485+AA485*$G$52)&gt;1E-9,AA485*(1+$G$52)-MAX($B$9,0.01*AA485+AA485*$G$52),0),0)</f>
        <v/>
      </c>
      <c r="AB486">
        <f>AA485*$G$52</f>
        <v/>
      </c>
      <c r="AC486">
        <f>IF(AC485&gt;1E-9,IF(AC485*(1+$G$53)-MAX($B$9,0.01*AC485+AC485*$G$53)&gt;1E-9,AC485*(1+$G$53)-MAX($B$9,0.01*AC485+AC485*$G$53),0),0)</f>
        <v/>
      </c>
      <c r="AD486">
        <f>AC485*$G$53</f>
        <v/>
      </c>
      <c r="AE486">
        <f>IF(AE485&gt;1E-9,IF(AE485*(1+$G$54)-MAX($B$9,0.01*AE485+AE485*$G$54)&gt;1E-9,AE485*(1+$G$54)-MAX($B$9,0.01*AE485+AE485*$G$54),0),0)</f>
        <v/>
      </c>
      <c r="AF486">
        <f>AE485*$G$54</f>
        <v/>
      </c>
      <c r="AG486">
        <f>IF(AG485&gt;1E-9,IF(AG485*(1+$G$55)-MAX($B$9,0.01*AG485+AG485*$G$55)&gt;1E-9,AG485*(1+$G$55)-MAX($B$9,0.01*AG485+AG485*$G$55),0),0)</f>
        <v/>
      </c>
      <c r="AH486">
        <f>AG485*$G$55</f>
        <v/>
      </c>
      <c r="AI486">
        <f>G486+K486+O486+S486+W486</f>
        <v/>
      </c>
      <c r="AJ486">
        <f>AI485+AK486-AI486</f>
        <v/>
      </c>
      <c r="AK486">
        <f>H486+L486+P486+T486+X486</f>
        <v/>
      </c>
      <c r="AL486">
        <f>TEXT(EDATE($B$5,D486-1),"mmm yyyy")</f>
        <v/>
      </c>
      <c r="AM486">
        <f>AI486</f>
        <v/>
      </c>
    </row>
    <row r="487">
      <c r="D487" t="n">
        <v>426</v>
      </c>
      <c r="E487">
        <f>IF(G486&gt;0,MAX(0,G486*(1+$G$51)-$H$51),0)</f>
        <v/>
      </c>
      <c r="F487">
        <f>$B$6+IF($D487=$B$8,$B$7,0)</f>
        <v/>
      </c>
      <c r="G487">
        <f>IF(E487-F487&gt;1E-9,E487-F487,0)</f>
        <v/>
      </c>
      <c r="H487">
        <f>G486*$G$51</f>
        <v/>
      </c>
      <c r="I487">
        <f>IF(K486&gt;0,MAX(0,K486*(1+$G$52)-$H$52),0)</f>
        <v/>
      </c>
      <c r="J487">
        <f>MAX(0,F487-E487)</f>
        <v/>
      </c>
      <c r="K487">
        <f>IF(I487-J487&gt;1E-9,I487-J487,0)</f>
        <v/>
      </c>
      <c r="L487">
        <f>K486*$G$52</f>
        <v/>
      </c>
      <c r="M487">
        <f>IF(O486&gt;0,MAX(0,O486*(1+$G$53)-$H$53),0)</f>
        <v/>
      </c>
      <c r="N487">
        <f>MAX(0,J487-I487)</f>
        <v/>
      </c>
      <c r="O487">
        <f>IF(M487-N487&gt;1E-9,M487-N487,0)</f>
        <v/>
      </c>
      <c r="P487">
        <f>O486*$G$53</f>
        <v/>
      </c>
      <c r="Q487">
        <f>IF(S486&gt;0,MAX(0,S486*(1+$G$54)-$H$54),0)</f>
        <v/>
      </c>
      <c r="R487">
        <f>MAX(0,N487-M487)</f>
        <v/>
      </c>
      <c r="S487">
        <f>IF(Q487-R487&gt;1E-9,Q487-R487,0)</f>
        <v/>
      </c>
      <c r="T487">
        <f>S486*$G$54</f>
        <v/>
      </c>
      <c r="U487">
        <f>IF(W486&gt;0,MAX(0,W486*(1+$G$55)-$H$55),0)</f>
        <v/>
      </c>
      <c r="V487">
        <f>MAX(0,R487-Q487)</f>
        <v/>
      </c>
      <c r="W487">
        <f>IF(U487-V487&gt;1E-9,U487-V487,0)</f>
        <v/>
      </c>
      <c r="X487">
        <f>W486*$G$55</f>
        <v/>
      </c>
      <c r="Y487">
        <f>IF(Y486&gt;1E-9,IF(Y486*(1+$G$51)-MAX($B$9,0.01*Y486+Y486*$G$51)&gt;1E-9,Y486*(1+$G$51)-MAX($B$9,0.01*Y486+Y486*$G$51),0),0)</f>
        <v/>
      </c>
      <c r="Z487">
        <f>Y486*$G$51</f>
        <v/>
      </c>
      <c r="AA487">
        <f>IF(AA486&gt;1E-9,IF(AA486*(1+$G$52)-MAX($B$9,0.01*AA486+AA486*$G$52)&gt;1E-9,AA486*(1+$G$52)-MAX($B$9,0.01*AA486+AA486*$G$52),0),0)</f>
        <v/>
      </c>
      <c r="AB487">
        <f>AA486*$G$52</f>
        <v/>
      </c>
      <c r="AC487">
        <f>IF(AC486&gt;1E-9,IF(AC486*(1+$G$53)-MAX($B$9,0.01*AC486+AC486*$G$53)&gt;1E-9,AC486*(1+$G$53)-MAX($B$9,0.01*AC486+AC486*$G$53),0),0)</f>
        <v/>
      </c>
      <c r="AD487">
        <f>AC486*$G$53</f>
        <v/>
      </c>
      <c r="AE487">
        <f>IF(AE486&gt;1E-9,IF(AE486*(1+$G$54)-MAX($B$9,0.01*AE486+AE486*$G$54)&gt;1E-9,AE486*(1+$G$54)-MAX($B$9,0.01*AE486+AE486*$G$54),0),0)</f>
        <v/>
      </c>
      <c r="AF487">
        <f>AE486*$G$54</f>
        <v/>
      </c>
      <c r="AG487">
        <f>IF(AG486&gt;1E-9,IF(AG486*(1+$G$55)-MAX($B$9,0.01*AG486+AG486*$G$55)&gt;1E-9,AG486*(1+$G$55)-MAX($B$9,0.01*AG486+AG486*$G$55),0),0)</f>
        <v/>
      </c>
      <c r="AH487">
        <f>AG486*$G$55</f>
        <v/>
      </c>
      <c r="AI487">
        <f>G487+K487+O487+S487+W487</f>
        <v/>
      </c>
      <c r="AJ487">
        <f>AI486+AK487-AI487</f>
        <v/>
      </c>
      <c r="AK487">
        <f>H487+L487+P487+T487+X487</f>
        <v/>
      </c>
      <c r="AL487">
        <f>TEXT(EDATE($B$5,D487-1),"mmm yyyy")</f>
        <v/>
      </c>
      <c r="AM487">
        <f>AI487</f>
        <v/>
      </c>
    </row>
    <row r="488">
      <c r="D488" t="n">
        <v>427</v>
      </c>
      <c r="E488">
        <f>IF(G487&gt;0,MAX(0,G487*(1+$G$51)-$H$51),0)</f>
        <v/>
      </c>
      <c r="F488">
        <f>$B$6+IF($D488=$B$8,$B$7,0)</f>
        <v/>
      </c>
      <c r="G488">
        <f>IF(E488-F488&gt;1E-9,E488-F488,0)</f>
        <v/>
      </c>
      <c r="H488">
        <f>G487*$G$51</f>
        <v/>
      </c>
      <c r="I488">
        <f>IF(K487&gt;0,MAX(0,K487*(1+$G$52)-$H$52),0)</f>
        <v/>
      </c>
      <c r="J488">
        <f>MAX(0,F488-E488)</f>
        <v/>
      </c>
      <c r="K488">
        <f>IF(I488-J488&gt;1E-9,I488-J488,0)</f>
        <v/>
      </c>
      <c r="L488">
        <f>K487*$G$52</f>
        <v/>
      </c>
      <c r="M488">
        <f>IF(O487&gt;0,MAX(0,O487*(1+$G$53)-$H$53),0)</f>
        <v/>
      </c>
      <c r="N488">
        <f>MAX(0,J488-I488)</f>
        <v/>
      </c>
      <c r="O488">
        <f>IF(M488-N488&gt;1E-9,M488-N488,0)</f>
        <v/>
      </c>
      <c r="P488">
        <f>O487*$G$53</f>
        <v/>
      </c>
      <c r="Q488">
        <f>IF(S487&gt;0,MAX(0,S487*(1+$G$54)-$H$54),0)</f>
        <v/>
      </c>
      <c r="R488">
        <f>MAX(0,N488-M488)</f>
        <v/>
      </c>
      <c r="S488">
        <f>IF(Q488-R488&gt;1E-9,Q488-R488,0)</f>
        <v/>
      </c>
      <c r="T488">
        <f>S487*$G$54</f>
        <v/>
      </c>
      <c r="U488">
        <f>IF(W487&gt;0,MAX(0,W487*(1+$G$55)-$H$55),0)</f>
        <v/>
      </c>
      <c r="V488">
        <f>MAX(0,R488-Q488)</f>
        <v/>
      </c>
      <c r="W488">
        <f>IF(U488-V488&gt;1E-9,U488-V488,0)</f>
        <v/>
      </c>
      <c r="X488">
        <f>W487*$G$55</f>
        <v/>
      </c>
      <c r="Y488">
        <f>IF(Y487&gt;1E-9,IF(Y487*(1+$G$51)-MAX($B$9,0.01*Y487+Y487*$G$51)&gt;1E-9,Y487*(1+$G$51)-MAX($B$9,0.01*Y487+Y487*$G$51),0),0)</f>
        <v/>
      </c>
      <c r="Z488">
        <f>Y487*$G$51</f>
        <v/>
      </c>
      <c r="AA488">
        <f>IF(AA487&gt;1E-9,IF(AA487*(1+$G$52)-MAX($B$9,0.01*AA487+AA487*$G$52)&gt;1E-9,AA487*(1+$G$52)-MAX($B$9,0.01*AA487+AA487*$G$52),0),0)</f>
        <v/>
      </c>
      <c r="AB488">
        <f>AA487*$G$52</f>
        <v/>
      </c>
      <c r="AC488">
        <f>IF(AC487&gt;1E-9,IF(AC487*(1+$G$53)-MAX($B$9,0.01*AC487+AC487*$G$53)&gt;1E-9,AC487*(1+$G$53)-MAX($B$9,0.01*AC487+AC487*$G$53),0),0)</f>
        <v/>
      </c>
      <c r="AD488">
        <f>AC487*$G$53</f>
        <v/>
      </c>
      <c r="AE488">
        <f>IF(AE487&gt;1E-9,IF(AE487*(1+$G$54)-MAX($B$9,0.01*AE487+AE487*$G$54)&gt;1E-9,AE487*(1+$G$54)-MAX($B$9,0.01*AE487+AE487*$G$54),0),0)</f>
        <v/>
      </c>
      <c r="AF488">
        <f>AE487*$G$54</f>
        <v/>
      </c>
      <c r="AG488">
        <f>IF(AG487&gt;1E-9,IF(AG487*(1+$G$55)-MAX($B$9,0.01*AG487+AG487*$G$55)&gt;1E-9,AG487*(1+$G$55)-MAX($B$9,0.01*AG487+AG487*$G$55),0),0)</f>
        <v/>
      </c>
      <c r="AH488">
        <f>AG487*$G$55</f>
        <v/>
      </c>
      <c r="AI488">
        <f>G488+K488+O488+S488+W488</f>
        <v/>
      </c>
      <c r="AJ488">
        <f>AI487+AK488-AI488</f>
        <v/>
      </c>
      <c r="AK488">
        <f>H488+L488+P488+T488+X488</f>
        <v/>
      </c>
      <c r="AL488">
        <f>TEXT(EDATE($B$5,D488-1),"mmm yyyy")</f>
        <v/>
      </c>
      <c r="AM488">
        <f>AI488</f>
        <v/>
      </c>
    </row>
    <row r="489">
      <c r="D489" t="n">
        <v>428</v>
      </c>
      <c r="E489">
        <f>IF(G488&gt;0,MAX(0,G488*(1+$G$51)-$H$51),0)</f>
        <v/>
      </c>
      <c r="F489">
        <f>$B$6+IF($D489=$B$8,$B$7,0)</f>
        <v/>
      </c>
      <c r="G489">
        <f>IF(E489-F489&gt;1E-9,E489-F489,0)</f>
        <v/>
      </c>
      <c r="H489">
        <f>G488*$G$51</f>
        <v/>
      </c>
      <c r="I489">
        <f>IF(K488&gt;0,MAX(0,K488*(1+$G$52)-$H$52),0)</f>
        <v/>
      </c>
      <c r="J489">
        <f>MAX(0,F489-E489)</f>
        <v/>
      </c>
      <c r="K489">
        <f>IF(I489-J489&gt;1E-9,I489-J489,0)</f>
        <v/>
      </c>
      <c r="L489">
        <f>K488*$G$52</f>
        <v/>
      </c>
      <c r="M489">
        <f>IF(O488&gt;0,MAX(0,O488*(1+$G$53)-$H$53),0)</f>
        <v/>
      </c>
      <c r="N489">
        <f>MAX(0,J489-I489)</f>
        <v/>
      </c>
      <c r="O489">
        <f>IF(M489-N489&gt;1E-9,M489-N489,0)</f>
        <v/>
      </c>
      <c r="P489">
        <f>O488*$G$53</f>
        <v/>
      </c>
      <c r="Q489">
        <f>IF(S488&gt;0,MAX(0,S488*(1+$G$54)-$H$54),0)</f>
        <v/>
      </c>
      <c r="R489">
        <f>MAX(0,N489-M489)</f>
        <v/>
      </c>
      <c r="S489">
        <f>IF(Q489-R489&gt;1E-9,Q489-R489,0)</f>
        <v/>
      </c>
      <c r="T489">
        <f>S488*$G$54</f>
        <v/>
      </c>
      <c r="U489">
        <f>IF(W488&gt;0,MAX(0,W488*(1+$G$55)-$H$55),0)</f>
        <v/>
      </c>
      <c r="V489">
        <f>MAX(0,R489-Q489)</f>
        <v/>
      </c>
      <c r="W489">
        <f>IF(U489-V489&gt;1E-9,U489-V489,0)</f>
        <v/>
      </c>
      <c r="X489">
        <f>W488*$G$55</f>
        <v/>
      </c>
      <c r="Y489">
        <f>IF(Y488&gt;1E-9,IF(Y488*(1+$G$51)-MAX($B$9,0.01*Y488+Y488*$G$51)&gt;1E-9,Y488*(1+$G$51)-MAX($B$9,0.01*Y488+Y488*$G$51),0),0)</f>
        <v/>
      </c>
      <c r="Z489">
        <f>Y488*$G$51</f>
        <v/>
      </c>
      <c r="AA489">
        <f>IF(AA488&gt;1E-9,IF(AA488*(1+$G$52)-MAX($B$9,0.01*AA488+AA488*$G$52)&gt;1E-9,AA488*(1+$G$52)-MAX($B$9,0.01*AA488+AA488*$G$52),0),0)</f>
        <v/>
      </c>
      <c r="AB489">
        <f>AA488*$G$52</f>
        <v/>
      </c>
      <c r="AC489">
        <f>IF(AC488&gt;1E-9,IF(AC488*(1+$G$53)-MAX($B$9,0.01*AC488+AC488*$G$53)&gt;1E-9,AC488*(1+$G$53)-MAX($B$9,0.01*AC488+AC488*$G$53),0),0)</f>
        <v/>
      </c>
      <c r="AD489">
        <f>AC488*$G$53</f>
        <v/>
      </c>
      <c r="AE489">
        <f>IF(AE488&gt;1E-9,IF(AE488*(1+$G$54)-MAX($B$9,0.01*AE488+AE488*$G$54)&gt;1E-9,AE488*(1+$G$54)-MAX($B$9,0.01*AE488+AE488*$G$54),0),0)</f>
        <v/>
      </c>
      <c r="AF489">
        <f>AE488*$G$54</f>
        <v/>
      </c>
      <c r="AG489">
        <f>IF(AG488&gt;1E-9,IF(AG488*(1+$G$55)-MAX($B$9,0.01*AG488+AG488*$G$55)&gt;1E-9,AG488*(1+$G$55)-MAX($B$9,0.01*AG488+AG488*$G$55),0),0)</f>
        <v/>
      </c>
      <c r="AH489">
        <f>AG488*$G$55</f>
        <v/>
      </c>
      <c r="AI489">
        <f>G489+K489+O489+S489+W489</f>
        <v/>
      </c>
      <c r="AJ489">
        <f>AI488+AK489-AI489</f>
        <v/>
      </c>
      <c r="AK489">
        <f>H489+L489+P489+T489+X489</f>
        <v/>
      </c>
      <c r="AL489">
        <f>TEXT(EDATE($B$5,D489-1),"mmm yyyy")</f>
        <v/>
      </c>
      <c r="AM489">
        <f>AI489</f>
        <v/>
      </c>
    </row>
    <row r="490">
      <c r="D490" t="n">
        <v>429</v>
      </c>
      <c r="E490">
        <f>IF(G489&gt;0,MAX(0,G489*(1+$G$51)-$H$51),0)</f>
        <v/>
      </c>
      <c r="F490">
        <f>$B$6+IF($D490=$B$8,$B$7,0)</f>
        <v/>
      </c>
      <c r="G490">
        <f>IF(E490-F490&gt;1E-9,E490-F490,0)</f>
        <v/>
      </c>
      <c r="H490">
        <f>G489*$G$51</f>
        <v/>
      </c>
      <c r="I490">
        <f>IF(K489&gt;0,MAX(0,K489*(1+$G$52)-$H$52),0)</f>
        <v/>
      </c>
      <c r="J490">
        <f>MAX(0,F490-E490)</f>
        <v/>
      </c>
      <c r="K490">
        <f>IF(I490-J490&gt;1E-9,I490-J490,0)</f>
        <v/>
      </c>
      <c r="L490">
        <f>K489*$G$52</f>
        <v/>
      </c>
      <c r="M490">
        <f>IF(O489&gt;0,MAX(0,O489*(1+$G$53)-$H$53),0)</f>
        <v/>
      </c>
      <c r="N490">
        <f>MAX(0,J490-I490)</f>
        <v/>
      </c>
      <c r="O490">
        <f>IF(M490-N490&gt;1E-9,M490-N490,0)</f>
        <v/>
      </c>
      <c r="P490">
        <f>O489*$G$53</f>
        <v/>
      </c>
      <c r="Q490">
        <f>IF(S489&gt;0,MAX(0,S489*(1+$G$54)-$H$54),0)</f>
        <v/>
      </c>
      <c r="R490">
        <f>MAX(0,N490-M490)</f>
        <v/>
      </c>
      <c r="S490">
        <f>IF(Q490-R490&gt;1E-9,Q490-R490,0)</f>
        <v/>
      </c>
      <c r="T490">
        <f>S489*$G$54</f>
        <v/>
      </c>
      <c r="U490">
        <f>IF(W489&gt;0,MAX(0,W489*(1+$G$55)-$H$55),0)</f>
        <v/>
      </c>
      <c r="V490">
        <f>MAX(0,R490-Q490)</f>
        <v/>
      </c>
      <c r="W490">
        <f>IF(U490-V490&gt;1E-9,U490-V490,0)</f>
        <v/>
      </c>
      <c r="X490">
        <f>W489*$G$55</f>
        <v/>
      </c>
      <c r="Y490">
        <f>IF(Y489&gt;1E-9,IF(Y489*(1+$G$51)-MAX($B$9,0.01*Y489+Y489*$G$51)&gt;1E-9,Y489*(1+$G$51)-MAX($B$9,0.01*Y489+Y489*$G$51),0),0)</f>
        <v/>
      </c>
      <c r="Z490">
        <f>Y489*$G$51</f>
        <v/>
      </c>
      <c r="AA490">
        <f>IF(AA489&gt;1E-9,IF(AA489*(1+$G$52)-MAX($B$9,0.01*AA489+AA489*$G$52)&gt;1E-9,AA489*(1+$G$52)-MAX($B$9,0.01*AA489+AA489*$G$52),0),0)</f>
        <v/>
      </c>
      <c r="AB490">
        <f>AA489*$G$52</f>
        <v/>
      </c>
      <c r="AC490">
        <f>IF(AC489&gt;1E-9,IF(AC489*(1+$G$53)-MAX($B$9,0.01*AC489+AC489*$G$53)&gt;1E-9,AC489*(1+$G$53)-MAX($B$9,0.01*AC489+AC489*$G$53),0),0)</f>
        <v/>
      </c>
      <c r="AD490">
        <f>AC489*$G$53</f>
        <v/>
      </c>
      <c r="AE490">
        <f>IF(AE489&gt;1E-9,IF(AE489*(1+$G$54)-MAX($B$9,0.01*AE489+AE489*$G$54)&gt;1E-9,AE489*(1+$G$54)-MAX($B$9,0.01*AE489+AE489*$G$54),0),0)</f>
        <v/>
      </c>
      <c r="AF490">
        <f>AE489*$G$54</f>
        <v/>
      </c>
      <c r="AG490">
        <f>IF(AG489&gt;1E-9,IF(AG489*(1+$G$55)-MAX($B$9,0.01*AG489+AG489*$G$55)&gt;1E-9,AG489*(1+$G$55)-MAX($B$9,0.01*AG489+AG489*$G$55),0),0)</f>
        <v/>
      </c>
      <c r="AH490">
        <f>AG489*$G$55</f>
        <v/>
      </c>
      <c r="AI490">
        <f>G490+K490+O490+S490+W490</f>
        <v/>
      </c>
      <c r="AJ490">
        <f>AI489+AK490-AI490</f>
        <v/>
      </c>
      <c r="AK490">
        <f>H490+L490+P490+T490+X490</f>
        <v/>
      </c>
      <c r="AL490">
        <f>TEXT(EDATE($B$5,D490-1),"mmm yyyy")</f>
        <v/>
      </c>
      <c r="AM490">
        <f>AI490</f>
        <v/>
      </c>
    </row>
    <row r="491">
      <c r="D491" t="n">
        <v>430</v>
      </c>
      <c r="E491">
        <f>IF(G490&gt;0,MAX(0,G490*(1+$G$51)-$H$51),0)</f>
        <v/>
      </c>
      <c r="F491">
        <f>$B$6+IF($D491=$B$8,$B$7,0)</f>
        <v/>
      </c>
      <c r="G491">
        <f>IF(E491-F491&gt;1E-9,E491-F491,0)</f>
        <v/>
      </c>
      <c r="H491">
        <f>G490*$G$51</f>
        <v/>
      </c>
      <c r="I491">
        <f>IF(K490&gt;0,MAX(0,K490*(1+$G$52)-$H$52),0)</f>
        <v/>
      </c>
      <c r="J491">
        <f>MAX(0,F491-E491)</f>
        <v/>
      </c>
      <c r="K491">
        <f>IF(I491-J491&gt;1E-9,I491-J491,0)</f>
        <v/>
      </c>
      <c r="L491">
        <f>K490*$G$52</f>
        <v/>
      </c>
      <c r="M491">
        <f>IF(O490&gt;0,MAX(0,O490*(1+$G$53)-$H$53),0)</f>
        <v/>
      </c>
      <c r="N491">
        <f>MAX(0,J491-I491)</f>
        <v/>
      </c>
      <c r="O491">
        <f>IF(M491-N491&gt;1E-9,M491-N491,0)</f>
        <v/>
      </c>
      <c r="P491">
        <f>O490*$G$53</f>
        <v/>
      </c>
      <c r="Q491">
        <f>IF(S490&gt;0,MAX(0,S490*(1+$G$54)-$H$54),0)</f>
        <v/>
      </c>
      <c r="R491">
        <f>MAX(0,N491-M491)</f>
        <v/>
      </c>
      <c r="S491">
        <f>IF(Q491-R491&gt;1E-9,Q491-R491,0)</f>
        <v/>
      </c>
      <c r="T491">
        <f>S490*$G$54</f>
        <v/>
      </c>
      <c r="U491">
        <f>IF(W490&gt;0,MAX(0,W490*(1+$G$55)-$H$55),0)</f>
        <v/>
      </c>
      <c r="V491">
        <f>MAX(0,R491-Q491)</f>
        <v/>
      </c>
      <c r="W491">
        <f>IF(U491-V491&gt;1E-9,U491-V491,0)</f>
        <v/>
      </c>
      <c r="X491">
        <f>W490*$G$55</f>
        <v/>
      </c>
      <c r="Y491">
        <f>IF(Y490&gt;1E-9,IF(Y490*(1+$G$51)-MAX($B$9,0.01*Y490+Y490*$G$51)&gt;1E-9,Y490*(1+$G$51)-MAX($B$9,0.01*Y490+Y490*$G$51),0),0)</f>
        <v/>
      </c>
      <c r="Z491">
        <f>Y490*$G$51</f>
        <v/>
      </c>
      <c r="AA491">
        <f>IF(AA490&gt;1E-9,IF(AA490*(1+$G$52)-MAX($B$9,0.01*AA490+AA490*$G$52)&gt;1E-9,AA490*(1+$G$52)-MAX($B$9,0.01*AA490+AA490*$G$52),0),0)</f>
        <v/>
      </c>
      <c r="AB491">
        <f>AA490*$G$52</f>
        <v/>
      </c>
      <c r="AC491">
        <f>IF(AC490&gt;1E-9,IF(AC490*(1+$G$53)-MAX($B$9,0.01*AC490+AC490*$G$53)&gt;1E-9,AC490*(1+$G$53)-MAX($B$9,0.01*AC490+AC490*$G$53),0),0)</f>
        <v/>
      </c>
      <c r="AD491">
        <f>AC490*$G$53</f>
        <v/>
      </c>
      <c r="AE491">
        <f>IF(AE490&gt;1E-9,IF(AE490*(1+$G$54)-MAX($B$9,0.01*AE490+AE490*$G$54)&gt;1E-9,AE490*(1+$G$54)-MAX($B$9,0.01*AE490+AE490*$G$54),0),0)</f>
        <v/>
      </c>
      <c r="AF491">
        <f>AE490*$G$54</f>
        <v/>
      </c>
      <c r="AG491">
        <f>IF(AG490&gt;1E-9,IF(AG490*(1+$G$55)-MAX($B$9,0.01*AG490+AG490*$G$55)&gt;1E-9,AG490*(1+$G$55)-MAX($B$9,0.01*AG490+AG490*$G$55),0),0)</f>
        <v/>
      </c>
      <c r="AH491">
        <f>AG490*$G$55</f>
        <v/>
      </c>
      <c r="AI491">
        <f>G491+K491+O491+S491+W491</f>
        <v/>
      </c>
      <c r="AJ491">
        <f>AI490+AK491-AI491</f>
        <v/>
      </c>
      <c r="AK491">
        <f>H491+L491+P491+T491+X491</f>
        <v/>
      </c>
      <c r="AL491">
        <f>TEXT(EDATE($B$5,D491-1),"mmm yyyy")</f>
        <v/>
      </c>
      <c r="AM491">
        <f>AI491</f>
        <v/>
      </c>
    </row>
    <row r="492">
      <c r="D492" t="n">
        <v>431</v>
      </c>
      <c r="E492">
        <f>IF(G491&gt;0,MAX(0,G491*(1+$G$51)-$H$51),0)</f>
        <v/>
      </c>
      <c r="F492">
        <f>$B$6+IF($D492=$B$8,$B$7,0)</f>
        <v/>
      </c>
      <c r="G492">
        <f>IF(E492-F492&gt;1E-9,E492-F492,0)</f>
        <v/>
      </c>
      <c r="H492">
        <f>G491*$G$51</f>
        <v/>
      </c>
      <c r="I492">
        <f>IF(K491&gt;0,MAX(0,K491*(1+$G$52)-$H$52),0)</f>
        <v/>
      </c>
      <c r="J492">
        <f>MAX(0,F492-E492)</f>
        <v/>
      </c>
      <c r="K492">
        <f>IF(I492-J492&gt;1E-9,I492-J492,0)</f>
        <v/>
      </c>
      <c r="L492">
        <f>K491*$G$52</f>
        <v/>
      </c>
      <c r="M492">
        <f>IF(O491&gt;0,MAX(0,O491*(1+$G$53)-$H$53),0)</f>
        <v/>
      </c>
      <c r="N492">
        <f>MAX(0,J492-I492)</f>
        <v/>
      </c>
      <c r="O492">
        <f>IF(M492-N492&gt;1E-9,M492-N492,0)</f>
        <v/>
      </c>
      <c r="P492">
        <f>O491*$G$53</f>
        <v/>
      </c>
      <c r="Q492">
        <f>IF(S491&gt;0,MAX(0,S491*(1+$G$54)-$H$54),0)</f>
        <v/>
      </c>
      <c r="R492">
        <f>MAX(0,N492-M492)</f>
        <v/>
      </c>
      <c r="S492">
        <f>IF(Q492-R492&gt;1E-9,Q492-R492,0)</f>
        <v/>
      </c>
      <c r="T492">
        <f>S491*$G$54</f>
        <v/>
      </c>
      <c r="U492">
        <f>IF(W491&gt;0,MAX(0,W491*(1+$G$55)-$H$55),0)</f>
        <v/>
      </c>
      <c r="V492">
        <f>MAX(0,R492-Q492)</f>
        <v/>
      </c>
      <c r="W492">
        <f>IF(U492-V492&gt;1E-9,U492-V492,0)</f>
        <v/>
      </c>
      <c r="X492">
        <f>W491*$G$55</f>
        <v/>
      </c>
      <c r="Y492">
        <f>IF(Y491&gt;1E-9,IF(Y491*(1+$G$51)-MAX($B$9,0.01*Y491+Y491*$G$51)&gt;1E-9,Y491*(1+$G$51)-MAX($B$9,0.01*Y491+Y491*$G$51),0),0)</f>
        <v/>
      </c>
      <c r="Z492">
        <f>Y491*$G$51</f>
        <v/>
      </c>
      <c r="AA492">
        <f>IF(AA491&gt;1E-9,IF(AA491*(1+$G$52)-MAX($B$9,0.01*AA491+AA491*$G$52)&gt;1E-9,AA491*(1+$G$52)-MAX($B$9,0.01*AA491+AA491*$G$52),0),0)</f>
        <v/>
      </c>
      <c r="AB492">
        <f>AA491*$G$52</f>
        <v/>
      </c>
      <c r="AC492">
        <f>IF(AC491&gt;1E-9,IF(AC491*(1+$G$53)-MAX($B$9,0.01*AC491+AC491*$G$53)&gt;1E-9,AC491*(1+$G$53)-MAX($B$9,0.01*AC491+AC491*$G$53),0),0)</f>
        <v/>
      </c>
      <c r="AD492">
        <f>AC491*$G$53</f>
        <v/>
      </c>
      <c r="AE492">
        <f>IF(AE491&gt;1E-9,IF(AE491*(1+$G$54)-MAX($B$9,0.01*AE491+AE491*$G$54)&gt;1E-9,AE491*(1+$G$54)-MAX($B$9,0.01*AE491+AE491*$G$54),0),0)</f>
        <v/>
      </c>
      <c r="AF492">
        <f>AE491*$G$54</f>
        <v/>
      </c>
      <c r="AG492">
        <f>IF(AG491&gt;1E-9,IF(AG491*(1+$G$55)-MAX($B$9,0.01*AG491+AG491*$G$55)&gt;1E-9,AG491*(1+$G$55)-MAX($B$9,0.01*AG491+AG491*$G$55),0),0)</f>
        <v/>
      </c>
      <c r="AH492">
        <f>AG491*$G$55</f>
        <v/>
      </c>
      <c r="AI492">
        <f>G492+K492+O492+S492+W492</f>
        <v/>
      </c>
      <c r="AJ492">
        <f>AI491+AK492-AI492</f>
        <v/>
      </c>
      <c r="AK492">
        <f>H492+L492+P492+T492+X492</f>
        <v/>
      </c>
      <c r="AL492">
        <f>TEXT(EDATE($B$5,D492-1),"mmm yyyy")</f>
        <v/>
      </c>
      <c r="AM492">
        <f>AI492</f>
        <v/>
      </c>
    </row>
    <row r="493">
      <c r="D493" t="n">
        <v>432</v>
      </c>
      <c r="E493">
        <f>IF(G492&gt;0,MAX(0,G492*(1+$G$51)-$H$51),0)</f>
        <v/>
      </c>
      <c r="F493">
        <f>$B$6+IF($D493=$B$8,$B$7,0)</f>
        <v/>
      </c>
      <c r="G493">
        <f>IF(E493-F493&gt;1E-9,E493-F493,0)</f>
        <v/>
      </c>
      <c r="H493">
        <f>G492*$G$51</f>
        <v/>
      </c>
      <c r="I493">
        <f>IF(K492&gt;0,MAX(0,K492*(1+$G$52)-$H$52),0)</f>
        <v/>
      </c>
      <c r="J493">
        <f>MAX(0,F493-E493)</f>
        <v/>
      </c>
      <c r="K493">
        <f>IF(I493-J493&gt;1E-9,I493-J493,0)</f>
        <v/>
      </c>
      <c r="L493">
        <f>K492*$G$52</f>
        <v/>
      </c>
      <c r="M493">
        <f>IF(O492&gt;0,MAX(0,O492*(1+$G$53)-$H$53),0)</f>
        <v/>
      </c>
      <c r="N493">
        <f>MAX(0,J493-I493)</f>
        <v/>
      </c>
      <c r="O493">
        <f>IF(M493-N493&gt;1E-9,M493-N493,0)</f>
        <v/>
      </c>
      <c r="P493">
        <f>O492*$G$53</f>
        <v/>
      </c>
      <c r="Q493">
        <f>IF(S492&gt;0,MAX(0,S492*(1+$G$54)-$H$54),0)</f>
        <v/>
      </c>
      <c r="R493">
        <f>MAX(0,N493-M493)</f>
        <v/>
      </c>
      <c r="S493">
        <f>IF(Q493-R493&gt;1E-9,Q493-R493,0)</f>
        <v/>
      </c>
      <c r="T493">
        <f>S492*$G$54</f>
        <v/>
      </c>
      <c r="U493">
        <f>IF(W492&gt;0,MAX(0,W492*(1+$G$55)-$H$55),0)</f>
        <v/>
      </c>
      <c r="V493">
        <f>MAX(0,R493-Q493)</f>
        <v/>
      </c>
      <c r="W493">
        <f>IF(U493-V493&gt;1E-9,U493-V493,0)</f>
        <v/>
      </c>
      <c r="X493">
        <f>W492*$G$55</f>
        <v/>
      </c>
      <c r="Y493">
        <f>IF(Y492&gt;1E-9,IF(Y492*(1+$G$51)-MAX($B$9,0.01*Y492+Y492*$G$51)&gt;1E-9,Y492*(1+$G$51)-MAX($B$9,0.01*Y492+Y492*$G$51),0),0)</f>
        <v/>
      </c>
      <c r="Z493">
        <f>Y492*$G$51</f>
        <v/>
      </c>
      <c r="AA493">
        <f>IF(AA492&gt;1E-9,IF(AA492*(1+$G$52)-MAX($B$9,0.01*AA492+AA492*$G$52)&gt;1E-9,AA492*(1+$G$52)-MAX($B$9,0.01*AA492+AA492*$G$52),0),0)</f>
        <v/>
      </c>
      <c r="AB493">
        <f>AA492*$G$52</f>
        <v/>
      </c>
      <c r="AC493">
        <f>IF(AC492&gt;1E-9,IF(AC492*(1+$G$53)-MAX($B$9,0.01*AC492+AC492*$G$53)&gt;1E-9,AC492*(1+$G$53)-MAX($B$9,0.01*AC492+AC492*$G$53),0),0)</f>
        <v/>
      </c>
      <c r="AD493">
        <f>AC492*$G$53</f>
        <v/>
      </c>
      <c r="AE493">
        <f>IF(AE492&gt;1E-9,IF(AE492*(1+$G$54)-MAX($B$9,0.01*AE492+AE492*$G$54)&gt;1E-9,AE492*(1+$G$54)-MAX($B$9,0.01*AE492+AE492*$G$54),0),0)</f>
        <v/>
      </c>
      <c r="AF493">
        <f>AE492*$G$54</f>
        <v/>
      </c>
      <c r="AG493">
        <f>IF(AG492&gt;1E-9,IF(AG492*(1+$G$55)-MAX($B$9,0.01*AG492+AG492*$G$55)&gt;1E-9,AG492*(1+$G$55)-MAX($B$9,0.01*AG492+AG492*$G$55),0),0)</f>
        <v/>
      </c>
      <c r="AH493">
        <f>AG492*$G$55</f>
        <v/>
      </c>
      <c r="AI493">
        <f>G493+K493+O493+S493+W493</f>
        <v/>
      </c>
      <c r="AJ493">
        <f>AI492+AK493-AI493</f>
        <v/>
      </c>
      <c r="AK493">
        <f>H493+L493+P493+T493+X493</f>
        <v/>
      </c>
      <c r="AL493">
        <f>TEXT(EDATE($B$5,D493-1),"mmm yyyy")</f>
        <v/>
      </c>
      <c r="AM493">
        <f>AI493</f>
        <v/>
      </c>
    </row>
    <row r="494">
      <c r="D494" t="n">
        <v>433</v>
      </c>
      <c r="E494">
        <f>IF(G493&gt;0,MAX(0,G493*(1+$G$51)-$H$51),0)</f>
        <v/>
      </c>
      <c r="F494">
        <f>$B$6+IF($D494=$B$8,$B$7,0)</f>
        <v/>
      </c>
      <c r="G494">
        <f>IF(E494-F494&gt;1E-9,E494-F494,0)</f>
        <v/>
      </c>
      <c r="H494">
        <f>G493*$G$51</f>
        <v/>
      </c>
      <c r="I494">
        <f>IF(K493&gt;0,MAX(0,K493*(1+$G$52)-$H$52),0)</f>
        <v/>
      </c>
      <c r="J494">
        <f>MAX(0,F494-E494)</f>
        <v/>
      </c>
      <c r="K494">
        <f>IF(I494-J494&gt;1E-9,I494-J494,0)</f>
        <v/>
      </c>
      <c r="L494">
        <f>K493*$G$52</f>
        <v/>
      </c>
      <c r="M494">
        <f>IF(O493&gt;0,MAX(0,O493*(1+$G$53)-$H$53),0)</f>
        <v/>
      </c>
      <c r="N494">
        <f>MAX(0,J494-I494)</f>
        <v/>
      </c>
      <c r="O494">
        <f>IF(M494-N494&gt;1E-9,M494-N494,0)</f>
        <v/>
      </c>
      <c r="P494">
        <f>O493*$G$53</f>
        <v/>
      </c>
      <c r="Q494">
        <f>IF(S493&gt;0,MAX(0,S493*(1+$G$54)-$H$54),0)</f>
        <v/>
      </c>
      <c r="R494">
        <f>MAX(0,N494-M494)</f>
        <v/>
      </c>
      <c r="S494">
        <f>IF(Q494-R494&gt;1E-9,Q494-R494,0)</f>
        <v/>
      </c>
      <c r="T494">
        <f>S493*$G$54</f>
        <v/>
      </c>
      <c r="U494">
        <f>IF(W493&gt;0,MAX(0,W493*(1+$G$55)-$H$55),0)</f>
        <v/>
      </c>
      <c r="V494">
        <f>MAX(0,R494-Q494)</f>
        <v/>
      </c>
      <c r="W494">
        <f>IF(U494-V494&gt;1E-9,U494-V494,0)</f>
        <v/>
      </c>
      <c r="X494">
        <f>W493*$G$55</f>
        <v/>
      </c>
      <c r="Y494">
        <f>IF(Y493&gt;1E-9,IF(Y493*(1+$G$51)-MAX($B$9,0.01*Y493+Y493*$G$51)&gt;1E-9,Y493*(1+$G$51)-MAX($B$9,0.01*Y493+Y493*$G$51),0),0)</f>
        <v/>
      </c>
      <c r="Z494">
        <f>Y493*$G$51</f>
        <v/>
      </c>
      <c r="AA494">
        <f>IF(AA493&gt;1E-9,IF(AA493*(1+$G$52)-MAX($B$9,0.01*AA493+AA493*$G$52)&gt;1E-9,AA493*(1+$G$52)-MAX($B$9,0.01*AA493+AA493*$G$52),0),0)</f>
        <v/>
      </c>
      <c r="AB494">
        <f>AA493*$G$52</f>
        <v/>
      </c>
      <c r="AC494">
        <f>IF(AC493&gt;1E-9,IF(AC493*(1+$G$53)-MAX($B$9,0.01*AC493+AC493*$G$53)&gt;1E-9,AC493*(1+$G$53)-MAX($B$9,0.01*AC493+AC493*$G$53),0),0)</f>
        <v/>
      </c>
      <c r="AD494">
        <f>AC493*$G$53</f>
        <v/>
      </c>
      <c r="AE494">
        <f>IF(AE493&gt;1E-9,IF(AE493*(1+$G$54)-MAX($B$9,0.01*AE493+AE493*$G$54)&gt;1E-9,AE493*(1+$G$54)-MAX($B$9,0.01*AE493+AE493*$G$54),0),0)</f>
        <v/>
      </c>
      <c r="AF494">
        <f>AE493*$G$54</f>
        <v/>
      </c>
      <c r="AG494">
        <f>IF(AG493&gt;1E-9,IF(AG493*(1+$G$55)-MAX($B$9,0.01*AG493+AG493*$G$55)&gt;1E-9,AG493*(1+$G$55)-MAX($B$9,0.01*AG493+AG493*$G$55),0),0)</f>
        <v/>
      </c>
      <c r="AH494">
        <f>AG493*$G$55</f>
        <v/>
      </c>
      <c r="AI494">
        <f>G494+K494+O494+S494+W494</f>
        <v/>
      </c>
      <c r="AJ494">
        <f>AI493+AK494-AI494</f>
        <v/>
      </c>
      <c r="AK494">
        <f>H494+L494+P494+T494+X494</f>
        <v/>
      </c>
      <c r="AL494">
        <f>TEXT(EDATE($B$5,D494-1),"mmm yyyy")</f>
        <v/>
      </c>
      <c r="AM494">
        <f>AI494</f>
        <v/>
      </c>
    </row>
    <row r="495">
      <c r="D495" t="n">
        <v>434</v>
      </c>
      <c r="E495">
        <f>IF(G494&gt;0,MAX(0,G494*(1+$G$51)-$H$51),0)</f>
        <v/>
      </c>
      <c r="F495">
        <f>$B$6+IF($D495=$B$8,$B$7,0)</f>
        <v/>
      </c>
      <c r="G495">
        <f>IF(E495-F495&gt;1E-9,E495-F495,0)</f>
        <v/>
      </c>
      <c r="H495">
        <f>G494*$G$51</f>
        <v/>
      </c>
      <c r="I495">
        <f>IF(K494&gt;0,MAX(0,K494*(1+$G$52)-$H$52),0)</f>
        <v/>
      </c>
      <c r="J495">
        <f>MAX(0,F495-E495)</f>
        <v/>
      </c>
      <c r="K495">
        <f>IF(I495-J495&gt;1E-9,I495-J495,0)</f>
        <v/>
      </c>
      <c r="L495">
        <f>K494*$G$52</f>
        <v/>
      </c>
      <c r="M495">
        <f>IF(O494&gt;0,MAX(0,O494*(1+$G$53)-$H$53),0)</f>
        <v/>
      </c>
      <c r="N495">
        <f>MAX(0,J495-I495)</f>
        <v/>
      </c>
      <c r="O495">
        <f>IF(M495-N495&gt;1E-9,M495-N495,0)</f>
        <v/>
      </c>
      <c r="P495">
        <f>O494*$G$53</f>
        <v/>
      </c>
      <c r="Q495">
        <f>IF(S494&gt;0,MAX(0,S494*(1+$G$54)-$H$54),0)</f>
        <v/>
      </c>
      <c r="R495">
        <f>MAX(0,N495-M495)</f>
        <v/>
      </c>
      <c r="S495">
        <f>IF(Q495-R495&gt;1E-9,Q495-R495,0)</f>
        <v/>
      </c>
      <c r="T495">
        <f>S494*$G$54</f>
        <v/>
      </c>
      <c r="U495">
        <f>IF(W494&gt;0,MAX(0,W494*(1+$G$55)-$H$55),0)</f>
        <v/>
      </c>
      <c r="V495">
        <f>MAX(0,R495-Q495)</f>
        <v/>
      </c>
      <c r="W495">
        <f>IF(U495-V495&gt;1E-9,U495-V495,0)</f>
        <v/>
      </c>
      <c r="X495">
        <f>W494*$G$55</f>
        <v/>
      </c>
      <c r="Y495">
        <f>IF(Y494&gt;1E-9,IF(Y494*(1+$G$51)-MAX($B$9,0.01*Y494+Y494*$G$51)&gt;1E-9,Y494*(1+$G$51)-MAX($B$9,0.01*Y494+Y494*$G$51),0),0)</f>
        <v/>
      </c>
      <c r="Z495">
        <f>Y494*$G$51</f>
        <v/>
      </c>
      <c r="AA495">
        <f>IF(AA494&gt;1E-9,IF(AA494*(1+$G$52)-MAX($B$9,0.01*AA494+AA494*$G$52)&gt;1E-9,AA494*(1+$G$52)-MAX($B$9,0.01*AA494+AA494*$G$52),0),0)</f>
        <v/>
      </c>
      <c r="AB495">
        <f>AA494*$G$52</f>
        <v/>
      </c>
      <c r="AC495">
        <f>IF(AC494&gt;1E-9,IF(AC494*(1+$G$53)-MAX($B$9,0.01*AC494+AC494*$G$53)&gt;1E-9,AC494*(1+$G$53)-MAX($B$9,0.01*AC494+AC494*$G$53),0),0)</f>
        <v/>
      </c>
      <c r="AD495">
        <f>AC494*$G$53</f>
        <v/>
      </c>
      <c r="AE495">
        <f>IF(AE494&gt;1E-9,IF(AE494*(1+$G$54)-MAX($B$9,0.01*AE494+AE494*$G$54)&gt;1E-9,AE494*(1+$G$54)-MAX($B$9,0.01*AE494+AE494*$G$54),0),0)</f>
        <v/>
      </c>
      <c r="AF495">
        <f>AE494*$G$54</f>
        <v/>
      </c>
      <c r="AG495">
        <f>IF(AG494&gt;1E-9,IF(AG494*(1+$G$55)-MAX($B$9,0.01*AG494+AG494*$G$55)&gt;1E-9,AG494*(1+$G$55)-MAX($B$9,0.01*AG494+AG494*$G$55),0),0)</f>
        <v/>
      </c>
      <c r="AH495">
        <f>AG494*$G$55</f>
        <v/>
      </c>
      <c r="AI495">
        <f>G495+K495+O495+S495+W495</f>
        <v/>
      </c>
      <c r="AJ495">
        <f>AI494+AK495-AI495</f>
        <v/>
      </c>
      <c r="AK495">
        <f>H495+L495+P495+T495+X495</f>
        <v/>
      </c>
      <c r="AL495">
        <f>TEXT(EDATE($B$5,D495-1),"mmm yyyy")</f>
        <v/>
      </c>
      <c r="AM495">
        <f>AI495</f>
        <v/>
      </c>
    </row>
    <row r="496">
      <c r="D496" t="n">
        <v>435</v>
      </c>
      <c r="E496">
        <f>IF(G495&gt;0,MAX(0,G495*(1+$G$51)-$H$51),0)</f>
        <v/>
      </c>
      <c r="F496">
        <f>$B$6+IF($D496=$B$8,$B$7,0)</f>
        <v/>
      </c>
      <c r="G496">
        <f>IF(E496-F496&gt;1E-9,E496-F496,0)</f>
        <v/>
      </c>
      <c r="H496">
        <f>G495*$G$51</f>
        <v/>
      </c>
      <c r="I496">
        <f>IF(K495&gt;0,MAX(0,K495*(1+$G$52)-$H$52),0)</f>
        <v/>
      </c>
      <c r="J496">
        <f>MAX(0,F496-E496)</f>
        <v/>
      </c>
      <c r="K496">
        <f>IF(I496-J496&gt;1E-9,I496-J496,0)</f>
        <v/>
      </c>
      <c r="L496">
        <f>K495*$G$52</f>
        <v/>
      </c>
      <c r="M496">
        <f>IF(O495&gt;0,MAX(0,O495*(1+$G$53)-$H$53),0)</f>
        <v/>
      </c>
      <c r="N496">
        <f>MAX(0,J496-I496)</f>
        <v/>
      </c>
      <c r="O496">
        <f>IF(M496-N496&gt;1E-9,M496-N496,0)</f>
        <v/>
      </c>
      <c r="P496">
        <f>O495*$G$53</f>
        <v/>
      </c>
      <c r="Q496">
        <f>IF(S495&gt;0,MAX(0,S495*(1+$G$54)-$H$54),0)</f>
        <v/>
      </c>
      <c r="R496">
        <f>MAX(0,N496-M496)</f>
        <v/>
      </c>
      <c r="S496">
        <f>IF(Q496-R496&gt;1E-9,Q496-R496,0)</f>
        <v/>
      </c>
      <c r="T496">
        <f>S495*$G$54</f>
        <v/>
      </c>
      <c r="U496">
        <f>IF(W495&gt;0,MAX(0,W495*(1+$G$55)-$H$55),0)</f>
        <v/>
      </c>
      <c r="V496">
        <f>MAX(0,R496-Q496)</f>
        <v/>
      </c>
      <c r="W496">
        <f>IF(U496-V496&gt;1E-9,U496-V496,0)</f>
        <v/>
      </c>
      <c r="X496">
        <f>W495*$G$55</f>
        <v/>
      </c>
      <c r="Y496">
        <f>IF(Y495&gt;1E-9,IF(Y495*(1+$G$51)-MAX($B$9,0.01*Y495+Y495*$G$51)&gt;1E-9,Y495*(1+$G$51)-MAX($B$9,0.01*Y495+Y495*$G$51),0),0)</f>
        <v/>
      </c>
      <c r="Z496">
        <f>Y495*$G$51</f>
        <v/>
      </c>
      <c r="AA496">
        <f>IF(AA495&gt;1E-9,IF(AA495*(1+$G$52)-MAX($B$9,0.01*AA495+AA495*$G$52)&gt;1E-9,AA495*(1+$G$52)-MAX($B$9,0.01*AA495+AA495*$G$52),0),0)</f>
        <v/>
      </c>
      <c r="AB496">
        <f>AA495*$G$52</f>
        <v/>
      </c>
      <c r="AC496">
        <f>IF(AC495&gt;1E-9,IF(AC495*(1+$G$53)-MAX($B$9,0.01*AC495+AC495*$G$53)&gt;1E-9,AC495*(1+$G$53)-MAX($B$9,0.01*AC495+AC495*$G$53),0),0)</f>
        <v/>
      </c>
      <c r="AD496">
        <f>AC495*$G$53</f>
        <v/>
      </c>
      <c r="AE496">
        <f>IF(AE495&gt;1E-9,IF(AE495*(1+$G$54)-MAX($B$9,0.01*AE495+AE495*$G$54)&gt;1E-9,AE495*(1+$G$54)-MAX($B$9,0.01*AE495+AE495*$G$54),0),0)</f>
        <v/>
      </c>
      <c r="AF496">
        <f>AE495*$G$54</f>
        <v/>
      </c>
      <c r="AG496">
        <f>IF(AG495&gt;1E-9,IF(AG495*(1+$G$55)-MAX($B$9,0.01*AG495+AG495*$G$55)&gt;1E-9,AG495*(1+$G$55)-MAX($B$9,0.01*AG495+AG495*$G$55),0),0)</f>
        <v/>
      </c>
      <c r="AH496">
        <f>AG495*$G$55</f>
        <v/>
      </c>
      <c r="AI496">
        <f>G496+K496+O496+S496+W496</f>
        <v/>
      </c>
      <c r="AJ496">
        <f>AI495+AK496-AI496</f>
        <v/>
      </c>
      <c r="AK496">
        <f>H496+L496+P496+T496+X496</f>
        <v/>
      </c>
      <c r="AL496">
        <f>TEXT(EDATE($B$5,D496-1),"mmm yyyy")</f>
        <v/>
      </c>
      <c r="AM496">
        <f>AI496</f>
        <v/>
      </c>
    </row>
    <row r="497">
      <c r="D497" t="n">
        <v>436</v>
      </c>
      <c r="E497">
        <f>IF(G496&gt;0,MAX(0,G496*(1+$G$51)-$H$51),0)</f>
        <v/>
      </c>
      <c r="F497">
        <f>$B$6+IF($D497=$B$8,$B$7,0)</f>
        <v/>
      </c>
      <c r="G497">
        <f>IF(E497-F497&gt;1E-9,E497-F497,0)</f>
        <v/>
      </c>
      <c r="H497">
        <f>G496*$G$51</f>
        <v/>
      </c>
      <c r="I497">
        <f>IF(K496&gt;0,MAX(0,K496*(1+$G$52)-$H$52),0)</f>
        <v/>
      </c>
      <c r="J497">
        <f>MAX(0,F497-E497)</f>
        <v/>
      </c>
      <c r="K497">
        <f>IF(I497-J497&gt;1E-9,I497-J497,0)</f>
        <v/>
      </c>
      <c r="L497">
        <f>K496*$G$52</f>
        <v/>
      </c>
      <c r="M497">
        <f>IF(O496&gt;0,MAX(0,O496*(1+$G$53)-$H$53),0)</f>
        <v/>
      </c>
      <c r="N497">
        <f>MAX(0,J497-I497)</f>
        <v/>
      </c>
      <c r="O497">
        <f>IF(M497-N497&gt;1E-9,M497-N497,0)</f>
        <v/>
      </c>
      <c r="P497">
        <f>O496*$G$53</f>
        <v/>
      </c>
      <c r="Q497">
        <f>IF(S496&gt;0,MAX(0,S496*(1+$G$54)-$H$54),0)</f>
        <v/>
      </c>
      <c r="R497">
        <f>MAX(0,N497-M497)</f>
        <v/>
      </c>
      <c r="S497">
        <f>IF(Q497-R497&gt;1E-9,Q497-R497,0)</f>
        <v/>
      </c>
      <c r="T497">
        <f>S496*$G$54</f>
        <v/>
      </c>
      <c r="U497">
        <f>IF(W496&gt;0,MAX(0,W496*(1+$G$55)-$H$55),0)</f>
        <v/>
      </c>
      <c r="V497">
        <f>MAX(0,R497-Q497)</f>
        <v/>
      </c>
      <c r="W497">
        <f>IF(U497-V497&gt;1E-9,U497-V497,0)</f>
        <v/>
      </c>
      <c r="X497">
        <f>W496*$G$55</f>
        <v/>
      </c>
      <c r="Y497">
        <f>IF(Y496&gt;1E-9,IF(Y496*(1+$G$51)-MAX($B$9,0.01*Y496+Y496*$G$51)&gt;1E-9,Y496*(1+$G$51)-MAX($B$9,0.01*Y496+Y496*$G$51),0),0)</f>
        <v/>
      </c>
      <c r="Z497">
        <f>Y496*$G$51</f>
        <v/>
      </c>
      <c r="AA497">
        <f>IF(AA496&gt;1E-9,IF(AA496*(1+$G$52)-MAX($B$9,0.01*AA496+AA496*$G$52)&gt;1E-9,AA496*(1+$G$52)-MAX($B$9,0.01*AA496+AA496*$G$52),0),0)</f>
        <v/>
      </c>
      <c r="AB497">
        <f>AA496*$G$52</f>
        <v/>
      </c>
      <c r="AC497">
        <f>IF(AC496&gt;1E-9,IF(AC496*(1+$G$53)-MAX($B$9,0.01*AC496+AC496*$G$53)&gt;1E-9,AC496*(1+$G$53)-MAX($B$9,0.01*AC496+AC496*$G$53),0),0)</f>
        <v/>
      </c>
      <c r="AD497">
        <f>AC496*$G$53</f>
        <v/>
      </c>
      <c r="AE497">
        <f>IF(AE496&gt;1E-9,IF(AE496*(1+$G$54)-MAX($B$9,0.01*AE496+AE496*$G$54)&gt;1E-9,AE496*(1+$G$54)-MAX($B$9,0.01*AE496+AE496*$G$54),0),0)</f>
        <v/>
      </c>
      <c r="AF497">
        <f>AE496*$G$54</f>
        <v/>
      </c>
      <c r="AG497">
        <f>IF(AG496&gt;1E-9,IF(AG496*(1+$G$55)-MAX($B$9,0.01*AG496+AG496*$G$55)&gt;1E-9,AG496*(1+$G$55)-MAX($B$9,0.01*AG496+AG496*$G$55),0),0)</f>
        <v/>
      </c>
      <c r="AH497">
        <f>AG496*$G$55</f>
        <v/>
      </c>
      <c r="AI497">
        <f>G497+K497+O497+S497+W497</f>
        <v/>
      </c>
      <c r="AJ497">
        <f>AI496+AK497-AI497</f>
        <v/>
      </c>
      <c r="AK497">
        <f>H497+L497+P497+T497+X497</f>
        <v/>
      </c>
      <c r="AL497">
        <f>TEXT(EDATE($B$5,D497-1),"mmm yyyy")</f>
        <v/>
      </c>
      <c r="AM497">
        <f>AI497</f>
        <v/>
      </c>
    </row>
    <row r="498">
      <c r="D498" t="n">
        <v>437</v>
      </c>
      <c r="E498">
        <f>IF(G497&gt;0,MAX(0,G497*(1+$G$51)-$H$51),0)</f>
        <v/>
      </c>
      <c r="F498">
        <f>$B$6+IF($D498=$B$8,$B$7,0)</f>
        <v/>
      </c>
      <c r="G498">
        <f>IF(E498-F498&gt;1E-9,E498-F498,0)</f>
        <v/>
      </c>
      <c r="H498">
        <f>G497*$G$51</f>
        <v/>
      </c>
      <c r="I498">
        <f>IF(K497&gt;0,MAX(0,K497*(1+$G$52)-$H$52),0)</f>
        <v/>
      </c>
      <c r="J498">
        <f>MAX(0,F498-E498)</f>
        <v/>
      </c>
      <c r="K498">
        <f>IF(I498-J498&gt;1E-9,I498-J498,0)</f>
        <v/>
      </c>
      <c r="L498">
        <f>K497*$G$52</f>
        <v/>
      </c>
      <c r="M498">
        <f>IF(O497&gt;0,MAX(0,O497*(1+$G$53)-$H$53),0)</f>
        <v/>
      </c>
      <c r="N498">
        <f>MAX(0,J498-I498)</f>
        <v/>
      </c>
      <c r="O498">
        <f>IF(M498-N498&gt;1E-9,M498-N498,0)</f>
        <v/>
      </c>
      <c r="P498">
        <f>O497*$G$53</f>
        <v/>
      </c>
      <c r="Q498">
        <f>IF(S497&gt;0,MAX(0,S497*(1+$G$54)-$H$54),0)</f>
        <v/>
      </c>
      <c r="R498">
        <f>MAX(0,N498-M498)</f>
        <v/>
      </c>
      <c r="S498">
        <f>IF(Q498-R498&gt;1E-9,Q498-R498,0)</f>
        <v/>
      </c>
      <c r="T498">
        <f>S497*$G$54</f>
        <v/>
      </c>
      <c r="U498">
        <f>IF(W497&gt;0,MAX(0,W497*(1+$G$55)-$H$55),0)</f>
        <v/>
      </c>
      <c r="V498">
        <f>MAX(0,R498-Q498)</f>
        <v/>
      </c>
      <c r="W498">
        <f>IF(U498-V498&gt;1E-9,U498-V498,0)</f>
        <v/>
      </c>
      <c r="X498">
        <f>W497*$G$55</f>
        <v/>
      </c>
      <c r="Y498">
        <f>IF(Y497&gt;1E-9,IF(Y497*(1+$G$51)-MAX($B$9,0.01*Y497+Y497*$G$51)&gt;1E-9,Y497*(1+$G$51)-MAX($B$9,0.01*Y497+Y497*$G$51),0),0)</f>
        <v/>
      </c>
      <c r="Z498">
        <f>Y497*$G$51</f>
        <v/>
      </c>
      <c r="AA498">
        <f>IF(AA497&gt;1E-9,IF(AA497*(1+$G$52)-MAX($B$9,0.01*AA497+AA497*$G$52)&gt;1E-9,AA497*(1+$G$52)-MAX($B$9,0.01*AA497+AA497*$G$52),0),0)</f>
        <v/>
      </c>
      <c r="AB498">
        <f>AA497*$G$52</f>
        <v/>
      </c>
      <c r="AC498">
        <f>IF(AC497&gt;1E-9,IF(AC497*(1+$G$53)-MAX($B$9,0.01*AC497+AC497*$G$53)&gt;1E-9,AC497*(1+$G$53)-MAX($B$9,0.01*AC497+AC497*$G$53),0),0)</f>
        <v/>
      </c>
      <c r="AD498">
        <f>AC497*$G$53</f>
        <v/>
      </c>
      <c r="AE498">
        <f>IF(AE497&gt;1E-9,IF(AE497*(1+$G$54)-MAX($B$9,0.01*AE497+AE497*$G$54)&gt;1E-9,AE497*(1+$G$54)-MAX($B$9,0.01*AE497+AE497*$G$54),0),0)</f>
        <v/>
      </c>
      <c r="AF498">
        <f>AE497*$G$54</f>
        <v/>
      </c>
      <c r="AG498">
        <f>IF(AG497&gt;1E-9,IF(AG497*(1+$G$55)-MAX($B$9,0.01*AG497+AG497*$G$55)&gt;1E-9,AG497*(1+$G$55)-MAX($B$9,0.01*AG497+AG497*$G$55),0),0)</f>
        <v/>
      </c>
      <c r="AH498">
        <f>AG497*$G$55</f>
        <v/>
      </c>
      <c r="AI498">
        <f>G498+K498+O498+S498+W498</f>
        <v/>
      </c>
      <c r="AJ498">
        <f>AI497+AK498-AI498</f>
        <v/>
      </c>
      <c r="AK498">
        <f>H498+L498+P498+T498+X498</f>
        <v/>
      </c>
      <c r="AL498">
        <f>TEXT(EDATE($B$5,D498-1),"mmm yyyy")</f>
        <v/>
      </c>
      <c r="AM498">
        <f>AI498</f>
        <v/>
      </c>
    </row>
    <row r="499">
      <c r="D499" t="n">
        <v>438</v>
      </c>
      <c r="E499">
        <f>IF(G498&gt;0,MAX(0,G498*(1+$G$51)-$H$51),0)</f>
        <v/>
      </c>
      <c r="F499">
        <f>$B$6+IF($D499=$B$8,$B$7,0)</f>
        <v/>
      </c>
      <c r="G499">
        <f>IF(E499-F499&gt;1E-9,E499-F499,0)</f>
        <v/>
      </c>
      <c r="H499">
        <f>G498*$G$51</f>
        <v/>
      </c>
      <c r="I499">
        <f>IF(K498&gt;0,MAX(0,K498*(1+$G$52)-$H$52),0)</f>
        <v/>
      </c>
      <c r="J499">
        <f>MAX(0,F499-E499)</f>
        <v/>
      </c>
      <c r="K499">
        <f>IF(I499-J499&gt;1E-9,I499-J499,0)</f>
        <v/>
      </c>
      <c r="L499">
        <f>K498*$G$52</f>
        <v/>
      </c>
      <c r="M499">
        <f>IF(O498&gt;0,MAX(0,O498*(1+$G$53)-$H$53),0)</f>
        <v/>
      </c>
      <c r="N499">
        <f>MAX(0,J499-I499)</f>
        <v/>
      </c>
      <c r="O499">
        <f>IF(M499-N499&gt;1E-9,M499-N499,0)</f>
        <v/>
      </c>
      <c r="P499">
        <f>O498*$G$53</f>
        <v/>
      </c>
      <c r="Q499">
        <f>IF(S498&gt;0,MAX(0,S498*(1+$G$54)-$H$54),0)</f>
        <v/>
      </c>
      <c r="R499">
        <f>MAX(0,N499-M499)</f>
        <v/>
      </c>
      <c r="S499">
        <f>IF(Q499-R499&gt;1E-9,Q499-R499,0)</f>
        <v/>
      </c>
      <c r="T499">
        <f>S498*$G$54</f>
        <v/>
      </c>
      <c r="U499">
        <f>IF(W498&gt;0,MAX(0,W498*(1+$G$55)-$H$55),0)</f>
        <v/>
      </c>
      <c r="V499">
        <f>MAX(0,R499-Q499)</f>
        <v/>
      </c>
      <c r="W499">
        <f>IF(U499-V499&gt;1E-9,U499-V499,0)</f>
        <v/>
      </c>
      <c r="X499">
        <f>W498*$G$55</f>
        <v/>
      </c>
      <c r="Y499">
        <f>IF(Y498&gt;1E-9,IF(Y498*(1+$G$51)-MAX($B$9,0.01*Y498+Y498*$G$51)&gt;1E-9,Y498*(1+$G$51)-MAX($B$9,0.01*Y498+Y498*$G$51),0),0)</f>
        <v/>
      </c>
      <c r="Z499">
        <f>Y498*$G$51</f>
        <v/>
      </c>
      <c r="AA499">
        <f>IF(AA498&gt;1E-9,IF(AA498*(1+$G$52)-MAX($B$9,0.01*AA498+AA498*$G$52)&gt;1E-9,AA498*(1+$G$52)-MAX($B$9,0.01*AA498+AA498*$G$52),0),0)</f>
        <v/>
      </c>
      <c r="AB499">
        <f>AA498*$G$52</f>
        <v/>
      </c>
      <c r="AC499">
        <f>IF(AC498&gt;1E-9,IF(AC498*(1+$G$53)-MAX($B$9,0.01*AC498+AC498*$G$53)&gt;1E-9,AC498*(1+$G$53)-MAX($B$9,0.01*AC498+AC498*$G$53),0),0)</f>
        <v/>
      </c>
      <c r="AD499">
        <f>AC498*$G$53</f>
        <v/>
      </c>
      <c r="AE499">
        <f>IF(AE498&gt;1E-9,IF(AE498*(1+$G$54)-MAX($B$9,0.01*AE498+AE498*$G$54)&gt;1E-9,AE498*(1+$G$54)-MAX($B$9,0.01*AE498+AE498*$G$54),0),0)</f>
        <v/>
      </c>
      <c r="AF499">
        <f>AE498*$G$54</f>
        <v/>
      </c>
      <c r="AG499">
        <f>IF(AG498&gt;1E-9,IF(AG498*(1+$G$55)-MAX($B$9,0.01*AG498+AG498*$G$55)&gt;1E-9,AG498*(1+$G$55)-MAX($B$9,0.01*AG498+AG498*$G$55),0),0)</f>
        <v/>
      </c>
      <c r="AH499">
        <f>AG498*$G$55</f>
        <v/>
      </c>
      <c r="AI499">
        <f>G499+K499+O499+S499+W499</f>
        <v/>
      </c>
      <c r="AJ499">
        <f>AI498+AK499-AI499</f>
        <v/>
      </c>
      <c r="AK499">
        <f>H499+L499+P499+T499+X499</f>
        <v/>
      </c>
      <c r="AL499">
        <f>TEXT(EDATE($B$5,D499-1),"mmm yyyy")</f>
        <v/>
      </c>
      <c r="AM499">
        <f>AI499</f>
        <v/>
      </c>
    </row>
    <row r="500">
      <c r="D500" t="n">
        <v>439</v>
      </c>
      <c r="E500">
        <f>IF(G499&gt;0,MAX(0,G499*(1+$G$51)-$H$51),0)</f>
        <v/>
      </c>
      <c r="F500">
        <f>$B$6+IF($D500=$B$8,$B$7,0)</f>
        <v/>
      </c>
      <c r="G500">
        <f>IF(E500-F500&gt;1E-9,E500-F500,0)</f>
        <v/>
      </c>
      <c r="H500">
        <f>G499*$G$51</f>
        <v/>
      </c>
      <c r="I500">
        <f>IF(K499&gt;0,MAX(0,K499*(1+$G$52)-$H$52),0)</f>
        <v/>
      </c>
      <c r="J500">
        <f>MAX(0,F500-E500)</f>
        <v/>
      </c>
      <c r="K500">
        <f>IF(I500-J500&gt;1E-9,I500-J500,0)</f>
        <v/>
      </c>
      <c r="L500">
        <f>K499*$G$52</f>
        <v/>
      </c>
      <c r="M500">
        <f>IF(O499&gt;0,MAX(0,O499*(1+$G$53)-$H$53),0)</f>
        <v/>
      </c>
      <c r="N500">
        <f>MAX(0,J500-I500)</f>
        <v/>
      </c>
      <c r="O500">
        <f>IF(M500-N500&gt;1E-9,M500-N500,0)</f>
        <v/>
      </c>
      <c r="P500">
        <f>O499*$G$53</f>
        <v/>
      </c>
      <c r="Q500">
        <f>IF(S499&gt;0,MAX(0,S499*(1+$G$54)-$H$54),0)</f>
        <v/>
      </c>
      <c r="R500">
        <f>MAX(0,N500-M500)</f>
        <v/>
      </c>
      <c r="S500">
        <f>IF(Q500-R500&gt;1E-9,Q500-R500,0)</f>
        <v/>
      </c>
      <c r="T500">
        <f>S499*$G$54</f>
        <v/>
      </c>
      <c r="U500">
        <f>IF(W499&gt;0,MAX(0,W499*(1+$G$55)-$H$55),0)</f>
        <v/>
      </c>
      <c r="V500">
        <f>MAX(0,R500-Q500)</f>
        <v/>
      </c>
      <c r="W500">
        <f>IF(U500-V500&gt;1E-9,U500-V500,0)</f>
        <v/>
      </c>
      <c r="X500">
        <f>W499*$G$55</f>
        <v/>
      </c>
      <c r="Y500">
        <f>IF(Y499&gt;1E-9,IF(Y499*(1+$G$51)-MAX($B$9,0.01*Y499+Y499*$G$51)&gt;1E-9,Y499*(1+$G$51)-MAX($B$9,0.01*Y499+Y499*$G$51),0),0)</f>
        <v/>
      </c>
      <c r="Z500">
        <f>Y499*$G$51</f>
        <v/>
      </c>
      <c r="AA500">
        <f>IF(AA499&gt;1E-9,IF(AA499*(1+$G$52)-MAX($B$9,0.01*AA499+AA499*$G$52)&gt;1E-9,AA499*(1+$G$52)-MAX($B$9,0.01*AA499+AA499*$G$52),0),0)</f>
        <v/>
      </c>
      <c r="AB500">
        <f>AA499*$G$52</f>
        <v/>
      </c>
      <c r="AC500">
        <f>IF(AC499&gt;1E-9,IF(AC499*(1+$G$53)-MAX($B$9,0.01*AC499+AC499*$G$53)&gt;1E-9,AC499*(1+$G$53)-MAX($B$9,0.01*AC499+AC499*$G$53),0),0)</f>
        <v/>
      </c>
      <c r="AD500">
        <f>AC499*$G$53</f>
        <v/>
      </c>
      <c r="AE500">
        <f>IF(AE499&gt;1E-9,IF(AE499*(1+$G$54)-MAX($B$9,0.01*AE499+AE499*$G$54)&gt;1E-9,AE499*(1+$G$54)-MAX($B$9,0.01*AE499+AE499*$G$54),0),0)</f>
        <v/>
      </c>
      <c r="AF500">
        <f>AE499*$G$54</f>
        <v/>
      </c>
      <c r="AG500">
        <f>IF(AG499&gt;1E-9,IF(AG499*(1+$G$55)-MAX($B$9,0.01*AG499+AG499*$G$55)&gt;1E-9,AG499*(1+$G$55)-MAX($B$9,0.01*AG499+AG499*$G$55),0),0)</f>
        <v/>
      </c>
      <c r="AH500">
        <f>AG499*$G$55</f>
        <v/>
      </c>
      <c r="AI500">
        <f>G500+K500+O500+S500+W500</f>
        <v/>
      </c>
      <c r="AJ500">
        <f>AI499+AK500-AI500</f>
        <v/>
      </c>
      <c r="AK500">
        <f>H500+L500+P500+T500+X500</f>
        <v/>
      </c>
      <c r="AL500">
        <f>TEXT(EDATE($B$5,D500-1),"mmm yyyy")</f>
        <v/>
      </c>
      <c r="AM500">
        <f>AI500</f>
        <v/>
      </c>
    </row>
    <row r="501">
      <c r="D501" t="n">
        <v>440</v>
      </c>
      <c r="E501">
        <f>IF(G500&gt;0,MAX(0,G500*(1+$G$51)-$H$51),0)</f>
        <v/>
      </c>
      <c r="F501">
        <f>$B$6+IF($D501=$B$8,$B$7,0)</f>
        <v/>
      </c>
      <c r="G501">
        <f>IF(E501-F501&gt;1E-9,E501-F501,0)</f>
        <v/>
      </c>
      <c r="H501">
        <f>G500*$G$51</f>
        <v/>
      </c>
      <c r="I501">
        <f>IF(K500&gt;0,MAX(0,K500*(1+$G$52)-$H$52),0)</f>
        <v/>
      </c>
      <c r="J501">
        <f>MAX(0,F501-E501)</f>
        <v/>
      </c>
      <c r="K501">
        <f>IF(I501-J501&gt;1E-9,I501-J501,0)</f>
        <v/>
      </c>
      <c r="L501">
        <f>K500*$G$52</f>
        <v/>
      </c>
      <c r="M501">
        <f>IF(O500&gt;0,MAX(0,O500*(1+$G$53)-$H$53),0)</f>
        <v/>
      </c>
      <c r="N501">
        <f>MAX(0,J501-I501)</f>
        <v/>
      </c>
      <c r="O501">
        <f>IF(M501-N501&gt;1E-9,M501-N501,0)</f>
        <v/>
      </c>
      <c r="P501">
        <f>O500*$G$53</f>
        <v/>
      </c>
      <c r="Q501">
        <f>IF(S500&gt;0,MAX(0,S500*(1+$G$54)-$H$54),0)</f>
        <v/>
      </c>
      <c r="R501">
        <f>MAX(0,N501-M501)</f>
        <v/>
      </c>
      <c r="S501">
        <f>IF(Q501-R501&gt;1E-9,Q501-R501,0)</f>
        <v/>
      </c>
      <c r="T501">
        <f>S500*$G$54</f>
        <v/>
      </c>
      <c r="U501">
        <f>IF(W500&gt;0,MAX(0,W500*(1+$G$55)-$H$55),0)</f>
        <v/>
      </c>
      <c r="V501">
        <f>MAX(0,R501-Q501)</f>
        <v/>
      </c>
      <c r="W501">
        <f>IF(U501-V501&gt;1E-9,U501-V501,0)</f>
        <v/>
      </c>
      <c r="X501">
        <f>W500*$G$55</f>
        <v/>
      </c>
      <c r="Y501">
        <f>IF(Y500&gt;1E-9,IF(Y500*(1+$G$51)-MAX($B$9,0.01*Y500+Y500*$G$51)&gt;1E-9,Y500*(1+$G$51)-MAX($B$9,0.01*Y500+Y500*$G$51),0),0)</f>
        <v/>
      </c>
      <c r="Z501">
        <f>Y500*$G$51</f>
        <v/>
      </c>
      <c r="AA501">
        <f>IF(AA500&gt;1E-9,IF(AA500*(1+$G$52)-MAX($B$9,0.01*AA500+AA500*$G$52)&gt;1E-9,AA500*(1+$G$52)-MAX($B$9,0.01*AA500+AA500*$G$52),0),0)</f>
        <v/>
      </c>
      <c r="AB501">
        <f>AA500*$G$52</f>
        <v/>
      </c>
      <c r="AC501">
        <f>IF(AC500&gt;1E-9,IF(AC500*(1+$G$53)-MAX($B$9,0.01*AC500+AC500*$G$53)&gt;1E-9,AC500*(1+$G$53)-MAX($B$9,0.01*AC500+AC500*$G$53),0),0)</f>
        <v/>
      </c>
      <c r="AD501">
        <f>AC500*$G$53</f>
        <v/>
      </c>
      <c r="AE501">
        <f>IF(AE500&gt;1E-9,IF(AE500*(1+$G$54)-MAX($B$9,0.01*AE500+AE500*$G$54)&gt;1E-9,AE500*(1+$G$54)-MAX($B$9,0.01*AE500+AE500*$G$54),0),0)</f>
        <v/>
      </c>
      <c r="AF501">
        <f>AE500*$G$54</f>
        <v/>
      </c>
      <c r="AG501">
        <f>IF(AG500&gt;1E-9,IF(AG500*(1+$G$55)-MAX($B$9,0.01*AG500+AG500*$G$55)&gt;1E-9,AG500*(1+$G$55)-MAX($B$9,0.01*AG500+AG500*$G$55),0),0)</f>
        <v/>
      </c>
      <c r="AH501">
        <f>AG500*$G$55</f>
        <v/>
      </c>
      <c r="AI501">
        <f>G501+K501+O501+S501+W501</f>
        <v/>
      </c>
      <c r="AJ501">
        <f>AI500+AK501-AI501</f>
        <v/>
      </c>
      <c r="AK501">
        <f>H501+L501+P501+T501+X501</f>
        <v/>
      </c>
      <c r="AL501">
        <f>TEXT(EDATE($B$5,D501-1),"mmm yyyy")</f>
        <v/>
      </c>
      <c r="AM501">
        <f>AI501</f>
        <v/>
      </c>
    </row>
    <row r="502">
      <c r="D502" t="n">
        <v>441</v>
      </c>
      <c r="E502">
        <f>IF(G501&gt;0,MAX(0,G501*(1+$G$51)-$H$51),0)</f>
        <v/>
      </c>
      <c r="F502">
        <f>$B$6+IF($D502=$B$8,$B$7,0)</f>
        <v/>
      </c>
      <c r="G502">
        <f>IF(E502-F502&gt;1E-9,E502-F502,0)</f>
        <v/>
      </c>
      <c r="H502">
        <f>G501*$G$51</f>
        <v/>
      </c>
      <c r="I502">
        <f>IF(K501&gt;0,MAX(0,K501*(1+$G$52)-$H$52),0)</f>
        <v/>
      </c>
      <c r="J502">
        <f>MAX(0,F502-E502)</f>
        <v/>
      </c>
      <c r="K502">
        <f>IF(I502-J502&gt;1E-9,I502-J502,0)</f>
        <v/>
      </c>
      <c r="L502">
        <f>K501*$G$52</f>
        <v/>
      </c>
      <c r="M502">
        <f>IF(O501&gt;0,MAX(0,O501*(1+$G$53)-$H$53),0)</f>
        <v/>
      </c>
      <c r="N502">
        <f>MAX(0,J502-I502)</f>
        <v/>
      </c>
      <c r="O502">
        <f>IF(M502-N502&gt;1E-9,M502-N502,0)</f>
        <v/>
      </c>
      <c r="P502">
        <f>O501*$G$53</f>
        <v/>
      </c>
      <c r="Q502">
        <f>IF(S501&gt;0,MAX(0,S501*(1+$G$54)-$H$54),0)</f>
        <v/>
      </c>
      <c r="R502">
        <f>MAX(0,N502-M502)</f>
        <v/>
      </c>
      <c r="S502">
        <f>IF(Q502-R502&gt;1E-9,Q502-R502,0)</f>
        <v/>
      </c>
      <c r="T502">
        <f>S501*$G$54</f>
        <v/>
      </c>
      <c r="U502">
        <f>IF(W501&gt;0,MAX(0,W501*(1+$G$55)-$H$55),0)</f>
        <v/>
      </c>
      <c r="V502">
        <f>MAX(0,R502-Q502)</f>
        <v/>
      </c>
      <c r="W502">
        <f>IF(U502-V502&gt;1E-9,U502-V502,0)</f>
        <v/>
      </c>
      <c r="X502">
        <f>W501*$G$55</f>
        <v/>
      </c>
      <c r="Y502">
        <f>IF(Y501&gt;1E-9,IF(Y501*(1+$G$51)-MAX($B$9,0.01*Y501+Y501*$G$51)&gt;1E-9,Y501*(1+$G$51)-MAX($B$9,0.01*Y501+Y501*$G$51),0),0)</f>
        <v/>
      </c>
      <c r="Z502">
        <f>Y501*$G$51</f>
        <v/>
      </c>
      <c r="AA502">
        <f>IF(AA501&gt;1E-9,IF(AA501*(1+$G$52)-MAX($B$9,0.01*AA501+AA501*$G$52)&gt;1E-9,AA501*(1+$G$52)-MAX($B$9,0.01*AA501+AA501*$G$52),0),0)</f>
        <v/>
      </c>
      <c r="AB502">
        <f>AA501*$G$52</f>
        <v/>
      </c>
      <c r="AC502">
        <f>IF(AC501&gt;1E-9,IF(AC501*(1+$G$53)-MAX($B$9,0.01*AC501+AC501*$G$53)&gt;1E-9,AC501*(1+$G$53)-MAX($B$9,0.01*AC501+AC501*$G$53),0),0)</f>
        <v/>
      </c>
      <c r="AD502">
        <f>AC501*$G$53</f>
        <v/>
      </c>
      <c r="AE502">
        <f>IF(AE501&gt;1E-9,IF(AE501*(1+$G$54)-MAX($B$9,0.01*AE501+AE501*$G$54)&gt;1E-9,AE501*(1+$G$54)-MAX($B$9,0.01*AE501+AE501*$G$54),0),0)</f>
        <v/>
      </c>
      <c r="AF502">
        <f>AE501*$G$54</f>
        <v/>
      </c>
      <c r="AG502">
        <f>IF(AG501&gt;1E-9,IF(AG501*(1+$G$55)-MAX($B$9,0.01*AG501+AG501*$G$55)&gt;1E-9,AG501*(1+$G$55)-MAX($B$9,0.01*AG501+AG501*$G$55),0),0)</f>
        <v/>
      </c>
      <c r="AH502">
        <f>AG501*$G$55</f>
        <v/>
      </c>
      <c r="AI502">
        <f>G502+K502+O502+S502+W502</f>
        <v/>
      </c>
      <c r="AJ502">
        <f>AI501+AK502-AI502</f>
        <v/>
      </c>
      <c r="AK502">
        <f>H502+L502+P502+T502+X502</f>
        <v/>
      </c>
      <c r="AL502">
        <f>TEXT(EDATE($B$5,D502-1),"mmm yyyy")</f>
        <v/>
      </c>
      <c r="AM502">
        <f>AI502</f>
        <v/>
      </c>
    </row>
    <row r="503">
      <c r="D503" t="n">
        <v>442</v>
      </c>
      <c r="E503">
        <f>IF(G502&gt;0,MAX(0,G502*(1+$G$51)-$H$51),0)</f>
        <v/>
      </c>
      <c r="F503">
        <f>$B$6+IF($D503=$B$8,$B$7,0)</f>
        <v/>
      </c>
      <c r="G503">
        <f>IF(E503-F503&gt;1E-9,E503-F503,0)</f>
        <v/>
      </c>
      <c r="H503">
        <f>G502*$G$51</f>
        <v/>
      </c>
      <c r="I503">
        <f>IF(K502&gt;0,MAX(0,K502*(1+$G$52)-$H$52),0)</f>
        <v/>
      </c>
      <c r="J503">
        <f>MAX(0,F503-E503)</f>
        <v/>
      </c>
      <c r="K503">
        <f>IF(I503-J503&gt;1E-9,I503-J503,0)</f>
        <v/>
      </c>
      <c r="L503">
        <f>K502*$G$52</f>
        <v/>
      </c>
      <c r="M503">
        <f>IF(O502&gt;0,MAX(0,O502*(1+$G$53)-$H$53),0)</f>
        <v/>
      </c>
      <c r="N503">
        <f>MAX(0,J503-I503)</f>
        <v/>
      </c>
      <c r="O503">
        <f>IF(M503-N503&gt;1E-9,M503-N503,0)</f>
        <v/>
      </c>
      <c r="P503">
        <f>O502*$G$53</f>
        <v/>
      </c>
      <c r="Q503">
        <f>IF(S502&gt;0,MAX(0,S502*(1+$G$54)-$H$54),0)</f>
        <v/>
      </c>
      <c r="R503">
        <f>MAX(0,N503-M503)</f>
        <v/>
      </c>
      <c r="S503">
        <f>IF(Q503-R503&gt;1E-9,Q503-R503,0)</f>
        <v/>
      </c>
      <c r="T503">
        <f>S502*$G$54</f>
        <v/>
      </c>
      <c r="U503">
        <f>IF(W502&gt;0,MAX(0,W502*(1+$G$55)-$H$55),0)</f>
        <v/>
      </c>
      <c r="V503">
        <f>MAX(0,R503-Q503)</f>
        <v/>
      </c>
      <c r="W503">
        <f>IF(U503-V503&gt;1E-9,U503-V503,0)</f>
        <v/>
      </c>
      <c r="X503">
        <f>W502*$G$55</f>
        <v/>
      </c>
      <c r="Y503">
        <f>IF(Y502&gt;1E-9,IF(Y502*(1+$G$51)-MAX($B$9,0.01*Y502+Y502*$G$51)&gt;1E-9,Y502*(1+$G$51)-MAX($B$9,0.01*Y502+Y502*$G$51),0),0)</f>
        <v/>
      </c>
      <c r="Z503">
        <f>Y502*$G$51</f>
        <v/>
      </c>
      <c r="AA503">
        <f>IF(AA502&gt;1E-9,IF(AA502*(1+$G$52)-MAX($B$9,0.01*AA502+AA502*$G$52)&gt;1E-9,AA502*(1+$G$52)-MAX($B$9,0.01*AA502+AA502*$G$52),0),0)</f>
        <v/>
      </c>
      <c r="AB503">
        <f>AA502*$G$52</f>
        <v/>
      </c>
      <c r="AC503">
        <f>IF(AC502&gt;1E-9,IF(AC502*(1+$G$53)-MAX($B$9,0.01*AC502+AC502*$G$53)&gt;1E-9,AC502*(1+$G$53)-MAX($B$9,0.01*AC502+AC502*$G$53),0),0)</f>
        <v/>
      </c>
      <c r="AD503">
        <f>AC502*$G$53</f>
        <v/>
      </c>
      <c r="AE503">
        <f>IF(AE502&gt;1E-9,IF(AE502*(1+$G$54)-MAX($B$9,0.01*AE502+AE502*$G$54)&gt;1E-9,AE502*(1+$G$54)-MAX($B$9,0.01*AE502+AE502*$G$54),0),0)</f>
        <v/>
      </c>
      <c r="AF503">
        <f>AE502*$G$54</f>
        <v/>
      </c>
      <c r="AG503">
        <f>IF(AG502&gt;1E-9,IF(AG502*(1+$G$55)-MAX($B$9,0.01*AG502+AG502*$G$55)&gt;1E-9,AG502*(1+$G$55)-MAX($B$9,0.01*AG502+AG502*$G$55),0),0)</f>
        <v/>
      </c>
      <c r="AH503">
        <f>AG502*$G$55</f>
        <v/>
      </c>
      <c r="AI503">
        <f>G503+K503+O503+S503+W503</f>
        <v/>
      </c>
      <c r="AJ503">
        <f>AI502+AK503-AI503</f>
        <v/>
      </c>
      <c r="AK503">
        <f>H503+L503+P503+T503+X503</f>
        <v/>
      </c>
      <c r="AL503">
        <f>TEXT(EDATE($B$5,D503-1),"mmm yyyy")</f>
        <v/>
      </c>
      <c r="AM503">
        <f>AI503</f>
        <v/>
      </c>
    </row>
    <row r="504">
      <c r="D504" t="n">
        <v>443</v>
      </c>
      <c r="E504">
        <f>IF(G503&gt;0,MAX(0,G503*(1+$G$51)-$H$51),0)</f>
        <v/>
      </c>
      <c r="F504">
        <f>$B$6+IF($D504=$B$8,$B$7,0)</f>
        <v/>
      </c>
      <c r="G504">
        <f>IF(E504-F504&gt;1E-9,E504-F504,0)</f>
        <v/>
      </c>
      <c r="H504">
        <f>G503*$G$51</f>
        <v/>
      </c>
      <c r="I504">
        <f>IF(K503&gt;0,MAX(0,K503*(1+$G$52)-$H$52),0)</f>
        <v/>
      </c>
      <c r="J504">
        <f>MAX(0,F504-E504)</f>
        <v/>
      </c>
      <c r="K504">
        <f>IF(I504-J504&gt;1E-9,I504-J504,0)</f>
        <v/>
      </c>
      <c r="L504">
        <f>K503*$G$52</f>
        <v/>
      </c>
      <c r="M504">
        <f>IF(O503&gt;0,MAX(0,O503*(1+$G$53)-$H$53),0)</f>
        <v/>
      </c>
      <c r="N504">
        <f>MAX(0,J504-I504)</f>
        <v/>
      </c>
      <c r="O504">
        <f>IF(M504-N504&gt;1E-9,M504-N504,0)</f>
        <v/>
      </c>
      <c r="P504">
        <f>O503*$G$53</f>
        <v/>
      </c>
      <c r="Q504">
        <f>IF(S503&gt;0,MAX(0,S503*(1+$G$54)-$H$54),0)</f>
        <v/>
      </c>
      <c r="R504">
        <f>MAX(0,N504-M504)</f>
        <v/>
      </c>
      <c r="S504">
        <f>IF(Q504-R504&gt;1E-9,Q504-R504,0)</f>
        <v/>
      </c>
      <c r="T504">
        <f>S503*$G$54</f>
        <v/>
      </c>
      <c r="U504">
        <f>IF(W503&gt;0,MAX(0,W503*(1+$G$55)-$H$55),0)</f>
        <v/>
      </c>
      <c r="V504">
        <f>MAX(0,R504-Q504)</f>
        <v/>
      </c>
      <c r="W504">
        <f>IF(U504-V504&gt;1E-9,U504-V504,0)</f>
        <v/>
      </c>
      <c r="X504">
        <f>W503*$G$55</f>
        <v/>
      </c>
      <c r="Y504">
        <f>IF(Y503&gt;1E-9,IF(Y503*(1+$G$51)-MAX($B$9,0.01*Y503+Y503*$G$51)&gt;1E-9,Y503*(1+$G$51)-MAX($B$9,0.01*Y503+Y503*$G$51),0),0)</f>
        <v/>
      </c>
      <c r="Z504">
        <f>Y503*$G$51</f>
        <v/>
      </c>
      <c r="AA504">
        <f>IF(AA503&gt;1E-9,IF(AA503*(1+$G$52)-MAX($B$9,0.01*AA503+AA503*$G$52)&gt;1E-9,AA503*(1+$G$52)-MAX($B$9,0.01*AA503+AA503*$G$52),0),0)</f>
        <v/>
      </c>
      <c r="AB504">
        <f>AA503*$G$52</f>
        <v/>
      </c>
      <c r="AC504">
        <f>IF(AC503&gt;1E-9,IF(AC503*(1+$G$53)-MAX($B$9,0.01*AC503+AC503*$G$53)&gt;1E-9,AC503*(1+$G$53)-MAX($B$9,0.01*AC503+AC503*$G$53),0),0)</f>
        <v/>
      </c>
      <c r="AD504">
        <f>AC503*$G$53</f>
        <v/>
      </c>
      <c r="AE504">
        <f>IF(AE503&gt;1E-9,IF(AE503*(1+$G$54)-MAX($B$9,0.01*AE503+AE503*$G$54)&gt;1E-9,AE503*(1+$G$54)-MAX($B$9,0.01*AE503+AE503*$G$54),0),0)</f>
        <v/>
      </c>
      <c r="AF504">
        <f>AE503*$G$54</f>
        <v/>
      </c>
      <c r="AG504">
        <f>IF(AG503&gt;1E-9,IF(AG503*(1+$G$55)-MAX($B$9,0.01*AG503+AG503*$G$55)&gt;1E-9,AG503*(1+$G$55)-MAX($B$9,0.01*AG503+AG503*$G$55),0),0)</f>
        <v/>
      </c>
      <c r="AH504">
        <f>AG503*$G$55</f>
        <v/>
      </c>
      <c r="AI504">
        <f>G504+K504+O504+S504+W504</f>
        <v/>
      </c>
      <c r="AJ504">
        <f>AI503+AK504-AI504</f>
        <v/>
      </c>
      <c r="AK504">
        <f>H504+L504+P504+T504+X504</f>
        <v/>
      </c>
      <c r="AL504">
        <f>TEXT(EDATE($B$5,D504-1),"mmm yyyy")</f>
        <v/>
      </c>
      <c r="AM504">
        <f>AI504</f>
        <v/>
      </c>
    </row>
    <row r="505">
      <c r="D505" t="n">
        <v>444</v>
      </c>
      <c r="E505">
        <f>IF(G504&gt;0,MAX(0,G504*(1+$G$51)-$H$51),0)</f>
        <v/>
      </c>
      <c r="F505">
        <f>$B$6+IF($D505=$B$8,$B$7,0)</f>
        <v/>
      </c>
      <c r="G505">
        <f>IF(E505-F505&gt;1E-9,E505-F505,0)</f>
        <v/>
      </c>
      <c r="H505">
        <f>G504*$G$51</f>
        <v/>
      </c>
      <c r="I505">
        <f>IF(K504&gt;0,MAX(0,K504*(1+$G$52)-$H$52),0)</f>
        <v/>
      </c>
      <c r="J505">
        <f>MAX(0,F505-E505)</f>
        <v/>
      </c>
      <c r="K505">
        <f>IF(I505-J505&gt;1E-9,I505-J505,0)</f>
        <v/>
      </c>
      <c r="L505">
        <f>K504*$G$52</f>
        <v/>
      </c>
      <c r="M505">
        <f>IF(O504&gt;0,MAX(0,O504*(1+$G$53)-$H$53),0)</f>
        <v/>
      </c>
      <c r="N505">
        <f>MAX(0,J505-I505)</f>
        <v/>
      </c>
      <c r="O505">
        <f>IF(M505-N505&gt;1E-9,M505-N505,0)</f>
        <v/>
      </c>
      <c r="P505">
        <f>O504*$G$53</f>
        <v/>
      </c>
      <c r="Q505">
        <f>IF(S504&gt;0,MAX(0,S504*(1+$G$54)-$H$54),0)</f>
        <v/>
      </c>
      <c r="R505">
        <f>MAX(0,N505-M505)</f>
        <v/>
      </c>
      <c r="S505">
        <f>IF(Q505-R505&gt;1E-9,Q505-R505,0)</f>
        <v/>
      </c>
      <c r="T505">
        <f>S504*$G$54</f>
        <v/>
      </c>
      <c r="U505">
        <f>IF(W504&gt;0,MAX(0,W504*(1+$G$55)-$H$55),0)</f>
        <v/>
      </c>
      <c r="V505">
        <f>MAX(0,R505-Q505)</f>
        <v/>
      </c>
      <c r="W505">
        <f>IF(U505-V505&gt;1E-9,U505-V505,0)</f>
        <v/>
      </c>
      <c r="X505">
        <f>W504*$G$55</f>
        <v/>
      </c>
      <c r="Y505">
        <f>IF(Y504&gt;1E-9,IF(Y504*(1+$G$51)-MAX($B$9,0.01*Y504+Y504*$G$51)&gt;1E-9,Y504*(1+$G$51)-MAX($B$9,0.01*Y504+Y504*$G$51),0),0)</f>
        <v/>
      </c>
      <c r="Z505">
        <f>Y504*$G$51</f>
        <v/>
      </c>
      <c r="AA505">
        <f>IF(AA504&gt;1E-9,IF(AA504*(1+$G$52)-MAX($B$9,0.01*AA504+AA504*$G$52)&gt;1E-9,AA504*(1+$G$52)-MAX($B$9,0.01*AA504+AA504*$G$52),0),0)</f>
        <v/>
      </c>
      <c r="AB505">
        <f>AA504*$G$52</f>
        <v/>
      </c>
      <c r="AC505">
        <f>IF(AC504&gt;1E-9,IF(AC504*(1+$G$53)-MAX($B$9,0.01*AC504+AC504*$G$53)&gt;1E-9,AC504*(1+$G$53)-MAX($B$9,0.01*AC504+AC504*$G$53),0),0)</f>
        <v/>
      </c>
      <c r="AD505">
        <f>AC504*$G$53</f>
        <v/>
      </c>
      <c r="AE505">
        <f>IF(AE504&gt;1E-9,IF(AE504*(1+$G$54)-MAX($B$9,0.01*AE504+AE504*$G$54)&gt;1E-9,AE504*(1+$G$54)-MAX($B$9,0.01*AE504+AE504*$G$54),0),0)</f>
        <v/>
      </c>
      <c r="AF505">
        <f>AE504*$G$54</f>
        <v/>
      </c>
      <c r="AG505">
        <f>IF(AG504&gt;1E-9,IF(AG504*(1+$G$55)-MAX($B$9,0.01*AG504+AG504*$G$55)&gt;1E-9,AG504*(1+$G$55)-MAX($B$9,0.01*AG504+AG504*$G$55),0),0)</f>
        <v/>
      </c>
      <c r="AH505">
        <f>AG504*$G$55</f>
        <v/>
      </c>
      <c r="AI505">
        <f>G505+K505+O505+S505+W505</f>
        <v/>
      </c>
      <c r="AJ505">
        <f>AI504+AK505-AI505</f>
        <v/>
      </c>
      <c r="AK505">
        <f>H505+L505+P505+T505+X505</f>
        <v/>
      </c>
      <c r="AL505">
        <f>TEXT(EDATE($B$5,D505-1),"mmm yyyy")</f>
        <v/>
      </c>
      <c r="AM505">
        <f>AI505</f>
        <v/>
      </c>
    </row>
    <row r="506">
      <c r="D506" t="n">
        <v>445</v>
      </c>
      <c r="E506">
        <f>IF(G505&gt;0,MAX(0,G505*(1+$G$51)-$H$51),0)</f>
        <v/>
      </c>
      <c r="F506">
        <f>$B$6+IF($D506=$B$8,$B$7,0)</f>
        <v/>
      </c>
      <c r="G506">
        <f>IF(E506-F506&gt;1E-9,E506-F506,0)</f>
        <v/>
      </c>
      <c r="H506">
        <f>G505*$G$51</f>
        <v/>
      </c>
      <c r="I506">
        <f>IF(K505&gt;0,MAX(0,K505*(1+$G$52)-$H$52),0)</f>
        <v/>
      </c>
      <c r="J506">
        <f>MAX(0,F506-E506)</f>
        <v/>
      </c>
      <c r="K506">
        <f>IF(I506-J506&gt;1E-9,I506-J506,0)</f>
        <v/>
      </c>
      <c r="L506">
        <f>K505*$G$52</f>
        <v/>
      </c>
      <c r="M506">
        <f>IF(O505&gt;0,MAX(0,O505*(1+$G$53)-$H$53),0)</f>
        <v/>
      </c>
      <c r="N506">
        <f>MAX(0,J506-I506)</f>
        <v/>
      </c>
      <c r="O506">
        <f>IF(M506-N506&gt;1E-9,M506-N506,0)</f>
        <v/>
      </c>
      <c r="P506">
        <f>O505*$G$53</f>
        <v/>
      </c>
      <c r="Q506">
        <f>IF(S505&gt;0,MAX(0,S505*(1+$G$54)-$H$54),0)</f>
        <v/>
      </c>
      <c r="R506">
        <f>MAX(0,N506-M506)</f>
        <v/>
      </c>
      <c r="S506">
        <f>IF(Q506-R506&gt;1E-9,Q506-R506,0)</f>
        <v/>
      </c>
      <c r="T506">
        <f>S505*$G$54</f>
        <v/>
      </c>
      <c r="U506">
        <f>IF(W505&gt;0,MAX(0,W505*(1+$G$55)-$H$55),0)</f>
        <v/>
      </c>
      <c r="V506">
        <f>MAX(0,R506-Q506)</f>
        <v/>
      </c>
      <c r="W506">
        <f>IF(U506-V506&gt;1E-9,U506-V506,0)</f>
        <v/>
      </c>
      <c r="X506">
        <f>W505*$G$55</f>
        <v/>
      </c>
      <c r="Y506">
        <f>IF(Y505&gt;1E-9,IF(Y505*(1+$G$51)-MAX($B$9,0.01*Y505+Y505*$G$51)&gt;1E-9,Y505*(1+$G$51)-MAX($B$9,0.01*Y505+Y505*$G$51),0),0)</f>
        <v/>
      </c>
      <c r="Z506">
        <f>Y505*$G$51</f>
        <v/>
      </c>
      <c r="AA506">
        <f>IF(AA505&gt;1E-9,IF(AA505*(1+$G$52)-MAX($B$9,0.01*AA505+AA505*$G$52)&gt;1E-9,AA505*(1+$G$52)-MAX($B$9,0.01*AA505+AA505*$G$52),0),0)</f>
        <v/>
      </c>
      <c r="AB506">
        <f>AA505*$G$52</f>
        <v/>
      </c>
      <c r="AC506">
        <f>IF(AC505&gt;1E-9,IF(AC505*(1+$G$53)-MAX($B$9,0.01*AC505+AC505*$G$53)&gt;1E-9,AC505*(1+$G$53)-MAX($B$9,0.01*AC505+AC505*$G$53),0),0)</f>
        <v/>
      </c>
      <c r="AD506">
        <f>AC505*$G$53</f>
        <v/>
      </c>
      <c r="AE506">
        <f>IF(AE505&gt;1E-9,IF(AE505*(1+$G$54)-MAX($B$9,0.01*AE505+AE505*$G$54)&gt;1E-9,AE505*(1+$G$54)-MAX($B$9,0.01*AE505+AE505*$G$54),0),0)</f>
        <v/>
      </c>
      <c r="AF506">
        <f>AE505*$G$54</f>
        <v/>
      </c>
      <c r="AG506">
        <f>IF(AG505&gt;1E-9,IF(AG505*(1+$G$55)-MAX($B$9,0.01*AG505+AG505*$G$55)&gt;1E-9,AG505*(1+$G$55)-MAX($B$9,0.01*AG505+AG505*$G$55),0),0)</f>
        <v/>
      </c>
      <c r="AH506">
        <f>AG505*$G$55</f>
        <v/>
      </c>
      <c r="AI506">
        <f>G506+K506+O506+S506+W506</f>
        <v/>
      </c>
      <c r="AJ506">
        <f>AI505+AK506-AI506</f>
        <v/>
      </c>
      <c r="AK506">
        <f>H506+L506+P506+T506+X506</f>
        <v/>
      </c>
      <c r="AL506">
        <f>TEXT(EDATE($B$5,D506-1),"mmm yyyy")</f>
        <v/>
      </c>
      <c r="AM506">
        <f>AI506</f>
        <v/>
      </c>
    </row>
    <row r="507">
      <c r="D507" t="n">
        <v>446</v>
      </c>
      <c r="E507">
        <f>IF(G506&gt;0,MAX(0,G506*(1+$G$51)-$H$51),0)</f>
        <v/>
      </c>
      <c r="F507">
        <f>$B$6+IF($D507=$B$8,$B$7,0)</f>
        <v/>
      </c>
      <c r="G507">
        <f>IF(E507-F507&gt;1E-9,E507-F507,0)</f>
        <v/>
      </c>
      <c r="H507">
        <f>G506*$G$51</f>
        <v/>
      </c>
      <c r="I507">
        <f>IF(K506&gt;0,MAX(0,K506*(1+$G$52)-$H$52),0)</f>
        <v/>
      </c>
      <c r="J507">
        <f>MAX(0,F507-E507)</f>
        <v/>
      </c>
      <c r="K507">
        <f>IF(I507-J507&gt;1E-9,I507-J507,0)</f>
        <v/>
      </c>
      <c r="L507">
        <f>K506*$G$52</f>
        <v/>
      </c>
      <c r="M507">
        <f>IF(O506&gt;0,MAX(0,O506*(1+$G$53)-$H$53),0)</f>
        <v/>
      </c>
      <c r="N507">
        <f>MAX(0,J507-I507)</f>
        <v/>
      </c>
      <c r="O507">
        <f>IF(M507-N507&gt;1E-9,M507-N507,0)</f>
        <v/>
      </c>
      <c r="P507">
        <f>O506*$G$53</f>
        <v/>
      </c>
      <c r="Q507">
        <f>IF(S506&gt;0,MAX(0,S506*(1+$G$54)-$H$54),0)</f>
        <v/>
      </c>
      <c r="R507">
        <f>MAX(0,N507-M507)</f>
        <v/>
      </c>
      <c r="S507">
        <f>IF(Q507-R507&gt;1E-9,Q507-R507,0)</f>
        <v/>
      </c>
      <c r="T507">
        <f>S506*$G$54</f>
        <v/>
      </c>
      <c r="U507">
        <f>IF(W506&gt;0,MAX(0,W506*(1+$G$55)-$H$55),0)</f>
        <v/>
      </c>
      <c r="V507">
        <f>MAX(0,R507-Q507)</f>
        <v/>
      </c>
      <c r="W507">
        <f>IF(U507-V507&gt;1E-9,U507-V507,0)</f>
        <v/>
      </c>
      <c r="X507">
        <f>W506*$G$55</f>
        <v/>
      </c>
      <c r="Y507">
        <f>IF(Y506&gt;1E-9,IF(Y506*(1+$G$51)-MAX($B$9,0.01*Y506+Y506*$G$51)&gt;1E-9,Y506*(1+$G$51)-MAX($B$9,0.01*Y506+Y506*$G$51),0),0)</f>
        <v/>
      </c>
      <c r="Z507">
        <f>Y506*$G$51</f>
        <v/>
      </c>
      <c r="AA507">
        <f>IF(AA506&gt;1E-9,IF(AA506*(1+$G$52)-MAX($B$9,0.01*AA506+AA506*$G$52)&gt;1E-9,AA506*(1+$G$52)-MAX($B$9,0.01*AA506+AA506*$G$52),0),0)</f>
        <v/>
      </c>
      <c r="AB507">
        <f>AA506*$G$52</f>
        <v/>
      </c>
      <c r="AC507">
        <f>IF(AC506&gt;1E-9,IF(AC506*(1+$G$53)-MAX($B$9,0.01*AC506+AC506*$G$53)&gt;1E-9,AC506*(1+$G$53)-MAX($B$9,0.01*AC506+AC506*$G$53),0),0)</f>
        <v/>
      </c>
      <c r="AD507">
        <f>AC506*$G$53</f>
        <v/>
      </c>
      <c r="AE507">
        <f>IF(AE506&gt;1E-9,IF(AE506*(1+$G$54)-MAX($B$9,0.01*AE506+AE506*$G$54)&gt;1E-9,AE506*(1+$G$54)-MAX($B$9,0.01*AE506+AE506*$G$54),0),0)</f>
        <v/>
      </c>
      <c r="AF507">
        <f>AE506*$G$54</f>
        <v/>
      </c>
      <c r="AG507">
        <f>IF(AG506&gt;1E-9,IF(AG506*(1+$G$55)-MAX($B$9,0.01*AG506+AG506*$G$55)&gt;1E-9,AG506*(1+$G$55)-MAX($B$9,0.01*AG506+AG506*$G$55),0),0)</f>
        <v/>
      </c>
      <c r="AH507">
        <f>AG506*$G$55</f>
        <v/>
      </c>
      <c r="AI507">
        <f>G507+K507+O507+S507+W507</f>
        <v/>
      </c>
      <c r="AJ507">
        <f>AI506+AK507-AI507</f>
        <v/>
      </c>
      <c r="AK507">
        <f>H507+L507+P507+T507+X507</f>
        <v/>
      </c>
      <c r="AL507">
        <f>TEXT(EDATE($B$5,D507-1),"mmm yyyy")</f>
        <v/>
      </c>
      <c r="AM507">
        <f>AI507</f>
        <v/>
      </c>
    </row>
    <row r="508">
      <c r="D508" t="n">
        <v>447</v>
      </c>
      <c r="E508">
        <f>IF(G507&gt;0,MAX(0,G507*(1+$G$51)-$H$51),0)</f>
        <v/>
      </c>
      <c r="F508">
        <f>$B$6+IF($D508=$B$8,$B$7,0)</f>
        <v/>
      </c>
      <c r="G508">
        <f>IF(E508-F508&gt;1E-9,E508-F508,0)</f>
        <v/>
      </c>
      <c r="H508">
        <f>G507*$G$51</f>
        <v/>
      </c>
      <c r="I508">
        <f>IF(K507&gt;0,MAX(0,K507*(1+$G$52)-$H$52),0)</f>
        <v/>
      </c>
      <c r="J508">
        <f>MAX(0,F508-E508)</f>
        <v/>
      </c>
      <c r="K508">
        <f>IF(I508-J508&gt;1E-9,I508-J508,0)</f>
        <v/>
      </c>
      <c r="L508">
        <f>K507*$G$52</f>
        <v/>
      </c>
      <c r="M508">
        <f>IF(O507&gt;0,MAX(0,O507*(1+$G$53)-$H$53),0)</f>
        <v/>
      </c>
      <c r="N508">
        <f>MAX(0,J508-I508)</f>
        <v/>
      </c>
      <c r="O508">
        <f>IF(M508-N508&gt;1E-9,M508-N508,0)</f>
        <v/>
      </c>
      <c r="P508">
        <f>O507*$G$53</f>
        <v/>
      </c>
      <c r="Q508">
        <f>IF(S507&gt;0,MAX(0,S507*(1+$G$54)-$H$54),0)</f>
        <v/>
      </c>
      <c r="R508">
        <f>MAX(0,N508-M508)</f>
        <v/>
      </c>
      <c r="S508">
        <f>IF(Q508-R508&gt;1E-9,Q508-R508,0)</f>
        <v/>
      </c>
      <c r="T508">
        <f>S507*$G$54</f>
        <v/>
      </c>
      <c r="U508">
        <f>IF(W507&gt;0,MAX(0,W507*(1+$G$55)-$H$55),0)</f>
        <v/>
      </c>
      <c r="V508">
        <f>MAX(0,R508-Q508)</f>
        <v/>
      </c>
      <c r="W508">
        <f>IF(U508-V508&gt;1E-9,U508-V508,0)</f>
        <v/>
      </c>
      <c r="X508">
        <f>W507*$G$55</f>
        <v/>
      </c>
      <c r="Y508">
        <f>IF(Y507&gt;1E-9,IF(Y507*(1+$G$51)-MAX($B$9,0.01*Y507+Y507*$G$51)&gt;1E-9,Y507*(1+$G$51)-MAX($B$9,0.01*Y507+Y507*$G$51),0),0)</f>
        <v/>
      </c>
      <c r="Z508">
        <f>Y507*$G$51</f>
        <v/>
      </c>
      <c r="AA508">
        <f>IF(AA507&gt;1E-9,IF(AA507*(1+$G$52)-MAX($B$9,0.01*AA507+AA507*$G$52)&gt;1E-9,AA507*(1+$G$52)-MAX($B$9,0.01*AA507+AA507*$G$52),0),0)</f>
        <v/>
      </c>
      <c r="AB508">
        <f>AA507*$G$52</f>
        <v/>
      </c>
      <c r="AC508">
        <f>IF(AC507&gt;1E-9,IF(AC507*(1+$G$53)-MAX($B$9,0.01*AC507+AC507*$G$53)&gt;1E-9,AC507*(1+$G$53)-MAX($B$9,0.01*AC507+AC507*$G$53),0),0)</f>
        <v/>
      </c>
      <c r="AD508">
        <f>AC507*$G$53</f>
        <v/>
      </c>
      <c r="AE508">
        <f>IF(AE507&gt;1E-9,IF(AE507*(1+$G$54)-MAX($B$9,0.01*AE507+AE507*$G$54)&gt;1E-9,AE507*(1+$G$54)-MAX($B$9,0.01*AE507+AE507*$G$54),0),0)</f>
        <v/>
      </c>
      <c r="AF508">
        <f>AE507*$G$54</f>
        <v/>
      </c>
      <c r="AG508">
        <f>IF(AG507&gt;1E-9,IF(AG507*(1+$G$55)-MAX($B$9,0.01*AG507+AG507*$G$55)&gt;1E-9,AG507*(1+$G$55)-MAX($B$9,0.01*AG507+AG507*$G$55),0),0)</f>
        <v/>
      </c>
      <c r="AH508">
        <f>AG507*$G$55</f>
        <v/>
      </c>
      <c r="AI508">
        <f>G508+K508+O508+S508+W508</f>
        <v/>
      </c>
      <c r="AJ508">
        <f>AI507+AK508-AI508</f>
        <v/>
      </c>
      <c r="AK508">
        <f>H508+L508+P508+T508+X508</f>
        <v/>
      </c>
      <c r="AL508">
        <f>TEXT(EDATE($B$5,D508-1),"mmm yyyy")</f>
        <v/>
      </c>
      <c r="AM508">
        <f>AI508</f>
        <v/>
      </c>
    </row>
    <row r="509">
      <c r="D509" t="n">
        <v>448</v>
      </c>
      <c r="E509">
        <f>IF(G508&gt;0,MAX(0,G508*(1+$G$51)-$H$51),0)</f>
        <v/>
      </c>
      <c r="F509">
        <f>$B$6+IF($D509=$B$8,$B$7,0)</f>
        <v/>
      </c>
      <c r="G509">
        <f>IF(E509-F509&gt;1E-9,E509-F509,0)</f>
        <v/>
      </c>
      <c r="H509">
        <f>G508*$G$51</f>
        <v/>
      </c>
      <c r="I509">
        <f>IF(K508&gt;0,MAX(0,K508*(1+$G$52)-$H$52),0)</f>
        <v/>
      </c>
      <c r="J509">
        <f>MAX(0,F509-E509)</f>
        <v/>
      </c>
      <c r="K509">
        <f>IF(I509-J509&gt;1E-9,I509-J509,0)</f>
        <v/>
      </c>
      <c r="L509">
        <f>K508*$G$52</f>
        <v/>
      </c>
      <c r="M509">
        <f>IF(O508&gt;0,MAX(0,O508*(1+$G$53)-$H$53),0)</f>
        <v/>
      </c>
      <c r="N509">
        <f>MAX(0,J509-I509)</f>
        <v/>
      </c>
      <c r="O509">
        <f>IF(M509-N509&gt;1E-9,M509-N509,0)</f>
        <v/>
      </c>
      <c r="P509">
        <f>O508*$G$53</f>
        <v/>
      </c>
      <c r="Q509">
        <f>IF(S508&gt;0,MAX(0,S508*(1+$G$54)-$H$54),0)</f>
        <v/>
      </c>
      <c r="R509">
        <f>MAX(0,N509-M509)</f>
        <v/>
      </c>
      <c r="S509">
        <f>IF(Q509-R509&gt;1E-9,Q509-R509,0)</f>
        <v/>
      </c>
      <c r="T509">
        <f>S508*$G$54</f>
        <v/>
      </c>
      <c r="U509">
        <f>IF(W508&gt;0,MAX(0,W508*(1+$G$55)-$H$55),0)</f>
        <v/>
      </c>
      <c r="V509">
        <f>MAX(0,R509-Q509)</f>
        <v/>
      </c>
      <c r="W509">
        <f>IF(U509-V509&gt;1E-9,U509-V509,0)</f>
        <v/>
      </c>
      <c r="X509">
        <f>W508*$G$55</f>
        <v/>
      </c>
      <c r="Y509">
        <f>IF(Y508&gt;1E-9,IF(Y508*(1+$G$51)-MAX($B$9,0.01*Y508+Y508*$G$51)&gt;1E-9,Y508*(1+$G$51)-MAX($B$9,0.01*Y508+Y508*$G$51),0),0)</f>
        <v/>
      </c>
      <c r="Z509">
        <f>Y508*$G$51</f>
        <v/>
      </c>
      <c r="AA509">
        <f>IF(AA508&gt;1E-9,IF(AA508*(1+$G$52)-MAX($B$9,0.01*AA508+AA508*$G$52)&gt;1E-9,AA508*(1+$G$52)-MAX($B$9,0.01*AA508+AA508*$G$52),0),0)</f>
        <v/>
      </c>
      <c r="AB509">
        <f>AA508*$G$52</f>
        <v/>
      </c>
      <c r="AC509">
        <f>IF(AC508&gt;1E-9,IF(AC508*(1+$G$53)-MAX($B$9,0.01*AC508+AC508*$G$53)&gt;1E-9,AC508*(1+$G$53)-MAX($B$9,0.01*AC508+AC508*$G$53),0),0)</f>
        <v/>
      </c>
      <c r="AD509">
        <f>AC508*$G$53</f>
        <v/>
      </c>
      <c r="AE509">
        <f>IF(AE508&gt;1E-9,IF(AE508*(1+$G$54)-MAX($B$9,0.01*AE508+AE508*$G$54)&gt;1E-9,AE508*(1+$G$54)-MAX($B$9,0.01*AE508+AE508*$G$54),0),0)</f>
        <v/>
      </c>
      <c r="AF509">
        <f>AE508*$G$54</f>
        <v/>
      </c>
      <c r="AG509">
        <f>IF(AG508&gt;1E-9,IF(AG508*(1+$G$55)-MAX($B$9,0.01*AG508+AG508*$G$55)&gt;1E-9,AG508*(1+$G$55)-MAX($B$9,0.01*AG508+AG508*$G$55),0),0)</f>
        <v/>
      </c>
      <c r="AH509">
        <f>AG508*$G$55</f>
        <v/>
      </c>
      <c r="AI509">
        <f>G509+K509+O509+S509+W509</f>
        <v/>
      </c>
      <c r="AJ509">
        <f>AI508+AK509-AI509</f>
        <v/>
      </c>
      <c r="AK509">
        <f>H509+L509+P509+T509+X509</f>
        <v/>
      </c>
      <c r="AL509">
        <f>TEXT(EDATE($B$5,D509-1),"mmm yyyy")</f>
        <v/>
      </c>
      <c r="AM509">
        <f>AI509</f>
        <v/>
      </c>
    </row>
    <row r="510">
      <c r="D510" t="n">
        <v>449</v>
      </c>
      <c r="E510">
        <f>IF(G509&gt;0,MAX(0,G509*(1+$G$51)-$H$51),0)</f>
        <v/>
      </c>
      <c r="F510">
        <f>$B$6+IF($D510=$B$8,$B$7,0)</f>
        <v/>
      </c>
      <c r="G510">
        <f>IF(E510-F510&gt;1E-9,E510-F510,0)</f>
        <v/>
      </c>
      <c r="H510">
        <f>G509*$G$51</f>
        <v/>
      </c>
      <c r="I510">
        <f>IF(K509&gt;0,MAX(0,K509*(1+$G$52)-$H$52),0)</f>
        <v/>
      </c>
      <c r="J510">
        <f>MAX(0,F510-E510)</f>
        <v/>
      </c>
      <c r="K510">
        <f>IF(I510-J510&gt;1E-9,I510-J510,0)</f>
        <v/>
      </c>
      <c r="L510">
        <f>K509*$G$52</f>
        <v/>
      </c>
      <c r="M510">
        <f>IF(O509&gt;0,MAX(0,O509*(1+$G$53)-$H$53),0)</f>
        <v/>
      </c>
      <c r="N510">
        <f>MAX(0,J510-I510)</f>
        <v/>
      </c>
      <c r="O510">
        <f>IF(M510-N510&gt;1E-9,M510-N510,0)</f>
        <v/>
      </c>
      <c r="P510">
        <f>O509*$G$53</f>
        <v/>
      </c>
      <c r="Q510">
        <f>IF(S509&gt;0,MAX(0,S509*(1+$G$54)-$H$54),0)</f>
        <v/>
      </c>
      <c r="R510">
        <f>MAX(0,N510-M510)</f>
        <v/>
      </c>
      <c r="S510">
        <f>IF(Q510-R510&gt;1E-9,Q510-R510,0)</f>
        <v/>
      </c>
      <c r="T510">
        <f>S509*$G$54</f>
        <v/>
      </c>
      <c r="U510">
        <f>IF(W509&gt;0,MAX(0,W509*(1+$G$55)-$H$55),0)</f>
        <v/>
      </c>
      <c r="V510">
        <f>MAX(0,R510-Q510)</f>
        <v/>
      </c>
      <c r="W510">
        <f>IF(U510-V510&gt;1E-9,U510-V510,0)</f>
        <v/>
      </c>
      <c r="X510">
        <f>W509*$G$55</f>
        <v/>
      </c>
      <c r="Y510">
        <f>IF(Y509&gt;1E-9,IF(Y509*(1+$G$51)-MAX($B$9,0.01*Y509+Y509*$G$51)&gt;1E-9,Y509*(1+$G$51)-MAX($B$9,0.01*Y509+Y509*$G$51),0),0)</f>
        <v/>
      </c>
      <c r="Z510">
        <f>Y509*$G$51</f>
        <v/>
      </c>
      <c r="AA510">
        <f>IF(AA509&gt;1E-9,IF(AA509*(1+$G$52)-MAX($B$9,0.01*AA509+AA509*$G$52)&gt;1E-9,AA509*(1+$G$52)-MAX($B$9,0.01*AA509+AA509*$G$52),0),0)</f>
        <v/>
      </c>
      <c r="AB510">
        <f>AA509*$G$52</f>
        <v/>
      </c>
      <c r="AC510">
        <f>IF(AC509&gt;1E-9,IF(AC509*(1+$G$53)-MAX($B$9,0.01*AC509+AC509*$G$53)&gt;1E-9,AC509*(1+$G$53)-MAX($B$9,0.01*AC509+AC509*$G$53),0),0)</f>
        <v/>
      </c>
      <c r="AD510">
        <f>AC509*$G$53</f>
        <v/>
      </c>
      <c r="AE510">
        <f>IF(AE509&gt;1E-9,IF(AE509*(1+$G$54)-MAX($B$9,0.01*AE509+AE509*$G$54)&gt;1E-9,AE509*(1+$G$54)-MAX($B$9,0.01*AE509+AE509*$G$54),0),0)</f>
        <v/>
      </c>
      <c r="AF510">
        <f>AE509*$G$54</f>
        <v/>
      </c>
      <c r="AG510">
        <f>IF(AG509&gt;1E-9,IF(AG509*(1+$G$55)-MAX($B$9,0.01*AG509+AG509*$G$55)&gt;1E-9,AG509*(1+$G$55)-MAX($B$9,0.01*AG509+AG509*$G$55),0),0)</f>
        <v/>
      </c>
      <c r="AH510">
        <f>AG509*$G$55</f>
        <v/>
      </c>
      <c r="AI510">
        <f>G510+K510+O510+S510+W510</f>
        <v/>
      </c>
      <c r="AJ510">
        <f>AI509+AK510-AI510</f>
        <v/>
      </c>
      <c r="AK510">
        <f>H510+L510+P510+T510+X510</f>
        <v/>
      </c>
      <c r="AL510">
        <f>TEXT(EDATE($B$5,D510-1),"mmm yyyy")</f>
        <v/>
      </c>
      <c r="AM510">
        <f>AI510</f>
        <v/>
      </c>
    </row>
    <row r="511">
      <c r="D511" t="n">
        <v>450</v>
      </c>
      <c r="E511">
        <f>IF(G510&gt;0,MAX(0,G510*(1+$G$51)-$H$51),0)</f>
        <v/>
      </c>
      <c r="F511">
        <f>$B$6+IF($D511=$B$8,$B$7,0)</f>
        <v/>
      </c>
      <c r="G511">
        <f>IF(E511-F511&gt;1E-9,E511-F511,0)</f>
        <v/>
      </c>
      <c r="H511">
        <f>G510*$G$51</f>
        <v/>
      </c>
      <c r="I511">
        <f>IF(K510&gt;0,MAX(0,K510*(1+$G$52)-$H$52),0)</f>
        <v/>
      </c>
      <c r="J511">
        <f>MAX(0,F511-E511)</f>
        <v/>
      </c>
      <c r="K511">
        <f>IF(I511-J511&gt;1E-9,I511-J511,0)</f>
        <v/>
      </c>
      <c r="L511">
        <f>K510*$G$52</f>
        <v/>
      </c>
      <c r="M511">
        <f>IF(O510&gt;0,MAX(0,O510*(1+$G$53)-$H$53),0)</f>
        <v/>
      </c>
      <c r="N511">
        <f>MAX(0,J511-I511)</f>
        <v/>
      </c>
      <c r="O511">
        <f>IF(M511-N511&gt;1E-9,M511-N511,0)</f>
        <v/>
      </c>
      <c r="P511">
        <f>O510*$G$53</f>
        <v/>
      </c>
      <c r="Q511">
        <f>IF(S510&gt;0,MAX(0,S510*(1+$G$54)-$H$54),0)</f>
        <v/>
      </c>
      <c r="R511">
        <f>MAX(0,N511-M511)</f>
        <v/>
      </c>
      <c r="S511">
        <f>IF(Q511-R511&gt;1E-9,Q511-R511,0)</f>
        <v/>
      </c>
      <c r="T511">
        <f>S510*$G$54</f>
        <v/>
      </c>
      <c r="U511">
        <f>IF(W510&gt;0,MAX(0,W510*(1+$G$55)-$H$55),0)</f>
        <v/>
      </c>
      <c r="V511">
        <f>MAX(0,R511-Q511)</f>
        <v/>
      </c>
      <c r="W511">
        <f>IF(U511-V511&gt;1E-9,U511-V511,0)</f>
        <v/>
      </c>
      <c r="X511">
        <f>W510*$G$55</f>
        <v/>
      </c>
      <c r="Y511">
        <f>IF(Y510&gt;1E-9,IF(Y510*(1+$G$51)-MAX($B$9,0.01*Y510+Y510*$G$51)&gt;1E-9,Y510*(1+$G$51)-MAX($B$9,0.01*Y510+Y510*$G$51),0),0)</f>
        <v/>
      </c>
      <c r="Z511">
        <f>Y510*$G$51</f>
        <v/>
      </c>
      <c r="AA511">
        <f>IF(AA510&gt;1E-9,IF(AA510*(1+$G$52)-MAX($B$9,0.01*AA510+AA510*$G$52)&gt;1E-9,AA510*(1+$G$52)-MAX($B$9,0.01*AA510+AA510*$G$52),0),0)</f>
        <v/>
      </c>
      <c r="AB511">
        <f>AA510*$G$52</f>
        <v/>
      </c>
      <c r="AC511">
        <f>IF(AC510&gt;1E-9,IF(AC510*(1+$G$53)-MAX($B$9,0.01*AC510+AC510*$G$53)&gt;1E-9,AC510*(1+$G$53)-MAX($B$9,0.01*AC510+AC510*$G$53),0),0)</f>
        <v/>
      </c>
      <c r="AD511">
        <f>AC510*$G$53</f>
        <v/>
      </c>
      <c r="AE511">
        <f>IF(AE510&gt;1E-9,IF(AE510*(1+$G$54)-MAX($B$9,0.01*AE510+AE510*$G$54)&gt;1E-9,AE510*(1+$G$54)-MAX($B$9,0.01*AE510+AE510*$G$54),0),0)</f>
        <v/>
      </c>
      <c r="AF511">
        <f>AE510*$G$54</f>
        <v/>
      </c>
      <c r="AG511">
        <f>IF(AG510&gt;1E-9,IF(AG510*(1+$G$55)-MAX($B$9,0.01*AG510+AG510*$G$55)&gt;1E-9,AG510*(1+$G$55)-MAX($B$9,0.01*AG510+AG510*$G$55),0),0)</f>
        <v/>
      </c>
      <c r="AH511">
        <f>AG510*$G$55</f>
        <v/>
      </c>
      <c r="AI511">
        <f>G511+K511+O511+S511+W511</f>
        <v/>
      </c>
      <c r="AJ511">
        <f>AI510+AK511-AI511</f>
        <v/>
      </c>
      <c r="AK511">
        <f>H511+L511+P511+T511+X511</f>
        <v/>
      </c>
      <c r="AL511">
        <f>TEXT(EDATE($B$5,D511-1),"mmm yyyy")</f>
        <v/>
      </c>
      <c r="AM511">
        <f>AI511</f>
        <v/>
      </c>
    </row>
    <row r="512">
      <c r="D512" t="n">
        <v>451</v>
      </c>
      <c r="E512">
        <f>IF(G511&gt;0,MAX(0,G511*(1+$G$51)-$H$51),0)</f>
        <v/>
      </c>
      <c r="F512">
        <f>$B$6+IF($D512=$B$8,$B$7,0)</f>
        <v/>
      </c>
      <c r="G512">
        <f>IF(E512-F512&gt;1E-9,E512-F512,0)</f>
        <v/>
      </c>
      <c r="H512">
        <f>G511*$G$51</f>
        <v/>
      </c>
      <c r="I512">
        <f>IF(K511&gt;0,MAX(0,K511*(1+$G$52)-$H$52),0)</f>
        <v/>
      </c>
      <c r="J512">
        <f>MAX(0,F512-E512)</f>
        <v/>
      </c>
      <c r="K512">
        <f>IF(I512-J512&gt;1E-9,I512-J512,0)</f>
        <v/>
      </c>
      <c r="L512">
        <f>K511*$G$52</f>
        <v/>
      </c>
      <c r="M512">
        <f>IF(O511&gt;0,MAX(0,O511*(1+$G$53)-$H$53),0)</f>
        <v/>
      </c>
      <c r="N512">
        <f>MAX(0,J512-I512)</f>
        <v/>
      </c>
      <c r="O512">
        <f>IF(M512-N512&gt;1E-9,M512-N512,0)</f>
        <v/>
      </c>
      <c r="P512">
        <f>O511*$G$53</f>
        <v/>
      </c>
      <c r="Q512">
        <f>IF(S511&gt;0,MAX(0,S511*(1+$G$54)-$H$54),0)</f>
        <v/>
      </c>
      <c r="R512">
        <f>MAX(0,N512-M512)</f>
        <v/>
      </c>
      <c r="S512">
        <f>IF(Q512-R512&gt;1E-9,Q512-R512,0)</f>
        <v/>
      </c>
      <c r="T512">
        <f>S511*$G$54</f>
        <v/>
      </c>
      <c r="U512">
        <f>IF(W511&gt;0,MAX(0,W511*(1+$G$55)-$H$55),0)</f>
        <v/>
      </c>
      <c r="V512">
        <f>MAX(0,R512-Q512)</f>
        <v/>
      </c>
      <c r="W512">
        <f>IF(U512-V512&gt;1E-9,U512-V512,0)</f>
        <v/>
      </c>
      <c r="X512">
        <f>W511*$G$55</f>
        <v/>
      </c>
      <c r="Y512">
        <f>IF(Y511&gt;1E-9,IF(Y511*(1+$G$51)-MAX($B$9,0.01*Y511+Y511*$G$51)&gt;1E-9,Y511*(1+$G$51)-MAX($B$9,0.01*Y511+Y511*$G$51),0),0)</f>
        <v/>
      </c>
      <c r="Z512">
        <f>Y511*$G$51</f>
        <v/>
      </c>
      <c r="AA512">
        <f>IF(AA511&gt;1E-9,IF(AA511*(1+$G$52)-MAX($B$9,0.01*AA511+AA511*$G$52)&gt;1E-9,AA511*(1+$G$52)-MAX($B$9,0.01*AA511+AA511*$G$52),0),0)</f>
        <v/>
      </c>
      <c r="AB512">
        <f>AA511*$G$52</f>
        <v/>
      </c>
      <c r="AC512">
        <f>IF(AC511&gt;1E-9,IF(AC511*(1+$G$53)-MAX($B$9,0.01*AC511+AC511*$G$53)&gt;1E-9,AC511*(1+$G$53)-MAX($B$9,0.01*AC511+AC511*$G$53),0),0)</f>
        <v/>
      </c>
      <c r="AD512">
        <f>AC511*$G$53</f>
        <v/>
      </c>
      <c r="AE512">
        <f>IF(AE511&gt;1E-9,IF(AE511*(1+$G$54)-MAX($B$9,0.01*AE511+AE511*$G$54)&gt;1E-9,AE511*(1+$G$54)-MAX($B$9,0.01*AE511+AE511*$G$54),0),0)</f>
        <v/>
      </c>
      <c r="AF512">
        <f>AE511*$G$54</f>
        <v/>
      </c>
      <c r="AG512">
        <f>IF(AG511&gt;1E-9,IF(AG511*(1+$G$55)-MAX($B$9,0.01*AG511+AG511*$G$55)&gt;1E-9,AG511*(1+$G$55)-MAX($B$9,0.01*AG511+AG511*$G$55),0),0)</f>
        <v/>
      </c>
      <c r="AH512">
        <f>AG511*$G$55</f>
        <v/>
      </c>
      <c r="AI512">
        <f>G512+K512+O512+S512+W512</f>
        <v/>
      </c>
      <c r="AJ512">
        <f>AI511+AK512-AI512</f>
        <v/>
      </c>
      <c r="AK512">
        <f>H512+L512+P512+T512+X512</f>
        <v/>
      </c>
      <c r="AL512">
        <f>TEXT(EDATE($B$5,D512-1),"mmm yyyy")</f>
        <v/>
      </c>
      <c r="AM512">
        <f>AI512</f>
        <v/>
      </c>
    </row>
    <row r="513">
      <c r="D513" t="n">
        <v>452</v>
      </c>
      <c r="E513">
        <f>IF(G512&gt;0,MAX(0,G512*(1+$G$51)-$H$51),0)</f>
        <v/>
      </c>
      <c r="F513">
        <f>$B$6+IF($D513=$B$8,$B$7,0)</f>
        <v/>
      </c>
      <c r="G513">
        <f>IF(E513-F513&gt;1E-9,E513-F513,0)</f>
        <v/>
      </c>
      <c r="H513">
        <f>G512*$G$51</f>
        <v/>
      </c>
      <c r="I513">
        <f>IF(K512&gt;0,MAX(0,K512*(1+$G$52)-$H$52),0)</f>
        <v/>
      </c>
      <c r="J513">
        <f>MAX(0,F513-E513)</f>
        <v/>
      </c>
      <c r="K513">
        <f>IF(I513-J513&gt;1E-9,I513-J513,0)</f>
        <v/>
      </c>
      <c r="L513">
        <f>K512*$G$52</f>
        <v/>
      </c>
      <c r="M513">
        <f>IF(O512&gt;0,MAX(0,O512*(1+$G$53)-$H$53),0)</f>
        <v/>
      </c>
      <c r="N513">
        <f>MAX(0,J513-I513)</f>
        <v/>
      </c>
      <c r="O513">
        <f>IF(M513-N513&gt;1E-9,M513-N513,0)</f>
        <v/>
      </c>
      <c r="P513">
        <f>O512*$G$53</f>
        <v/>
      </c>
      <c r="Q513">
        <f>IF(S512&gt;0,MAX(0,S512*(1+$G$54)-$H$54),0)</f>
        <v/>
      </c>
      <c r="R513">
        <f>MAX(0,N513-M513)</f>
        <v/>
      </c>
      <c r="S513">
        <f>IF(Q513-R513&gt;1E-9,Q513-R513,0)</f>
        <v/>
      </c>
      <c r="T513">
        <f>S512*$G$54</f>
        <v/>
      </c>
      <c r="U513">
        <f>IF(W512&gt;0,MAX(0,W512*(1+$G$55)-$H$55),0)</f>
        <v/>
      </c>
      <c r="V513">
        <f>MAX(0,R513-Q513)</f>
        <v/>
      </c>
      <c r="W513">
        <f>IF(U513-V513&gt;1E-9,U513-V513,0)</f>
        <v/>
      </c>
      <c r="X513">
        <f>W512*$G$55</f>
        <v/>
      </c>
      <c r="Y513">
        <f>IF(Y512&gt;1E-9,IF(Y512*(1+$G$51)-MAX($B$9,0.01*Y512+Y512*$G$51)&gt;1E-9,Y512*(1+$G$51)-MAX($B$9,0.01*Y512+Y512*$G$51),0),0)</f>
        <v/>
      </c>
      <c r="Z513">
        <f>Y512*$G$51</f>
        <v/>
      </c>
      <c r="AA513">
        <f>IF(AA512&gt;1E-9,IF(AA512*(1+$G$52)-MAX($B$9,0.01*AA512+AA512*$G$52)&gt;1E-9,AA512*(1+$G$52)-MAX($B$9,0.01*AA512+AA512*$G$52),0),0)</f>
        <v/>
      </c>
      <c r="AB513">
        <f>AA512*$G$52</f>
        <v/>
      </c>
      <c r="AC513">
        <f>IF(AC512&gt;1E-9,IF(AC512*(1+$G$53)-MAX($B$9,0.01*AC512+AC512*$G$53)&gt;1E-9,AC512*(1+$G$53)-MAX($B$9,0.01*AC512+AC512*$G$53),0),0)</f>
        <v/>
      </c>
      <c r="AD513">
        <f>AC512*$G$53</f>
        <v/>
      </c>
      <c r="AE513">
        <f>IF(AE512&gt;1E-9,IF(AE512*(1+$G$54)-MAX($B$9,0.01*AE512+AE512*$G$54)&gt;1E-9,AE512*(1+$G$54)-MAX($B$9,0.01*AE512+AE512*$G$54),0),0)</f>
        <v/>
      </c>
      <c r="AF513">
        <f>AE512*$G$54</f>
        <v/>
      </c>
      <c r="AG513">
        <f>IF(AG512&gt;1E-9,IF(AG512*(1+$G$55)-MAX($B$9,0.01*AG512+AG512*$G$55)&gt;1E-9,AG512*(1+$G$55)-MAX($B$9,0.01*AG512+AG512*$G$55),0),0)</f>
        <v/>
      </c>
      <c r="AH513">
        <f>AG512*$G$55</f>
        <v/>
      </c>
      <c r="AI513">
        <f>G513+K513+O513+S513+W513</f>
        <v/>
      </c>
      <c r="AJ513">
        <f>AI512+AK513-AI513</f>
        <v/>
      </c>
      <c r="AK513">
        <f>H513+L513+P513+T513+X513</f>
        <v/>
      </c>
      <c r="AL513">
        <f>TEXT(EDATE($B$5,D513-1),"mmm yyyy")</f>
        <v/>
      </c>
      <c r="AM513">
        <f>AI513</f>
        <v/>
      </c>
    </row>
    <row r="514">
      <c r="D514" t="n">
        <v>453</v>
      </c>
      <c r="E514">
        <f>IF(G513&gt;0,MAX(0,G513*(1+$G$51)-$H$51),0)</f>
        <v/>
      </c>
      <c r="F514">
        <f>$B$6+IF($D514=$B$8,$B$7,0)</f>
        <v/>
      </c>
      <c r="G514">
        <f>IF(E514-F514&gt;1E-9,E514-F514,0)</f>
        <v/>
      </c>
      <c r="H514">
        <f>G513*$G$51</f>
        <v/>
      </c>
      <c r="I514">
        <f>IF(K513&gt;0,MAX(0,K513*(1+$G$52)-$H$52),0)</f>
        <v/>
      </c>
      <c r="J514">
        <f>MAX(0,F514-E514)</f>
        <v/>
      </c>
      <c r="K514">
        <f>IF(I514-J514&gt;1E-9,I514-J514,0)</f>
        <v/>
      </c>
      <c r="L514">
        <f>K513*$G$52</f>
        <v/>
      </c>
      <c r="M514">
        <f>IF(O513&gt;0,MAX(0,O513*(1+$G$53)-$H$53),0)</f>
        <v/>
      </c>
      <c r="N514">
        <f>MAX(0,J514-I514)</f>
        <v/>
      </c>
      <c r="O514">
        <f>IF(M514-N514&gt;1E-9,M514-N514,0)</f>
        <v/>
      </c>
      <c r="P514">
        <f>O513*$G$53</f>
        <v/>
      </c>
      <c r="Q514">
        <f>IF(S513&gt;0,MAX(0,S513*(1+$G$54)-$H$54),0)</f>
        <v/>
      </c>
      <c r="R514">
        <f>MAX(0,N514-M514)</f>
        <v/>
      </c>
      <c r="S514">
        <f>IF(Q514-R514&gt;1E-9,Q514-R514,0)</f>
        <v/>
      </c>
      <c r="T514">
        <f>S513*$G$54</f>
        <v/>
      </c>
      <c r="U514">
        <f>IF(W513&gt;0,MAX(0,W513*(1+$G$55)-$H$55),0)</f>
        <v/>
      </c>
      <c r="V514">
        <f>MAX(0,R514-Q514)</f>
        <v/>
      </c>
      <c r="W514">
        <f>IF(U514-V514&gt;1E-9,U514-V514,0)</f>
        <v/>
      </c>
      <c r="X514">
        <f>W513*$G$55</f>
        <v/>
      </c>
      <c r="Y514">
        <f>IF(Y513&gt;1E-9,IF(Y513*(1+$G$51)-MAX($B$9,0.01*Y513+Y513*$G$51)&gt;1E-9,Y513*(1+$G$51)-MAX($B$9,0.01*Y513+Y513*$G$51),0),0)</f>
        <v/>
      </c>
      <c r="Z514">
        <f>Y513*$G$51</f>
        <v/>
      </c>
      <c r="AA514">
        <f>IF(AA513&gt;1E-9,IF(AA513*(1+$G$52)-MAX($B$9,0.01*AA513+AA513*$G$52)&gt;1E-9,AA513*(1+$G$52)-MAX($B$9,0.01*AA513+AA513*$G$52),0),0)</f>
        <v/>
      </c>
      <c r="AB514">
        <f>AA513*$G$52</f>
        <v/>
      </c>
      <c r="AC514">
        <f>IF(AC513&gt;1E-9,IF(AC513*(1+$G$53)-MAX($B$9,0.01*AC513+AC513*$G$53)&gt;1E-9,AC513*(1+$G$53)-MAX($B$9,0.01*AC513+AC513*$G$53),0),0)</f>
        <v/>
      </c>
      <c r="AD514">
        <f>AC513*$G$53</f>
        <v/>
      </c>
      <c r="AE514">
        <f>IF(AE513&gt;1E-9,IF(AE513*(1+$G$54)-MAX($B$9,0.01*AE513+AE513*$G$54)&gt;1E-9,AE513*(1+$G$54)-MAX($B$9,0.01*AE513+AE513*$G$54),0),0)</f>
        <v/>
      </c>
      <c r="AF514">
        <f>AE513*$G$54</f>
        <v/>
      </c>
      <c r="AG514">
        <f>IF(AG513&gt;1E-9,IF(AG513*(1+$G$55)-MAX($B$9,0.01*AG513+AG513*$G$55)&gt;1E-9,AG513*(1+$G$55)-MAX($B$9,0.01*AG513+AG513*$G$55),0),0)</f>
        <v/>
      </c>
      <c r="AH514">
        <f>AG513*$G$55</f>
        <v/>
      </c>
      <c r="AI514">
        <f>G514+K514+O514+S514+W514</f>
        <v/>
      </c>
      <c r="AJ514">
        <f>AI513+AK514-AI514</f>
        <v/>
      </c>
      <c r="AK514">
        <f>H514+L514+P514+T514+X514</f>
        <v/>
      </c>
      <c r="AL514">
        <f>TEXT(EDATE($B$5,D514-1),"mmm yyyy")</f>
        <v/>
      </c>
      <c r="AM514">
        <f>AI514</f>
        <v/>
      </c>
    </row>
    <row r="515">
      <c r="D515" t="n">
        <v>454</v>
      </c>
      <c r="E515">
        <f>IF(G514&gt;0,MAX(0,G514*(1+$G$51)-$H$51),0)</f>
        <v/>
      </c>
      <c r="F515">
        <f>$B$6+IF($D515=$B$8,$B$7,0)</f>
        <v/>
      </c>
      <c r="G515">
        <f>IF(E515-F515&gt;1E-9,E515-F515,0)</f>
        <v/>
      </c>
      <c r="H515">
        <f>G514*$G$51</f>
        <v/>
      </c>
      <c r="I515">
        <f>IF(K514&gt;0,MAX(0,K514*(1+$G$52)-$H$52),0)</f>
        <v/>
      </c>
      <c r="J515">
        <f>MAX(0,F515-E515)</f>
        <v/>
      </c>
      <c r="K515">
        <f>IF(I515-J515&gt;1E-9,I515-J515,0)</f>
        <v/>
      </c>
      <c r="L515">
        <f>K514*$G$52</f>
        <v/>
      </c>
      <c r="M515">
        <f>IF(O514&gt;0,MAX(0,O514*(1+$G$53)-$H$53),0)</f>
        <v/>
      </c>
      <c r="N515">
        <f>MAX(0,J515-I515)</f>
        <v/>
      </c>
      <c r="O515">
        <f>IF(M515-N515&gt;1E-9,M515-N515,0)</f>
        <v/>
      </c>
      <c r="P515">
        <f>O514*$G$53</f>
        <v/>
      </c>
      <c r="Q515">
        <f>IF(S514&gt;0,MAX(0,S514*(1+$G$54)-$H$54),0)</f>
        <v/>
      </c>
      <c r="R515">
        <f>MAX(0,N515-M515)</f>
        <v/>
      </c>
      <c r="S515">
        <f>IF(Q515-R515&gt;1E-9,Q515-R515,0)</f>
        <v/>
      </c>
      <c r="T515">
        <f>S514*$G$54</f>
        <v/>
      </c>
      <c r="U515">
        <f>IF(W514&gt;0,MAX(0,W514*(1+$G$55)-$H$55),0)</f>
        <v/>
      </c>
      <c r="V515">
        <f>MAX(0,R515-Q515)</f>
        <v/>
      </c>
      <c r="W515">
        <f>IF(U515-V515&gt;1E-9,U515-V515,0)</f>
        <v/>
      </c>
      <c r="X515">
        <f>W514*$G$55</f>
        <v/>
      </c>
      <c r="Y515">
        <f>IF(Y514&gt;1E-9,IF(Y514*(1+$G$51)-MAX($B$9,0.01*Y514+Y514*$G$51)&gt;1E-9,Y514*(1+$G$51)-MAX($B$9,0.01*Y514+Y514*$G$51),0),0)</f>
        <v/>
      </c>
      <c r="Z515">
        <f>Y514*$G$51</f>
        <v/>
      </c>
      <c r="AA515">
        <f>IF(AA514&gt;1E-9,IF(AA514*(1+$G$52)-MAX($B$9,0.01*AA514+AA514*$G$52)&gt;1E-9,AA514*(1+$G$52)-MAX($B$9,0.01*AA514+AA514*$G$52),0),0)</f>
        <v/>
      </c>
      <c r="AB515">
        <f>AA514*$G$52</f>
        <v/>
      </c>
      <c r="AC515">
        <f>IF(AC514&gt;1E-9,IF(AC514*(1+$G$53)-MAX($B$9,0.01*AC514+AC514*$G$53)&gt;1E-9,AC514*(1+$G$53)-MAX($B$9,0.01*AC514+AC514*$G$53),0),0)</f>
        <v/>
      </c>
      <c r="AD515">
        <f>AC514*$G$53</f>
        <v/>
      </c>
      <c r="AE515">
        <f>IF(AE514&gt;1E-9,IF(AE514*(1+$G$54)-MAX($B$9,0.01*AE514+AE514*$G$54)&gt;1E-9,AE514*(1+$G$54)-MAX($B$9,0.01*AE514+AE514*$G$54),0),0)</f>
        <v/>
      </c>
      <c r="AF515">
        <f>AE514*$G$54</f>
        <v/>
      </c>
      <c r="AG515">
        <f>IF(AG514&gt;1E-9,IF(AG514*(1+$G$55)-MAX($B$9,0.01*AG514+AG514*$G$55)&gt;1E-9,AG514*(1+$G$55)-MAX($B$9,0.01*AG514+AG514*$G$55),0),0)</f>
        <v/>
      </c>
      <c r="AH515">
        <f>AG514*$G$55</f>
        <v/>
      </c>
      <c r="AI515">
        <f>G515+K515+O515+S515+W515</f>
        <v/>
      </c>
      <c r="AJ515">
        <f>AI514+AK515-AI515</f>
        <v/>
      </c>
      <c r="AK515">
        <f>H515+L515+P515+T515+X515</f>
        <v/>
      </c>
      <c r="AL515">
        <f>TEXT(EDATE($B$5,D515-1),"mmm yyyy")</f>
        <v/>
      </c>
      <c r="AM515">
        <f>AI515</f>
        <v/>
      </c>
    </row>
    <row r="516">
      <c r="D516" t="n">
        <v>455</v>
      </c>
      <c r="E516">
        <f>IF(G515&gt;0,MAX(0,G515*(1+$G$51)-$H$51),0)</f>
        <v/>
      </c>
      <c r="F516">
        <f>$B$6+IF($D516=$B$8,$B$7,0)</f>
        <v/>
      </c>
      <c r="G516">
        <f>IF(E516-F516&gt;1E-9,E516-F516,0)</f>
        <v/>
      </c>
      <c r="H516">
        <f>G515*$G$51</f>
        <v/>
      </c>
      <c r="I516">
        <f>IF(K515&gt;0,MAX(0,K515*(1+$G$52)-$H$52),0)</f>
        <v/>
      </c>
      <c r="J516">
        <f>MAX(0,F516-E516)</f>
        <v/>
      </c>
      <c r="K516">
        <f>IF(I516-J516&gt;1E-9,I516-J516,0)</f>
        <v/>
      </c>
      <c r="L516">
        <f>K515*$G$52</f>
        <v/>
      </c>
      <c r="M516">
        <f>IF(O515&gt;0,MAX(0,O515*(1+$G$53)-$H$53),0)</f>
        <v/>
      </c>
      <c r="N516">
        <f>MAX(0,J516-I516)</f>
        <v/>
      </c>
      <c r="O516">
        <f>IF(M516-N516&gt;1E-9,M516-N516,0)</f>
        <v/>
      </c>
      <c r="P516">
        <f>O515*$G$53</f>
        <v/>
      </c>
      <c r="Q516">
        <f>IF(S515&gt;0,MAX(0,S515*(1+$G$54)-$H$54),0)</f>
        <v/>
      </c>
      <c r="R516">
        <f>MAX(0,N516-M516)</f>
        <v/>
      </c>
      <c r="S516">
        <f>IF(Q516-R516&gt;1E-9,Q516-R516,0)</f>
        <v/>
      </c>
      <c r="T516">
        <f>S515*$G$54</f>
        <v/>
      </c>
      <c r="U516">
        <f>IF(W515&gt;0,MAX(0,W515*(1+$G$55)-$H$55),0)</f>
        <v/>
      </c>
      <c r="V516">
        <f>MAX(0,R516-Q516)</f>
        <v/>
      </c>
      <c r="W516">
        <f>IF(U516-V516&gt;1E-9,U516-V516,0)</f>
        <v/>
      </c>
      <c r="X516">
        <f>W515*$G$55</f>
        <v/>
      </c>
      <c r="Y516">
        <f>IF(Y515&gt;1E-9,IF(Y515*(1+$G$51)-MAX($B$9,0.01*Y515+Y515*$G$51)&gt;1E-9,Y515*(1+$G$51)-MAX($B$9,0.01*Y515+Y515*$G$51),0),0)</f>
        <v/>
      </c>
      <c r="Z516">
        <f>Y515*$G$51</f>
        <v/>
      </c>
      <c r="AA516">
        <f>IF(AA515&gt;1E-9,IF(AA515*(1+$G$52)-MAX($B$9,0.01*AA515+AA515*$G$52)&gt;1E-9,AA515*(1+$G$52)-MAX($B$9,0.01*AA515+AA515*$G$52),0),0)</f>
        <v/>
      </c>
      <c r="AB516">
        <f>AA515*$G$52</f>
        <v/>
      </c>
      <c r="AC516">
        <f>IF(AC515&gt;1E-9,IF(AC515*(1+$G$53)-MAX($B$9,0.01*AC515+AC515*$G$53)&gt;1E-9,AC515*(1+$G$53)-MAX($B$9,0.01*AC515+AC515*$G$53),0),0)</f>
        <v/>
      </c>
      <c r="AD516">
        <f>AC515*$G$53</f>
        <v/>
      </c>
      <c r="AE516">
        <f>IF(AE515&gt;1E-9,IF(AE515*(1+$G$54)-MAX($B$9,0.01*AE515+AE515*$G$54)&gt;1E-9,AE515*(1+$G$54)-MAX($B$9,0.01*AE515+AE515*$G$54),0),0)</f>
        <v/>
      </c>
      <c r="AF516">
        <f>AE515*$G$54</f>
        <v/>
      </c>
      <c r="AG516">
        <f>IF(AG515&gt;1E-9,IF(AG515*(1+$G$55)-MAX($B$9,0.01*AG515+AG515*$G$55)&gt;1E-9,AG515*(1+$G$55)-MAX($B$9,0.01*AG515+AG515*$G$55),0),0)</f>
        <v/>
      </c>
      <c r="AH516">
        <f>AG515*$G$55</f>
        <v/>
      </c>
      <c r="AI516">
        <f>G516+K516+O516+S516+W516</f>
        <v/>
      </c>
      <c r="AJ516">
        <f>AI515+AK516-AI516</f>
        <v/>
      </c>
      <c r="AK516">
        <f>H516+L516+P516+T516+X516</f>
        <v/>
      </c>
      <c r="AL516">
        <f>TEXT(EDATE($B$5,D516-1),"mmm yyyy")</f>
        <v/>
      </c>
      <c r="AM516">
        <f>AI516</f>
        <v/>
      </c>
    </row>
    <row r="517">
      <c r="D517" t="n">
        <v>456</v>
      </c>
      <c r="E517">
        <f>IF(G516&gt;0,MAX(0,G516*(1+$G$51)-$H$51),0)</f>
        <v/>
      </c>
      <c r="F517">
        <f>$B$6+IF($D517=$B$8,$B$7,0)</f>
        <v/>
      </c>
      <c r="G517">
        <f>IF(E517-F517&gt;1E-9,E517-F517,0)</f>
        <v/>
      </c>
      <c r="H517">
        <f>G516*$G$51</f>
        <v/>
      </c>
      <c r="I517">
        <f>IF(K516&gt;0,MAX(0,K516*(1+$G$52)-$H$52),0)</f>
        <v/>
      </c>
      <c r="J517">
        <f>MAX(0,F517-E517)</f>
        <v/>
      </c>
      <c r="K517">
        <f>IF(I517-J517&gt;1E-9,I517-J517,0)</f>
        <v/>
      </c>
      <c r="L517">
        <f>K516*$G$52</f>
        <v/>
      </c>
      <c r="M517">
        <f>IF(O516&gt;0,MAX(0,O516*(1+$G$53)-$H$53),0)</f>
        <v/>
      </c>
      <c r="N517">
        <f>MAX(0,J517-I517)</f>
        <v/>
      </c>
      <c r="O517">
        <f>IF(M517-N517&gt;1E-9,M517-N517,0)</f>
        <v/>
      </c>
      <c r="P517">
        <f>O516*$G$53</f>
        <v/>
      </c>
      <c r="Q517">
        <f>IF(S516&gt;0,MAX(0,S516*(1+$G$54)-$H$54),0)</f>
        <v/>
      </c>
      <c r="R517">
        <f>MAX(0,N517-M517)</f>
        <v/>
      </c>
      <c r="S517">
        <f>IF(Q517-R517&gt;1E-9,Q517-R517,0)</f>
        <v/>
      </c>
      <c r="T517">
        <f>S516*$G$54</f>
        <v/>
      </c>
      <c r="U517">
        <f>IF(W516&gt;0,MAX(0,W516*(1+$G$55)-$H$55),0)</f>
        <v/>
      </c>
      <c r="V517">
        <f>MAX(0,R517-Q517)</f>
        <v/>
      </c>
      <c r="W517">
        <f>IF(U517-V517&gt;1E-9,U517-V517,0)</f>
        <v/>
      </c>
      <c r="X517">
        <f>W516*$G$55</f>
        <v/>
      </c>
      <c r="Y517">
        <f>IF(Y516&gt;1E-9,IF(Y516*(1+$G$51)-MAX($B$9,0.01*Y516+Y516*$G$51)&gt;1E-9,Y516*(1+$G$51)-MAX($B$9,0.01*Y516+Y516*$G$51),0),0)</f>
        <v/>
      </c>
      <c r="Z517">
        <f>Y516*$G$51</f>
        <v/>
      </c>
      <c r="AA517">
        <f>IF(AA516&gt;1E-9,IF(AA516*(1+$G$52)-MAX($B$9,0.01*AA516+AA516*$G$52)&gt;1E-9,AA516*(1+$G$52)-MAX($B$9,0.01*AA516+AA516*$G$52),0),0)</f>
        <v/>
      </c>
      <c r="AB517">
        <f>AA516*$G$52</f>
        <v/>
      </c>
      <c r="AC517">
        <f>IF(AC516&gt;1E-9,IF(AC516*(1+$G$53)-MAX($B$9,0.01*AC516+AC516*$G$53)&gt;1E-9,AC516*(1+$G$53)-MAX($B$9,0.01*AC516+AC516*$G$53),0),0)</f>
        <v/>
      </c>
      <c r="AD517">
        <f>AC516*$G$53</f>
        <v/>
      </c>
      <c r="AE517">
        <f>IF(AE516&gt;1E-9,IF(AE516*(1+$G$54)-MAX($B$9,0.01*AE516+AE516*$G$54)&gt;1E-9,AE516*(1+$G$54)-MAX($B$9,0.01*AE516+AE516*$G$54),0),0)</f>
        <v/>
      </c>
      <c r="AF517">
        <f>AE516*$G$54</f>
        <v/>
      </c>
      <c r="AG517">
        <f>IF(AG516&gt;1E-9,IF(AG516*(1+$G$55)-MAX($B$9,0.01*AG516+AG516*$G$55)&gt;1E-9,AG516*(1+$G$55)-MAX($B$9,0.01*AG516+AG516*$G$55),0),0)</f>
        <v/>
      </c>
      <c r="AH517">
        <f>AG516*$G$55</f>
        <v/>
      </c>
      <c r="AI517">
        <f>G517+K517+O517+S517+W517</f>
        <v/>
      </c>
      <c r="AJ517">
        <f>AI516+AK517-AI517</f>
        <v/>
      </c>
      <c r="AK517">
        <f>H517+L517+P517+T517+X517</f>
        <v/>
      </c>
      <c r="AL517">
        <f>TEXT(EDATE($B$5,D517-1),"mmm yyyy")</f>
        <v/>
      </c>
      <c r="AM517">
        <f>AI517</f>
        <v/>
      </c>
    </row>
    <row r="518">
      <c r="D518" t="n">
        <v>457</v>
      </c>
      <c r="E518">
        <f>IF(G517&gt;0,MAX(0,G517*(1+$G$51)-$H$51),0)</f>
        <v/>
      </c>
      <c r="F518">
        <f>$B$6+IF($D518=$B$8,$B$7,0)</f>
        <v/>
      </c>
      <c r="G518">
        <f>IF(E518-F518&gt;1E-9,E518-F518,0)</f>
        <v/>
      </c>
      <c r="H518">
        <f>G517*$G$51</f>
        <v/>
      </c>
      <c r="I518">
        <f>IF(K517&gt;0,MAX(0,K517*(1+$G$52)-$H$52),0)</f>
        <v/>
      </c>
      <c r="J518">
        <f>MAX(0,F518-E518)</f>
        <v/>
      </c>
      <c r="K518">
        <f>IF(I518-J518&gt;1E-9,I518-J518,0)</f>
        <v/>
      </c>
      <c r="L518">
        <f>K517*$G$52</f>
        <v/>
      </c>
      <c r="M518">
        <f>IF(O517&gt;0,MAX(0,O517*(1+$G$53)-$H$53),0)</f>
        <v/>
      </c>
      <c r="N518">
        <f>MAX(0,J518-I518)</f>
        <v/>
      </c>
      <c r="O518">
        <f>IF(M518-N518&gt;1E-9,M518-N518,0)</f>
        <v/>
      </c>
      <c r="P518">
        <f>O517*$G$53</f>
        <v/>
      </c>
      <c r="Q518">
        <f>IF(S517&gt;0,MAX(0,S517*(1+$G$54)-$H$54),0)</f>
        <v/>
      </c>
      <c r="R518">
        <f>MAX(0,N518-M518)</f>
        <v/>
      </c>
      <c r="S518">
        <f>IF(Q518-R518&gt;1E-9,Q518-R518,0)</f>
        <v/>
      </c>
      <c r="T518">
        <f>S517*$G$54</f>
        <v/>
      </c>
      <c r="U518">
        <f>IF(W517&gt;0,MAX(0,W517*(1+$G$55)-$H$55),0)</f>
        <v/>
      </c>
      <c r="V518">
        <f>MAX(0,R518-Q518)</f>
        <v/>
      </c>
      <c r="W518">
        <f>IF(U518-V518&gt;1E-9,U518-V518,0)</f>
        <v/>
      </c>
      <c r="X518">
        <f>W517*$G$55</f>
        <v/>
      </c>
      <c r="Y518">
        <f>IF(Y517&gt;1E-9,IF(Y517*(1+$G$51)-MAX($B$9,0.01*Y517+Y517*$G$51)&gt;1E-9,Y517*(1+$G$51)-MAX($B$9,0.01*Y517+Y517*$G$51),0),0)</f>
        <v/>
      </c>
      <c r="Z518">
        <f>Y517*$G$51</f>
        <v/>
      </c>
      <c r="AA518">
        <f>IF(AA517&gt;1E-9,IF(AA517*(1+$G$52)-MAX($B$9,0.01*AA517+AA517*$G$52)&gt;1E-9,AA517*(1+$G$52)-MAX($B$9,0.01*AA517+AA517*$G$52),0),0)</f>
        <v/>
      </c>
      <c r="AB518">
        <f>AA517*$G$52</f>
        <v/>
      </c>
      <c r="AC518">
        <f>IF(AC517&gt;1E-9,IF(AC517*(1+$G$53)-MAX($B$9,0.01*AC517+AC517*$G$53)&gt;1E-9,AC517*(1+$G$53)-MAX($B$9,0.01*AC517+AC517*$G$53),0),0)</f>
        <v/>
      </c>
      <c r="AD518">
        <f>AC517*$G$53</f>
        <v/>
      </c>
      <c r="AE518">
        <f>IF(AE517&gt;1E-9,IF(AE517*(1+$G$54)-MAX($B$9,0.01*AE517+AE517*$G$54)&gt;1E-9,AE517*(1+$G$54)-MAX($B$9,0.01*AE517+AE517*$G$54),0),0)</f>
        <v/>
      </c>
      <c r="AF518">
        <f>AE517*$G$54</f>
        <v/>
      </c>
      <c r="AG518">
        <f>IF(AG517&gt;1E-9,IF(AG517*(1+$G$55)-MAX($B$9,0.01*AG517+AG517*$G$55)&gt;1E-9,AG517*(1+$G$55)-MAX($B$9,0.01*AG517+AG517*$G$55),0),0)</f>
        <v/>
      </c>
      <c r="AH518">
        <f>AG517*$G$55</f>
        <v/>
      </c>
      <c r="AI518">
        <f>G518+K518+O518+S518+W518</f>
        <v/>
      </c>
      <c r="AJ518">
        <f>AI517+AK518-AI518</f>
        <v/>
      </c>
      <c r="AK518">
        <f>H518+L518+P518+T518+X518</f>
        <v/>
      </c>
      <c r="AL518">
        <f>TEXT(EDATE($B$5,D518-1),"mmm yyyy")</f>
        <v/>
      </c>
      <c r="AM518">
        <f>AI518</f>
        <v/>
      </c>
    </row>
    <row r="519">
      <c r="D519" t="n">
        <v>458</v>
      </c>
      <c r="E519">
        <f>IF(G518&gt;0,MAX(0,G518*(1+$G$51)-$H$51),0)</f>
        <v/>
      </c>
      <c r="F519">
        <f>$B$6+IF($D519=$B$8,$B$7,0)</f>
        <v/>
      </c>
      <c r="G519">
        <f>IF(E519-F519&gt;1E-9,E519-F519,0)</f>
        <v/>
      </c>
      <c r="H519">
        <f>G518*$G$51</f>
        <v/>
      </c>
      <c r="I519">
        <f>IF(K518&gt;0,MAX(0,K518*(1+$G$52)-$H$52),0)</f>
        <v/>
      </c>
      <c r="J519">
        <f>MAX(0,F519-E519)</f>
        <v/>
      </c>
      <c r="K519">
        <f>IF(I519-J519&gt;1E-9,I519-J519,0)</f>
        <v/>
      </c>
      <c r="L519">
        <f>K518*$G$52</f>
        <v/>
      </c>
      <c r="M519">
        <f>IF(O518&gt;0,MAX(0,O518*(1+$G$53)-$H$53),0)</f>
        <v/>
      </c>
      <c r="N519">
        <f>MAX(0,J519-I519)</f>
        <v/>
      </c>
      <c r="O519">
        <f>IF(M519-N519&gt;1E-9,M519-N519,0)</f>
        <v/>
      </c>
      <c r="P519">
        <f>O518*$G$53</f>
        <v/>
      </c>
      <c r="Q519">
        <f>IF(S518&gt;0,MAX(0,S518*(1+$G$54)-$H$54),0)</f>
        <v/>
      </c>
      <c r="R519">
        <f>MAX(0,N519-M519)</f>
        <v/>
      </c>
      <c r="S519">
        <f>IF(Q519-R519&gt;1E-9,Q519-R519,0)</f>
        <v/>
      </c>
      <c r="T519">
        <f>S518*$G$54</f>
        <v/>
      </c>
      <c r="U519">
        <f>IF(W518&gt;0,MAX(0,W518*(1+$G$55)-$H$55),0)</f>
        <v/>
      </c>
      <c r="V519">
        <f>MAX(0,R519-Q519)</f>
        <v/>
      </c>
      <c r="W519">
        <f>IF(U519-V519&gt;1E-9,U519-V519,0)</f>
        <v/>
      </c>
      <c r="X519">
        <f>W518*$G$55</f>
        <v/>
      </c>
      <c r="Y519">
        <f>IF(Y518&gt;1E-9,IF(Y518*(1+$G$51)-MAX($B$9,0.01*Y518+Y518*$G$51)&gt;1E-9,Y518*(1+$G$51)-MAX($B$9,0.01*Y518+Y518*$G$51),0),0)</f>
        <v/>
      </c>
      <c r="Z519">
        <f>Y518*$G$51</f>
        <v/>
      </c>
      <c r="AA519">
        <f>IF(AA518&gt;1E-9,IF(AA518*(1+$G$52)-MAX($B$9,0.01*AA518+AA518*$G$52)&gt;1E-9,AA518*(1+$G$52)-MAX($B$9,0.01*AA518+AA518*$G$52),0),0)</f>
        <v/>
      </c>
      <c r="AB519">
        <f>AA518*$G$52</f>
        <v/>
      </c>
      <c r="AC519">
        <f>IF(AC518&gt;1E-9,IF(AC518*(1+$G$53)-MAX($B$9,0.01*AC518+AC518*$G$53)&gt;1E-9,AC518*(1+$G$53)-MAX($B$9,0.01*AC518+AC518*$G$53),0),0)</f>
        <v/>
      </c>
      <c r="AD519">
        <f>AC518*$G$53</f>
        <v/>
      </c>
      <c r="AE519">
        <f>IF(AE518&gt;1E-9,IF(AE518*(1+$G$54)-MAX($B$9,0.01*AE518+AE518*$G$54)&gt;1E-9,AE518*(1+$G$54)-MAX($B$9,0.01*AE518+AE518*$G$54),0),0)</f>
        <v/>
      </c>
      <c r="AF519">
        <f>AE518*$G$54</f>
        <v/>
      </c>
      <c r="AG519">
        <f>IF(AG518&gt;1E-9,IF(AG518*(1+$G$55)-MAX($B$9,0.01*AG518+AG518*$G$55)&gt;1E-9,AG518*(1+$G$55)-MAX($B$9,0.01*AG518+AG518*$G$55),0),0)</f>
        <v/>
      </c>
      <c r="AH519">
        <f>AG518*$G$55</f>
        <v/>
      </c>
      <c r="AI519">
        <f>G519+K519+O519+S519+W519</f>
        <v/>
      </c>
      <c r="AJ519">
        <f>AI518+AK519-AI519</f>
        <v/>
      </c>
      <c r="AK519">
        <f>H519+L519+P519+T519+X519</f>
        <v/>
      </c>
      <c r="AL519">
        <f>TEXT(EDATE($B$5,D519-1),"mmm yyyy")</f>
        <v/>
      </c>
      <c r="AM519">
        <f>AI519</f>
        <v/>
      </c>
    </row>
    <row r="520">
      <c r="D520" t="n">
        <v>459</v>
      </c>
      <c r="E520">
        <f>IF(G519&gt;0,MAX(0,G519*(1+$G$51)-$H$51),0)</f>
        <v/>
      </c>
      <c r="F520">
        <f>$B$6+IF($D520=$B$8,$B$7,0)</f>
        <v/>
      </c>
      <c r="G520">
        <f>IF(E520-F520&gt;1E-9,E520-F520,0)</f>
        <v/>
      </c>
      <c r="H520">
        <f>G519*$G$51</f>
        <v/>
      </c>
      <c r="I520">
        <f>IF(K519&gt;0,MAX(0,K519*(1+$G$52)-$H$52),0)</f>
        <v/>
      </c>
      <c r="J520">
        <f>MAX(0,F520-E520)</f>
        <v/>
      </c>
      <c r="K520">
        <f>IF(I520-J520&gt;1E-9,I520-J520,0)</f>
        <v/>
      </c>
      <c r="L520">
        <f>K519*$G$52</f>
        <v/>
      </c>
      <c r="M520">
        <f>IF(O519&gt;0,MAX(0,O519*(1+$G$53)-$H$53),0)</f>
        <v/>
      </c>
      <c r="N520">
        <f>MAX(0,J520-I520)</f>
        <v/>
      </c>
      <c r="O520">
        <f>IF(M520-N520&gt;1E-9,M520-N520,0)</f>
        <v/>
      </c>
      <c r="P520">
        <f>O519*$G$53</f>
        <v/>
      </c>
      <c r="Q520">
        <f>IF(S519&gt;0,MAX(0,S519*(1+$G$54)-$H$54),0)</f>
        <v/>
      </c>
      <c r="R520">
        <f>MAX(0,N520-M520)</f>
        <v/>
      </c>
      <c r="S520">
        <f>IF(Q520-R520&gt;1E-9,Q520-R520,0)</f>
        <v/>
      </c>
      <c r="T520">
        <f>S519*$G$54</f>
        <v/>
      </c>
      <c r="U520">
        <f>IF(W519&gt;0,MAX(0,W519*(1+$G$55)-$H$55),0)</f>
        <v/>
      </c>
      <c r="V520">
        <f>MAX(0,R520-Q520)</f>
        <v/>
      </c>
      <c r="W520">
        <f>IF(U520-V520&gt;1E-9,U520-V520,0)</f>
        <v/>
      </c>
      <c r="X520">
        <f>W519*$G$55</f>
        <v/>
      </c>
      <c r="Y520">
        <f>IF(Y519&gt;1E-9,IF(Y519*(1+$G$51)-MAX($B$9,0.01*Y519+Y519*$G$51)&gt;1E-9,Y519*(1+$G$51)-MAX($B$9,0.01*Y519+Y519*$G$51),0),0)</f>
        <v/>
      </c>
      <c r="Z520">
        <f>Y519*$G$51</f>
        <v/>
      </c>
      <c r="AA520">
        <f>IF(AA519&gt;1E-9,IF(AA519*(1+$G$52)-MAX($B$9,0.01*AA519+AA519*$G$52)&gt;1E-9,AA519*(1+$G$52)-MAX($B$9,0.01*AA519+AA519*$G$52),0),0)</f>
        <v/>
      </c>
      <c r="AB520">
        <f>AA519*$G$52</f>
        <v/>
      </c>
      <c r="AC520">
        <f>IF(AC519&gt;1E-9,IF(AC519*(1+$G$53)-MAX($B$9,0.01*AC519+AC519*$G$53)&gt;1E-9,AC519*(1+$G$53)-MAX($B$9,0.01*AC519+AC519*$G$53),0),0)</f>
        <v/>
      </c>
      <c r="AD520">
        <f>AC519*$G$53</f>
        <v/>
      </c>
      <c r="AE520">
        <f>IF(AE519&gt;1E-9,IF(AE519*(1+$G$54)-MAX($B$9,0.01*AE519+AE519*$G$54)&gt;1E-9,AE519*(1+$G$54)-MAX($B$9,0.01*AE519+AE519*$G$54),0),0)</f>
        <v/>
      </c>
      <c r="AF520">
        <f>AE519*$G$54</f>
        <v/>
      </c>
      <c r="AG520">
        <f>IF(AG519&gt;1E-9,IF(AG519*(1+$G$55)-MAX($B$9,0.01*AG519+AG519*$G$55)&gt;1E-9,AG519*(1+$G$55)-MAX($B$9,0.01*AG519+AG519*$G$55),0),0)</f>
        <v/>
      </c>
      <c r="AH520">
        <f>AG519*$G$55</f>
        <v/>
      </c>
      <c r="AI520">
        <f>G520+K520+O520+S520+W520</f>
        <v/>
      </c>
      <c r="AJ520">
        <f>AI519+AK520-AI520</f>
        <v/>
      </c>
      <c r="AK520">
        <f>H520+L520+P520+T520+X520</f>
        <v/>
      </c>
      <c r="AL520">
        <f>TEXT(EDATE($B$5,D520-1),"mmm yyyy")</f>
        <v/>
      </c>
      <c r="AM520">
        <f>AI520</f>
        <v/>
      </c>
    </row>
    <row r="521">
      <c r="D521" t="n">
        <v>460</v>
      </c>
      <c r="E521">
        <f>IF(G520&gt;0,MAX(0,G520*(1+$G$51)-$H$51),0)</f>
        <v/>
      </c>
      <c r="F521">
        <f>$B$6+IF($D521=$B$8,$B$7,0)</f>
        <v/>
      </c>
      <c r="G521">
        <f>IF(E521-F521&gt;1E-9,E521-F521,0)</f>
        <v/>
      </c>
      <c r="H521">
        <f>G520*$G$51</f>
        <v/>
      </c>
      <c r="I521">
        <f>IF(K520&gt;0,MAX(0,K520*(1+$G$52)-$H$52),0)</f>
        <v/>
      </c>
      <c r="J521">
        <f>MAX(0,F521-E521)</f>
        <v/>
      </c>
      <c r="K521">
        <f>IF(I521-J521&gt;1E-9,I521-J521,0)</f>
        <v/>
      </c>
      <c r="L521">
        <f>K520*$G$52</f>
        <v/>
      </c>
      <c r="M521">
        <f>IF(O520&gt;0,MAX(0,O520*(1+$G$53)-$H$53),0)</f>
        <v/>
      </c>
      <c r="N521">
        <f>MAX(0,J521-I521)</f>
        <v/>
      </c>
      <c r="O521">
        <f>IF(M521-N521&gt;1E-9,M521-N521,0)</f>
        <v/>
      </c>
      <c r="P521">
        <f>O520*$G$53</f>
        <v/>
      </c>
      <c r="Q521">
        <f>IF(S520&gt;0,MAX(0,S520*(1+$G$54)-$H$54),0)</f>
        <v/>
      </c>
      <c r="R521">
        <f>MAX(0,N521-M521)</f>
        <v/>
      </c>
      <c r="S521">
        <f>IF(Q521-R521&gt;1E-9,Q521-R521,0)</f>
        <v/>
      </c>
      <c r="T521">
        <f>S520*$G$54</f>
        <v/>
      </c>
      <c r="U521">
        <f>IF(W520&gt;0,MAX(0,W520*(1+$G$55)-$H$55),0)</f>
        <v/>
      </c>
      <c r="V521">
        <f>MAX(0,R521-Q521)</f>
        <v/>
      </c>
      <c r="W521">
        <f>IF(U521-V521&gt;1E-9,U521-V521,0)</f>
        <v/>
      </c>
      <c r="X521">
        <f>W520*$G$55</f>
        <v/>
      </c>
      <c r="Y521">
        <f>IF(Y520&gt;1E-9,IF(Y520*(1+$G$51)-MAX($B$9,0.01*Y520+Y520*$G$51)&gt;1E-9,Y520*(1+$G$51)-MAX($B$9,0.01*Y520+Y520*$G$51),0),0)</f>
        <v/>
      </c>
      <c r="Z521">
        <f>Y520*$G$51</f>
        <v/>
      </c>
      <c r="AA521">
        <f>IF(AA520&gt;1E-9,IF(AA520*(1+$G$52)-MAX($B$9,0.01*AA520+AA520*$G$52)&gt;1E-9,AA520*(1+$G$52)-MAX($B$9,0.01*AA520+AA520*$G$52),0),0)</f>
        <v/>
      </c>
      <c r="AB521">
        <f>AA520*$G$52</f>
        <v/>
      </c>
      <c r="AC521">
        <f>IF(AC520&gt;1E-9,IF(AC520*(1+$G$53)-MAX($B$9,0.01*AC520+AC520*$G$53)&gt;1E-9,AC520*(1+$G$53)-MAX($B$9,0.01*AC520+AC520*$G$53),0),0)</f>
        <v/>
      </c>
      <c r="AD521">
        <f>AC520*$G$53</f>
        <v/>
      </c>
      <c r="AE521">
        <f>IF(AE520&gt;1E-9,IF(AE520*(1+$G$54)-MAX($B$9,0.01*AE520+AE520*$G$54)&gt;1E-9,AE520*(1+$G$54)-MAX($B$9,0.01*AE520+AE520*$G$54),0),0)</f>
        <v/>
      </c>
      <c r="AF521">
        <f>AE520*$G$54</f>
        <v/>
      </c>
      <c r="AG521">
        <f>IF(AG520&gt;1E-9,IF(AG520*(1+$G$55)-MAX($B$9,0.01*AG520+AG520*$G$55)&gt;1E-9,AG520*(1+$G$55)-MAX($B$9,0.01*AG520+AG520*$G$55),0),0)</f>
        <v/>
      </c>
      <c r="AH521">
        <f>AG520*$G$55</f>
        <v/>
      </c>
      <c r="AI521">
        <f>G521+K521+O521+S521+W521</f>
        <v/>
      </c>
      <c r="AJ521">
        <f>AI520+AK521-AI521</f>
        <v/>
      </c>
      <c r="AK521">
        <f>H521+L521+P521+T521+X521</f>
        <v/>
      </c>
      <c r="AL521">
        <f>TEXT(EDATE($B$5,D521-1),"mmm yyyy")</f>
        <v/>
      </c>
      <c r="AM521">
        <f>AI521</f>
        <v/>
      </c>
    </row>
    <row r="522">
      <c r="D522" t="n">
        <v>461</v>
      </c>
      <c r="E522">
        <f>IF(G521&gt;0,MAX(0,G521*(1+$G$51)-$H$51),0)</f>
        <v/>
      </c>
      <c r="F522">
        <f>$B$6+IF($D522=$B$8,$B$7,0)</f>
        <v/>
      </c>
      <c r="G522">
        <f>IF(E522-F522&gt;1E-9,E522-F522,0)</f>
        <v/>
      </c>
      <c r="H522">
        <f>G521*$G$51</f>
        <v/>
      </c>
      <c r="I522">
        <f>IF(K521&gt;0,MAX(0,K521*(1+$G$52)-$H$52),0)</f>
        <v/>
      </c>
      <c r="J522">
        <f>MAX(0,F522-E522)</f>
        <v/>
      </c>
      <c r="K522">
        <f>IF(I522-J522&gt;1E-9,I522-J522,0)</f>
        <v/>
      </c>
      <c r="L522">
        <f>K521*$G$52</f>
        <v/>
      </c>
      <c r="M522">
        <f>IF(O521&gt;0,MAX(0,O521*(1+$G$53)-$H$53),0)</f>
        <v/>
      </c>
      <c r="N522">
        <f>MAX(0,J522-I522)</f>
        <v/>
      </c>
      <c r="O522">
        <f>IF(M522-N522&gt;1E-9,M522-N522,0)</f>
        <v/>
      </c>
      <c r="P522">
        <f>O521*$G$53</f>
        <v/>
      </c>
      <c r="Q522">
        <f>IF(S521&gt;0,MAX(0,S521*(1+$G$54)-$H$54),0)</f>
        <v/>
      </c>
      <c r="R522">
        <f>MAX(0,N522-M522)</f>
        <v/>
      </c>
      <c r="S522">
        <f>IF(Q522-R522&gt;1E-9,Q522-R522,0)</f>
        <v/>
      </c>
      <c r="T522">
        <f>S521*$G$54</f>
        <v/>
      </c>
      <c r="U522">
        <f>IF(W521&gt;0,MAX(0,W521*(1+$G$55)-$H$55),0)</f>
        <v/>
      </c>
      <c r="V522">
        <f>MAX(0,R522-Q522)</f>
        <v/>
      </c>
      <c r="W522">
        <f>IF(U522-V522&gt;1E-9,U522-V522,0)</f>
        <v/>
      </c>
      <c r="X522">
        <f>W521*$G$55</f>
        <v/>
      </c>
      <c r="Y522">
        <f>IF(Y521&gt;1E-9,IF(Y521*(1+$G$51)-MAX($B$9,0.01*Y521+Y521*$G$51)&gt;1E-9,Y521*(1+$G$51)-MAX($B$9,0.01*Y521+Y521*$G$51),0),0)</f>
        <v/>
      </c>
      <c r="Z522">
        <f>Y521*$G$51</f>
        <v/>
      </c>
      <c r="AA522">
        <f>IF(AA521&gt;1E-9,IF(AA521*(1+$G$52)-MAX($B$9,0.01*AA521+AA521*$G$52)&gt;1E-9,AA521*(1+$G$52)-MAX($B$9,0.01*AA521+AA521*$G$52),0),0)</f>
        <v/>
      </c>
      <c r="AB522">
        <f>AA521*$G$52</f>
        <v/>
      </c>
      <c r="AC522">
        <f>IF(AC521&gt;1E-9,IF(AC521*(1+$G$53)-MAX($B$9,0.01*AC521+AC521*$G$53)&gt;1E-9,AC521*(1+$G$53)-MAX($B$9,0.01*AC521+AC521*$G$53),0),0)</f>
        <v/>
      </c>
      <c r="AD522">
        <f>AC521*$G$53</f>
        <v/>
      </c>
      <c r="AE522">
        <f>IF(AE521&gt;1E-9,IF(AE521*(1+$G$54)-MAX($B$9,0.01*AE521+AE521*$G$54)&gt;1E-9,AE521*(1+$G$54)-MAX($B$9,0.01*AE521+AE521*$G$54),0),0)</f>
        <v/>
      </c>
      <c r="AF522">
        <f>AE521*$G$54</f>
        <v/>
      </c>
      <c r="AG522">
        <f>IF(AG521&gt;1E-9,IF(AG521*(1+$G$55)-MAX($B$9,0.01*AG521+AG521*$G$55)&gt;1E-9,AG521*(1+$G$55)-MAX($B$9,0.01*AG521+AG521*$G$55),0),0)</f>
        <v/>
      </c>
      <c r="AH522">
        <f>AG521*$G$55</f>
        <v/>
      </c>
      <c r="AI522">
        <f>G522+K522+O522+S522+W522</f>
        <v/>
      </c>
      <c r="AJ522">
        <f>AI521+AK522-AI522</f>
        <v/>
      </c>
      <c r="AK522">
        <f>H522+L522+P522+T522+X522</f>
        <v/>
      </c>
      <c r="AL522">
        <f>TEXT(EDATE($B$5,D522-1),"mmm yyyy")</f>
        <v/>
      </c>
      <c r="AM522">
        <f>AI522</f>
        <v/>
      </c>
    </row>
    <row r="523">
      <c r="D523" t="n">
        <v>462</v>
      </c>
      <c r="E523">
        <f>IF(G522&gt;0,MAX(0,G522*(1+$G$51)-$H$51),0)</f>
        <v/>
      </c>
      <c r="F523">
        <f>$B$6+IF($D523=$B$8,$B$7,0)</f>
        <v/>
      </c>
      <c r="G523">
        <f>IF(E523-F523&gt;1E-9,E523-F523,0)</f>
        <v/>
      </c>
      <c r="H523">
        <f>G522*$G$51</f>
        <v/>
      </c>
      <c r="I523">
        <f>IF(K522&gt;0,MAX(0,K522*(1+$G$52)-$H$52),0)</f>
        <v/>
      </c>
      <c r="J523">
        <f>MAX(0,F523-E523)</f>
        <v/>
      </c>
      <c r="K523">
        <f>IF(I523-J523&gt;1E-9,I523-J523,0)</f>
        <v/>
      </c>
      <c r="L523">
        <f>K522*$G$52</f>
        <v/>
      </c>
      <c r="M523">
        <f>IF(O522&gt;0,MAX(0,O522*(1+$G$53)-$H$53),0)</f>
        <v/>
      </c>
      <c r="N523">
        <f>MAX(0,J523-I523)</f>
        <v/>
      </c>
      <c r="O523">
        <f>IF(M523-N523&gt;1E-9,M523-N523,0)</f>
        <v/>
      </c>
      <c r="P523">
        <f>O522*$G$53</f>
        <v/>
      </c>
      <c r="Q523">
        <f>IF(S522&gt;0,MAX(0,S522*(1+$G$54)-$H$54),0)</f>
        <v/>
      </c>
      <c r="R523">
        <f>MAX(0,N523-M523)</f>
        <v/>
      </c>
      <c r="S523">
        <f>IF(Q523-R523&gt;1E-9,Q523-R523,0)</f>
        <v/>
      </c>
      <c r="T523">
        <f>S522*$G$54</f>
        <v/>
      </c>
      <c r="U523">
        <f>IF(W522&gt;0,MAX(0,W522*(1+$G$55)-$H$55),0)</f>
        <v/>
      </c>
      <c r="V523">
        <f>MAX(0,R523-Q523)</f>
        <v/>
      </c>
      <c r="W523">
        <f>IF(U523-V523&gt;1E-9,U523-V523,0)</f>
        <v/>
      </c>
      <c r="X523">
        <f>W522*$G$55</f>
        <v/>
      </c>
      <c r="Y523">
        <f>IF(Y522&gt;1E-9,IF(Y522*(1+$G$51)-MAX($B$9,0.01*Y522+Y522*$G$51)&gt;1E-9,Y522*(1+$G$51)-MAX($B$9,0.01*Y522+Y522*$G$51),0),0)</f>
        <v/>
      </c>
      <c r="Z523">
        <f>Y522*$G$51</f>
        <v/>
      </c>
      <c r="AA523">
        <f>IF(AA522&gt;1E-9,IF(AA522*(1+$G$52)-MAX($B$9,0.01*AA522+AA522*$G$52)&gt;1E-9,AA522*(1+$G$52)-MAX($B$9,0.01*AA522+AA522*$G$52),0),0)</f>
        <v/>
      </c>
      <c r="AB523">
        <f>AA522*$G$52</f>
        <v/>
      </c>
      <c r="AC523">
        <f>IF(AC522&gt;1E-9,IF(AC522*(1+$G$53)-MAX($B$9,0.01*AC522+AC522*$G$53)&gt;1E-9,AC522*(1+$G$53)-MAX($B$9,0.01*AC522+AC522*$G$53),0),0)</f>
        <v/>
      </c>
      <c r="AD523">
        <f>AC522*$G$53</f>
        <v/>
      </c>
      <c r="AE523">
        <f>IF(AE522&gt;1E-9,IF(AE522*(1+$G$54)-MAX($B$9,0.01*AE522+AE522*$G$54)&gt;1E-9,AE522*(1+$G$54)-MAX($B$9,0.01*AE522+AE522*$G$54),0),0)</f>
        <v/>
      </c>
      <c r="AF523">
        <f>AE522*$G$54</f>
        <v/>
      </c>
      <c r="AG523">
        <f>IF(AG522&gt;1E-9,IF(AG522*(1+$G$55)-MAX($B$9,0.01*AG522+AG522*$G$55)&gt;1E-9,AG522*(1+$G$55)-MAX($B$9,0.01*AG522+AG522*$G$55),0),0)</f>
        <v/>
      </c>
      <c r="AH523">
        <f>AG522*$G$55</f>
        <v/>
      </c>
      <c r="AI523">
        <f>G523+K523+O523+S523+W523</f>
        <v/>
      </c>
      <c r="AJ523">
        <f>AI522+AK523-AI523</f>
        <v/>
      </c>
      <c r="AK523">
        <f>H523+L523+P523+T523+X523</f>
        <v/>
      </c>
      <c r="AL523">
        <f>TEXT(EDATE($B$5,D523-1),"mmm yyyy")</f>
        <v/>
      </c>
      <c r="AM523">
        <f>AI523</f>
        <v/>
      </c>
    </row>
    <row r="524">
      <c r="D524" t="n">
        <v>463</v>
      </c>
      <c r="E524">
        <f>IF(G523&gt;0,MAX(0,G523*(1+$G$51)-$H$51),0)</f>
        <v/>
      </c>
      <c r="F524">
        <f>$B$6+IF($D524=$B$8,$B$7,0)</f>
        <v/>
      </c>
      <c r="G524">
        <f>IF(E524-F524&gt;1E-9,E524-F524,0)</f>
        <v/>
      </c>
      <c r="H524">
        <f>G523*$G$51</f>
        <v/>
      </c>
      <c r="I524">
        <f>IF(K523&gt;0,MAX(0,K523*(1+$G$52)-$H$52),0)</f>
        <v/>
      </c>
      <c r="J524">
        <f>MAX(0,F524-E524)</f>
        <v/>
      </c>
      <c r="K524">
        <f>IF(I524-J524&gt;1E-9,I524-J524,0)</f>
        <v/>
      </c>
      <c r="L524">
        <f>K523*$G$52</f>
        <v/>
      </c>
      <c r="M524">
        <f>IF(O523&gt;0,MAX(0,O523*(1+$G$53)-$H$53),0)</f>
        <v/>
      </c>
      <c r="N524">
        <f>MAX(0,J524-I524)</f>
        <v/>
      </c>
      <c r="O524">
        <f>IF(M524-N524&gt;1E-9,M524-N524,0)</f>
        <v/>
      </c>
      <c r="P524">
        <f>O523*$G$53</f>
        <v/>
      </c>
      <c r="Q524">
        <f>IF(S523&gt;0,MAX(0,S523*(1+$G$54)-$H$54),0)</f>
        <v/>
      </c>
      <c r="R524">
        <f>MAX(0,N524-M524)</f>
        <v/>
      </c>
      <c r="S524">
        <f>IF(Q524-R524&gt;1E-9,Q524-R524,0)</f>
        <v/>
      </c>
      <c r="T524">
        <f>S523*$G$54</f>
        <v/>
      </c>
      <c r="U524">
        <f>IF(W523&gt;0,MAX(0,W523*(1+$G$55)-$H$55),0)</f>
        <v/>
      </c>
      <c r="V524">
        <f>MAX(0,R524-Q524)</f>
        <v/>
      </c>
      <c r="W524">
        <f>IF(U524-V524&gt;1E-9,U524-V524,0)</f>
        <v/>
      </c>
      <c r="X524">
        <f>W523*$G$55</f>
        <v/>
      </c>
      <c r="Y524">
        <f>IF(Y523&gt;1E-9,IF(Y523*(1+$G$51)-MAX($B$9,0.01*Y523+Y523*$G$51)&gt;1E-9,Y523*(1+$G$51)-MAX($B$9,0.01*Y523+Y523*$G$51),0),0)</f>
        <v/>
      </c>
      <c r="Z524">
        <f>Y523*$G$51</f>
        <v/>
      </c>
      <c r="AA524">
        <f>IF(AA523&gt;1E-9,IF(AA523*(1+$G$52)-MAX($B$9,0.01*AA523+AA523*$G$52)&gt;1E-9,AA523*(1+$G$52)-MAX($B$9,0.01*AA523+AA523*$G$52),0),0)</f>
        <v/>
      </c>
      <c r="AB524">
        <f>AA523*$G$52</f>
        <v/>
      </c>
      <c r="AC524">
        <f>IF(AC523&gt;1E-9,IF(AC523*(1+$G$53)-MAX($B$9,0.01*AC523+AC523*$G$53)&gt;1E-9,AC523*(1+$G$53)-MAX($B$9,0.01*AC523+AC523*$G$53),0),0)</f>
        <v/>
      </c>
      <c r="AD524">
        <f>AC523*$G$53</f>
        <v/>
      </c>
      <c r="AE524">
        <f>IF(AE523&gt;1E-9,IF(AE523*(1+$G$54)-MAX($B$9,0.01*AE523+AE523*$G$54)&gt;1E-9,AE523*(1+$G$54)-MAX($B$9,0.01*AE523+AE523*$G$54),0),0)</f>
        <v/>
      </c>
      <c r="AF524">
        <f>AE523*$G$54</f>
        <v/>
      </c>
      <c r="AG524">
        <f>IF(AG523&gt;1E-9,IF(AG523*(1+$G$55)-MAX($B$9,0.01*AG523+AG523*$G$55)&gt;1E-9,AG523*(1+$G$55)-MAX($B$9,0.01*AG523+AG523*$G$55),0),0)</f>
        <v/>
      </c>
      <c r="AH524">
        <f>AG523*$G$55</f>
        <v/>
      </c>
      <c r="AI524">
        <f>G524+K524+O524+S524+W524</f>
        <v/>
      </c>
      <c r="AJ524">
        <f>AI523+AK524-AI524</f>
        <v/>
      </c>
      <c r="AK524">
        <f>H524+L524+P524+T524+X524</f>
        <v/>
      </c>
      <c r="AL524">
        <f>TEXT(EDATE($B$5,D524-1),"mmm yyyy")</f>
        <v/>
      </c>
      <c r="AM524">
        <f>AI524</f>
        <v/>
      </c>
    </row>
    <row r="525">
      <c r="D525" t="n">
        <v>464</v>
      </c>
      <c r="E525">
        <f>IF(G524&gt;0,MAX(0,G524*(1+$G$51)-$H$51),0)</f>
        <v/>
      </c>
      <c r="F525">
        <f>$B$6+IF($D525=$B$8,$B$7,0)</f>
        <v/>
      </c>
      <c r="G525">
        <f>IF(E525-F525&gt;1E-9,E525-F525,0)</f>
        <v/>
      </c>
      <c r="H525">
        <f>G524*$G$51</f>
        <v/>
      </c>
      <c r="I525">
        <f>IF(K524&gt;0,MAX(0,K524*(1+$G$52)-$H$52),0)</f>
        <v/>
      </c>
      <c r="J525">
        <f>MAX(0,F525-E525)</f>
        <v/>
      </c>
      <c r="K525">
        <f>IF(I525-J525&gt;1E-9,I525-J525,0)</f>
        <v/>
      </c>
      <c r="L525">
        <f>K524*$G$52</f>
        <v/>
      </c>
      <c r="M525">
        <f>IF(O524&gt;0,MAX(0,O524*(1+$G$53)-$H$53),0)</f>
        <v/>
      </c>
      <c r="N525">
        <f>MAX(0,J525-I525)</f>
        <v/>
      </c>
      <c r="O525">
        <f>IF(M525-N525&gt;1E-9,M525-N525,0)</f>
        <v/>
      </c>
      <c r="P525">
        <f>O524*$G$53</f>
        <v/>
      </c>
      <c r="Q525">
        <f>IF(S524&gt;0,MAX(0,S524*(1+$G$54)-$H$54),0)</f>
        <v/>
      </c>
      <c r="R525">
        <f>MAX(0,N525-M525)</f>
        <v/>
      </c>
      <c r="S525">
        <f>IF(Q525-R525&gt;1E-9,Q525-R525,0)</f>
        <v/>
      </c>
      <c r="T525">
        <f>S524*$G$54</f>
        <v/>
      </c>
      <c r="U525">
        <f>IF(W524&gt;0,MAX(0,W524*(1+$G$55)-$H$55),0)</f>
        <v/>
      </c>
      <c r="V525">
        <f>MAX(0,R525-Q525)</f>
        <v/>
      </c>
      <c r="W525">
        <f>IF(U525-V525&gt;1E-9,U525-V525,0)</f>
        <v/>
      </c>
      <c r="X525">
        <f>W524*$G$55</f>
        <v/>
      </c>
      <c r="Y525">
        <f>IF(Y524&gt;1E-9,IF(Y524*(1+$G$51)-MAX($B$9,0.01*Y524+Y524*$G$51)&gt;1E-9,Y524*(1+$G$51)-MAX($B$9,0.01*Y524+Y524*$G$51),0),0)</f>
        <v/>
      </c>
      <c r="Z525">
        <f>Y524*$G$51</f>
        <v/>
      </c>
      <c r="AA525">
        <f>IF(AA524&gt;1E-9,IF(AA524*(1+$G$52)-MAX($B$9,0.01*AA524+AA524*$G$52)&gt;1E-9,AA524*(1+$G$52)-MAX($B$9,0.01*AA524+AA524*$G$52),0),0)</f>
        <v/>
      </c>
      <c r="AB525">
        <f>AA524*$G$52</f>
        <v/>
      </c>
      <c r="AC525">
        <f>IF(AC524&gt;1E-9,IF(AC524*(1+$G$53)-MAX($B$9,0.01*AC524+AC524*$G$53)&gt;1E-9,AC524*(1+$G$53)-MAX($B$9,0.01*AC524+AC524*$G$53),0),0)</f>
        <v/>
      </c>
      <c r="AD525">
        <f>AC524*$G$53</f>
        <v/>
      </c>
      <c r="AE525">
        <f>IF(AE524&gt;1E-9,IF(AE524*(1+$G$54)-MAX($B$9,0.01*AE524+AE524*$G$54)&gt;1E-9,AE524*(1+$G$54)-MAX($B$9,0.01*AE524+AE524*$G$54),0),0)</f>
        <v/>
      </c>
      <c r="AF525">
        <f>AE524*$G$54</f>
        <v/>
      </c>
      <c r="AG525">
        <f>IF(AG524&gt;1E-9,IF(AG524*(1+$G$55)-MAX($B$9,0.01*AG524+AG524*$G$55)&gt;1E-9,AG524*(1+$G$55)-MAX($B$9,0.01*AG524+AG524*$G$55),0),0)</f>
        <v/>
      </c>
      <c r="AH525">
        <f>AG524*$G$55</f>
        <v/>
      </c>
      <c r="AI525">
        <f>G525+K525+O525+S525+W525</f>
        <v/>
      </c>
      <c r="AJ525">
        <f>AI524+AK525-AI525</f>
        <v/>
      </c>
      <c r="AK525">
        <f>H525+L525+P525+T525+X525</f>
        <v/>
      </c>
      <c r="AL525">
        <f>TEXT(EDATE($B$5,D525-1),"mmm yyyy")</f>
        <v/>
      </c>
      <c r="AM525">
        <f>AI525</f>
        <v/>
      </c>
    </row>
    <row r="526">
      <c r="D526" t="n">
        <v>465</v>
      </c>
      <c r="E526">
        <f>IF(G525&gt;0,MAX(0,G525*(1+$G$51)-$H$51),0)</f>
        <v/>
      </c>
      <c r="F526">
        <f>$B$6+IF($D526=$B$8,$B$7,0)</f>
        <v/>
      </c>
      <c r="G526">
        <f>IF(E526-F526&gt;1E-9,E526-F526,0)</f>
        <v/>
      </c>
      <c r="H526">
        <f>G525*$G$51</f>
        <v/>
      </c>
      <c r="I526">
        <f>IF(K525&gt;0,MAX(0,K525*(1+$G$52)-$H$52),0)</f>
        <v/>
      </c>
      <c r="J526">
        <f>MAX(0,F526-E526)</f>
        <v/>
      </c>
      <c r="K526">
        <f>IF(I526-J526&gt;1E-9,I526-J526,0)</f>
        <v/>
      </c>
      <c r="L526">
        <f>K525*$G$52</f>
        <v/>
      </c>
      <c r="M526">
        <f>IF(O525&gt;0,MAX(0,O525*(1+$G$53)-$H$53),0)</f>
        <v/>
      </c>
      <c r="N526">
        <f>MAX(0,J526-I526)</f>
        <v/>
      </c>
      <c r="O526">
        <f>IF(M526-N526&gt;1E-9,M526-N526,0)</f>
        <v/>
      </c>
      <c r="P526">
        <f>O525*$G$53</f>
        <v/>
      </c>
      <c r="Q526">
        <f>IF(S525&gt;0,MAX(0,S525*(1+$G$54)-$H$54),0)</f>
        <v/>
      </c>
      <c r="R526">
        <f>MAX(0,N526-M526)</f>
        <v/>
      </c>
      <c r="S526">
        <f>IF(Q526-R526&gt;1E-9,Q526-R526,0)</f>
        <v/>
      </c>
      <c r="T526">
        <f>S525*$G$54</f>
        <v/>
      </c>
      <c r="U526">
        <f>IF(W525&gt;0,MAX(0,W525*(1+$G$55)-$H$55),0)</f>
        <v/>
      </c>
      <c r="V526">
        <f>MAX(0,R526-Q526)</f>
        <v/>
      </c>
      <c r="W526">
        <f>IF(U526-V526&gt;1E-9,U526-V526,0)</f>
        <v/>
      </c>
      <c r="X526">
        <f>W525*$G$55</f>
        <v/>
      </c>
      <c r="Y526">
        <f>IF(Y525&gt;1E-9,IF(Y525*(1+$G$51)-MAX($B$9,0.01*Y525+Y525*$G$51)&gt;1E-9,Y525*(1+$G$51)-MAX($B$9,0.01*Y525+Y525*$G$51),0),0)</f>
        <v/>
      </c>
      <c r="Z526">
        <f>Y525*$G$51</f>
        <v/>
      </c>
      <c r="AA526">
        <f>IF(AA525&gt;1E-9,IF(AA525*(1+$G$52)-MAX($B$9,0.01*AA525+AA525*$G$52)&gt;1E-9,AA525*(1+$G$52)-MAX($B$9,0.01*AA525+AA525*$G$52),0),0)</f>
        <v/>
      </c>
      <c r="AB526">
        <f>AA525*$G$52</f>
        <v/>
      </c>
      <c r="AC526">
        <f>IF(AC525&gt;1E-9,IF(AC525*(1+$G$53)-MAX($B$9,0.01*AC525+AC525*$G$53)&gt;1E-9,AC525*(1+$G$53)-MAX($B$9,0.01*AC525+AC525*$G$53),0),0)</f>
        <v/>
      </c>
      <c r="AD526">
        <f>AC525*$G$53</f>
        <v/>
      </c>
      <c r="AE526">
        <f>IF(AE525&gt;1E-9,IF(AE525*(1+$G$54)-MAX($B$9,0.01*AE525+AE525*$G$54)&gt;1E-9,AE525*(1+$G$54)-MAX($B$9,0.01*AE525+AE525*$G$54),0),0)</f>
        <v/>
      </c>
      <c r="AF526">
        <f>AE525*$G$54</f>
        <v/>
      </c>
      <c r="AG526">
        <f>IF(AG525&gt;1E-9,IF(AG525*(1+$G$55)-MAX($B$9,0.01*AG525+AG525*$G$55)&gt;1E-9,AG525*(1+$G$55)-MAX($B$9,0.01*AG525+AG525*$G$55),0),0)</f>
        <v/>
      </c>
      <c r="AH526">
        <f>AG525*$G$55</f>
        <v/>
      </c>
      <c r="AI526">
        <f>G526+K526+O526+S526+W526</f>
        <v/>
      </c>
      <c r="AJ526">
        <f>AI525+AK526-AI526</f>
        <v/>
      </c>
      <c r="AK526">
        <f>H526+L526+P526+T526+X526</f>
        <v/>
      </c>
      <c r="AL526">
        <f>TEXT(EDATE($B$5,D526-1),"mmm yyyy")</f>
        <v/>
      </c>
      <c r="AM526">
        <f>AI526</f>
        <v/>
      </c>
    </row>
    <row r="527">
      <c r="D527" t="n">
        <v>466</v>
      </c>
      <c r="E527">
        <f>IF(G526&gt;0,MAX(0,G526*(1+$G$51)-$H$51),0)</f>
        <v/>
      </c>
      <c r="F527">
        <f>$B$6+IF($D527=$B$8,$B$7,0)</f>
        <v/>
      </c>
      <c r="G527">
        <f>IF(E527-F527&gt;1E-9,E527-F527,0)</f>
        <v/>
      </c>
      <c r="H527">
        <f>G526*$G$51</f>
        <v/>
      </c>
      <c r="I527">
        <f>IF(K526&gt;0,MAX(0,K526*(1+$G$52)-$H$52),0)</f>
        <v/>
      </c>
      <c r="J527">
        <f>MAX(0,F527-E527)</f>
        <v/>
      </c>
      <c r="K527">
        <f>IF(I527-J527&gt;1E-9,I527-J527,0)</f>
        <v/>
      </c>
      <c r="L527">
        <f>K526*$G$52</f>
        <v/>
      </c>
      <c r="M527">
        <f>IF(O526&gt;0,MAX(0,O526*(1+$G$53)-$H$53),0)</f>
        <v/>
      </c>
      <c r="N527">
        <f>MAX(0,J527-I527)</f>
        <v/>
      </c>
      <c r="O527">
        <f>IF(M527-N527&gt;1E-9,M527-N527,0)</f>
        <v/>
      </c>
      <c r="P527">
        <f>O526*$G$53</f>
        <v/>
      </c>
      <c r="Q527">
        <f>IF(S526&gt;0,MAX(0,S526*(1+$G$54)-$H$54),0)</f>
        <v/>
      </c>
      <c r="R527">
        <f>MAX(0,N527-M527)</f>
        <v/>
      </c>
      <c r="S527">
        <f>IF(Q527-R527&gt;1E-9,Q527-R527,0)</f>
        <v/>
      </c>
      <c r="T527">
        <f>S526*$G$54</f>
        <v/>
      </c>
      <c r="U527">
        <f>IF(W526&gt;0,MAX(0,W526*(1+$G$55)-$H$55),0)</f>
        <v/>
      </c>
      <c r="V527">
        <f>MAX(0,R527-Q527)</f>
        <v/>
      </c>
      <c r="W527">
        <f>IF(U527-V527&gt;1E-9,U527-V527,0)</f>
        <v/>
      </c>
      <c r="X527">
        <f>W526*$G$55</f>
        <v/>
      </c>
      <c r="Y527">
        <f>IF(Y526&gt;1E-9,IF(Y526*(1+$G$51)-MAX($B$9,0.01*Y526+Y526*$G$51)&gt;1E-9,Y526*(1+$G$51)-MAX($B$9,0.01*Y526+Y526*$G$51),0),0)</f>
        <v/>
      </c>
      <c r="Z527">
        <f>Y526*$G$51</f>
        <v/>
      </c>
      <c r="AA527">
        <f>IF(AA526&gt;1E-9,IF(AA526*(1+$G$52)-MAX($B$9,0.01*AA526+AA526*$G$52)&gt;1E-9,AA526*(1+$G$52)-MAX($B$9,0.01*AA526+AA526*$G$52),0),0)</f>
        <v/>
      </c>
      <c r="AB527">
        <f>AA526*$G$52</f>
        <v/>
      </c>
      <c r="AC527">
        <f>IF(AC526&gt;1E-9,IF(AC526*(1+$G$53)-MAX($B$9,0.01*AC526+AC526*$G$53)&gt;1E-9,AC526*(1+$G$53)-MAX($B$9,0.01*AC526+AC526*$G$53),0),0)</f>
        <v/>
      </c>
      <c r="AD527">
        <f>AC526*$G$53</f>
        <v/>
      </c>
      <c r="AE527">
        <f>IF(AE526&gt;1E-9,IF(AE526*(1+$G$54)-MAX($B$9,0.01*AE526+AE526*$G$54)&gt;1E-9,AE526*(1+$G$54)-MAX($B$9,0.01*AE526+AE526*$G$54),0),0)</f>
        <v/>
      </c>
      <c r="AF527">
        <f>AE526*$G$54</f>
        <v/>
      </c>
      <c r="AG527">
        <f>IF(AG526&gt;1E-9,IF(AG526*(1+$G$55)-MAX($B$9,0.01*AG526+AG526*$G$55)&gt;1E-9,AG526*(1+$G$55)-MAX($B$9,0.01*AG526+AG526*$G$55),0),0)</f>
        <v/>
      </c>
      <c r="AH527">
        <f>AG526*$G$55</f>
        <v/>
      </c>
      <c r="AI527">
        <f>G527+K527+O527+S527+W527</f>
        <v/>
      </c>
      <c r="AJ527">
        <f>AI526+AK527-AI527</f>
        <v/>
      </c>
      <c r="AK527">
        <f>H527+L527+P527+T527+X527</f>
        <v/>
      </c>
      <c r="AL527">
        <f>TEXT(EDATE($B$5,D527-1),"mmm yyyy")</f>
        <v/>
      </c>
      <c r="AM527">
        <f>AI527</f>
        <v/>
      </c>
    </row>
    <row r="528">
      <c r="D528" t="n">
        <v>467</v>
      </c>
      <c r="E528">
        <f>IF(G527&gt;0,MAX(0,G527*(1+$G$51)-$H$51),0)</f>
        <v/>
      </c>
      <c r="F528">
        <f>$B$6+IF($D528=$B$8,$B$7,0)</f>
        <v/>
      </c>
      <c r="G528">
        <f>IF(E528-F528&gt;1E-9,E528-F528,0)</f>
        <v/>
      </c>
      <c r="H528">
        <f>G527*$G$51</f>
        <v/>
      </c>
      <c r="I528">
        <f>IF(K527&gt;0,MAX(0,K527*(1+$G$52)-$H$52),0)</f>
        <v/>
      </c>
      <c r="J528">
        <f>MAX(0,F528-E528)</f>
        <v/>
      </c>
      <c r="K528">
        <f>IF(I528-J528&gt;1E-9,I528-J528,0)</f>
        <v/>
      </c>
      <c r="L528">
        <f>K527*$G$52</f>
        <v/>
      </c>
      <c r="M528">
        <f>IF(O527&gt;0,MAX(0,O527*(1+$G$53)-$H$53),0)</f>
        <v/>
      </c>
      <c r="N528">
        <f>MAX(0,J528-I528)</f>
        <v/>
      </c>
      <c r="O528">
        <f>IF(M528-N528&gt;1E-9,M528-N528,0)</f>
        <v/>
      </c>
      <c r="P528">
        <f>O527*$G$53</f>
        <v/>
      </c>
      <c r="Q528">
        <f>IF(S527&gt;0,MAX(0,S527*(1+$G$54)-$H$54),0)</f>
        <v/>
      </c>
      <c r="R528">
        <f>MAX(0,N528-M528)</f>
        <v/>
      </c>
      <c r="S528">
        <f>IF(Q528-R528&gt;1E-9,Q528-R528,0)</f>
        <v/>
      </c>
      <c r="T528">
        <f>S527*$G$54</f>
        <v/>
      </c>
      <c r="U528">
        <f>IF(W527&gt;0,MAX(0,W527*(1+$G$55)-$H$55),0)</f>
        <v/>
      </c>
      <c r="V528">
        <f>MAX(0,R528-Q528)</f>
        <v/>
      </c>
      <c r="W528">
        <f>IF(U528-V528&gt;1E-9,U528-V528,0)</f>
        <v/>
      </c>
      <c r="X528">
        <f>W527*$G$55</f>
        <v/>
      </c>
      <c r="Y528">
        <f>IF(Y527&gt;1E-9,IF(Y527*(1+$G$51)-MAX($B$9,0.01*Y527+Y527*$G$51)&gt;1E-9,Y527*(1+$G$51)-MAX($B$9,0.01*Y527+Y527*$G$51),0),0)</f>
        <v/>
      </c>
      <c r="Z528">
        <f>Y527*$G$51</f>
        <v/>
      </c>
      <c r="AA528">
        <f>IF(AA527&gt;1E-9,IF(AA527*(1+$G$52)-MAX($B$9,0.01*AA527+AA527*$G$52)&gt;1E-9,AA527*(1+$G$52)-MAX($B$9,0.01*AA527+AA527*$G$52),0),0)</f>
        <v/>
      </c>
      <c r="AB528">
        <f>AA527*$G$52</f>
        <v/>
      </c>
      <c r="AC528">
        <f>IF(AC527&gt;1E-9,IF(AC527*(1+$G$53)-MAX($B$9,0.01*AC527+AC527*$G$53)&gt;1E-9,AC527*(1+$G$53)-MAX($B$9,0.01*AC527+AC527*$G$53),0),0)</f>
        <v/>
      </c>
      <c r="AD528">
        <f>AC527*$G$53</f>
        <v/>
      </c>
      <c r="AE528">
        <f>IF(AE527&gt;1E-9,IF(AE527*(1+$G$54)-MAX($B$9,0.01*AE527+AE527*$G$54)&gt;1E-9,AE527*(1+$G$54)-MAX($B$9,0.01*AE527+AE527*$G$54),0),0)</f>
        <v/>
      </c>
      <c r="AF528">
        <f>AE527*$G$54</f>
        <v/>
      </c>
      <c r="AG528">
        <f>IF(AG527&gt;1E-9,IF(AG527*(1+$G$55)-MAX($B$9,0.01*AG527+AG527*$G$55)&gt;1E-9,AG527*(1+$G$55)-MAX($B$9,0.01*AG527+AG527*$G$55),0),0)</f>
        <v/>
      </c>
      <c r="AH528">
        <f>AG527*$G$55</f>
        <v/>
      </c>
      <c r="AI528">
        <f>G528+K528+O528+S528+W528</f>
        <v/>
      </c>
      <c r="AJ528">
        <f>AI527+AK528-AI528</f>
        <v/>
      </c>
      <c r="AK528">
        <f>H528+L528+P528+T528+X528</f>
        <v/>
      </c>
      <c r="AL528">
        <f>TEXT(EDATE($B$5,D528-1),"mmm yyyy")</f>
        <v/>
      </c>
      <c r="AM528">
        <f>AI528</f>
        <v/>
      </c>
    </row>
    <row r="529">
      <c r="D529" t="n">
        <v>468</v>
      </c>
      <c r="E529">
        <f>IF(G528&gt;0,MAX(0,G528*(1+$G$51)-$H$51),0)</f>
        <v/>
      </c>
      <c r="F529">
        <f>$B$6+IF($D529=$B$8,$B$7,0)</f>
        <v/>
      </c>
      <c r="G529">
        <f>IF(E529-F529&gt;1E-9,E529-F529,0)</f>
        <v/>
      </c>
      <c r="H529">
        <f>G528*$G$51</f>
        <v/>
      </c>
      <c r="I529">
        <f>IF(K528&gt;0,MAX(0,K528*(1+$G$52)-$H$52),0)</f>
        <v/>
      </c>
      <c r="J529">
        <f>MAX(0,F529-E529)</f>
        <v/>
      </c>
      <c r="K529">
        <f>IF(I529-J529&gt;1E-9,I529-J529,0)</f>
        <v/>
      </c>
      <c r="L529">
        <f>K528*$G$52</f>
        <v/>
      </c>
      <c r="M529">
        <f>IF(O528&gt;0,MAX(0,O528*(1+$G$53)-$H$53),0)</f>
        <v/>
      </c>
      <c r="N529">
        <f>MAX(0,J529-I529)</f>
        <v/>
      </c>
      <c r="O529">
        <f>IF(M529-N529&gt;1E-9,M529-N529,0)</f>
        <v/>
      </c>
      <c r="P529">
        <f>O528*$G$53</f>
        <v/>
      </c>
      <c r="Q529">
        <f>IF(S528&gt;0,MAX(0,S528*(1+$G$54)-$H$54),0)</f>
        <v/>
      </c>
      <c r="R529">
        <f>MAX(0,N529-M529)</f>
        <v/>
      </c>
      <c r="S529">
        <f>IF(Q529-R529&gt;1E-9,Q529-R529,0)</f>
        <v/>
      </c>
      <c r="T529">
        <f>S528*$G$54</f>
        <v/>
      </c>
      <c r="U529">
        <f>IF(W528&gt;0,MAX(0,W528*(1+$G$55)-$H$55),0)</f>
        <v/>
      </c>
      <c r="V529">
        <f>MAX(0,R529-Q529)</f>
        <v/>
      </c>
      <c r="W529">
        <f>IF(U529-V529&gt;1E-9,U529-V529,0)</f>
        <v/>
      </c>
      <c r="X529">
        <f>W528*$G$55</f>
        <v/>
      </c>
      <c r="Y529">
        <f>IF(Y528&gt;1E-9,IF(Y528*(1+$G$51)-MAX($B$9,0.01*Y528+Y528*$G$51)&gt;1E-9,Y528*(1+$G$51)-MAX($B$9,0.01*Y528+Y528*$G$51),0),0)</f>
        <v/>
      </c>
      <c r="Z529">
        <f>Y528*$G$51</f>
        <v/>
      </c>
      <c r="AA529">
        <f>IF(AA528&gt;1E-9,IF(AA528*(1+$G$52)-MAX($B$9,0.01*AA528+AA528*$G$52)&gt;1E-9,AA528*(1+$G$52)-MAX($B$9,0.01*AA528+AA528*$G$52),0),0)</f>
        <v/>
      </c>
      <c r="AB529">
        <f>AA528*$G$52</f>
        <v/>
      </c>
      <c r="AC529">
        <f>IF(AC528&gt;1E-9,IF(AC528*(1+$G$53)-MAX($B$9,0.01*AC528+AC528*$G$53)&gt;1E-9,AC528*(1+$G$53)-MAX($B$9,0.01*AC528+AC528*$G$53),0),0)</f>
        <v/>
      </c>
      <c r="AD529">
        <f>AC528*$G$53</f>
        <v/>
      </c>
      <c r="AE529">
        <f>IF(AE528&gt;1E-9,IF(AE528*(1+$G$54)-MAX($B$9,0.01*AE528+AE528*$G$54)&gt;1E-9,AE528*(1+$G$54)-MAX($B$9,0.01*AE528+AE528*$G$54),0),0)</f>
        <v/>
      </c>
      <c r="AF529">
        <f>AE528*$G$54</f>
        <v/>
      </c>
      <c r="AG529">
        <f>IF(AG528&gt;1E-9,IF(AG528*(1+$G$55)-MAX($B$9,0.01*AG528+AG528*$G$55)&gt;1E-9,AG528*(1+$G$55)-MAX($B$9,0.01*AG528+AG528*$G$55),0),0)</f>
        <v/>
      </c>
      <c r="AH529">
        <f>AG528*$G$55</f>
        <v/>
      </c>
      <c r="AI529">
        <f>G529+K529+O529+S529+W529</f>
        <v/>
      </c>
      <c r="AJ529">
        <f>AI528+AK529-AI529</f>
        <v/>
      </c>
      <c r="AK529">
        <f>H529+L529+P529+T529+X529</f>
        <v/>
      </c>
      <c r="AL529">
        <f>TEXT(EDATE($B$5,D529-1),"mmm yyyy")</f>
        <v/>
      </c>
      <c r="AM529">
        <f>AI529</f>
        <v/>
      </c>
    </row>
    <row r="530">
      <c r="D530" t="n">
        <v>469</v>
      </c>
      <c r="E530">
        <f>IF(G529&gt;0,MAX(0,G529*(1+$G$51)-$H$51),0)</f>
        <v/>
      </c>
      <c r="F530">
        <f>$B$6+IF($D530=$B$8,$B$7,0)</f>
        <v/>
      </c>
      <c r="G530">
        <f>IF(E530-F530&gt;1E-9,E530-F530,0)</f>
        <v/>
      </c>
      <c r="H530">
        <f>G529*$G$51</f>
        <v/>
      </c>
      <c r="I530">
        <f>IF(K529&gt;0,MAX(0,K529*(1+$G$52)-$H$52),0)</f>
        <v/>
      </c>
      <c r="J530">
        <f>MAX(0,F530-E530)</f>
        <v/>
      </c>
      <c r="K530">
        <f>IF(I530-J530&gt;1E-9,I530-J530,0)</f>
        <v/>
      </c>
      <c r="L530">
        <f>K529*$G$52</f>
        <v/>
      </c>
      <c r="M530">
        <f>IF(O529&gt;0,MAX(0,O529*(1+$G$53)-$H$53),0)</f>
        <v/>
      </c>
      <c r="N530">
        <f>MAX(0,J530-I530)</f>
        <v/>
      </c>
      <c r="O530">
        <f>IF(M530-N530&gt;1E-9,M530-N530,0)</f>
        <v/>
      </c>
      <c r="P530">
        <f>O529*$G$53</f>
        <v/>
      </c>
      <c r="Q530">
        <f>IF(S529&gt;0,MAX(0,S529*(1+$G$54)-$H$54),0)</f>
        <v/>
      </c>
      <c r="R530">
        <f>MAX(0,N530-M530)</f>
        <v/>
      </c>
      <c r="S530">
        <f>IF(Q530-R530&gt;1E-9,Q530-R530,0)</f>
        <v/>
      </c>
      <c r="T530">
        <f>S529*$G$54</f>
        <v/>
      </c>
      <c r="U530">
        <f>IF(W529&gt;0,MAX(0,W529*(1+$G$55)-$H$55),0)</f>
        <v/>
      </c>
      <c r="V530">
        <f>MAX(0,R530-Q530)</f>
        <v/>
      </c>
      <c r="W530">
        <f>IF(U530-V530&gt;1E-9,U530-V530,0)</f>
        <v/>
      </c>
      <c r="X530">
        <f>W529*$G$55</f>
        <v/>
      </c>
      <c r="Y530">
        <f>IF(Y529&gt;1E-9,IF(Y529*(1+$G$51)-MAX($B$9,0.01*Y529+Y529*$G$51)&gt;1E-9,Y529*(1+$G$51)-MAX($B$9,0.01*Y529+Y529*$G$51),0),0)</f>
        <v/>
      </c>
      <c r="Z530">
        <f>Y529*$G$51</f>
        <v/>
      </c>
      <c r="AA530">
        <f>IF(AA529&gt;1E-9,IF(AA529*(1+$G$52)-MAX($B$9,0.01*AA529+AA529*$G$52)&gt;1E-9,AA529*(1+$G$52)-MAX($B$9,0.01*AA529+AA529*$G$52),0),0)</f>
        <v/>
      </c>
      <c r="AB530">
        <f>AA529*$G$52</f>
        <v/>
      </c>
      <c r="AC530">
        <f>IF(AC529&gt;1E-9,IF(AC529*(1+$G$53)-MAX($B$9,0.01*AC529+AC529*$G$53)&gt;1E-9,AC529*(1+$G$53)-MAX($B$9,0.01*AC529+AC529*$G$53),0),0)</f>
        <v/>
      </c>
      <c r="AD530">
        <f>AC529*$G$53</f>
        <v/>
      </c>
      <c r="AE530">
        <f>IF(AE529&gt;1E-9,IF(AE529*(1+$G$54)-MAX($B$9,0.01*AE529+AE529*$G$54)&gt;1E-9,AE529*(1+$G$54)-MAX($B$9,0.01*AE529+AE529*$G$54),0),0)</f>
        <v/>
      </c>
      <c r="AF530">
        <f>AE529*$G$54</f>
        <v/>
      </c>
      <c r="AG530">
        <f>IF(AG529&gt;1E-9,IF(AG529*(1+$G$55)-MAX($B$9,0.01*AG529+AG529*$G$55)&gt;1E-9,AG529*(1+$G$55)-MAX($B$9,0.01*AG529+AG529*$G$55),0),0)</f>
        <v/>
      </c>
      <c r="AH530">
        <f>AG529*$G$55</f>
        <v/>
      </c>
      <c r="AI530">
        <f>G530+K530+O530+S530+W530</f>
        <v/>
      </c>
      <c r="AJ530">
        <f>AI529+AK530-AI530</f>
        <v/>
      </c>
      <c r="AK530">
        <f>H530+L530+P530+T530+X530</f>
        <v/>
      </c>
      <c r="AL530">
        <f>TEXT(EDATE($B$5,D530-1),"mmm yyyy")</f>
        <v/>
      </c>
      <c r="AM530">
        <f>AI530</f>
        <v/>
      </c>
    </row>
    <row r="531">
      <c r="D531" t="n">
        <v>470</v>
      </c>
      <c r="E531">
        <f>IF(G530&gt;0,MAX(0,G530*(1+$G$51)-$H$51),0)</f>
        <v/>
      </c>
      <c r="F531">
        <f>$B$6+IF($D531=$B$8,$B$7,0)</f>
        <v/>
      </c>
      <c r="G531">
        <f>IF(E531-F531&gt;1E-9,E531-F531,0)</f>
        <v/>
      </c>
      <c r="H531">
        <f>G530*$G$51</f>
        <v/>
      </c>
      <c r="I531">
        <f>IF(K530&gt;0,MAX(0,K530*(1+$G$52)-$H$52),0)</f>
        <v/>
      </c>
      <c r="J531">
        <f>MAX(0,F531-E531)</f>
        <v/>
      </c>
      <c r="K531">
        <f>IF(I531-J531&gt;1E-9,I531-J531,0)</f>
        <v/>
      </c>
      <c r="L531">
        <f>K530*$G$52</f>
        <v/>
      </c>
      <c r="M531">
        <f>IF(O530&gt;0,MAX(0,O530*(1+$G$53)-$H$53),0)</f>
        <v/>
      </c>
      <c r="N531">
        <f>MAX(0,J531-I531)</f>
        <v/>
      </c>
      <c r="O531">
        <f>IF(M531-N531&gt;1E-9,M531-N531,0)</f>
        <v/>
      </c>
      <c r="P531">
        <f>O530*$G$53</f>
        <v/>
      </c>
      <c r="Q531">
        <f>IF(S530&gt;0,MAX(0,S530*(1+$G$54)-$H$54),0)</f>
        <v/>
      </c>
      <c r="R531">
        <f>MAX(0,N531-M531)</f>
        <v/>
      </c>
      <c r="S531">
        <f>IF(Q531-R531&gt;1E-9,Q531-R531,0)</f>
        <v/>
      </c>
      <c r="T531">
        <f>S530*$G$54</f>
        <v/>
      </c>
      <c r="U531">
        <f>IF(W530&gt;0,MAX(0,W530*(1+$G$55)-$H$55),0)</f>
        <v/>
      </c>
      <c r="V531">
        <f>MAX(0,R531-Q531)</f>
        <v/>
      </c>
      <c r="W531">
        <f>IF(U531-V531&gt;1E-9,U531-V531,0)</f>
        <v/>
      </c>
      <c r="X531">
        <f>W530*$G$55</f>
        <v/>
      </c>
      <c r="Y531">
        <f>IF(Y530&gt;1E-9,IF(Y530*(1+$G$51)-MAX($B$9,0.01*Y530+Y530*$G$51)&gt;1E-9,Y530*(1+$G$51)-MAX($B$9,0.01*Y530+Y530*$G$51),0),0)</f>
        <v/>
      </c>
      <c r="Z531">
        <f>Y530*$G$51</f>
        <v/>
      </c>
      <c r="AA531">
        <f>IF(AA530&gt;1E-9,IF(AA530*(1+$G$52)-MAX($B$9,0.01*AA530+AA530*$G$52)&gt;1E-9,AA530*(1+$G$52)-MAX($B$9,0.01*AA530+AA530*$G$52),0),0)</f>
        <v/>
      </c>
      <c r="AB531">
        <f>AA530*$G$52</f>
        <v/>
      </c>
      <c r="AC531">
        <f>IF(AC530&gt;1E-9,IF(AC530*(1+$G$53)-MAX($B$9,0.01*AC530+AC530*$G$53)&gt;1E-9,AC530*(1+$G$53)-MAX($B$9,0.01*AC530+AC530*$G$53),0),0)</f>
        <v/>
      </c>
      <c r="AD531">
        <f>AC530*$G$53</f>
        <v/>
      </c>
      <c r="AE531">
        <f>IF(AE530&gt;1E-9,IF(AE530*(1+$G$54)-MAX($B$9,0.01*AE530+AE530*$G$54)&gt;1E-9,AE530*(1+$G$54)-MAX($B$9,0.01*AE530+AE530*$G$54),0),0)</f>
        <v/>
      </c>
      <c r="AF531">
        <f>AE530*$G$54</f>
        <v/>
      </c>
      <c r="AG531">
        <f>IF(AG530&gt;1E-9,IF(AG530*(1+$G$55)-MAX($B$9,0.01*AG530+AG530*$G$55)&gt;1E-9,AG530*(1+$G$55)-MAX($B$9,0.01*AG530+AG530*$G$55),0),0)</f>
        <v/>
      </c>
      <c r="AH531">
        <f>AG530*$G$55</f>
        <v/>
      </c>
      <c r="AI531">
        <f>G531+K531+O531+S531+W531</f>
        <v/>
      </c>
      <c r="AJ531">
        <f>AI530+AK531-AI531</f>
        <v/>
      </c>
      <c r="AK531">
        <f>H531+L531+P531+T531+X531</f>
        <v/>
      </c>
      <c r="AL531">
        <f>TEXT(EDATE($B$5,D531-1),"mmm yyyy")</f>
        <v/>
      </c>
      <c r="AM531">
        <f>AI531</f>
        <v/>
      </c>
    </row>
    <row r="532">
      <c r="D532" t="n">
        <v>471</v>
      </c>
      <c r="E532">
        <f>IF(G531&gt;0,MAX(0,G531*(1+$G$51)-$H$51),0)</f>
        <v/>
      </c>
      <c r="F532">
        <f>$B$6+IF($D532=$B$8,$B$7,0)</f>
        <v/>
      </c>
      <c r="G532">
        <f>IF(E532-F532&gt;1E-9,E532-F532,0)</f>
        <v/>
      </c>
      <c r="H532">
        <f>G531*$G$51</f>
        <v/>
      </c>
      <c r="I532">
        <f>IF(K531&gt;0,MAX(0,K531*(1+$G$52)-$H$52),0)</f>
        <v/>
      </c>
      <c r="J532">
        <f>MAX(0,F532-E532)</f>
        <v/>
      </c>
      <c r="K532">
        <f>IF(I532-J532&gt;1E-9,I532-J532,0)</f>
        <v/>
      </c>
      <c r="L532">
        <f>K531*$G$52</f>
        <v/>
      </c>
      <c r="M532">
        <f>IF(O531&gt;0,MAX(0,O531*(1+$G$53)-$H$53),0)</f>
        <v/>
      </c>
      <c r="N532">
        <f>MAX(0,J532-I532)</f>
        <v/>
      </c>
      <c r="O532">
        <f>IF(M532-N532&gt;1E-9,M532-N532,0)</f>
        <v/>
      </c>
      <c r="P532">
        <f>O531*$G$53</f>
        <v/>
      </c>
      <c r="Q532">
        <f>IF(S531&gt;0,MAX(0,S531*(1+$G$54)-$H$54),0)</f>
        <v/>
      </c>
      <c r="R532">
        <f>MAX(0,N532-M532)</f>
        <v/>
      </c>
      <c r="S532">
        <f>IF(Q532-R532&gt;1E-9,Q532-R532,0)</f>
        <v/>
      </c>
      <c r="T532">
        <f>S531*$G$54</f>
        <v/>
      </c>
      <c r="U532">
        <f>IF(W531&gt;0,MAX(0,W531*(1+$G$55)-$H$55),0)</f>
        <v/>
      </c>
      <c r="V532">
        <f>MAX(0,R532-Q532)</f>
        <v/>
      </c>
      <c r="W532">
        <f>IF(U532-V532&gt;1E-9,U532-V532,0)</f>
        <v/>
      </c>
      <c r="X532">
        <f>W531*$G$55</f>
        <v/>
      </c>
      <c r="Y532">
        <f>IF(Y531&gt;1E-9,IF(Y531*(1+$G$51)-MAX($B$9,0.01*Y531+Y531*$G$51)&gt;1E-9,Y531*(1+$G$51)-MAX($B$9,0.01*Y531+Y531*$G$51),0),0)</f>
        <v/>
      </c>
      <c r="Z532">
        <f>Y531*$G$51</f>
        <v/>
      </c>
      <c r="AA532">
        <f>IF(AA531&gt;1E-9,IF(AA531*(1+$G$52)-MAX($B$9,0.01*AA531+AA531*$G$52)&gt;1E-9,AA531*(1+$G$52)-MAX($B$9,0.01*AA531+AA531*$G$52),0),0)</f>
        <v/>
      </c>
      <c r="AB532">
        <f>AA531*$G$52</f>
        <v/>
      </c>
      <c r="AC532">
        <f>IF(AC531&gt;1E-9,IF(AC531*(1+$G$53)-MAX($B$9,0.01*AC531+AC531*$G$53)&gt;1E-9,AC531*(1+$G$53)-MAX($B$9,0.01*AC531+AC531*$G$53),0),0)</f>
        <v/>
      </c>
      <c r="AD532">
        <f>AC531*$G$53</f>
        <v/>
      </c>
      <c r="AE532">
        <f>IF(AE531&gt;1E-9,IF(AE531*(1+$G$54)-MAX($B$9,0.01*AE531+AE531*$G$54)&gt;1E-9,AE531*(1+$G$54)-MAX($B$9,0.01*AE531+AE531*$G$54),0),0)</f>
        <v/>
      </c>
      <c r="AF532">
        <f>AE531*$G$54</f>
        <v/>
      </c>
      <c r="AG532">
        <f>IF(AG531&gt;1E-9,IF(AG531*(1+$G$55)-MAX($B$9,0.01*AG531+AG531*$G$55)&gt;1E-9,AG531*(1+$G$55)-MAX($B$9,0.01*AG531+AG531*$G$55),0),0)</f>
        <v/>
      </c>
      <c r="AH532">
        <f>AG531*$G$55</f>
        <v/>
      </c>
      <c r="AI532">
        <f>G532+K532+O532+S532+W532</f>
        <v/>
      </c>
      <c r="AJ532">
        <f>AI531+AK532-AI532</f>
        <v/>
      </c>
      <c r="AK532">
        <f>H532+L532+P532+T532+X532</f>
        <v/>
      </c>
      <c r="AL532">
        <f>TEXT(EDATE($B$5,D532-1),"mmm yyyy")</f>
        <v/>
      </c>
      <c r="AM532">
        <f>AI532</f>
        <v/>
      </c>
    </row>
    <row r="533">
      <c r="D533" t="n">
        <v>472</v>
      </c>
      <c r="E533">
        <f>IF(G532&gt;0,MAX(0,G532*(1+$G$51)-$H$51),0)</f>
        <v/>
      </c>
      <c r="F533">
        <f>$B$6+IF($D533=$B$8,$B$7,0)</f>
        <v/>
      </c>
      <c r="G533">
        <f>IF(E533-F533&gt;1E-9,E533-F533,0)</f>
        <v/>
      </c>
      <c r="H533">
        <f>G532*$G$51</f>
        <v/>
      </c>
      <c r="I533">
        <f>IF(K532&gt;0,MAX(0,K532*(1+$G$52)-$H$52),0)</f>
        <v/>
      </c>
      <c r="J533">
        <f>MAX(0,F533-E533)</f>
        <v/>
      </c>
      <c r="K533">
        <f>IF(I533-J533&gt;1E-9,I533-J533,0)</f>
        <v/>
      </c>
      <c r="L533">
        <f>K532*$G$52</f>
        <v/>
      </c>
      <c r="M533">
        <f>IF(O532&gt;0,MAX(0,O532*(1+$G$53)-$H$53),0)</f>
        <v/>
      </c>
      <c r="N533">
        <f>MAX(0,J533-I533)</f>
        <v/>
      </c>
      <c r="O533">
        <f>IF(M533-N533&gt;1E-9,M533-N533,0)</f>
        <v/>
      </c>
      <c r="P533">
        <f>O532*$G$53</f>
        <v/>
      </c>
      <c r="Q533">
        <f>IF(S532&gt;0,MAX(0,S532*(1+$G$54)-$H$54),0)</f>
        <v/>
      </c>
      <c r="R533">
        <f>MAX(0,N533-M533)</f>
        <v/>
      </c>
      <c r="S533">
        <f>IF(Q533-R533&gt;1E-9,Q533-R533,0)</f>
        <v/>
      </c>
      <c r="T533">
        <f>S532*$G$54</f>
        <v/>
      </c>
      <c r="U533">
        <f>IF(W532&gt;0,MAX(0,W532*(1+$G$55)-$H$55),0)</f>
        <v/>
      </c>
      <c r="V533">
        <f>MAX(0,R533-Q533)</f>
        <v/>
      </c>
      <c r="W533">
        <f>IF(U533-V533&gt;1E-9,U533-V533,0)</f>
        <v/>
      </c>
      <c r="X533">
        <f>W532*$G$55</f>
        <v/>
      </c>
      <c r="Y533">
        <f>IF(Y532&gt;1E-9,IF(Y532*(1+$G$51)-MAX($B$9,0.01*Y532+Y532*$G$51)&gt;1E-9,Y532*(1+$G$51)-MAX($B$9,0.01*Y532+Y532*$G$51),0),0)</f>
        <v/>
      </c>
      <c r="Z533">
        <f>Y532*$G$51</f>
        <v/>
      </c>
      <c r="AA533">
        <f>IF(AA532&gt;1E-9,IF(AA532*(1+$G$52)-MAX($B$9,0.01*AA532+AA532*$G$52)&gt;1E-9,AA532*(1+$G$52)-MAX($B$9,0.01*AA532+AA532*$G$52),0),0)</f>
        <v/>
      </c>
      <c r="AB533">
        <f>AA532*$G$52</f>
        <v/>
      </c>
      <c r="AC533">
        <f>IF(AC532&gt;1E-9,IF(AC532*(1+$G$53)-MAX($B$9,0.01*AC532+AC532*$G$53)&gt;1E-9,AC532*(1+$G$53)-MAX($B$9,0.01*AC532+AC532*$G$53),0),0)</f>
        <v/>
      </c>
      <c r="AD533">
        <f>AC532*$G$53</f>
        <v/>
      </c>
      <c r="AE533">
        <f>IF(AE532&gt;1E-9,IF(AE532*(1+$G$54)-MAX($B$9,0.01*AE532+AE532*$G$54)&gt;1E-9,AE532*(1+$G$54)-MAX($B$9,0.01*AE532+AE532*$G$54),0),0)</f>
        <v/>
      </c>
      <c r="AF533">
        <f>AE532*$G$54</f>
        <v/>
      </c>
      <c r="AG533">
        <f>IF(AG532&gt;1E-9,IF(AG532*(1+$G$55)-MAX($B$9,0.01*AG532+AG532*$G$55)&gt;1E-9,AG532*(1+$G$55)-MAX($B$9,0.01*AG532+AG532*$G$55),0),0)</f>
        <v/>
      </c>
      <c r="AH533">
        <f>AG532*$G$55</f>
        <v/>
      </c>
      <c r="AI533">
        <f>G533+K533+O533+S533+W533</f>
        <v/>
      </c>
      <c r="AJ533">
        <f>AI532+AK533-AI533</f>
        <v/>
      </c>
      <c r="AK533">
        <f>H533+L533+P533+T533+X533</f>
        <v/>
      </c>
      <c r="AL533">
        <f>TEXT(EDATE($B$5,D533-1),"mmm yyyy")</f>
        <v/>
      </c>
      <c r="AM533">
        <f>AI533</f>
        <v/>
      </c>
    </row>
    <row r="534">
      <c r="D534" t="n">
        <v>473</v>
      </c>
      <c r="E534">
        <f>IF(G533&gt;0,MAX(0,G533*(1+$G$51)-$H$51),0)</f>
        <v/>
      </c>
      <c r="F534">
        <f>$B$6+IF($D534=$B$8,$B$7,0)</f>
        <v/>
      </c>
      <c r="G534">
        <f>IF(E534-F534&gt;1E-9,E534-F534,0)</f>
        <v/>
      </c>
      <c r="H534">
        <f>G533*$G$51</f>
        <v/>
      </c>
      <c r="I534">
        <f>IF(K533&gt;0,MAX(0,K533*(1+$G$52)-$H$52),0)</f>
        <v/>
      </c>
      <c r="J534">
        <f>MAX(0,F534-E534)</f>
        <v/>
      </c>
      <c r="K534">
        <f>IF(I534-J534&gt;1E-9,I534-J534,0)</f>
        <v/>
      </c>
      <c r="L534">
        <f>K533*$G$52</f>
        <v/>
      </c>
      <c r="M534">
        <f>IF(O533&gt;0,MAX(0,O533*(1+$G$53)-$H$53),0)</f>
        <v/>
      </c>
      <c r="N534">
        <f>MAX(0,J534-I534)</f>
        <v/>
      </c>
      <c r="O534">
        <f>IF(M534-N534&gt;1E-9,M534-N534,0)</f>
        <v/>
      </c>
      <c r="P534">
        <f>O533*$G$53</f>
        <v/>
      </c>
      <c r="Q534">
        <f>IF(S533&gt;0,MAX(0,S533*(1+$G$54)-$H$54),0)</f>
        <v/>
      </c>
      <c r="R534">
        <f>MAX(0,N534-M534)</f>
        <v/>
      </c>
      <c r="S534">
        <f>IF(Q534-R534&gt;1E-9,Q534-R534,0)</f>
        <v/>
      </c>
      <c r="T534">
        <f>S533*$G$54</f>
        <v/>
      </c>
      <c r="U534">
        <f>IF(W533&gt;0,MAX(0,W533*(1+$G$55)-$H$55),0)</f>
        <v/>
      </c>
      <c r="V534">
        <f>MAX(0,R534-Q534)</f>
        <v/>
      </c>
      <c r="W534">
        <f>IF(U534-V534&gt;1E-9,U534-V534,0)</f>
        <v/>
      </c>
      <c r="X534">
        <f>W533*$G$55</f>
        <v/>
      </c>
      <c r="Y534">
        <f>IF(Y533&gt;1E-9,IF(Y533*(1+$G$51)-MAX($B$9,0.01*Y533+Y533*$G$51)&gt;1E-9,Y533*(1+$G$51)-MAX($B$9,0.01*Y533+Y533*$G$51),0),0)</f>
        <v/>
      </c>
      <c r="Z534">
        <f>Y533*$G$51</f>
        <v/>
      </c>
      <c r="AA534">
        <f>IF(AA533&gt;1E-9,IF(AA533*(1+$G$52)-MAX($B$9,0.01*AA533+AA533*$G$52)&gt;1E-9,AA533*(1+$G$52)-MAX($B$9,0.01*AA533+AA533*$G$52),0),0)</f>
        <v/>
      </c>
      <c r="AB534">
        <f>AA533*$G$52</f>
        <v/>
      </c>
      <c r="AC534">
        <f>IF(AC533&gt;1E-9,IF(AC533*(1+$G$53)-MAX($B$9,0.01*AC533+AC533*$G$53)&gt;1E-9,AC533*(1+$G$53)-MAX($B$9,0.01*AC533+AC533*$G$53),0),0)</f>
        <v/>
      </c>
      <c r="AD534">
        <f>AC533*$G$53</f>
        <v/>
      </c>
      <c r="AE534">
        <f>IF(AE533&gt;1E-9,IF(AE533*(1+$G$54)-MAX($B$9,0.01*AE533+AE533*$G$54)&gt;1E-9,AE533*(1+$G$54)-MAX($B$9,0.01*AE533+AE533*$G$54),0),0)</f>
        <v/>
      </c>
      <c r="AF534">
        <f>AE533*$G$54</f>
        <v/>
      </c>
      <c r="AG534">
        <f>IF(AG533&gt;1E-9,IF(AG533*(1+$G$55)-MAX($B$9,0.01*AG533+AG533*$G$55)&gt;1E-9,AG533*(1+$G$55)-MAX($B$9,0.01*AG533+AG533*$G$55),0),0)</f>
        <v/>
      </c>
      <c r="AH534">
        <f>AG533*$G$55</f>
        <v/>
      </c>
      <c r="AI534">
        <f>G534+K534+O534+S534+W534</f>
        <v/>
      </c>
      <c r="AJ534">
        <f>AI533+AK534-AI534</f>
        <v/>
      </c>
      <c r="AK534">
        <f>H534+L534+P534+T534+X534</f>
        <v/>
      </c>
      <c r="AL534">
        <f>TEXT(EDATE($B$5,D534-1),"mmm yyyy")</f>
        <v/>
      </c>
      <c r="AM534">
        <f>AI534</f>
        <v/>
      </c>
    </row>
    <row r="535">
      <c r="D535" t="n">
        <v>474</v>
      </c>
      <c r="E535">
        <f>IF(G534&gt;0,MAX(0,G534*(1+$G$51)-$H$51),0)</f>
        <v/>
      </c>
      <c r="F535">
        <f>$B$6+IF($D535=$B$8,$B$7,0)</f>
        <v/>
      </c>
      <c r="G535">
        <f>IF(E535-F535&gt;1E-9,E535-F535,0)</f>
        <v/>
      </c>
      <c r="H535">
        <f>G534*$G$51</f>
        <v/>
      </c>
      <c r="I535">
        <f>IF(K534&gt;0,MAX(0,K534*(1+$G$52)-$H$52),0)</f>
        <v/>
      </c>
      <c r="J535">
        <f>MAX(0,F535-E535)</f>
        <v/>
      </c>
      <c r="K535">
        <f>IF(I535-J535&gt;1E-9,I535-J535,0)</f>
        <v/>
      </c>
      <c r="L535">
        <f>K534*$G$52</f>
        <v/>
      </c>
      <c r="M535">
        <f>IF(O534&gt;0,MAX(0,O534*(1+$G$53)-$H$53),0)</f>
        <v/>
      </c>
      <c r="N535">
        <f>MAX(0,J535-I535)</f>
        <v/>
      </c>
      <c r="O535">
        <f>IF(M535-N535&gt;1E-9,M535-N535,0)</f>
        <v/>
      </c>
      <c r="P535">
        <f>O534*$G$53</f>
        <v/>
      </c>
      <c r="Q535">
        <f>IF(S534&gt;0,MAX(0,S534*(1+$G$54)-$H$54),0)</f>
        <v/>
      </c>
      <c r="R535">
        <f>MAX(0,N535-M535)</f>
        <v/>
      </c>
      <c r="S535">
        <f>IF(Q535-R535&gt;1E-9,Q535-R535,0)</f>
        <v/>
      </c>
      <c r="T535">
        <f>S534*$G$54</f>
        <v/>
      </c>
      <c r="U535">
        <f>IF(W534&gt;0,MAX(0,W534*(1+$G$55)-$H$55),0)</f>
        <v/>
      </c>
      <c r="V535">
        <f>MAX(0,R535-Q535)</f>
        <v/>
      </c>
      <c r="W535">
        <f>IF(U535-V535&gt;1E-9,U535-V535,0)</f>
        <v/>
      </c>
      <c r="X535">
        <f>W534*$G$55</f>
        <v/>
      </c>
      <c r="Y535">
        <f>IF(Y534&gt;1E-9,IF(Y534*(1+$G$51)-MAX($B$9,0.01*Y534+Y534*$G$51)&gt;1E-9,Y534*(1+$G$51)-MAX($B$9,0.01*Y534+Y534*$G$51),0),0)</f>
        <v/>
      </c>
      <c r="Z535">
        <f>Y534*$G$51</f>
        <v/>
      </c>
      <c r="AA535">
        <f>IF(AA534&gt;1E-9,IF(AA534*(1+$G$52)-MAX($B$9,0.01*AA534+AA534*$G$52)&gt;1E-9,AA534*(1+$G$52)-MAX($B$9,0.01*AA534+AA534*$G$52),0),0)</f>
        <v/>
      </c>
      <c r="AB535">
        <f>AA534*$G$52</f>
        <v/>
      </c>
      <c r="AC535">
        <f>IF(AC534&gt;1E-9,IF(AC534*(1+$G$53)-MAX($B$9,0.01*AC534+AC534*$G$53)&gt;1E-9,AC534*(1+$G$53)-MAX($B$9,0.01*AC534+AC534*$G$53),0),0)</f>
        <v/>
      </c>
      <c r="AD535">
        <f>AC534*$G$53</f>
        <v/>
      </c>
      <c r="AE535">
        <f>IF(AE534&gt;1E-9,IF(AE534*(1+$G$54)-MAX($B$9,0.01*AE534+AE534*$G$54)&gt;1E-9,AE534*(1+$G$54)-MAX($B$9,0.01*AE534+AE534*$G$54),0),0)</f>
        <v/>
      </c>
      <c r="AF535">
        <f>AE534*$G$54</f>
        <v/>
      </c>
      <c r="AG535">
        <f>IF(AG534&gt;1E-9,IF(AG534*(1+$G$55)-MAX($B$9,0.01*AG534+AG534*$G$55)&gt;1E-9,AG534*(1+$G$55)-MAX($B$9,0.01*AG534+AG534*$G$55),0),0)</f>
        <v/>
      </c>
      <c r="AH535">
        <f>AG534*$G$55</f>
        <v/>
      </c>
      <c r="AI535">
        <f>G535+K535+O535+S535+W535</f>
        <v/>
      </c>
      <c r="AJ535">
        <f>AI534+AK535-AI535</f>
        <v/>
      </c>
      <c r="AK535">
        <f>H535+L535+P535+T535+X535</f>
        <v/>
      </c>
      <c r="AL535">
        <f>TEXT(EDATE($B$5,D535-1),"mmm yyyy")</f>
        <v/>
      </c>
      <c r="AM535">
        <f>AI535</f>
        <v/>
      </c>
    </row>
    <row r="536">
      <c r="D536" t="n">
        <v>475</v>
      </c>
      <c r="E536">
        <f>IF(G535&gt;0,MAX(0,G535*(1+$G$51)-$H$51),0)</f>
        <v/>
      </c>
      <c r="F536">
        <f>$B$6+IF($D536=$B$8,$B$7,0)</f>
        <v/>
      </c>
      <c r="G536">
        <f>IF(E536-F536&gt;1E-9,E536-F536,0)</f>
        <v/>
      </c>
      <c r="H536">
        <f>G535*$G$51</f>
        <v/>
      </c>
      <c r="I536">
        <f>IF(K535&gt;0,MAX(0,K535*(1+$G$52)-$H$52),0)</f>
        <v/>
      </c>
      <c r="J536">
        <f>MAX(0,F536-E536)</f>
        <v/>
      </c>
      <c r="K536">
        <f>IF(I536-J536&gt;1E-9,I536-J536,0)</f>
        <v/>
      </c>
      <c r="L536">
        <f>K535*$G$52</f>
        <v/>
      </c>
      <c r="M536">
        <f>IF(O535&gt;0,MAX(0,O535*(1+$G$53)-$H$53),0)</f>
        <v/>
      </c>
      <c r="N536">
        <f>MAX(0,J536-I536)</f>
        <v/>
      </c>
      <c r="O536">
        <f>IF(M536-N536&gt;1E-9,M536-N536,0)</f>
        <v/>
      </c>
      <c r="P536">
        <f>O535*$G$53</f>
        <v/>
      </c>
      <c r="Q536">
        <f>IF(S535&gt;0,MAX(0,S535*(1+$G$54)-$H$54),0)</f>
        <v/>
      </c>
      <c r="R536">
        <f>MAX(0,N536-M536)</f>
        <v/>
      </c>
      <c r="S536">
        <f>IF(Q536-R536&gt;1E-9,Q536-R536,0)</f>
        <v/>
      </c>
      <c r="T536">
        <f>S535*$G$54</f>
        <v/>
      </c>
      <c r="U536">
        <f>IF(W535&gt;0,MAX(0,W535*(1+$G$55)-$H$55),0)</f>
        <v/>
      </c>
      <c r="V536">
        <f>MAX(0,R536-Q536)</f>
        <v/>
      </c>
      <c r="W536">
        <f>IF(U536-V536&gt;1E-9,U536-V536,0)</f>
        <v/>
      </c>
      <c r="X536">
        <f>W535*$G$55</f>
        <v/>
      </c>
      <c r="Y536">
        <f>IF(Y535&gt;1E-9,IF(Y535*(1+$G$51)-MAX($B$9,0.01*Y535+Y535*$G$51)&gt;1E-9,Y535*(1+$G$51)-MAX($B$9,0.01*Y535+Y535*$G$51),0),0)</f>
        <v/>
      </c>
      <c r="Z536">
        <f>Y535*$G$51</f>
        <v/>
      </c>
      <c r="AA536">
        <f>IF(AA535&gt;1E-9,IF(AA535*(1+$G$52)-MAX($B$9,0.01*AA535+AA535*$G$52)&gt;1E-9,AA535*(1+$G$52)-MAX($B$9,0.01*AA535+AA535*$G$52),0),0)</f>
        <v/>
      </c>
      <c r="AB536">
        <f>AA535*$G$52</f>
        <v/>
      </c>
      <c r="AC536">
        <f>IF(AC535&gt;1E-9,IF(AC535*(1+$G$53)-MAX($B$9,0.01*AC535+AC535*$G$53)&gt;1E-9,AC535*(1+$G$53)-MAX($B$9,0.01*AC535+AC535*$G$53),0),0)</f>
        <v/>
      </c>
      <c r="AD536">
        <f>AC535*$G$53</f>
        <v/>
      </c>
      <c r="AE536">
        <f>IF(AE535&gt;1E-9,IF(AE535*(1+$G$54)-MAX($B$9,0.01*AE535+AE535*$G$54)&gt;1E-9,AE535*(1+$G$54)-MAX($B$9,0.01*AE535+AE535*$G$54),0),0)</f>
        <v/>
      </c>
      <c r="AF536">
        <f>AE535*$G$54</f>
        <v/>
      </c>
      <c r="AG536">
        <f>IF(AG535&gt;1E-9,IF(AG535*(1+$G$55)-MAX($B$9,0.01*AG535+AG535*$G$55)&gt;1E-9,AG535*(1+$G$55)-MAX($B$9,0.01*AG535+AG535*$G$55),0),0)</f>
        <v/>
      </c>
      <c r="AH536">
        <f>AG535*$G$55</f>
        <v/>
      </c>
      <c r="AI536">
        <f>G536+K536+O536+S536+W536</f>
        <v/>
      </c>
      <c r="AJ536">
        <f>AI535+AK536-AI536</f>
        <v/>
      </c>
      <c r="AK536">
        <f>H536+L536+P536+T536+X536</f>
        <v/>
      </c>
      <c r="AL536">
        <f>TEXT(EDATE($B$5,D536-1),"mmm yyyy")</f>
        <v/>
      </c>
      <c r="AM536">
        <f>AI536</f>
        <v/>
      </c>
    </row>
    <row r="537">
      <c r="D537" t="n">
        <v>476</v>
      </c>
      <c r="E537">
        <f>IF(G536&gt;0,MAX(0,G536*(1+$G$51)-$H$51),0)</f>
        <v/>
      </c>
      <c r="F537">
        <f>$B$6+IF($D537=$B$8,$B$7,0)</f>
        <v/>
      </c>
      <c r="G537">
        <f>IF(E537-F537&gt;1E-9,E537-F537,0)</f>
        <v/>
      </c>
      <c r="H537">
        <f>G536*$G$51</f>
        <v/>
      </c>
      <c r="I537">
        <f>IF(K536&gt;0,MAX(0,K536*(1+$G$52)-$H$52),0)</f>
        <v/>
      </c>
      <c r="J537">
        <f>MAX(0,F537-E537)</f>
        <v/>
      </c>
      <c r="K537">
        <f>IF(I537-J537&gt;1E-9,I537-J537,0)</f>
        <v/>
      </c>
      <c r="L537">
        <f>K536*$G$52</f>
        <v/>
      </c>
      <c r="M537">
        <f>IF(O536&gt;0,MAX(0,O536*(1+$G$53)-$H$53),0)</f>
        <v/>
      </c>
      <c r="N537">
        <f>MAX(0,J537-I537)</f>
        <v/>
      </c>
      <c r="O537">
        <f>IF(M537-N537&gt;1E-9,M537-N537,0)</f>
        <v/>
      </c>
      <c r="P537">
        <f>O536*$G$53</f>
        <v/>
      </c>
      <c r="Q537">
        <f>IF(S536&gt;0,MAX(0,S536*(1+$G$54)-$H$54),0)</f>
        <v/>
      </c>
      <c r="R537">
        <f>MAX(0,N537-M537)</f>
        <v/>
      </c>
      <c r="S537">
        <f>IF(Q537-R537&gt;1E-9,Q537-R537,0)</f>
        <v/>
      </c>
      <c r="T537">
        <f>S536*$G$54</f>
        <v/>
      </c>
      <c r="U537">
        <f>IF(W536&gt;0,MAX(0,W536*(1+$G$55)-$H$55),0)</f>
        <v/>
      </c>
      <c r="V537">
        <f>MAX(0,R537-Q537)</f>
        <v/>
      </c>
      <c r="W537">
        <f>IF(U537-V537&gt;1E-9,U537-V537,0)</f>
        <v/>
      </c>
      <c r="X537">
        <f>W536*$G$55</f>
        <v/>
      </c>
      <c r="Y537">
        <f>IF(Y536&gt;1E-9,IF(Y536*(1+$G$51)-MAX($B$9,0.01*Y536+Y536*$G$51)&gt;1E-9,Y536*(1+$G$51)-MAX($B$9,0.01*Y536+Y536*$G$51),0),0)</f>
        <v/>
      </c>
      <c r="Z537">
        <f>Y536*$G$51</f>
        <v/>
      </c>
      <c r="AA537">
        <f>IF(AA536&gt;1E-9,IF(AA536*(1+$G$52)-MAX($B$9,0.01*AA536+AA536*$G$52)&gt;1E-9,AA536*(1+$G$52)-MAX($B$9,0.01*AA536+AA536*$G$52),0),0)</f>
        <v/>
      </c>
      <c r="AB537">
        <f>AA536*$G$52</f>
        <v/>
      </c>
      <c r="AC537">
        <f>IF(AC536&gt;1E-9,IF(AC536*(1+$G$53)-MAX($B$9,0.01*AC536+AC536*$G$53)&gt;1E-9,AC536*(1+$G$53)-MAX($B$9,0.01*AC536+AC536*$G$53),0),0)</f>
        <v/>
      </c>
      <c r="AD537">
        <f>AC536*$G$53</f>
        <v/>
      </c>
      <c r="AE537">
        <f>IF(AE536&gt;1E-9,IF(AE536*(1+$G$54)-MAX($B$9,0.01*AE536+AE536*$G$54)&gt;1E-9,AE536*(1+$G$54)-MAX($B$9,0.01*AE536+AE536*$G$54),0),0)</f>
        <v/>
      </c>
      <c r="AF537">
        <f>AE536*$G$54</f>
        <v/>
      </c>
      <c r="AG537">
        <f>IF(AG536&gt;1E-9,IF(AG536*(1+$G$55)-MAX($B$9,0.01*AG536+AG536*$G$55)&gt;1E-9,AG536*(1+$G$55)-MAX($B$9,0.01*AG536+AG536*$G$55),0),0)</f>
        <v/>
      </c>
      <c r="AH537">
        <f>AG536*$G$55</f>
        <v/>
      </c>
      <c r="AI537">
        <f>G537+K537+O537+S537+W537</f>
        <v/>
      </c>
      <c r="AJ537">
        <f>AI536+AK537-AI537</f>
        <v/>
      </c>
      <c r="AK537">
        <f>H537+L537+P537+T537+X537</f>
        <v/>
      </c>
      <c r="AL537">
        <f>TEXT(EDATE($B$5,D537-1),"mmm yyyy")</f>
        <v/>
      </c>
      <c r="AM537">
        <f>AI537</f>
        <v/>
      </c>
    </row>
    <row r="538">
      <c r="D538" t="n">
        <v>477</v>
      </c>
      <c r="E538">
        <f>IF(G537&gt;0,MAX(0,G537*(1+$G$51)-$H$51),0)</f>
        <v/>
      </c>
      <c r="F538">
        <f>$B$6+IF($D538=$B$8,$B$7,0)</f>
        <v/>
      </c>
      <c r="G538">
        <f>IF(E538-F538&gt;1E-9,E538-F538,0)</f>
        <v/>
      </c>
      <c r="H538">
        <f>G537*$G$51</f>
        <v/>
      </c>
      <c r="I538">
        <f>IF(K537&gt;0,MAX(0,K537*(1+$G$52)-$H$52),0)</f>
        <v/>
      </c>
      <c r="J538">
        <f>MAX(0,F538-E538)</f>
        <v/>
      </c>
      <c r="K538">
        <f>IF(I538-J538&gt;1E-9,I538-J538,0)</f>
        <v/>
      </c>
      <c r="L538">
        <f>K537*$G$52</f>
        <v/>
      </c>
      <c r="M538">
        <f>IF(O537&gt;0,MAX(0,O537*(1+$G$53)-$H$53),0)</f>
        <v/>
      </c>
      <c r="N538">
        <f>MAX(0,J538-I538)</f>
        <v/>
      </c>
      <c r="O538">
        <f>IF(M538-N538&gt;1E-9,M538-N538,0)</f>
        <v/>
      </c>
      <c r="P538">
        <f>O537*$G$53</f>
        <v/>
      </c>
      <c r="Q538">
        <f>IF(S537&gt;0,MAX(0,S537*(1+$G$54)-$H$54),0)</f>
        <v/>
      </c>
      <c r="R538">
        <f>MAX(0,N538-M538)</f>
        <v/>
      </c>
      <c r="S538">
        <f>IF(Q538-R538&gt;1E-9,Q538-R538,0)</f>
        <v/>
      </c>
      <c r="T538">
        <f>S537*$G$54</f>
        <v/>
      </c>
      <c r="U538">
        <f>IF(W537&gt;0,MAX(0,W537*(1+$G$55)-$H$55),0)</f>
        <v/>
      </c>
      <c r="V538">
        <f>MAX(0,R538-Q538)</f>
        <v/>
      </c>
      <c r="W538">
        <f>IF(U538-V538&gt;1E-9,U538-V538,0)</f>
        <v/>
      </c>
      <c r="X538">
        <f>W537*$G$55</f>
        <v/>
      </c>
      <c r="Y538">
        <f>IF(Y537&gt;1E-9,IF(Y537*(1+$G$51)-MAX($B$9,0.01*Y537+Y537*$G$51)&gt;1E-9,Y537*(1+$G$51)-MAX($B$9,0.01*Y537+Y537*$G$51),0),0)</f>
        <v/>
      </c>
      <c r="Z538">
        <f>Y537*$G$51</f>
        <v/>
      </c>
      <c r="AA538">
        <f>IF(AA537&gt;1E-9,IF(AA537*(1+$G$52)-MAX($B$9,0.01*AA537+AA537*$G$52)&gt;1E-9,AA537*(1+$G$52)-MAX($B$9,0.01*AA537+AA537*$G$52),0),0)</f>
        <v/>
      </c>
      <c r="AB538">
        <f>AA537*$G$52</f>
        <v/>
      </c>
      <c r="AC538">
        <f>IF(AC537&gt;1E-9,IF(AC537*(1+$G$53)-MAX($B$9,0.01*AC537+AC537*$G$53)&gt;1E-9,AC537*(1+$G$53)-MAX($B$9,0.01*AC537+AC537*$G$53),0),0)</f>
        <v/>
      </c>
      <c r="AD538">
        <f>AC537*$G$53</f>
        <v/>
      </c>
      <c r="AE538">
        <f>IF(AE537&gt;1E-9,IF(AE537*(1+$G$54)-MAX($B$9,0.01*AE537+AE537*$G$54)&gt;1E-9,AE537*(1+$G$54)-MAX($B$9,0.01*AE537+AE537*$G$54),0),0)</f>
        <v/>
      </c>
      <c r="AF538">
        <f>AE537*$G$54</f>
        <v/>
      </c>
      <c r="AG538">
        <f>IF(AG537&gt;1E-9,IF(AG537*(1+$G$55)-MAX($B$9,0.01*AG537+AG537*$G$55)&gt;1E-9,AG537*(1+$G$55)-MAX($B$9,0.01*AG537+AG537*$G$55),0),0)</f>
        <v/>
      </c>
      <c r="AH538">
        <f>AG537*$G$55</f>
        <v/>
      </c>
      <c r="AI538">
        <f>G538+K538+O538+S538+W538</f>
        <v/>
      </c>
      <c r="AJ538">
        <f>AI537+AK538-AI538</f>
        <v/>
      </c>
      <c r="AK538">
        <f>H538+L538+P538+T538+X538</f>
        <v/>
      </c>
      <c r="AL538">
        <f>TEXT(EDATE($B$5,D538-1),"mmm yyyy")</f>
        <v/>
      </c>
      <c r="AM538">
        <f>AI538</f>
        <v/>
      </c>
    </row>
    <row r="539">
      <c r="D539" t="n">
        <v>478</v>
      </c>
      <c r="E539">
        <f>IF(G538&gt;0,MAX(0,G538*(1+$G$51)-$H$51),0)</f>
        <v/>
      </c>
      <c r="F539">
        <f>$B$6+IF($D539=$B$8,$B$7,0)</f>
        <v/>
      </c>
      <c r="G539">
        <f>IF(E539-F539&gt;1E-9,E539-F539,0)</f>
        <v/>
      </c>
      <c r="H539">
        <f>G538*$G$51</f>
        <v/>
      </c>
      <c r="I539">
        <f>IF(K538&gt;0,MAX(0,K538*(1+$G$52)-$H$52),0)</f>
        <v/>
      </c>
      <c r="J539">
        <f>MAX(0,F539-E539)</f>
        <v/>
      </c>
      <c r="K539">
        <f>IF(I539-J539&gt;1E-9,I539-J539,0)</f>
        <v/>
      </c>
      <c r="L539">
        <f>K538*$G$52</f>
        <v/>
      </c>
      <c r="M539">
        <f>IF(O538&gt;0,MAX(0,O538*(1+$G$53)-$H$53),0)</f>
        <v/>
      </c>
      <c r="N539">
        <f>MAX(0,J539-I539)</f>
        <v/>
      </c>
      <c r="O539">
        <f>IF(M539-N539&gt;1E-9,M539-N539,0)</f>
        <v/>
      </c>
      <c r="P539">
        <f>O538*$G$53</f>
        <v/>
      </c>
      <c r="Q539">
        <f>IF(S538&gt;0,MAX(0,S538*(1+$G$54)-$H$54),0)</f>
        <v/>
      </c>
      <c r="R539">
        <f>MAX(0,N539-M539)</f>
        <v/>
      </c>
      <c r="S539">
        <f>IF(Q539-R539&gt;1E-9,Q539-R539,0)</f>
        <v/>
      </c>
      <c r="T539">
        <f>S538*$G$54</f>
        <v/>
      </c>
      <c r="U539">
        <f>IF(W538&gt;0,MAX(0,W538*(1+$G$55)-$H$55),0)</f>
        <v/>
      </c>
      <c r="V539">
        <f>MAX(0,R539-Q539)</f>
        <v/>
      </c>
      <c r="W539">
        <f>IF(U539-V539&gt;1E-9,U539-V539,0)</f>
        <v/>
      </c>
      <c r="X539">
        <f>W538*$G$55</f>
        <v/>
      </c>
      <c r="Y539">
        <f>IF(Y538&gt;1E-9,IF(Y538*(1+$G$51)-MAX($B$9,0.01*Y538+Y538*$G$51)&gt;1E-9,Y538*(1+$G$51)-MAX($B$9,0.01*Y538+Y538*$G$51),0),0)</f>
        <v/>
      </c>
      <c r="Z539">
        <f>Y538*$G$51</f>
        <v/>
      </c>
      <c r="AA539">
        <f>IF(AA538&gt;1E-9,IF(AA538*(1+$G$52)-MAX($B$9,0.01*AA538+AA538*$G$52)&gt;1E-9,AA538*(1+$G$52)-MAX($B$9,0.01*AA538+AA538*$G$52),0),0)</f>
        <v/>
      </c>
      <c r="AB539">
        <f>AA538*$G$52</f>
        <v/>
      </c>
      <c r="AC539">
        <f>IF(AC538&gt;1E-9,IF(AC538*(1+$G$53)-MAX($B$9,0.01*AC538+AC538*$G$53)&gt;1E-9,AC538*(1+$G$53)-MAX($B$9,0.01*AC538+AC538*$G$53),0),0)</f>
        <v/>
      </c>
      <c r="AD539">
        <f>AC538*$G$53</f>
        <v/>
      </c>
      <c r="AE539">
        <f>IF(AE538&gt;1E-9,IF(AE538*(1+$G$54)-MAX($B$9,0.01*AE538+AE538*$G$54)&gt;1E-9,AE538*(1+$G$54)-MAX($B$9,0.01*AE538+AE538*$G$54),0),0)</f>
        <v/>
      </c>
      <c r="AF539">
        <f>AE538*$G$54</f>
        <v/>
      </c>
      <c r="AG539">
        <f>IF(AG538&gt;1E-9,IF(AG538*(1+$G$55)-MAX($B$9,0.01*AG538+AG538*$G$55)&gt;1E-9,AG538*(1+$G$55)-MAX($B$9,0.01*AG538+AG538*$G$55),0),0)</f>
        <v/>
      </c>
      <c r="AH539">
        <f>AG538*$G$55</f>
        <v/>
      </c>
      <c r="AI539">
        <f>G539+K539+O539+S539+W539</f>
        <v/>
      </c>
      <c r="AJ539">
        <f>AI538+AK539-AI539</f>
        <v/>
      </c>
      <c r="AK539">
        <f>H539+L539+P539+T539+X539</f>
        <v/>
      </c>
      <c r="AL539">
        <f>TEXT(EDATE($B$5,D539-1),"mmm yyyy")</f>
        <v/>
      </c>
      <c r="AM539">
        <f>AI539</f>
        <v/>
      </c>
    </row>
    <row r="540">
      <c r="D540" t="n">
        <v>479</v>
      </c>
      <c r="E540">
        <f>IF(G539&gt;0,MAX(0,G539*(1+$G$51)-$H$51),0)</f>
        <v/>
      </c>
      <c r="F540">
        <f>$B$6+IF($D540=$B$8,$B$7,0)</f>
        <v/>
      </c>
      <c r="G540">
        <f>IF(E540-F540&gt;1E-9,E540-F540,0)</f>
        <v/>
      </c>
      <c r="H540">
        <f>G539*$G$51</f>
        <v/>
      </c>
      <c r="I540">
        <f>IF(K539&gt;0,MAX(0,K539*(1+$G$52)-$H$52),0)</f>
        <v/>
      </c>
      <c r="J540">
        <f>MAX(0,F540-E540)</f>
        <v/>
      </c>
      <c r="K540">
        <f>IF(I540-J540&gt;1E-9,I540-J540,0)</f>
        <v/>
      </c>
      <c r="L540">
        <f>K539*$G$52</f>
        <v/>
      </c>
      <c r="M540">
        <f>IF(O539&gt;0,MAX(0,O539*(1+$G$53)-$H$53),0)</f>
        <v/>
      </c>
      <c r="N540">
        <f>MAX(0,J540-I540)</f>
        <v/>
      </c>
      <c r="O540">
        <f>IF(M540-N540&gt;1E-9,M540-N540,0)</f>
        <v/>
      </c>
      <c r="P540">
        <f>O539*$G$53</f>
        <v/>
      </c>
      <c r="Q540">
        <f>IF(S539&gt;0,MAX(0,S539*(1+$G$54)-$H$54),0)</f>
        <v/>
      </c>
      <c r="R540">
        <f>MAX(0,N540-M540)</f>
        <v/>
      </c>
      <c r="S540">
        <f>IF(Q540-R540&gt;1E-9,Q540-R540,0)</f>
        <v/>
      </c>
      <c r="T540">
        <f>S539*$G$54</f>
        <v/>
      </c>
      <c r="U540">
        <f>IF(W539&gt;0,MAX(0,W539*(1+$G$55)-$H$55),0)</f>
        <v/>
      </c>
      <c r="V540">
        <f>MAX(0,R540-Q540)</f>
        <v/>
      </c>
      <c r="W540">
        <f>IF(U540-V540&gt;1E-9,U540-V540,0)</f>
        <v/>
      </c>
      <c r="X540">
        <f>W539*$G$55</f>
        <v/>
      </c>
      <c r="Y540">
        <f>IF(Y539&gt;1E-9,IF(Y539*(1+$G$51)-MAX($B$9,0.01*Y539+Y539*$G$51)&gt;1E-9,Y539*(1+$G$51)-MAX($B$9,0.01*Y539+Y539*$G$51),0),0)</f>
        <v/>
      </c>
      <c r="Z540">
        <f>Y539*$G$51</f>
        <v/>
      </c>
      <c r="AA540">
        <f>IF(AA539&gt;1E-9,IF(AA539*(1+$G$52)-MAX($B$9,0.01*AA539+AA539*$G$52)&gt;1E-9,AA539*(1+$G$52)-MAX($B$9,0.01*AA539+AA539*$G$52),0),0)</f>
        <v/>
      </c>
      <c r="AB540">
        <f>AA539*$G$52</f>
        <v/>
      </c>
      <c r="AC540">
        <f>IF(AC539&gt;1E-9,IF(AC539*(1+$G$53)-MAX($B$9,0.01*AC539+AC539*$G$53)&gt;1E-9,AC539*(1+$G$53)-MAX($B$9,0.01*AC539+AC539*$G$53),0),0)</f>
        <v/>
      </c>
      <c r="AD540">
        <f>AC539*$G$53</f>
        <v/>
      </c>
      <c r="AE540">
        <f>IF(AE539&gt;1E-9,IF(AE539*(1+$G$54)-MAX($B$9,0.01*AE539+AE539*$G$54)&gt;1E-9,AE539*(1+$G$54)-MAX($B$9,0.01*AE539+AE539*$G$54),0),0)</f>
        <v/>
      </c>
      <c r="AF540">
        <f>AE539*$G$54</f>
        <v/>
      </c>
      <c r="AG540">
        <f>IF(AG539&gt;1E-9,IF(AG539*(1+$G$55)-MAX($B$9,0.01*AG539+AG539*$G$55)&gt;1E-9,AG539*(1+$G$55)-MAX($B$9,0.01*AG539+AG539*$G$55),0),0)</f>
        <v/>
      </c>
      <c r="AH540">
        <f>AG539*$G$55</f>
        <v/>
      </c>
      <c r="AI540">
        <f>G540+K540+O540+S540+W540</f>
        <v/>
      </c>
      <c r="AJ540">
        <f>AI539+AK540-AI540</f>
        <v/>
      </c>
      <c r="AK540">
        <f>H540+L540+P540+T540+X540</f>
        <v/>
      </c>
      <c r="AL540">
        <f>TEXT(EDATE($B$5,D540-1),"mmm yyyy")</f>
        <v/>
      </c>
      <c r="AM540">
        <f>AI540</f>
        <v/>
      </c>
    </row>
    <row r="541">
      <c r="D541" t="n">
        <v>480</v>
      </c>
      <c r="E541">
        <f>IF(G540&gt;0,MAX(0,G540*(1+$G$51)-$H$51),0)</f>
        <v/>
      </c>
      <c r="F541">
        <f>$B$6+IF($D541=$B$8,$B$7,0)</f>
        <v/>
      </c>
      <c r="G541">
        <f>IF(E541-F541&gt;1E-9,E541-F541,0)</f>
        <v/>
      </c>
      <c r="H541">
        <f>G540*$G$51</f>
        <v/>
      </c>
      <c r="I541">
        <f>IF(K540&gt;0,MAX(0,K540*(1+$G$52)-$H$52),0)</f>
        <v/>
      </c>
      <c r="J541">
        <f>MAX(0,F541-E541)</f>
        <v/>
      </c>
      <c r="K541">
        <f>IF(I541-J541&gt;1E-9,I541-J541,0)</f>
        <v/>
      </c>
      <c r="L541">
        <f>K540*$G$52</f>
        <v/>
      </c>
      <c r="M541">
        <f>IF(O540&gt;0,MAX(0,O540*(1+$G$53)-$H$53),0)</f>
        <v/>
      </c>
      <c r="N541">
        <f>MAX(0,J541-I541)</f>
        <v/>
      </c>
      <c r="O541">
        <f>IF(M541-N541&gt;1E-9,M541-N541,0)</f>
        <v/>
      </c>
      <c r="P541">
        <f>O540*$G$53</f>
        <v/>
      </c>
      <c r="Q541">
        <f>IF(S540&gt;0,MAX(0,S540*(1+$G$54)-$H$54),0)</f>
        <v/>
      </c>
      <c r="R541">
        <f>MAX(0,N541-M541)</f>
        <v/>
      </c>
      <c r="S541">
        <f>IF(Q541-R541&gt;1E-9,Q541-R541,0)</f>
        <v/>
      </c>
      <c r="T541">
        <f>S540*$G$54</f>
        <v/>
      </c>
      <c r="U541">
        <f>IF(W540&gt;0,MAX(0,W540*(1+$G$55)-$H$55),0)</f>
        <v/>
      </c>
      <c r="V541">
        <f>MAX(0,R541-Q541)</f>
        <v/>
      </c>
      <c r="W541">
        <f>IF(U541-V541&gt;1E-9,U541-V541,0)</f>
        <v/>
      </c>
      <c r="X541">
        <f>W540*$G$55</f>
        <v/>
      </c>
      <c r="Y541">
        <f>IF(Y540&gt;1E-9,IF(Y540*(1+$G$51)-MAX($B$9,0.01*Y540+Y540*$G$51)&gt;1E-9,Y540*(1+$G$51)-MAX($B$9,0.01*Y540+Y540*$G$51),0),0)</f>
        <v/>
      </c>
      <c r="Z541">
        <f>Y540*$G$51</f>
        <v/>
      </c>
      <c r="AA541">
        <f>IF(AA540&gt;1E-9,IF(AA540*(1+$G$52)-MAX($B$9,0.01*AA540+AA540*$G$52)&gt;1E-9,AA540*(1+$G$52)-MAX($B$9,0.01*AA540+AA540*$G$52),0),0)</f>
        <v/>
      </c>
      <c r="AB541">
        <f>AA540*$G$52</f>
        <v/>
      </c>
      <c r="AC541">
        <f>IF(AC540&gt;1E-9,IF(AC540*(1+$G$53)-MAX($B$9,0.01*AC540+AC540*$G$53)&gt;1E-9,AC540*(1+$G$53)-MAX($B$9,0.01*AC540+AC540*$G$53),0),0)</f>
        <v/>
      </c>
      <c r="AD541">
        <f>AC540*$G$53</f>
        <v/>
      </c>
      <c r="AE541">
        <f>IF(AE540&gt;1E-9,IF(AE540*(1+$G$54)-MAX($B$9,0.01*AE540+AE540*$G$54)&gt;1E-9,AE540*(1+$G$54)-MAX($B$9,0.01*AE540+AE540*$G$54),0),0)</f>
        <v/>
      </c>
      <c r="AF541">
        <f>AE540*$G$54</f>
        <v/>
      </c>
      <c r="AG541">
        <f>IF(AG540&gt;1E-9,IF(AG540*(1+$G$55)-MAX($B$9,0.01*AG540+AG540*$G$55)&gt;1E-9,AG540*(1+$G$55)-MAX($B$9,0.01*AG540+AG540*$G$55),0),0)</f>
        <v/>
      </c>
      <c r="AH541">
        <f>AG540*$G$55</f>
        <v/>
      </c>
      <c r="AI541">
        <f>G541+K541+O541+S541+W541</f>
        <v/>
      </c>
      <c r="AJ541">
        <f>AI540+AK541-AI541</f>
        <v/>
      </c>
      <c r="AK541">
        <f>H541+L541+P541+T541+X541</f>
        <v/>
      </c>
      <c r="AL541">
        <f>TEXT(EDATE($B$5,D541-1),"mmm yyyy")</f>
        <v/>
      </c>
      <c r="AM541">
        <f>AI541</f>
        <v/>
      </c>
    </row>
    <row r="542">
      <c r="D542" t="n">
        <v>481</v>
      </c>
      <c r="E542">
        <f>IF(G541&gt;0,MAX(0,G541*(1+$G$51)-$H$51),0)</f>
        <v/>
      </c>
      <c r="F542">
        <f>$B$6+IF($D542=$B$8,$B$7,0)</f>
        <v/>
      </c>
      <c r="G542">
        <f>IF(E542-F542&gt;1E-9,E542-F542,0)</f>
        <v/>
      </c>
      <c r="H542">
        <f>G541*$G$51</f>
        <v/>
      </c>
      <c r="I542">
        <f>IF(K541&gt;0,MAX(0,K541*(1+$G$52)-$H$52),0)</f>
        <v/>
      </c>
      <c r="J542">
        <f>MAX(0,F542-E542)</f>
        <v/>
      </c>
      <c r="K542">
        <f>IF(I542-J542&gt;1E-9,I542-J542,0)</f>
        <v/>
      </c>
      <c r="L542">
        <f>K541*$G$52</f>
        <v/>
      </c>
      <c r="M542">
        <f>IF(O541&gt;0,MAX(0,O541*(1+$G$53)-$H$53),0)</f>
        <v/>
      </c>
      <c r="N542">
        <f>MAX(0,J542-I542)</f>
        <v/>
      </c>
      <c r="O542">
        <f>IF(M542-N542&gt;1E-9,M542-N542,0)</f>
        <v/>
      </c>
      <c r="P542">
        <f>O541*$G$53</f>
        <v/>
      </c>
      <c r="Q542">
        <f>IF(S541&gt;0,MAX(0,S541*(1+$G$54)-$H$54),0)</f>
        <v/>
      </c>
      <c r="R542">
        <f>MAX(0,N542-M542)</f>
        <v/>
      </c>
      <c r="S542">
        <f>IF(Q542-R542&gt;1E-9,Q542-R542,0)</f>
        <v/>
      </c>
      <c r="T542">
        <f>S541*$G$54</f>
        <v/>
      </c>
      <c r="U542">
        <f>IF(W541&gt;0,MAX(0,W541*(1+$G$55)-$H$55),0)</f>
        <v/>
      </c>
      <c r="V542">
        <f>MAX(0,R542-Q542)</f>
        <v/>
      </c>
      <c r="W542">
        <f>IF(U542-V542&gt;1E-9,U542-V542,0)</f>
        <v/>
      </c>
      <c r="X542">
        <f>W541*$G$55</f>
        <v/>
      </c>
      <c r="Y542">
        <f>IF(Y541&gt;1E-9,IF(Y541*(1+$G$51)-MAX($B$9,0.01*Y541+Y541*$G$51)&gt;1E-9,Y541*(1+$G$51)-MAX($B$9,0.01*Y541+Y541*$G$51),0),0)</f>
        <v/>
      </c>
      <c r="Z542">
        <f>Y541*$G$51</f>
        <v/>
      </c>
      <c r="AA542">
        <f>IF(AA541&gt;1E-9,IF(AA541*(1+$G$52)-MAX($B$9,0.01*AA541+AA541*$G$52)&gt;1E-9,AA541*(1+$G$52)-MAX($B$9,0.01*AA541+AA541*$G$52),0),0)</f>
        <v/>
      </c>
      <c r="AB542">
        <f>AA541*$G$52</f>
        <v/>
      </c>
      <c r="AC542">
        <f>IF(AC541&gt;1E-9,IF(AC541*(1+$G$53)-MAX($B$9,0.01*AC541+AC541*$G$53)&gt;1E-9,AC541*(1+$G$53)-MAX($B$9,0.01*AC541+AC541*$G$53),0),0)</f>
        <v/>
      </c>
      <c r="AD542">
        <f>AC541*$G$53</f>
        <v/>
      </c>
      <c r="AE542">
        <f>IF(AE541&gt;1E-9,IF(AE541*(1+$G$54)-MAX($B$9,0.01*AE541+AE541*$G$54)&gt;1E-9,AE541*(1+$G$54)-MAX($B$9,0.01*AE541+AE541*$G$54),0),0)</f>
        <v/>
      </c>
      <c r="AF542">
        <f>AE541*$G$54</f>
        <v/>
      </c>
      <c r="AG542">
        <f>IF(AG541&gt;1E-9,IF(AG541*(1+$G$55)-MAX($B$9,0.01*AG541+AG541*$G$55)&gt;1E-9,AG541*(1+$G$55)-MAX($B$9,0.01*AG541+AG541*$G$55),0),0)</f>
        <v/>
      </c>
      <c r="AH542">
        <f>AG541*$G$55</f>
        <v/>
      </c>
      <c r="AI542">
        <f>G542+K542+O542+S542+W542</f>
        <v/>
      </c>
      <c r="AJ542">
        <f>AI541+AK542-AI542</f>
        <v/>
      </c>
      <c r="AK542">
        <f>H542+L542+P542+T542+X542</f>
        <v/>
      </c>
      <c r="AL542">
        <f>TEXT(EDATE($B$5,D542-1),"mmm yyyy")</f>
        <v/>
      </c>
      <c r="AM542">
        <f>AI542</f>
        <v/>
      </c>
    </row>
    <row r="543">
      <c r="D543" t="n">
        <v>482</v>
      </c>
      <c r="E543">
        <f>IF(G542&gt;0,MAX(0,G542*(1+$G$51)-$H$51),0)</f>
        <v/>
      </c>
      <c r="F543">
        <f>$B$6+IF($D543=$B$8,$B$7,0)</f>
        <v/>
      </c>
      <c r="G543">
        <f>IF(E543-F543&gt;1E-9,E543-F543,0)</f>
        <v/>
      </c>
      <c r="H543">
        <f>G542*$G$51</f>
        <v/>
      </c>
      <c r="I543">
        <f>IF(K542&gt;0,MAX(0,K542*(1+$G$52)-$H$52),0)</f>
        <v/>
      </c>
      <c r="J543">
        <f>MAX(0,F543-E543)</f>
        <v/>
      </c>
      <c r="K543">
        <f>IF(I543-J543&gt;1E-9,I543-J543,0)</f>
        <v/>
      </c>
      <c r="L543">
        <f>K542*$G$52</f>
        <v/>
      </c>
      <c r="M543">
        <f>IF(O542&gt;0,MAX(0,O542*(1+$G$53)-$H$53),0)</f>
        <v/>
      </c>
      <c r="N543">
        <f>MAX(0,J543-I543)</f>
        <v/>
      </c>
      <c r="O543">
        <f>IF(M543-N543&gt;1E-9,M543-N543,0)</f>
        <v/>
      </c>
      <c r="P543">
        <f>O542*$G$53</f>
        <v/>
      </c>
      <c r="Q543">
        <f>IF(S542&gt;0,MAX(0,S542*(1+$G$54)-$H$54),0)</f>
        <v/>
      </c>
      <c r="R543">
        <f>MAX(0,N543-M543)</f>
        <v/>
      </c>
      <c r="S543">
        <f>IF(Q543-R543&gt;1E-9,Q543-R543,0)</f>
        <v/>
      </c>
      <c r="T543">
        <f>S542*$G$54</f>
        <v/>
      </c>
      <c r="U543">
        <f>IF(W542&gt;0,MAX(0,W542*(1+$G$55)-$H$55),0)</f>
        <v/>
      </c>
      <c r="V543">
        <f>MAX(0,R543-Q543)</f>
        <v/>
      </c>
      <c r="W543">
        <f>IF(U543-V543&gt;1E-9,U543-V543,0)</f>
        <v/>
      </c>
      <c r="X543">
        <f>W542*$G$55</f>
        <v/>
      </c>
      <c r="Y543">
        <f>IF(Y542&gt;1E-9,IF(Y542*(1+$G$51)-MAX($B$9,0.01*Y542+Y542*$G$51)&gt;1E-9,Y542*(1+$G$51)-MAX($B$9,0.01*Y542+Y542*$G$51),0),0)</f>
        <v/>
      </c>
      <c r="Z543">
        <f>Y542*$G$51</f>
        <v/>
      </c>
      <c r="AA543">
        <f>IF(AA542&gt;1E-9,IF(AA542*(1+$G$52)-MAX($B$9,0.01*AA542+AA542*$G$52)&gt;1E-9,AA542*(1+$G$52)-MAX($B$9,0.01*AA542+AA542*$G$52),0),0)</f>
        <v/>
      </c>
      <c r="AB543">
        <f>AA542*$G$52</f>
        <v/>
      </c>
      <c r="AC543">
        <f>IF(AC542&gt;1E-9,IF(AC542*(1+$G$53)-MAX($B$9,0.01*AC542+AC542*$G$53)&gt;1E-9,AC542*(1+$G$53)-MAX($B$9,0.01*AC542+AC542*$G$53),0),0)</f>
        <v/>
      </c>
      <c r="AD543">
        <f>AC542*$G$53</f>
        <v/>
      </c>
      <c r="AE543">
        <f>IF(AE542&gt;1E-9,IF(AE542*(1+$G$54)-MAX($B$9,0.01*AE542+AE542*$G$54)&gt;1E-9,AE542*(1+$G$54)-MAX($B$9,0.01*AE542+AE542*$G$54),0),0)</f>
        <v/>
      </c>
      <c r="AF543">
        <f>AE542*$G$54</f>
        <v/>
      </c>
      <c r="AG543">
        <f>IF(AG542&gt;1E-9,IF(AG542*(1+$G$55)-MAX($B$9,0.01*AG542+AG542*$G$55)&gt;1E-9,AG542*(1+$G$55)-MAX($B$9,0.01*AG542+AG542*$G$55),0),0)</f>
        <v/>
      </c>
      <c r="AH543">
        <f>AG542*$G$55</f>
        <v/>
      </c>
      <c r="AI543">
        <f>G543+K543+O543+S543+W543</f>
        <v/>
      </c>
      <c r="AJ543">
        <f>AI542+AK543-AI543</f>
        <v/>
      </c>
      <c r="AK543">
        <f>H543+L543+P543+T543+X543</f>
        <v/>
      </c>
      <c r="AL543">
        <f>TEXT(EDATE($B$5,D543-1),"mmm yyyy")</f>
        <v/>
      </c>
      <c r="AM543">
        <f>AI543</f>
        <v/>
      </c>
    </row>
    <row r="544">
      <c r="D544" t="n">
        <v>483</v>
      </c>
      <c r="E544">
        <f>IF(G543&gt;0,MAX(0,G543*(1+$G$51)-$H$51),0)</f>
        <v/>
      </c>
      <c r="F544">
        <f>$B$6+IF($D544=$B$8,$B$7,0)</f>
        <v/>
      </c>
      <c r="G544">
        <f>IF(E544-F544&gt;1E-9,E544-F544,0)</f>
        <v/>
      </c>
      <c r="H544">
        <f>G543*$G$51</f>
        <v/>
      </c>
      <c r="I544">
        <f>IF(K543&gt;0,MAX(0,K543*(1+$G$52)-$H$52),0)</f>
        <v/>
      </c>
      <c r="J544">
        <f>MAX(0,F544-E544)</f>
        <v/>
      </c>
      <c r="K544">
        <f>IF(I544-J544&gt;1E-9,I544-J544,0)</f>
        <v/>
      </c>
      <c r="L544">
        <f>K543*$G$52</f>
        <v/>
      </c>
      <c r="M544">
        <f>IF(O543&gt;0,MAX(0,O543*(1+$G$53)-$H$53),0)</f>
        <v/>
      </c>
      <c r="N544">
        <f>MAX(0,J544-I544)</f>
        <v/>
      </c>
      <c r="O544">
        <f>IF(M544-N544&gt;1E-9,M544-N544,0)</f>
        <v/>
      </c>
      <c r="P544">
        <f>O543*$G$53</f>
        <v/>
      </c>
      <c r="Q544">
        <f>IF(S543&gt;0,MAX(0,S543*(1+$G$54)-$H$54),0)</f>
        <v/>
      </c>
      <c r="R544">
        <f>MAX(0,N544-M544)</f>
        <v/>
      </c>
      <c r="S544">
        <f>IF(Q544-R544&gt;1E-9,Q544-R544,0)</f>
        <v/>
      </c>
      <c r="T544">
        <f>S543*$G$54</f>
        <v/>
      </c>
      <c r="U544">
        <f>IF(W543&gt;0,MAX(0,W543*(1+$G$55)-$H$55),0)</f>
        <v/>
      </c>
      <c r="V544">
        <f>MAX(0,R544-Q544)</f>
        <v/>
      </c>
      <c r="W544">
        <f>IF(U544-V544&gt;1E-9,U544-V544,0)</f>
        <v/>
      </c>
      <c r="X544">
        <f>W543*$G$55</f>
        <v/>
      </c>
      <c r="Y544">
        <f>IF(Y543&gt;1E-9,IF(Y543*(1+$G$51)-MAX($B$9,0.01*Y543+Y543*$G$51)&gt;1E-9,Y543*(1+$G$51)-MAX($B$9,0.01*Y543+Y543*$G$51),0),0)</f>
        <v/>
      </c>
      <c r="Z544">
        <f>Y543*$G$51</f>
        <v/>
      </c>
      <c r="AA544">
        <f>IF(AA543&gt;1E-9,IF(AA543*(1+$G$52)-MAX($B$9,0.01*AA543+AA543*$G$52)&gt;1E-9,AA543*(1+$G$52)-MAX($B$9,0.01*AA543+AA543*$G$52),0),0)</f>
        <v/>
      </c>
      <c r="AB544">
        <f>AA543*$G$52</f>
        <v/>
      </c>
      <c r="AC544">
        <f>IF(AC543&gt;1E-9,IF(AC543*(1+$G$53)-MAX($B$9,0.01*AC543+AC543*$G$53)&gt;1E-9,AC543*(1+$G$53)-MAX($B$9,0.01*AC543+AC543*$G$53),0),0)</f>
        <v/>
      </c>
      <c r="AD544">
        <f>AC543*$G$53</f>
        <v/>
      </c>
      <c r="AE544">
        <f>IF(AE543&gt;1E-9,IF(AE543*(1+$G$54)-MAX($B$9,0.01*AE543+AE543*$G$54)&gt;1E-9,AE543*(1+$G$54)-MAX($B$9,0.01*AE543+AE543*$G$54),0),0)</f>
        <v/>
      </c>
      <c r="AF544">
        <f>AE543*$G$54</f>
        <v/>
      </c>
      <c r="AG544">
        <f>IF(AG543&gt;1E-9,IF(AG543*(1+$G$55)-MAX($B$9,0.01*AG543+AG543*$G$55)&gt;1E-9,AG543*(1+$G$55)-MAX($B$9,0.01*AG543+AG543*$G$55),0),0)</f>
        <v/>
      </c>
      <c r="AH544">
        <f>AG543*$G$55</f>
        <v/>
      </c>
      <c r="AI544">
        <f>G544+K544+O544+S544+W544</f>
        <v/>
      </c>
      <c r="AJ544">
        <f>AI543+AK544-AI544</f>
        <v/>
      </c>
      <c r="AK544">
        <f>H544+L544+P544+T544+X544</f>
        <v/>
      </c>
      <c r="AL544">
        <f>TEXT(EDATE($B$5,D544-1),"mmm yyyy")</f>
        <v/>
      </c>
      <c r="AM544">
        <f>AI544</f>
        <v/>
      </c>
    </row>
    <row r="545">
      <c r="D545" t="n">
        <v>484</v>
      </c>
      <c r="E545">
        <f>IF(G544&gt;0,MAX(0,G544*(1+$G$51)-$H$51),0)</f>
        <v/>
      </c>
      <c r="F545">
        <f>$B$6+IF($D545=$B$8,$B$7,0)</f>
        <v/>
      </c>
      <c r="G545">
        <f>IF(E545-F545&gt;1E-9,E545-F545,0)</f>
        <v/>
      </c>
      <c r="H545">
        <f>G544*$G$51</f>
        <v/>
      </c>
      <c r="I545">
        <f>IF(K544&gt;0,MAX(0,K544*(1+$G$52)-$H$52),0)</f>
        <v/>
      </c>
      <c r="J545">
        <f>MAX(0,F545-E545)</f>
        <v/>
      </c>
      <c r="K545">
        <f>IF(I545-J545&gt;1E-9,I545-J545,0)</f>
        <v/>
      </c>
      <c r="L545">
        <f>K544*$G$52</f>
        <v/>
      </c>
      <c r="M545">
        <f>IF(O544&gt;0,MAX(0,O544*(1+$G$53)-$H$53),0)</f>
        <v/>
      </c>
      <c r="N545">
        <f>MAX(0,J545-I545)</f>
        <v/>
      </c>
      <c r="O545">
        <f>IF(M545-N545&gt;1E-9,M545-N545,0)</f>
        <v/>
      </c>
      <c r="P545">
        <f>O544*$G$53</f>
        <v/>
      </c>
      <c r="Q545">
        <f>IF(S544&gt;0,MAX(0,S544*(1+$G$54)-$H$54),0)</f>
        <v/>
      </c>
      <c r="R545">
        <f>MAX(0,N545-M545)</f>
        <v/>
      </c>
      <c r="S545">
        <f>IF(Q545-R545&gt;1E-9,Q545-R545,0)</f>
        <v/>
      </c>
      <c r="T545">
        <f>S544*$G$54</f>
        <v/>
      </c>
      <c r="U545">
        <f>IF(W544&gt;0,MAX(0,W544*(1+$G$55)-$H$55),0)</f>
        <v/>
      </c>
      <c r="V545">
        <f>MAX(0,R545-Q545)</f>
        <v/>
      </c>
      <c r="W545">
        <f>IF(U545-V545&gt;1E-9,U545-V545,0)</f>
        <v/>
      </c>
      <c r="X545">
        <f>W544*$G$55</f>
        <v/>
      </c>
      <c r="Y545">
        <f>IF(Y544&gt;1E-9,IF(Y544*(1+$G$51)-MAX($B$9,0.01*Y544+Y544*$G$51)&gt;1E-9,Y544*(1+$G$51)-MAX($B$9,0.01*Y544+Y544*$G$51),0),0)</f>
        <v/>
      </c>
      <c r="Z545">
        <f>Y544*$G$51</f>
        <v/>
      </c>
      <c r="AA545">
        <f>IF(AA544&gt;1E-9,IF(AA544*(1+$G$52)-MAX($B$9,0.01*AA544+AA544*$G$52)&gt;1E-9,AA544*(1+$G$52)-MAX($B$9,0.01*AA544+AA544*$G$52),0),0)</f>
        <v/>
      </c>
      <c r="AB545">
        <f>AA544*$G$52</f>
        <v/>
      </c>
      <c r="AC545">
        <f>IF(AC544&gt;1E-9,IF(AC544*(1+$G$53)-MAX($B$9,0.01*AC544+AC544*$G$53)&gt;1E-9,AC544*(1+$G$53)-MAX($B$9,0.01*AC544+AC544*$G$53),0),0)</f>
        <v/>
      </c>
      <c r="AD545">
        <f>AC544*$G$53</f>
        <v/>
      </c>
      <c r="AE545">
        <f>IF(AE544&gt;1E-9,IF(AE544*(1+$G$54)-MAX($B$9,0.01*AE544+AE544*$G$54)&gt;1E-9,AE544*(1+$G$54)-MAX($B$9,0.01*AE544+AE544*$G$54),0),0)</f>
        <v/>
      </c>
      <c r="AF545">
        <f>AE544*$G$54</f>
        <v/>
      </c>
      <c r="AG545">
        <f>IF(AG544&gt;1E-9,IF(AG544*(1+$G$55)-MAX($B$9,0.01*AG544+AG544*$G$55)&gt;1E-9,AG544*(1+$G$55)-MAX($B$9,0.01*AG544+AG544*$G$55),0),0)</f>
        <v/>
      </c>
      <c r="AH545">
        <f>AG544*$G$55</f>
        <v/>
      </c>
      <c r="AI545">
        <f>G545+K545+O545+S545+W545</f>
        <v/>
      </c>
      <c r="AJ545">
        <f>AI544+AK545-AI545</f>
        <v/>
      </c>
      <c r="AK545">
        <f>H545+L545+P545+T545+X545</f>
        <v/>
      </c>
      <c r="AL545">
        <f>TEXT(EDATE($B$5,D545-1),"mmm yyyy")</f>
        <v/>
      </c>
      <c r="AM545">
        <f>AI545</f>
        <v/>
      </c>
    </row>
    <row r="546">
      <c r="D546" t="n">
        <v>485</v>
      </c>
      <c r="E546">
        <f>IF(G545&gt;0,MAX(0,G545*(1+$G$51)-$H$51),0)</f>
        <v/>
      </c>
      <c r="F546">
        <f>$B$6+IF($D546=$B$8,$B$7,0)</f>
        <v/>
      </c>
      <c r="G546">
        <f>IF(E546-F546&gt;1E-9,E546-F546,0)</f>
        <v/>
      </c>
      <c r="H546">
        <f>G545*$G$51</f>
        <v/>
      </c>
      <c r="I546">
        <f>IF(K545&gt;0,MAX(0,K545*(1+$G$52)-$H$52),0)</f>
        <v/>
      </c>
      <c r="J546">
        <f>MAX(0,F546-E546)</f>
        <v/>
      </c>
      <c r="K546">
        <f>IF(I546-J546&gt;1E-9,I546-J546,0)</f>
        <v/>
      </c>
      <c r="L546">
        <f>K545*$G$52</f>
        <v/>
      </c>
      <c r="M546">
        <f>IF(O545&gt;0,MAX(0,O545*(1+$G$53)-$H$53),0)</f>
        <v/>
      </c>
      <c r="N546">
        <f>MAX(0,J546-I546)</f>
        <v/>
      </c>
      <c r="O546">
        <f>IF(M546-N546&gt;1E-9,M546-N546,0)</f>
        <v/>
      </c>
      <c r="P546">
        <f>O545*$G$53</f>
        <v/>
      </c>
      <c r="Q546">
        <f>IF(S545&gt;0,MAX(0,S545*(1+$G$54)-$H$54),0)</f>
        <v/>
      </c>
      <c r="R546">
        <f>MAX(0,N546-M546)</f>
        <v/>
      </c>
      <c r="S546">
        <f>IF(Q546-R546&gt;1E-9,Q546-R546,0)</f>
        <v/>
      </c>
      <c r="T546">
        <f>S545*$G$54</f>
        <v/>
      </c>
      <c r="U546">
        <f>IF(W545&gt;0,MAX(0,W545*(1+$G$55)-$H$55),0)</f>
        <v/>
      </c>
      <c r="V546">
        <f>MAX(0,R546-Q546)</f>
        <v/>
      </c>
      <c r="W546">
        <f>IF(U546-V546&gt;1E-9,U546-V546,0)</f>
        <v/>
      </c>
      <c r="X546">
        <f>W545*$G$55</f>
        <v/>
      </c>
      <c r="Y546">
        <f>IF(Y545&gt;1E-9,IF(Y545*(1+$G$51)-MAX($B$9,0.01*Y545+Y545*$G$51)&gt;1E-9,Y545*(1+$G$51)-MAX($B$9,0.01*Y545+Y545*$G$51),0),0)</f>
        <v/>
      </c>
      <c r="Z546">
        <f>Y545*$G$51</f>
        <v/>
      </c>
      <c r="AA546">
        <f>IF(AA545&gt;1E-9,IF(AA545*(1+$G$52)-MAX($B$9,0.01*AA545+AA545*$G$52)&gt;1E-9,AA545*(1+$G$52)-MAX($B$9,0.01*AA545+AA545*$G$52),0),0)</f>
        <v/>
      </c>
      <c r="AB546">
        <f>AA545*$G$52</f>
        <v/>
      </c>
      <c r="AC546">
        <f>IF(AC545&gt;1E-9,IF(AC545*(1+$G$53)-MAX($B$9,0.01*AC545+AC545*$G$53)&gt;1E-9,AC545*(1+$G$53)-MAX($B$9,0.01*AC545+AC545*$G$53),0),0)</f>
        <v/>
      </c>
      <c r="AD546">
        <f>AC545*$G$53</f>
        <v/>
      </c>
      <c r="AE546">
        <f>IF(AE545&gt;1E-9,IF(AE545*(1+$G$54)-MAX($B$9,0.01*AE545+AE545*$G$54)&gt;1E-9,AE545*(1+$G$54)-MAX($B$9,0.01*AE545+AE545*$G$54),0),0)</f>
        <v/>
      </c>
      <c r="AF546">
        <f>AE545*$G$54</f>
        <v/>
      </c>
      <c r="AG546">
        <f>IF(AG545&gt;1E-9,IF(AG545*(1+$G$55)-MAX($B$9,0.01*AG545+AG545*$G$55)&gt;1E-9,AG545*(1+$G$55)-MAX($B$9,0.01*AG545+AG545*$G$55),0),0)</f>
        <v/>
      </c>
      <c r="AH546">
        <f>AG545*$G$55</f>
        <v/>
      </c>
      <c r="AI546">
        <f>G546+K546+O546+S546+W546</f>
        <v/>
      </c>
      <c r="AJ546">
        <f>AI545+AK546-AI546</f>
        <v/>
      </c>
      <c r="AK546">
        <f>H546+L546+P546+T546+X546</f>
        <v/>
      </c>
      <c r="AL546">
        <f>TEXT(EDATE($B$5,D546-1),"mmm yyyy")</f>
        <v/>
      </c>
      <c r="AM546">
        <f>AI546</f>
        <v/>
      </c>
    </row>
    <row r="547">
      <c r="D547" t="n">
        <v>486</v>
      </c>
      <c r="E547">
        <f>IF(G546&gt;0,MAX(0,G546*(1+$G$51)-$H$51),0)</f>
        <v/>
      </c>
      <c r="F547">
        <f>$B$6+IF($D547=$B$8,$B$7,0)</f>
        <v/>
      </c>
      <c r="G547">
        <f>IF(E547-F547&gt;1E-9,E547-F547,0)</f>
        <v/>
      </c>
      <c r="H547">
        <f>G546*$G$51</f>
        <v/>
      </c>
      <c r="I547">
        <f>IF(K546&gt;0,MAX(0,K546*(1+$G$52)-$H$52),0)</f>
        <v/>
      </c>
      <c r="J547">
        <f>MAX(0,F547-E547)</f>
        <v/>
      </c>
      <c r="K547">
        <f>IF(I547-J547&gt;1E-9,I547-J547,0)</f>
        <v/>
      </c>
      <c r="L547">
        <f>K546*$G$52</f>
        <v/>
      </c>
      <c r="M547">
        <f>IF(O546&gt;0,MAX(0,O546*(1+$G$53)-$H$53),0)</f>
        <v/>
      </c>
      <c r="N547">
        <f>MAX(0,J547-I547)</f>
        <v/>
      </c>
      <c r="O547">
        <f>IF(M547-N547&gt;1E-9,M547-N547,0)</f>
        <v/>
      </c>
      <c r="P547">
        <f>O546*$G$53</f>
        <v/>
      </c>
      <c r="Q547">
        <f>IF(S546&gt;0,MAX(0,S546*(1+$G$54)-$H$54),0)</f>
        <v/>
      </c>
      <c r="R547">
        <f>MAX(0,N547-M547)</f>
        <v/>
      </c>
      <c r="S547">
        <f>IF(Q547-R547&gt;1E-9,Q547-R547,0)</f>
        <v/>
      </c>
      <c r="T547">
        <f>S546*$G$54</f>
        <v/>
      </c>
      <c r="U547">
        <f>IF(W546&gt;0,MAX(0,W546*(1+$G$55)-$H$55),0)</f>
        <v/>
      </c>
      <c r="V547">
        <f>MAX(0,R547-Q547)</f>
        <v/>
      </c>
      <c r="W547">
        <f>IF(U547-V547&gt;1E-9,U547-V547,0)</f>
        <v/>
      </c>
      <c r="X547">
        <f>W546*$G$55</f>
        <v/>
      </c>
      <c r="Y547">
        <f>IF(Y546&gt;1E-9,IF(Y546*(1+$G$51)-MAX($B$9,0.01*Y546+Y546*$G$51)&gt;1E-9,Y546*(1+$G$51)-MAX($B$9,0.01*Y546+Y546*$G$51),0),0)</f>
        <v/>
      </c>
      <c r="Z547">
        <f>Y546*$G$51</f>
        <v/>
      </c>
      <c r="AA547">
        <f>IF(AA546&gt;1E-9,IF(AA546*(1+$G$52)-MAX($B$9,0.01*AA546+AA546*$G$52)&gt;1E-9,AA546*(1+$G$52)-MAX($B$9,0.01*AA546+AA546*$G$52),0),0)</f>
        <v/>
      </c>
      <c r="AB547">
        <f>AA546*$G$52</f>
        <v/>
      </c>
      <c r="AC547">
        <f>IF(AC546&gt;1E-9,IF(AC546*(1+$G$53)-MAX($B$9,0.01*AC546+AC546*$G$53)&gt;1E-9,AC546*(1+$G$53)-MAX($B$9,0.01*AC546+AC546*$G$53),0),0)</f>
        <v/>
      </c>
      <c r="AD547">
        <f>AC546*$G$53</f>
        <v/>
      </c>
      <c r="AE547">
        <f>IF(AE546&gt;1E-9,IF(AE546*(1+$G$54)-MAX($B$9,0.01*AE546+AE546*$G$54)&gt;1E-9,AE546*(1+$G$54)-MAX($B$9,0.01*AE546+AE546*$G$54),0),0)</f>
        <v/>
      </c>
      <c r="AF547">
        <f>AE546*$G$54</f>
        <v/>
      </c>
      <c r="AG547">
        <f>IF(AG546&gt;1E-9,IF(AG546*(1+$G$55)-MAX($B$9,0.01*AG546+AG546*$G$55)&gt;1E-9,AG546*(1+$G$55)-MAX($B$9,0.01*AG546+AG546*$G$55),0),0)</f>
        <v/>
      </c>
      <c r="AH547">
        <f>AG546*$G$55</f>
        <v/>
      </c>
      <c r="AI547">
        <f>G547+K547+O547+S547+W547</f>
        <v/>
      </c>
      <c r="AJ547">
        <f>AI546+AK547-AI547</f>
        <v/>
      </c>
      <c r="AK547">
        <f>H547+L547+P547+T547+X547</f>
        <v/>
      </c>
      <c r="AL547">
        <f>TEXT(EDATE($B$5,D547-1),"mmm yyyy")</f>
        <v/>
      </c>
      <c r="AM547">
        <f>AI547</f>
        <v/>
      </c>
    </row>
    <row r="548">
      <c r="D548" t="n">
        <v>487</v>
      </c>
      <c r="E548">
        <f>IF(G547&gt;0,MAX(0,G547*(1+$G$51)-$H$51),0)</f>
        <v/>
      </c>
      <c r="F548">
        <f>$B$6+IF($D548=$B$8,$B$7,0)</f>
        <v/>
      </c>
      <c r="G548">
        <f>IF(E548-F548&gt;1E-9,E548-F548,0)</f>
        <v/>
      </c>
      <c r="H548">
        <f>G547*$G$51</f>
        <v/>
      </c>
      <c r="I548">
        <f>IF(K547&gt;0,MAX(0,K547*(1+$G$52)-$H$52),0)</f>
        <v/>
      </c>
      <c r="J548">
        <f>MAX(0,F548-E548)</f>
        <v/>
      </c>
      <c r="K548">
        <f>IF(I548-J548&gt;1E-9,I548-J548,0)</f>
        <v/>
      </c>
      <c r="L548">
        <f>K547*$G$52</f>
        <v/>
      </c>
      <c r="M548">
        <f>IF(O547&gt;0,MAX(0,O547*(1+$G$53)-$H$53),0)</f>
        <v/>
      </c>
      <c r="N548">
        <f>MAX(0,J548-I548)</f>
        <v/>
      </c>
      <c r="O548">
        <f>IF(M548-N548&gt;1E-9,M548-N548,0)</f>
        <v/>
      </c>
      <c r="P548">
        <f>O547*$G$53</f>
        <v/>
      </c>
      <c r="Q548">
        <f>IF(S547&gt;0,MAX(0,S547*(1+$G$54)-$H$54),0)</f>
        <v/>
      </c>
      <c r="R548">
        <f>MAX(0,N548-M548)</f>
        <v/>
      </c>
      <c r="S548">
        <f>IF(Q548-R548&gt;1E-9,Q548-R548,0)</f>
        <v/>
      </c>
      <c r="T548">
        <f>S547*$G$54</f>
        <v/>
      </c>
      <c r="U548">
        <f>IF(W547&gt;0,MAX(0,W547*(1+$G$55)-$H$55),0)</f>
        <v/>
      </c>
      <c r="V548">
        <f>MAX(0,R548-Q548)</f>
        <v/>
      </c>
      <c r="W548">
        <f>IF(U548-V548&gt;1E-9,U548-V548,0)</f>
        <v/>
      </c>
      <c r="X548">
        <f>W547*$G$55</f>
        <v/>
      </c>
      <c r="Y548">
        <f>IF(Y547&gt;1E-9,IF(Y547*(1+$G$51)-MAX($B$9,0.01*Y547+Y547*$G$51)&gt;1E-9,Y547*(1+$G$51)-MAX($B$9,0.01*Y547+Y547*$G$51),0),0)</f>
        <v/>
      </c>
      <c r="Z548">
        <f>Y547*$G$51</f>
        <v/>
      </c>
      <c r="AA548">
        <f>IF(AA547&gt;1E-9,IF(AA547*(1+$G$52)-MAX($B$9,0.01*AA547+AA547*$G$52)&gt;1E-9,AA547*(1+$G$52)-MAX($B$9,0.01*AA547+AA547*$G$52),0),0)</f>
        <v/>
      </c>
      <c r="AB548">
        <f>AA547*$G$52</f>
        <v/>
      </c>
      <c r="AC548">
        <f>IF(AC547&gt;1E-9,IF(AC547*(1+$G$53)-MAX($B$9,0.01*AC547+AC547*$G$53)&gt;1E-9,AC547*(1+$G$53)-MAX($B$9,0.01*AC547+AC547*$G$53),0),0)</f>
        <v/>
      </c>
      <c r="AD548">
        <f>AC547*$G$53</f>
        <v/>
      </c>
      <c r="AE548">
        <f>IF(AE547&gt;1E-9,IF(AE547*(1+$G$54)-MAX($B$9,0.01*AE547+AE547*$G$54)&gt;1E-9,AE547*(1+$G$54)-MAX($B$9,0.01*AE547+AE547*$G$54),0),0)</f>
        <v/>
      </c>
      <c r="AF548">
        <f>AE547*$G$54</f>
        <v/>
      </c>
      <c r="AG548">
        <f>IF(AG547&gt;1E-9,IF(AG547*(1+$G$55)-MAX($B$9,0.01*AG547+AG547*$G$55)&gt;1E-9,AG547*(1+$G$55)-MAX($B$9,0.01*AG547+AG547*$G$55),0),0)</f>
        <v/>
      </c>
      <c r="AH548">
        <f>AG547*$G$55</f>
        <v/>
      </c>
      <c r="AI548">
        <f>G548+K548+O548+S548+W548</f>
        <v/>
      </c>
      <c r="AJ548">
        <f>AI547+AK548-AI548</f>
        <v/>
      </c>
      <c r="AK548">
        <f>H548+L548+P548+T548+X548</f>
        <v/>
      </c>
      <c r="AL548">
        <f>TEXT(EDATE($B$5,D548-1),"mmm yyyy")</f>
        <v/>
      </c>
      <c r="AM548">
        <f>AI548</f>
        <v/>
      </c>
    </row>
    <row r="549">
      <c r="D549" t="n">
        <v>488</v>
      </c>
      <c r="E549">
        <f>IF(G548&gt;0,MAX(0,G548*(1+$G$51)-$H$51),0)</f>
        <v/>
      </c>
      <c r="F549">
        <f>$B$6+IF($D549=$B$8,$B$7,0)</f>
        <v/>
      </c>
      <c r="G549">
        <f>IF(E549-F549&gt;1E-9,E549-F549,0)</f>
        <v/>
      </c>
      <c r="H549">
        <f>G548*$G$51</f>
        <v/>
      </c>
      <c r="I549">
        <f>IF(K548&gt;0,MAX(0,K548*(1+$G$52)-$H$52),0)</f>
        <v/>
      </c>
      <c r="J549">
        <f>MAX(0,F549-E549)</f>
        <v/>
      </c>
      <c r="K549">
        <f>IF(I549-J549&gt;1E-9,I549-J549,0)</f>
        <v/>
      </c>
      <c r="L549">
        <f>K548*$G$52</f>
        <v/>
      </c>
      <c r="M549">
        <f>IF(O548&gt;0,MAX(0,O548*(1+$G$53)-$H$53),0)</f>
        <v/>
      </c>
      <c r="N549">
        <f>MAX(0,J549-I549)</f>
        <v/>
      </c>
      <c r="O549">
        <f>IF(M549-N549&gt;1E-9,M549-N549,0)</f>
        <v/>
      </c>
      <c r="P549">
        <f>O548*$G$53</f>
        <v/>
      </c>
      <c r="Q549">
        <f>IF(S548&gt;0,MAX(0,S548*(1+$G$54)-$H$54),0)</f>
        <v/>
      </c>
      <c r="R549">
        <f>MAX(0,N549-M549)</f>
        <v/>
      </c>
      <c r="S549">
        <f>IF(Q549-R549&gt;1E-9,Q549-R549,0)</f>
        <v/>
      </c>
      <c r="T549">
        <f>S548*$G$54</f>
        <v/>
      </c>
      <c r="U549">
        <f>IF(W548&gt;0,MAX(0,W548*(1+$G$55)-$H$55),0)</f>
        <v/>
      </c>
      <c r="V549">
        <f>MAX(0,R549-Q549)</f>
        <v/>
      </c>
      <c r="W549">
        <f>IF(U549-V549&gt;1E-9,U549-V549,0)</f>
        <v/>
      </c>
      <c r="X549">
        <f>W548*$G$55</f>
        <v/>
      </c>
      <c r="Y549">
        <f>IF(Y548&gt;1E-9,IF(Y548*(1+$G$51)-MAX($B$9,0.01*Y548+Y548*$G$51)&gt;1E-9,Y548*(1+$G$51)-MAX($B$9,0.01*Y548+Y548*$G$51),0),0)</f>
        <v/>
      </c>
      <c r="Z549">
        <f>Y548*$G$51</f>
        <v/>
      </c>
      <c r="AA549">
        <f>IF(AA548&gt;1E-9,IF(AA548*(1+$G$52)-MAX($B$9,0.01*AA548+AA548*$G$52)&gt;1E-9,AA548*(1+$G$52)-MAX($B$9,0.01*AA548+AA548*$G$52),0),0)</f>
        <v/>
      </c>
      <c r="AB549">
        <f>AA548*$G$52</f>
        <v/>
      </c>
      <c r="AC549">
        <f>IF(AC548&gt;1E-9,IF(AC548*(1+$G$53)-MAX($B$9,0.01*AC548+AC548*$G$53)&gt;1E-9,AC548*(1+$G$53)-MAX($B$9,0.01*AC548+AC548*$G$53),0),0)</f>
        <v/>
      </c>
      <c r="AD549">
        <f>AC548*$G$53</f>
        <v/>
      </c>
      <c r="AE549">
        <f>IF(AE548&gt;1E-9,IF(AE548*(1+$G$54)-MAX($B$9,0.01*AE548+AE548*$G$54)&gt;1E-9,AE548*(1+$G$54)-MAX($B$9,0.01*AE548+AE548*$G$54),0),0)</f>
        <v/>
      </c>
      <c r="AF549">
        <f>AE548*$G$54</f>
        <v/>
      </c>
      <c r="AG549">
        <f>IF(AG548&gt;1E-9,IF(AG548*(1+$G$55)-MAX($B$9,0.01*AG548+AG548*$G$55)&gt;1E-9,AG548*(1+$G$55)-MAX($B$9,0.01*AG548+AG548*$G$55),0),0)</f>
        <v/>
      </c>
      <c r="AH549">
        <f>AG548*$G$55</f>
        <v/>
      </c>
      <c r="AI549">
        <f>G549+K549+O549+S549+W549</f>
        <v/>
      </c>
      <c r="AJ549">
        <f>AI548+AK549-AI549</f>
        <v/>
      </c>
      <c r="AK549">
        <f>H549+L549+P549+T549+X549</f>
        <v/>
      </c>
      <c r="AL549">
        <f>TEXT(EDATE($B$5,D549-1),"mmm yyyy")</f>
        <v/>
      </c>
      <c r="AM549">
        <f>AI549</f>
        <v/>
      </c>
    </row>
    <row r="550">
      <c r="D550" t="n">
        <v>489</v>
      </c>
      <c r="E550">
        <f>IF(G549&gt;0,MAX(0,G549*(1+$G$51)-$H$51),0)</f>
        <v/>
      </c>
      <c r="F550">
        <f>$B$6+IF($D550=$B$8,$B$7,0)</f>
        <v/>
      </c>
      <c r="G550">
        <f>IF(E550-F550&gt;1E-9,E550-F550,0)</f>
        <v/>
      </c>
      <c r="H550">
        <f>G549*$G$51</f>
        <v/>
      </c>
      <c r="I550">
        <f>IF(K549&gt;0,MAX(0,K549*(1+$G$52)-$H$52),0)</f>
        <v/>
      </c>
      <c r="J550">
        <f>MAX(0,F550-E550)</f>
        <v/>
      </c>
      <c r="K550">
        <f>IF(I550-J550&gt;1E-9,I550-J550,0)</f>
        <v/>
      </c>
      <c r="L550">
        <f>K549*$G$52</f>
        <v/>
      </c>
      <c r="M550">
        <f>IF(O549&gt;0,MAX(0,O549*(1+$G$53)-$H$53),0)</f>
        <v/>
      </c>
      <c r="N550">
        <f>MAX(0,J550-I550)</f>
        <v/>
      </c>
      <c r="O550">
        <f>IF(M550-N550&gt;1E-9,M550-N550,0)</f>
        <v/>
      </c>
      <c r="P550">
        <f>O549*$G$53</f>
        <v/>
      </c>
      <c r="Q550">
        <f>IF(S549&gt;0,MAX(0,S549*(1+$G$54)-$H$54),0)</f>
        <v/>
      </c>
      <c r="R550">
        <f>MAX(0,N550-M550)</f>
        <v/>
      </c>
      <c r="S550">
        <f>IF(Q550-R550&gt;1E-9,Q550-R550,0)</f>
        <v/>
      </c>
      <c r="T550">
        <f>S549*$G$54</f>
        <v/>
      </c>
      <c r="U550">
        <f>IF(W549&gt;0,MAX(0,W549*(1+$G$55)-$H$55),0)</f>
        <v/>
      </c>
      <c r="V550">
        <f>MAX(0,R550-Q550)</f>
        <v/>
      </c>
      <c r="W550">
        <f>IF(U550-V550&gt;1E-9,U550-V550,0)</f>
        <v/>
      </c>
      <c r="X550">
        <f>W549*$G$55</f>
        <v/>
      </c>
      <c r="Y550">
        <f>IF(Y549&gt;1E-9,IF(Y549*(1+$G$51)-MAX($B$9,0.01*Y549+Y549*$G$51)&gt;1E-9,Y549*(1+$G$51)-MAX($B$9,0.01*Y549+Y549*$G$51),0),0)</f>
        <v/>
      </c>
      <c r="Z550">
        <f>Y549*$G$51</f>
        <v/>
      </c>
      <c r="AA550">
        <f>IF(AA549&gt;1E-9,IF(AA549*(1+$G$52)-MAX($B$9,0.01*AA549+AA549*$G$52)&gt;1E-9,AA549*(1+$G$52)-MAX($B$9,0.01*AA549+AA549*$G$52),0),0)</f>
        <v/>
      </c>
      <c r="AB550">
        <f>AA549*$G$52</f>
        <v/>
      </c>
      <c r="AC550">
        <f>IF(AC549&gt;1E-9,IF(AC549*(1+$G$53)-MAX($B$9,0.01*AC549+AC549*$G$53)&gt;1E-9,AC549*(1+$G$53)-MAX($B$9,0.01*AC549+AC549*$G$53),0),0)</f>
        <v/>
      </c>
      <c r="AD550">
        <f>AC549*$G$53</f>
        <v/>
      </c>
      <c r="AE550">
        <f>IF(AE549&gt;1E-9,IF(AE549*(1+$G$54)-MAX($B$9,0.01*AE549+AE549*$G$54)&gt;1E-9,AE549*(1+$G$54)-MAX($B$9,0.01*AE549+AE549*$G$54),0),0)</f>
        <v/>
      </c>
      <c r="AF550">
        <f>AE549*$G$54</f>
        <v/>
      </c>
      <c r="AG550">
        <f>IF(AG549&gt;1E-9,IF(AG549*(1+$G$55)-MAX($B$9,0.01*AG549+AG549*$G$55)&gt;1E-9,AG549*(1+$G$55)-MAX($B$9,0.01*AG549+AG549*$G$55),0),0)</f>
        <v/>
      </c>
      <c r="AH550">
        <f>AG549*$G$55</f>
        <v/>
      </c>
      <c r="AI550">
        <f>G550+K550+O550+S550+W550</f>
        <v/>
      </c>
      <c r="AJ550">
        <f>AI549+AK550-AI550</f>
        <v/>
      </c>
      <c r="AK550">
        <f>H550+L550+P550+T550+X550</f>
        <v/>
      </c>
      <c r="AL550">
        <f>TEXT(EDATE($B$5,D550-1),"mmm yyyy")</f>
        <v/>
      </c>
      <c r="AM550">
        <f>AI550</f>
        <v/>
      </c>
    </row>
    <row r="551">
      <c r="D551" t="n">
        <v>490</v>
      </c>
      <c r="E551">
        <f>IF(G550&gt;0,MAX(0,G550*(1+$G$51)-$H$51),0)</f>
        <v/>
      </c>
      <c r="F551">
        <f>$B$6+IF($D551=$B$8,$B$7,0)</f>
        <v/>
      </c>
      <c r="G551">
        <f>IF(E551-F551&gt;1E-9,E551-F551,0)</f>
        <v/>
      </c>
      <c r="H551">
        <f>G550*$G$51</f>
        <v/>
      </c>
      <c r="I551">
        <f>IF(K550&gt;0,MAX(0,K550*(1+$G$52)-$H$52),0)</f>
        <v/>
      </c>
      <c r="J551">
        <f>MAX(0,F551-E551)</f>
        <v/>
      </c>
      <c r="K551">
        <f>IF(I551-J551&gt;1E-9,I551-J551,0)</f>
        <v/>
      </c>
      <c r="L551">
        <f>K550*$G$52</f>
        <v/>
      </c>
      <c r="M551">
        <f>IF(O550&gt;0,MAX(0,O550*(1+$G$53)-$H$53),0)</f>
        <v/>
      </c>
      <c r="N551">
        <f>MAX(0,J551-I551)</f>
        <v/>
      </c>
      <c r="O551">
        <f>IF(M551-N551&gt;1E-9,M551-N551,0)</f>
        <v/>
      </c>
      <c r="P551">
        <f>O550*$G$53</f>
        <v/>
      </c>
      <c r="Q551">
        <f>IF(S550&gt;0,MAX(0,S550*(1+$G$54)-$H$54),0)</f>
        <v/>
      </c>
      <c r="R551">
        <f>MAX(0,N551-M551)</f>
        <v/>
      </c>
      <c r="S551">
        <f>IF(Q551-R551&gt;1E-9,Q551-R551,0)</f>
        <v/>
      </c>
      <c r="T551">
        <f>S550*$G$54</f>
        <v/>
      </c>
      <c r="U551">
        <f>IF(W550&gt;0,MAX(0,W550*(1+$G$55)-$H$55),0)</f>
        <v/>
      </c>
      <c r="V551">
        <f>MAX(0,R551-Q551)</f>
        <v/>
      </c>
      <c r="W551">
        <f>IF(U551-V551&gt;1E-9,U551-V551,0)</f>
        <v/>
      </c>
      <c r="X551">
        <f>W550*$G$55</f>
        <v/>
      </c>
      <c r="Y551">
        <f>IF(Y550&gt;1E-9,IF(Y550*(1+$G$51)-MAX($B$9,0.01*Y550+Y550*$G$51)&gt;1E-9,Y550*(1+$G$51)-MAX($B$9,0.01*Y550+Y550*$G$51),0),0)</f>
        <v/>
      </c>
      <c r="Z551">
        <f>Y550*$G$51</f>
        <v/>
      </c>
      <c r="AA551">
        <f>IF(AA550&gt;1E-9,IF(AA550*(1+$G$52)-MAX($B$9,0.01*AA550+AA550*$G$52)&gt;1E-9,AA550*(1+$G$52)-MAX($B$9,0.01*AA550+AA550*$G$52),0),0)</f>
        <v/>
      </c>
      <c r="AB551">
        <f>AA550*$G$52</f>
        <v/>
      </c>
      <c r="AC551">
        <f>IF(AC550&gt;1E-9,IF(AC550*(1+$G$53)-MAX($B$9,0.01*AC550+AC550*$G$53)&gt;1E-9,AC550*(1+$G$53)-MAX($B$9,0.01*AC550+AC550*$G$53),0),0)</f>
        <v/>
      </c>
      <c r="AD551">
        <f>AC550*$G$53</f>
        <v/>
      </c>
      <c r="AE551">
        <f>IF(AE550&gt;1E-9,IF(AE550*(1+$G$54)-MAX($B$9,0.01*AE550+AE550*$G$54)&gt;1E-9,AE550*(1+$G$54)-MAX($B$9,0.01*AE550+AE550*$G$54),0),0)</f>
        <v/>
      </c>
      <c r="AF551">
        <f>AE550*$G$54</f>
        <v/>
      </c>
      <c r="AG551">
        <f>IF(AG550&gt;1E-9,IF(AG550*(1+$G$55)-MAX($B$9,0.01*AG550+AG550*$G$55)&gt;1E-9,AG550*(1+$G$55)-MAX($B$9,0.01*AG550+AG550*$G$55),0),0)</f>
        <v/>
      </c>
      <c r="AH551">
        <f>AG550*$G$55</f>
        <v/>
      </c>
      <c r="AI551">
        <f>G551+K551+O551+S551+W551</f>
        <v/>
      </c>
      <c r="AJ551">
        <f>AI550+AK551-AI551</f>
        <v/>
      </c>
      <c r="AK551">
        <f>H551+L551+P551+T551+X551</f>
        <v/>
      </c>
      <c r="AL551">
        <f>TEXT(EDATE($B$5,D551-1),"mmm yyyy")</f>
        <v/>
      </c>
      <c r="AM551">
        <f>AI551</f>
        <v/>
      </c>
    </row>
    <row r="552">
      <c r="D552" t="n">
        <v>491</v>
      </c>
      <c r="E552">
        <f>IF(G551&gt;0,MAX(0,G551*(1+$G$51)-$H$51),0)</f>
        <v/>
      </c>
      <c r="F552">
        <f>$B$6+IF($D552=$B$8,$B$7,0)</f>
        <v/>
      </c>
      <c r="G552">
        <f>IF(E552-F552&gt;1E-9,E552-F552,0)</f>
        <v/>
      </c>
      <c r="H552">
        <f>G551*$G$51</f>
        <v/>
      </c>
      <c r="I552">
        <f>IF(K551&gt;0,MAX(0,K551*(1+$G$52)-$H$52),0)</f>
        <v/>
      </c>
      <c r="J552">
        <f>MAX(0,F552-E552)</f>
        <v/>
      </c>
      <c r="K552">
        <f>IF(I552-J552&gt;1E-9,I552-J552,0)</f>
        <v/>
      </c>
      <c r="L552">
        <f>K551*$G$52</f>
        <v/>
      </c>
      <c r="M552">
        <f>IF(O551&gt;0,MAX(0,O551*(1+$G$53)-$H$53),0)</f>
        <v/>
      </c>
      <c r="N552">
        <f>MAX(0,J552-I552)</f>
        <v/>
      </c>
      <c r="O552">
        <f>IF(M552-N552&gt;1E-9,M552-N552,0)</f>
        <v/>
      </c>
      <c r="P552">
        <f>O551*$G$53</f>
        <v/>
      </c>
      <c r="Q552">
        <f>IF(S551&gt;0,MAX(0,S551*(1+$G$54)-$H$54),0)</f>
        <v/>
      </c>
      <c r="R552">
        <f>MAX(0,N552-M552)</f>
        <v/>
      </c>
      <c r="S552">
        <f>IF(Q552-R552&gt;1E-9,Q552-R552,0)</f>
        <v/>
      </c>
      <c r="T552">
        <f>S551*$G$54</f>
        <v/>
      </c>
      <c r="U552">
        <f>IF(W551&gt;0,MAX(0,W551*(1+$G$55)-$H$55),0)</f>
        <v/>
      </c>
      <c r="V552">
        <f>MAX(0,R552-Q552)</f>
        <v/>
      </c>
      <c r="W552">
        <f>IF(U552-V552&gt;1E-9,U552-V552,0)</f>
        <v/>
      </c>
      <c r="X552">
        <f>W551*$G$55</f>
        <v/>
      </c>
      <c r="Y552">
        <f>IF(Y551&gt;1E-9,IF(Y551*(1+$G$51)-MAX($B$9,0.01*Y551+Y551*$G$51)&gt;1E-9,Y551*(1+$G$51)-MAX($B$9,0.01*Y551+Y551*$G$51),0),0)</f>
        <v/>
      </c>
      <c r="Z552">
        <f>Y551*$G$51</f>
        <v/>
      </c>
      <c r="AA552">
        <f>IF(AA551&gt;1E-9,IF(AA551*(1+$G$52)-MAX($B$9,0.01*AA551+AA551*$G$52)&gt;1E-9,AA551*(1+$G$52)-MAX($B$9,0.01*AA551+AA551*$G$52),0),0)</f>
        <v/>
      </c>
      <c r="AB552">
        <f>AA551*$G$52</f>
        <v/>
      </c>
      <c r="AC552">
        <f>IF(AC551&gt;1E-9,IF(AC551*(1+$G$53)-MAX($B$9,0.01*AC551+AC551*$G$53)&gt;1E-9,AC551*(1+$G$53)-MAX($B$9,0.01*AC551+AC551*$G$53),0),0)</f>
        <v/>
      </c>
      <c r="AD552">
        <f>AC551*$G$53</f>
        <v/>
      </c>
      <c r="AE552">
        <f>IF(AE551&gt;1E-9,IF(AE551*(1+$G$54)-MAX($B$9,0.01*AE551+AE551*$G$54)&gt;1E-9,AE551*(1+$G$54)-MAX($B$9,0.01*AE551+AE551*$G$54),0),0)</f>
        <v/>
      </c>
      <c r="AF552">
        <f>AE551*$G$54</f>
        <v/>
      </c>
      <c r="AG552">
        <f>IF(AG551&gt;1E-9,IF(AG551*(1+$G$55)-MAX($B$9,0.01*AG551+AG551*$G$55)&gt;1E-9,AG551*(1+$G$55)-MAX($B$9,0.01*AG551+AG551*$G$55),0),0)</f>
        <v/>
      </c>
      <c r="AH552">
        <f>AG551*$G$55</f>
        <v/>
      </c>
      <c r="AI552">
        <f>G552+K552+O552+S552+W552</f>
        <v/>
      </c>
      <c r="AJ552">
        <f>AI551+AK552-AI552</f>
        <v/>
      </c>
      <c r="AK552">
        <f>H552+L552+P552+T552+X552</f>
        <v/>
      </c>
      <c r="AL552">
        <f>TEXT(EDATE($B$5,D552-1),"mmm yyyy")</f>
        <v/>
      </c>
      <c r="AM552">
        <f>AI552</f>
        <v/>
      </c>
    </row>
    <row r="553">
      <c r="D553" t="n">
        <v>492</v>
      </c>
      <c r="E553">
        <f>IF(G552&gt;0,MAX(0,G552*(1+$G$51)-$H$51),0)</f>
        <v/>
      </c>
      <c r="F553">
        <f>$B$6+IF($D553=$B$8,$B$7,0)</f>
        <v/>
      </c>
      <c r="G553">
        <f>IF(E553-F553&gt;1E-9,E553-F553,0)</f>
        <v/>
      </c>
      <c r="H553">
        <f>G552*$G$51</f>
        <v/>
      </c>
      <c r="I553">
        <f>IF(K552&gt;0,MAX(0,K552*(1+$G$52)-$H$52),0)</f>
        <v/>
      </c>
      <c r="J553">
        <f>MAX(0,F553-E553)</f>
        <v/>
      </c>
      <c r="K553">
        <f>IF(I553-J553&gt;1E-9,I553-J553,0)</f>
        <v/>
      </c>
      <c r="L553">
        <f>K552*$G$52</f>
        <v/>
      </c>
      <c r="M553">
        <f>IF(O552&gt;0,MAX(0,O552*(1+$G$53)-$H$53),0)</f>
        <v/>
      </c>
      <c r="N553">
        <f>MAX(0,J553-I553)</f>
        <v/>
      </c>
      <c r="O553">
        <f>IF(M553-N553&gt;1E-9,M553-N553,0)</f>
        <v/>
      </c>
      <c r="P553">
        <f>O552*$G$53</f>
        <v/>
      </c>
      <c r="Q553">
        <f>IF(S552&gt;0,MAX(0,S552*(1+$G$54)-$H$54),0)</f>
        <v/>
      </c>
      <c r="R553">
        <f>MAX(0,N553-M553)</f>
        <v/>
      </c>
      <c r="S553">
        <f>IF(Q553-R553&gt;1E-9,Q553-R553,0)</f>
        <v/>
      </c>
      <c r="T553">
        <f>S552*$G$54</f>
        <v/>
      </c>
      <c r="U553">
        <f>IF(W552&gt;0,MAX(0,W552*(1+$G$55)-$H$55),0)</f>
        <v/>
      </c>
      <c r="V553">
        <f>MAX(0,R553-Q553)</f>
        <v/>
      </c>
      <c r="W553">
        <f>IF(U553-V553&gt;1E-9,U553-V553,0)</f>
        <v/>
      </c>
      <c r="X553">
        <f>W552*$G$55</f>
        <v/>
      </c>
      <c r="Y553">
        <f>IF(Y552&gt;1E-9,IF(Y552*(1+$G$51)-MAX($B$9,0.01*Y552+Y552*$G$51)&gt;1E-9,Y552*(1+$G$51)-MAX($B$9,0.01*Y552+Y552*$G$51),0),0)</f>
        <v/>
      </c>
      <c r="Z553">
        <f>Y552*$G$51</f>
        <v/>
      </c>
      <c r="AA553">
        <f>IF(AA552&gt;1E-9,IF(AA552*(1+$G$52)-MAX($B$9,0.01*AA552+AA552*$G$52)&gt;1E-9,AA552*(1+$G$52)-MAX($B$9,0.01*AA552+AA552*$G$52),0),0)</f>
        <v/>
      </c>
      <c r="AB553">
        <f>AA552*$G$52</f>
        <v/>
      </c>
      <c r="AC553">
        <f>IF(AC552&gt;1E-9,IF(AC552*(1+$G$53)-MAX($B$9,0.01*AC552+AC552*$G$53)&gt;1E-9,AC552*(1+$G$53)-MAX($B$9,0.01*AC552+AC552*$G$53),0),0)</f>
        <v/>
      </c>
      <c r="AD553">
        <f>AC552*$G$53</f>
        <v/>
      </c>
      <c r="AE553">
        <f>IF(AE552&gt;1E-9,IF(AE552*(1+$G$54)-MAX($B$9,0.01*AE552+AE552*$G$54)&gt;1E-9,AE552*(1+$G$54)-MAX($B$9,0.01*AE552+AE552*$G$54),0),0)</f>
        <v/>
      </c>
      <c r="AF553">
        <f>AE552*$G$54</f>
        <v/>
      </c>
      <c r="AG553">
        <f>IF(AG552&gt;1E-9,IF(AG552*(1+$G$55)-MAX($B$9,0.01*AG552+AG552*$G$55)&gt;1E-9,AG552*(1+$G$55)-MAX($B$9,0.01*AG552+AG552*$G$55),0),0)</f>
        <v/>
      </c>
      <c r="AH553">
        <f>AG552*$G$55</f>
        <v/>
      </c>
      <c r="AI553">
        <f>G553+K553+O553+S553+W553</f>
        <v/>
      </c>
      <c r="AJ553">
        <f>AI552+AK553-AI553</f>
        <v/>
      </c>
      <c r="AK553">
        <f>H553+L553+P553+T553+X553</f>
        <v/>
      </c>
      <c r="AL553">
        <f>TEXT(EDATE($B$5,D553-1),"mmm yyyy")</f>
        <v/>
      </c>
      <c r="AM553">
        <f>AI553</f>
        <v/>
      </c>
    </row>
    <row r="554">
      <c r="D554" t="n">
        <v>493</v>
      </c>
      <c r="E554">
        <f>IF(G553&gt;0,MAX(0,G553*(1+$G$51)-$H$51),0)</f>
        <v/>
      </c>
      <c r="F554">
        <f>$B$6+IF($D554=$B$8,$B$7,0)</f>
        <v/>
      </c>
      <c r="G554">
        <f>IF(E554-F554&gt;1E-9,E554-F554,0)</f>
        <v/>
      </c>
      <c r="H554">
        <f>G553*$G$51</f>
        <v/>
      </c>
      <c r="I554">
        <f>IF(K553&gt;0,MAX(0,K553*(1+$G$52)-$H$52),0)</f>
        <v/>
      </c>
      <c r="J554">
        <f>MAX(0,F554-E554)</f>
        <v/>
      </c>
      <c r="K554">
        <f>IF(I554-J554&gt;1E-9,I554-J554,0)</f>
        <v/>
      </c>
      <c r="L554">
        <f>K553*$G$52</f>
        <v/>
      </c>
      <c r="M554">
        <f>IF(O553&gt;0,MAX(0,O553*(1+$G$53)-$H$53),0)</f>
        <v/>
      </c>
      <c r="N554">
        <f>MAX(0,J554-I554)</f>
        <v/>
      </c>
      <c r="O554">
        <f>IF(M554-N554&gt;1E-9,M554-N554,0)</f>
        <v/>
      </c>
      <c r="P554">
        <f>O553*$G$53</f>
        <v/>
      </c>
      <c r="Q554">
        <f>IF(S553&gt;0,MAX(0,S553*(1+$G$54)-$H$54),0)</f>
        <v/>
      </c>
      <c r="R554">
        <f>MAX(0,N554-M554)</f>
        <v/>
      </c>
      <c r="S554">
        <f>IF(Q554-R554&gt;1E-9,Q554-R554,0)</f>
        <v/>
      </c>
      <c r="T554">
        <f>S553*$G$54</f>
        <v/>
      </c>
      <c r="U554">
        <f>IF(W553&gt;0,MAX(0,W553*(1+$G$55)-$H$55),0)</f>
        <v/>
      </c>
      <c r="V554">
        <f>MAX(0,R554-Q554)</f>
        <v/>
      </c>
      <c r="W554">
        <f>IF(U554-V554&gt;1E-9,U554-V554,0)</f>
        <v/>
      </c>
      <c r="X554">
        <f>W553*$G$55</f>
        <v/>
      </c>
      <c r="Y554">
        <f>IF(Y553&gt;1E-9,IF(Y553*(1+$G$51)-MAX($B$9,0.01*Y553+Y553*$G$51)&gt;1E-9,Y553*(1+$G$51)-MAX($B$9,0.01*Y553+Y553*$G$51),0),0)</f>
        <v/>
      </c>
      <c r="Z554">
        <f>Y553*$G$51</f>
        <v/>
      </c>
      <c r="AA554">
        <f>IF(AA553&gt;1E-9,IF(AA553*(1+$G$52)-MAX($B$9,0.01*AA553+AA553*$G$52)&gt;1E-9,AA553*(1+$G$52)-MAX($B$9,0.01*AA553+AA553*$G$52),0),0)</f>
        <v/>
      </c>
      <c r="AB554">
        <f>AA553*$G$52</f>
        <v/>
      </c>
      <c r="AC554">
        <f>IF(AC553&gt;1E-9,IF(AC553*(1+$G$53)-MAX($B$9,0.01*AC553+AC553*$G$53)&gt;1E-9,AC553*(1+$G$53)-MAX($B$9,0.01*AC553+AC553*$G$53),0),0)</f>
        <v/>
      </c>
      <c r="AD554">
        <f>AC553*$G$53</f>
        <v/>
      </c>
      <c r="AE554">
        <f>IF(AE553&gt;1E-9,IF(AE553*(1+$G$54)-MAX($B$9,0.01*AE553+AE553*$G$54)&gt;1E-9,AE553*(1+$G$54)-MAX($B$9,0.01*AE553+AE553*$G$54),0),0)</f>
        <v/>
      </c>
      <c r="AF554">
        <f>AE553*$G$54</f>
        <v/>
      </c>
      <c r="AG554">
        <f>IF(AG553&gt;1E-9,IF(AG553*(1+$G$55)-MAX($B$9,0.01*AG553+AG553*$G$55)&gt;1E-9,AG553*(1+$G$55)-MAX($B$9,0.01*AG553+AG553*$G$55),0),0)</f>
        <v/>
      </c>
      <c r="AH554">
        <f>AG553*$G$55</f>
        <v/>
      </c>
      <c r="AI554">
        <f>G554+K554+O554+S554+W554</f>
        <v/>
      </c>
      <c r="AJ554">
        <f>AI553+AK554-AI554</f>
        <v/>
      </c>
      <c r="AK554">
        <f>H554+L554+P554+T554+X554</f>
        <v/>
      </c>
      <c r="AL554">
        <f>TEXT(EDATE($B$5,D554-1),"mmm yyyy")</f>
        <v/>
      </c>
      <c r="AM554">
        <f>AI554</f>
        <v/>
      </c>
    </row>
    <row r="555">
      <c r="D555" t="n">
        <v>494</v>
      </c>
      <c r="E555">
        <f>IF(G554&gt;0,MAX(0,G554*(1+$G$51)-$H$51),0)</f>
        <v/>
      </c>
      <c r="F555">
        <f>$B$6+IF($D555=$B$8,$B$7,0)</f>
        <v/>
      </c>
      <c r="G555">
        <f>IF(E555-F555&gt;1E-9,E555-F555,0)</f>
        <v/>
      </c>
      <c r="H555">
        <f>G554*$G$51</f>
        <v/>
      </c>
      <c r="I555">
        <f>IF(K554&gt;0,MAX(0,K554*(1+$G$52)-$H$52),0)</f>
        <v/>
      </c>
      <c r="J555">
        <f>MAX(0,F555-E555)</f>
        <v/>
      </c>
      <c r="K555">
        <f>IF(I555-J555&gt;1E-9,I555-J555,0)</f>
        <v/>
      </c>
      <c r="L555">
        <f>K554*$G$52</f>
        <v/>
      </c>
      <c r="M555">
        <f>IF(O554&gt;0,MAX(0,O554*(1+$G$53)-$H$53),0)</f>
        <v/>
      </c>
      <c r="N555">
        <f>MAX(0,J555-I555)</f>
        <v/>
      </c>
      <c r="O555">
        <f>IF(M555-N555&gt;1E-9,M555-N555,0)</f>
        <v/>
      </c>
      <c r="P555">
        <f>O554*$G$53</f>
        <v/>
      </c>
      <c r="Q555">
        <f>IF(S554&gt;0,MAX(0,S554*(1+$G$54)-$H$54),0)</f>
        <v/>
      </c>
      <c r="R555">
        <f>MAX(0,N555-M555)</f>
        <v/>
      </c>
      <c r="S555">
        <f>IF(Q555-R555&gt;1E-9,Q555-R555,0)</f>
        <v/>
      </c>
      <c r="T555">
        <f>S554*$G$54</f>
        <v/>
      </c>
      <c r="U555">
        <f>IF(W554&gt;0,MAX(0,W554*(1+$G$55)-$H$55),0)</f>
        <v/>
      </c>
      <c r="V555">
        <f>MAX(0,R555-Q555)</f>
        <v/>
      </c>
      <c r="W555">
        <f>IF(U555-V555&gt;1E-9,U555-V555,0)</f>
        <v/>
      </c>
      <c r="X555">
        <f>W554*$G$55</f>
        <v/>
      </c>
      <c r="Y555">
        <f>IF(Y554&gt;1E-9,IF(Y554*(1+$G$51)-MAX($B$9,0.01*Y554+Y554*$G$51)&gt;1E-9,Y554*(1+$G$51)-MAX($B$9,0.01*Y554+Y554*$G$51),0),0)</f>
        <v/>
      </c>
      <c r="Z555">
        <f>Y554*$G$51</f>
        <v/>
      </c>
      <c r="AA555">
        <f>IF(AA554&gt;1E-9,IF(AA554*(1+$G$52)-MAX($B$9,0.01*AA554+AA554*$G$52)&gt;1E-9,AA554*(1+$G$52)-MAX($B$9,0.01*AA554+AA554*$G$52),0),0)</f>
        <v/>
      </c>
      <c r="AB555">
        <f>AA554*$G$52</f>
        <v/>
      </c>
      <c r="AC555">
        <f>IF(AC554&gt;1E-9,IF(AC554*(1+$G$53)-MAX($B$9,0.01*AC554+AC554*$G$53)&gt;1E-9,AC554*(1+$G$53)-MAX($B$9,0.01*AC554+AC554*$G$53),0),0)</f>
        <v/>
      </c>
      <c r="AD555">
        <f>AC554*$G$53</f>
        <v/>
      </c>
      <c r="AE555">
        <f>IF(AE554&gt;1E-9,IF(AE554*(1+$G$54)-MAX($B$9,0.01*AE554+AE554*$G$54)&gt;1E-9,AE554*(1+$G$54)-MAX($B$9,0.01*AE554+AE554*$G$54),0),0)</f>
        <v/>
      </c>
      <c r="AF555">
        <f>AE554*$G$54</f>
        <v/>
      </c>
      <c r="AG555">
        <f>IF(AG554&gt;1E-9,IF(AG554*(1+$G$55)-MAX($B$9,0.01*AG554+AG554*$G$55)&gt;1E-9,AG554*(1+$G$55)-MAX($B$9,0.01*AG554+AG554*$G$55),0),0)</f>
        <v/>
      </c>
      <c r="AH555">
        <f>AG554*$G$55</f>
        <v/>
      </c>
      <c r="AI555">
        <f>G555+K555+O555+S555+W555</f>
        <v/>
      </c>
      <c r="AJ555">
        <f>AI554+AK555-AI555</f>
        <v/>
      </c>
      <c r="AK555">
        <f>H555+L555+P555+T555+X555</f>
        <v/>
      </c>
      <c r="AL555">
        <f>TEXT(EDATE($B$5,D555-1),"mmm yyyy")</f>
        <v/>
      </c>
      <c r="AM555">
        <f>AI555</f>
        <v/>
      </c>
    </row>
    <row r="556">
      <c r="D556" t="n">
        <v>495</v>
      </c>
      <c r="E556">
        <f>IF(G555&gt;0,MAX(0,G555*(1+$G$51)-$H$51),0)</f>
        <v/>
      </c>
      <c r="F556">
        <f>$B$6+IF($D556=$B$8,$B$7,0)</f>
        <v/>
      </c>
      <c r="G556">
        <f>IF(E556-F556&gt;1E-9,E556-F556,0)</f>
        <v/>
      </c>
      <c r="H556">
        <f>G555*$G$51</f>
        <v/>
      </c>
      <c r="I556">
        <f>IF(K555&gt;0,MAX(0,K555*(1+$G$52)-$H$52),0)</f>
        <v/>
      </c>
      <c r="J556">
        <f>MAX(0,F556-E556)</f>
        <v/>
      </c>
      <c r="K556">
        <f>IF(I556-J556&gt;1E-9,I556-J556,0)</f>
        <v/>
      </c>
      <c r="L556">
        <f>K555*$G$52</f>
        <v/>
      </c>
      <c r="M556">
        <f>IF(O555&gt;0,MAX(0,O555*(1+$G$53)-$H$53),0)</f>
        <v/>
      </c>
      <c r="N556">
        <f>MAX(0,J556-I556)</f>
        <v/>
      </c>
      <c r="O556">
        <f>IF(M556-N556&gt;1E-9,M556-N556,0)</f>
        <v/>
      </c>
      <c r="P556">
        <f>O555*$G$53</f>
        <v/>
      </c>
      <c r="Q556">
        <f>IF(S555&gt;0,MAX(0,S555*(1+$G$54)-$H$54),0)</f>
        <v/>
      </c>
      <c r="R556">
        <f>MAX(0,N556-M556)</f>
        <v/>
      </c>
      <c r="S556">
        <f>IF(Q556-R556&gt;1E-9,Q556-R556,0)</f>
        <v/>
      </c>
      <c r="T556">
        <f>S555*$G$54</f>
        <v/>
      </c>
      <c r="U556">
        <f>IF(W555&gt;0,MAX(0,W555*(1+$G$55)-$H$55),0)</f>
        <v/>
      </c>
      <c r="V556">
        <f>MAX(0,R556-Q556)</f>
        <v/>
      </c>
      <c r="W556">
        <f>IF(U556-V556&gt;1E-9,U556-V556,0)</f>
        <v/>
      </c>
      <c r="X556">
        <f>W555*$G$55</f>
        <v/>
      </c>
      <c r="Y556">
        <f>IF(Y555&gt;1E-9,IF(Y555*(1+$G$51)-MAX($B$9,0.01*Y555+Y555*$G$51)&gt;1E-9,Y555*(1+$G$51)-MAX($B$9,0.01*Y555+Y555*$G$51),0),0)</f>
        <v/>
      </c>
      <c r="Z556">
        <f>Y555*$G$51</f>
        <v/>
      </c>
      <c r="AA556">
        <f>IF(AA555&gt;1E-9,IF(AA555*(1+$G$52)-MAX($B$9,0.01*AA555+AA555*$G$52)&gt;1E-9,AA555*(1+$G$52)-MAX($B$9,0.01*AA555+AA555*$G$52),0),0)</f>
        <v/>
      </c>
      <c r="AB556">
        <f>AA555*$G$52</f>
        <v/>
      </c>
      <c r="AC556">
        <f>IF(AC555&gt;1E-9,IF(AC555*(1+$G$53)-MAX($B$9,0.01*AC555+AC555*$G$53)&gt;1E-9,AC555*(1+$G$53)-MAX($B$9,0.01*AC555+AC555*$G$53),0),0)</f>
        <v/>
      </c>
      <c r="AD556">
        <f>AC555*$G$53</f>
        <v/>
      </c>
      <c r="AE556">
        <f>IF(AE555&gt;1E-9,IF(AE555*(1+$G$54)-MAX($B$9,0.01*AE555+AE555*$G$54)&gt;1E-9,AE555*(1+$G$54)-MAX($B$9,0.01*AE555+AE555*$G$54),0),0)</f>
        <v/>
      </c>
      <c r="AF556">
        <f>AE555*$G$54</f>
        <v/>
      </c>
      <c r="AG556">
        <f>IF(AG555&gt;1E-9,IF(AG555*(1+$G$55)-MAX($B$9,0.01*AG555+AG555*$G$55)&gt;1E-9,AG555*(1+$G$55)-MAX($B$9,0.01*AG555+AG555*$G$55),0),0)</f>
        <v/>
      </c>
      <c r="AH556">
        <f>AG555*$G$55</f>
        <v/>
      </c>
      <c r="AI556">
        <f>G556+K556+O556+S556+W556</f>
        <v/>
      </c>
      <c r="AJ556">
        <f>AI555+AK556-AI556</f>
        <v/>
      </c>
      <c r="AK556">
        <f>H556+L556+P556+T556+X556</f>
        <v/>
      </c>
      <c r="AL556">
        <f>TEXT(EDATE($B$5,D556-1),"mmm yyyy")</f>
        <v/>
      </c>
      <c r="AM556">
        <f>AI556</f>
        <v/>
      </c>
    </row>
    <row r="557">
      <c r="D557" t="n">
        <v>496</v>
      </c>
      <c r="E557">
        <f>IF(G556&gt;0,MAX(0,G556*(1+$G$51)-$H$51),0)</f>
        <v/>
      </c>
      <c r="F557">
        <f>$B$6+IF($D557=$B$8,$B$7,0)</f>
        <v/>
      </c>
      <c r="G557">
        <f>IF(E557-F557&gt;1E-9,E557-F557,0)</f>
        <v/>
      </c>
      <c r="H557">
        <f>G556*$G$51</f>
        <v/>
      </c>
      <c r="I557">
        <f>IF(K556&gt;0,MAX(0,K556*(1+$G$52)-$H$52),0)</f>
        <v/>
      </c>
      <c r="J557">
        <f>MAX(0,F557-E557)</f>
        <v/>
      </c>
      <c r="K557">
        <f>IF(I557-J557&gt;1E-9,I557-J557,0)</f>
        <v/>
      </c>
      <c r="L557">
        <f>K556*$G$52</f>
        <v/>
      </c>
      <c r="M557">
        <f>IF(O556&gt;0,MAX(0,O556*(1+$G$53)-$H$53),0)</f>
        <v/>
      </c>
      <c r="N557">
        <f>MAX(0,J557-I557)</f>
        <v/>
      </c>
      <c r="O557">
        <f>IF(M557-N557&gt;1E-9,M557-N557,0)</f>
        <v/>
      </c>
      <c r="P557">
        <f>O556*$G$53</f>
        <v/>
      </c>
      <c r="Q557">
        <f>IF(S556&gt;0,MAX(0,S556*(1+$G$54)-$H$54),0)</f>
        <v/>
      </c>
      <c r="R557">
        <f>MAX(0,N557-M557)</f>
        <v/>
      </c>
      <c r="S557">
        <f>IF(Q557-R557&gt;1E-9,Q557-R557,0)</f>
        <v/>
      </c>
      <c r="T557">
        <f>S556*$G$54</f>
        <v/>
      </c>
      <c r="U557">
        <f>IF(W556&gt;0,MAX(0,W556*(1+$G$55)-$H$55),0)</f>
        <v/>
      </c>
      <c r="V557">
        <f>MAX(0,R557-Q557)</f>
        <v/>
      </c>
      <c r="W557">
        <f>IF(U557-V557&gt;1E-9,U557-V557,0)</f>
        <v/>
      </c>
      <c r="X557">
        <f>W556*$G$55</f>
        <v/>
      </c>
      <c r="Y557">
        <f>IF(Y556&gt;1E-9,IF(Y556*(1+$G$51)-MAX($B$9,0.01*Y556+Y556*$G$51)&gt;1E-9,Y556*(1+$G$51)-MAX($B$9,0.01*Y556+Y556*$G$51),0),0)</f>
        <v/>
      </c>
      <c r="Z557">
        <f>Y556*$G$51</f>
        <v/>
      </c>
      <c r="AA557">
        <f>IF(AA556&gt;1E-9,IF(AA556*(1+$G$52)-MAX($B$9,0.01*AA556+AA556*$G$52)&gt;1E-9,AA556*(1+$G$52)-MAX($B$9,0.01*AA556+AA556*$G$52),0),0)</f>
        <v/>
      </c>
      <c r="AB557">
        <f>AA556*$G$52</f>
        <v/>
      </c>
      <c r="AC557">
        <f>IF(AC556&gt;1E-9,IF(AC556*(1+$G$53)-MAX($B$9,0.01*AC556+AC556*$G$53)&gt;1E-9,AC556*(1+$G$53)-MAX($B$9,0.01*AC556+AC556*$G$53),0),0)</f>
        <v/>
      </c>
      <c r="AD557">
        <f>AC556*$G$53</f>
        <v/>
      </c>
      <c r="AE557">
        <f>IF(AE556&gt;1E-9,IF(AE556*(1+$G$54)-MAX($B$9,0.01*AE556+AE556*$G$54)&gt;1E-9,AE556*(1+$G$54)-MAX($B$9,0.01*AE556+AE556*$G$54),0),0)</f>
        <v/>
      </c>
      <c r="AF557">
        <f>AE556*$G$54</f>
        <v/>
      </c>
      <c r="AG557">
        <f>IF(AG556&gt;1E-9,IF(AG556*(1+$G$55)-MAX($B$9,0.01*AG556+AG556*$G$55)&gt;1E-9,AG556*(1+$G$55)-MAX($B$9,0.01*AG556+AG556*$G$55),0),0)</f>
        <v/>
      </c>
      <c r="AH557">
        <f>AG556*$G$55</f>
        <v/>
      </c>
      <c r="AI557">
        <f>G557+K557+O557+S557+W557</f>
        <v/>
      </c>
      <c r="AJ557">
        <f>AI556+AK557-AI557</f>
        <v/>
      </c>
      <c r="AK557">
        <f>H557+L557+P557+T557+X557</f>
        <v/>
      </c>
      <c r="AL557">
        <f>TEXT(EDATE($B$5,D557-1),"mmm yyyy")</f>
        <v/>
      </c>
      <c r="AM557">
        <f>AI557</f>
        <v/>
      </c>
    </row>
    <row r="558">
      <c r="D558" t="n">
        <v>497</v>
      </c>
      <c r="E558">
        <f>IF(G557&gt;0,MAX(0,G557*(1+$G$51)-$H$51),0)</f>
        <v/>
      </c>
      <c r="F558">
        <f>$B$6+IF($D558=$B$8,$B$7,0)</f>
        <v/>
      </c>
      <c r="G558">
        <f>IF(E558-F558&gt;1E-9,E558-F558,0)</f>
        <v/>
      </c>
      <c r="H558">
        <f>G557*$G$51</f>
        <v/>
      </c>
      <c r="I558">
        <f>IF(K557&gt;0,MAX(0,K557*(1+$G$52)-$H$52),0)</f>
        <v/>
      </c>
      <c r="J558">
        <f>MAX(0,F558-E558)</f>
        <v/>
      </c>
      <c r="K558">
        <f>IF(I558-J558&gt;1E-9,I558-J558,0)</f>
        <v/>
      </c>
      <c r="L558">
        <f>K557*$G$52</f>
        <v/>
      </c>
      <c r="M558">
        <f>IF(O557&gt;0,MAX(0,O557*(1+$G$53)-$H$53),0)</f>
        <v/>
      </c>
      <c r="N558">
        <f>MAX(0,J558-I558)</f>
        <v/>
      </c>
      <c r="O558">
        <f>IF(M558-N558&gt;1E-9,M558-N558,0)</f>
        <v/>
      </c>
      <c r="P558">
        <f>O557*$G$53</f>
        <v/>
      </c>
      <c r="Q558">
        <f>IF(S557&gt;0,MAX(0,S557*(1+$G$54)-$H$54),0)</f>
        <v/>
      </c>
      <c r="R558">
        <f>MAX(0,N558-M558)</f>
        <v/>
      </c>
      <c r="S558">
        <f>IF(Q558-R558&gt;1E-9,Q558-R558,0)</f>
        <v/>
      </c>
      <c r="T558">
        <f>S557*$G$54</f>
        <v/>
      </c>
      <c r="U558">
        <f>IF(W557&gt;0,MAX(0,W557*(1+$G$55)-$H$55),0)</f>
        <v/>
      </c>
      <c r="V558">
        <f>MAX(0,R558-Q558)</f>
        <v/>
      </c>
      <c r="W558">
        <f>IF(U558-V558&gt;1E-9,U558-V558,0)</f>
        <v/>
      </c>
      <c r="X558">
        <f>W557*$G$55</f>
        <v/>
      </c>
      <c r="Y558">
        <f>IF(Y557&gt;1E-9,IF(Y557*(1+$G$51)-MAX($B$9,0.01*Y557+Y557*$G$51)&gt;1E-9,Y557*(1+$G$51)-MAX($B$9,0.01*Y557+Y557*$G$51),0),0)</f>
        <v/>
      </c>
      <c r="Z558">
        <f>Y557*$G$51</f>
        <v/>
      </c>
      <c r="AA558">
        <f>IF(AA557&gt;1E-9,IF(AA557*(1+$G$52)-MAX($B$9,0.01*AA557+AA557*$G$52)&gt;1E-9,AA557*(1+$G$52)-MAX($B$9,0.01*AA557+AA557*$G$52),0),0)</f>
        <v/>
      </c>
      <c r="AB558">
        <f>AA557*$G$52</f>
        <v/>
      </c>
      <c r="AC558">
        <f>IF(AC557&gt;1E-9,IF(AC557*(1+$G$53)-MAX($B$9,0.01*AC557+AC557*$G$53)&gt;1E-9,AC557*(1+$G$53)-MAX($B$9,0.01*AC557+AC557*$G$53),0),0)</f>
        <v/>
      </c>
      <c r="AD558">
        <f>AC557*$G$53</f>
        <v/>
      </c>
      <c r="AE558">
        <f>IF(AE557&gt;1E-9,IF(AE557*(1+$G$54)-MAX($B$9,0.01*AE557+AE557*$G$54)&gt;1E-9,AE557*(1+$G$54)-MAX($B$9,0.01*AE557+AE557*$G$54),0),0)</f>
        <v/>
      </c>
      <c r="AF558">
        <f>AE557*$G$54</f>
        <v/>
      </c>
      <c r="AG558">
        <f>IF(AG557&gt;1E-9,IF(AG557*(1+$G$55)-MAX($B$9,0.01*AG557+AG557*$G$55)&gt;1E-9,AG557*(1+$G$55)-MAX($B$9,0.01*AG557+AG557*$G$55),0),0)</f>
        <v/>
      </c>
      <c r="AH558">
        <f>AG557*$G$55</f>
        <v/>
      </c>
      <c r="AI558">
        <f>G558+K558+O558+S558+W558</f>
        <v/>
      </c>
      <c r="AJ558">
        <f>AI557+AK558-AI558</f>
        <v/>
      </c>
      <c r="AK558">
        <f>H558+L558+P558+T558+X558</f>
        <v/>
      </c>
      <c r="AL558">
        <f>TEXT(EDATE($B$5,D558-1),"mmm yyyy")</f>
        <v/>
      </c>
      <c r="AM558">
        <f>AI558</f>
        <v/>
      </c>
    </row>
    <row r="559">
      <c r="D559" t="n">
        <v>498</v>
      </c>
      <c r="E559">
        <f>IF(G558&gt;0,MAX(0,G558*(1+$G$51)-$H$51),0)</f>
        <v/>
      </c>
      <c r="F559">
        <f>$B$6+IF($D559=$B$8,$B$7,0)</f>
        <v/>
      </c>
      <c r="G559">
        <f>IF(E559-F559&gt;1E-9,E559-F559,0)</f>
        <v/>
      </c>
      <c r="H559">
        <f>G558*$G$51</f>
        <v/>
      </c>
      <c r="I559">
        <f>IF(K558&gt;0,MAX(0,K558*(1+$G$52)-$H$52),0)</f>
        <v/>
      </c>
      <c r="J559">
        <f>MAX(0,F559-E559)</f>
        <v/>
      </c>
      <c r="K559">
        <f>IF(I559-J559&gt;1E-9,I559-J559,0)</f>
        <v/>
      </c>
      <c r="L559">
        <f>K558*$G$52</f>
        <v/>
      </c>
      <c r="M559">
        <f>IF(O558&gt;0,MAX(0,O558*(1+$G$53)-$H$53),0)</f>
        <v/>
      </c>
      <c r="N559">
        <f>MAX(0,J559-I559)</f>
        <v/>
      </c>
      <c r="O559">
        <f>IF(M559-N559&gt;1E-9,M559-N559,0)</f>
        <v/>
      </c>
      <c r="P559">
        <f>O558*$G$53</f>
        <v/>
      </c>
      <c r="Q559">
        <f>IF(S558&gt;0,MAX(0,S558*(1+$G$54)-$H$54),0)</f>
        <v/>
      </c>
      <c r="R559">
        <f>MAX(0,N559-M559)</f>
        <v/>
      </c>
      <c r="S559">
        <f>IF(Q559-R559&gt;1E-9,Q559-R559,0)</f>
        <v/>
      </c>
      <c r="T559">
        <f>S558*$G$54</f>
        <v/>
      </c>
      <c r="U559">
        <f>IF(W558&gt;0,MAX(0,W558*(1+$G$55)-$H$55),0)</f>
        <v/>
      </c>
      <c r="V559">
        <f>MAX(0,R559-Q559)</f>
        <v/>
      </c>
      <c r="W559">
        <f>IF(U559-V559&gt;1E-9,U559-V559,0)</f>
        <v/>
      </c>
      <c r="X559">
        <f>W558*$G$55</f>
        <v/>
      </c>
      <c r="Y559">
        <f>IF(Y558&gt;1E-9,IF(Y558*(1+$G$51)-MAX($B$9,0.01*Y558+Y558*$G$51)&gt;1E-9,Y558*(1+$G$51)-MAX($B$9,0.01*Y558+Y558*$G$51),0),0)</f>
        <v/>
      </c>
      <c r="Z559">
        <f>Y558*$G$51</f>
        <v/>
      </c>
      <c r="AA559">
        <f>IF(AA558&gt;1E-9,IF(AA558*(1+$G$52)-MAX($B$9,0.01*AA558+AA558*$G$52)&gt;1E-9,AA558*(1+$G$52)-MAX($B$9,0.01*AA558+AA558*$G$52),0),0)</f>
        <v/>
      </c>
      <c r="AB559">
        <f>AA558*$G$52</f>
        <v/>
      </c>
      <c r="AC559">
        <f>IF(AC558&gt;1E-9,IF(AC558*(1+$G$53)-MAX($B$9,0.01*AC558+AC558*$G$53)&gt;1E-9,AC558*(1+$G$53)-MAX($B$9,0.01*AC558+AC558*$G$53),0),0)</f>
        <v/>
      </c>
      <c r="AD559">
        <f>AC558*$G$53</f>
        <v/>
      </c>
      <c r="AE559">
        <f>IF(AE558&gt;1E-9,IF(AE558*(1+$G$54)-MAX($B$9,0.01*AE558+AE558*$G$54)&gt;1E-9,AE558*(1+$G$54)-MAX($B$9,0.01*AE558+AE558*$G$54),0),0)</f>
        <v/>
      </c>
      <c r="AF559">
        <f>AE558*$G$54</f>
        <v/>
      </c>
      <c r="AG559">
        <f>IF(AG558&gt;1E-9,IF(AG558*(1+$G$55)-MAX($B$9,0.01*AG558+AG558*$G$55)&gt;1E-9,AG558*(1+$G$55)-MAX($B$9,0.01*AG558+AG558*$G$55),0),0)</f>
        <v/>
      </c>
      <c r="AH559">
        <f>AG558*$G$55</f>
        <v/>
      </c>
      <c r="AI559">
        <f>G559+K559+O559+S559+W559</f>
        <v/>
      </c>
      <c r="AJ559">
        <f>AI558+AK559-AI559</f>
        <v/>
      </c>
      <c r="AK559">
        <f>H559+L559+P559+T559+X559</f>
        <v/>
      </c>
      <c r="AL559">
        <f>TEXT(EDATE($B$5,D559-1),"mmm yyyy")</f>
        <v/>
      </c>
      <c r="AM559">
        <f>AI559</f>
        <v/>
      </c>
    </row>
    <row r="560">
      <c r="D560" t="n">
        <v>499</v>
      </c>
      <c r="E560">
        <f>IF(G559&gt;0,MAX(0,G559*(1+$G$51)-$H$51),0)</f>
        <v/>
      </c>
      <c r="F560">
        <f>$B$6+IF($D560=$B$8,$B$7,0)</f>
        <v/>
      </c>
      <c r="G560">
        <f>IF(E560-F560&gt;1E-9,E560-F560,0)</f>
        <v/>
      </c>
      <c r="H560">
        <f>G559*$G$51</f>
        <v/>
      </c>
      <c r="I560">
        <f>IF(K559&gt;0,MAX(0,K559*(1+$G$52)-$H$52),0)</f>
        <v/>
      </c>
      <c r="J560">
        <f>MAX(0,F560-E560)</f>
        <v/>
      </c>
      <c r="K560">
        <f>IF(I560-J560&gt;1E-9,I560-J560,0)</f>
        <v/>
      </c>
      <c r="L560">
        <f>K559*$G$52</f>
        <v/>
      </c>
      <c r="M560">
        <f>IF(O559&gt;0,MAX(0,O559*(1+$G$53)-$H$53),0)</f>
        <v/>
      </c>
      <c r="N560">
        <f>MAX(0,J560-I560)</f>
        <v/>
      </c>
      <c r="O560">
        <f>IF(M560-N560&gt;1E-9,M560-N560,0)</f>
        <v/>
      </c>
      <c r="P560">
        <f>O559*$G$53</f>
        <v/>
      </c>
      <c r="Q560">
        <f>IF(S559&gt;0,MAX(0,S559*(1+$G$54)-$H$54),0)</f>
        <v/>
      </c>
      <c r="R560">
        <f>MAX(0,N560-M560)</f>
        <v/>
      </c>
      <c r="S560">
        <f>IF(Q560-R560&gt;1E-9,Q560-R560,0)</f>
        <v/>
      </c>
      <c r="T560">
        <f>S559*$G$54</f>
        <v/>
      </c>
      <c r="U560">
        <f>IF(W559&gt;0,MAX(0,W559*(1+$G$55)-$H$55),0)</f>
        <v/>
      </c>
      <c r="V560">
        <f>MAX(0,R560-Q560)</f>
        <v/>
      </c>
      <c r="W560">
        <f>IF(U560-V560&gt;1E-9,U560-V560,0)</f>
        <v/>
      </c>
      <c r="X560">
        <f>W559*$G$55</f>
        <v/>
      </c>
      <c r="Y560">
        <f>IF(Y559&gt;1E-9,IF(Y559*(1+$G$51)-MAX($B$9,0.01*Y559+Y559*$G$51)&gt;1E-9,Y559*(1+$G$51)-MAX($B$9,0.01*Y559+Y559*$G$51),0),0)</f>
        <v/>
      </c>
      <c r="Z560">
        <f>Y559*$G$51</f>
        <v/>
      </c>
      <c r="AA560">
        <f>IF(AA559&gt;1E-9,IF(AA559*(1+$G$52)-MAX($B$9,0.01*AA559+AA559*$G$52)&gt;1E-9,AA559*(1+$G$52)-MAX($B$9,0.01*AA559+AA559*$G$52),0),0)</f>
        <v/>
      </c>
      <c r="AB560">
        <f>AA559*$G$52</f>
        <v/>
      </c>
      <c r="AC560">
        <f>IF(AC559&gt;1E-9,IF(AC559*(1+$G$53)-MAX($B$9,0.01*AC559+AC559*$G$53)&gt;1E-9,AC559*(1+$G$53)-MAX($B$9,0.01*AC559+AC559*$G$53),0),0)</f>
        <v/>
      </c>
      <c r="AD560">
        <f>AC559*$G$53</f>
        <v/>
      </c>
      <c r="AE560">
        <f>IF(AE559&gt;1E-9,IF(AE559*(1+$G$54)-MAX($B$9,0.01*AE559+AE559*$G$54)&gt;1E-9,AE559*(1+$G$54)-MAX($B$9,0.01*AE559+AE559*$G$54),0),0)</f>
        <v/>
      </c>
      <c r="AF560">
        <f>AE559*$G$54</f>
        <v/>
      </c>
      <c r="AG560">
        <f>IF(AG559&gt;1E-9,IF(AG559*(1+$G$55)-MAX($B$9,0.01*AG559+AG559*$G$55)&gt;1E-9,AG559*(1+$G$55)-MAX($B$9,0.01*AG559+AG559*$G$55),0),0)</f>
        <v/>
      </c>
      <c r="AH560">
        <f>AG559*$G$55</f>
        <v/>
      </c>
      <c r="AI560">
        <f>G560+K560+O560+S560+W560</f>
        <v/>
      </c>
      <c r="AJ560">
        <f>AI559+AK560-AI560</f>
        <v/>
      </c>
      <c r="AK560">
        <f>H560+L560+P560+T560+X560</f>
        <v/>
      </c>
      <c r="AL560">
        <f>TEXT(EDATE($B$5,D560-1),"mmm yyyy")</f>
        <v/>
      </c>
      <c r="AM560">
        <f>AI560</f>
        <v/>
      </c>
    </row>
    <row r="561">
      <c r="D561" t="n">
        <v>500</v>
      </c>
      <c r="E561">
        <f>IF(G560&gt;0,MAX(0,G560*(1+$G$51)-$H$51),0)</f>
        <v/>
      </c>
      <c r="F561">
        <f>$B$6+IF($D561=$B$8,$B$7,0)</f>
        <v/>
      </c>
      <c r="G561">
        <f>IF(E561-F561&gt;1E-9,E561-F561,0)</f>
        <v/>
      </c>
      <c r="H561">
        <f>G560*$G$51</f>
        <v/>
      </c>
      <c r="I561">
        <f>IF(K560&gt;0,MAX(0,K560*(1+$G$52)-$H$52),0)</f>
        <v/>
      </c>
      <c r="J561">
        <f>MAX(0,F561-E561)</f>
        <v/>
      </c>
      <c r="K561">
        <f>IF(I561-J561&gt;1E-9,I561-J561,0)</f>
        <v/>
      </c>
      <c r="L561">
        <f>K560*$G$52</f>
        <v/>
      </c>
      <c r="M561">
        <f>IF(O560&gt;0,MAX(0,O560*(1+$G$53)-$H$53),0)</f>
        <v/>
      </c>
      <c r="N561">
        <f>MAX(0,J561-I561)</f>
        <v/>
      </c>
      <c r="O561">
        <f>IF(M561-N561&gt;1E-9,M561-N561,0)</f>
        <v/>
      </c>
      <c r="P561">
        <f>O560*$G$53</f>
        <v/>
      </c>
      <c r="Q561">
        <f>IF(S560&gt;0,MAX(0,S560*(1+$G$54)-$H$54),0)</f>
        <v/>
      </c>
      <c r="R561">
        <f>MAX(0,N561-M561)</f>
        <v/>
      </c>
      <c r="S561">
        <f>IF(Q561-R561&gt;1E-9,Q561-R561,0)</f>
        <v/>
      </c>
      <c r="T561">
        <f>S560*$G$54</f>
        <v/>
      </c>
      <c r="U561">
        <f>IF(W560&gt;0,MAX(0,W560*(1+$G$55)-$H$55),0)</f>
        <v/>
      </c>
      <c r="V561">
        <f>MAX(0,R561-Q561)</f>
        <v/>
      </c>
      <c r="W561">
        <f>IF(U561-V561&gt;1E-9,U561-V561,0)</f>
        <v/>
      </c>
      <c r="X561">
        <f>W560*$G$55</f>
        <v/>
      </c>
      <c r="Y561">
        <f>IF(Y560&gt;1E-9,IF(Y560*(1+$G$51)-MAX($B$9,0.01*Y560+Y560*$G$51)&gt;1E-9,Y560*(1+$G$51)-MAX($B$9,0.01*Y560+Y560*$G$51),0),0)</f>
        <v/>
      </c>
      <c r="Z561">
        <f>Y560*$G$51</f>
        <v/>
      </c>
      <c r="AA561">
        <f>IF(AA560&gt;1E-9,IF(AA560*(1+$G$52)-MAX($B$9,0.01*AA560+AA560*$G$52)&gt;1E-9,AA560*(1+$G$52)-MAX($B$9,0.01*AA560+AA560*$G$52),0),0)</f>
        <v/>
      </c>
      <c r="AB561">
        <f>AA560*$G$52</f>
        <v/>
      </c>
      <c r="AC561">
        <f>IF(AC560&gt;1E-9,IF(AC560*(1+$G$53)-MAX($B$9,0.01*AC560+AC560*$G$53)&gt;1E-9,AC560*(1+$G$53)-MAX($B$9,0.01*AC560+AC560*$G$53),0),0)</f>
        <v/>
      </c>
      <c r="AD561">
        <f>AC560*$G$53</f>
        <v/>
      </c>
      <c r="AE561">
        <f>IF(AE560&gt;1E-9,IF(AE560*(1+$G$54)-MAX($B$9,0.01*AE560+AE560*$G$54)&gt;1E-9,AE560*(1+$G$54)-MAX($B$9,0.01*AE560+AE560*$G$54),0),0)</f>
        <v/>
      </c>
      <c r="AF561">
        <f>AE560*$G$54</f>
        <v/>
      </c>
      <c r="AG561">
        <f>IF(AG560&gt;1E-9,IF(AG560*(1+$G$55)-MAX($B$9,0.01*AG560+AG560*$G$55)&gt;1E-9,AG560*(1+$G$55)-MAX($B$9,0.01*AG560+AG560*$G$55),0),0)</f>
        <v/>
      </c>
      <c r="AH561">
        <f>AG560*$G$55</f>
        <v/>
      </c>
      <c r="AI561">
        <f>G561+K561+O561+S561+W561</f>
        <v/>
      </c>
      <c r="AJ561">
        <f>AI560+AK561-AI561</f>
        <v/>
      </c>
      <c r="AK561">
        <f>H561+L561+P561+T561+X561</f>
        <v/>
      </c>
      <c r="AL561">
        <f>TEXT(EDATE($B$5,D561-1),"mmm yyyy")</f>
        <v/>
      </c>
      <c r="AM561">
        <f>AI561</f>
        <v/>
      </c>
    </row>
    <row r="562">
      <c r="D562" t="n">
        <v>501</v>
      </c>
      <c r="E562">
        <f>IF(G561&gt;0,MAX(0,G561*(1+$G$51)-$H$51),0)</f>
        <v/>
      </c>
      <c r="F562">
        <f>$B$6+IF($D562=$B$8,$B$7,0)</f>
        <v/>
      </c>
      <c r="G562">
        <f>IF(E562-F562&gt;1E-9,E562-F562,0)</f>
        <v/>
      </c>
      <c r="H562">
        <f>G561*$G$51</f>
        <v/>
      </c>
      <c r="I562">
        <f>IF(K561&gt;0,MAX(0,K561*(1+$G$52)-$H$52),0)</f>
        <v/>
      </c>
      <c r="J562">
        <f>MAX(0,F562-E562)</f>
        <v/>
      </c>
      <c r="K562">
        <f>IF(I562-J562&gt;1E-9,I562-J562,0)</f>
        <v/>
      </c>
      <c r="L562">
        <f>K561*$G$52</f>
        <v/>
      </c>
      <c r="M562">
        <f>IF(O561&gt;0,MAX(0,O561*(1+$G$53)-$H$53),0)</f>
        <v/>
      </c>
      <c r="N562">
        <f>MAX(0,J562-I562)</f>
        <v/>
      </c>
      <c r="O562">
        <f>IF(M562-N562&gt;1E-9,M562-N562,0)</f>
        <v/>
      </c>
      <c r="P562">
        <f>O561*$G$53</f>
        <v/>
      </c>
      <c r="Q562">
        <f>IF(S561&gt;0,MAX(0,S561*(1+$G$54)-$H$54),0)</f>
        <v/>
      </c>
      <c r="R562">
        <f>MAX(0,N562-M562)</f>
        <v/>
      </c>
      <c r="S562">
        <f>IF(Q562-R562&gt;1E-9,Q562-R562,0)</f>
        <v/>
      </c>
      <c r="T562">
        <f>S561*$G$54</f>
        <v/>
      </c>
      <c r="U562">
        <f>IF(W561&gt;0,MAX(0,W561*(1+$G$55)-$H$55),0)</f>
        <v/>
      </c>
      <c r="V562">
        <f>MAX(0,R562-Q562)</f>
        <v/>
      </c>
      <c r="W562">
        <f>IF(U562-V562&gt;1E-9,U562-V562,0)</f>
        <v/>
      </c>
      <c r="X562">
        <f>W561*$G$55</f>
        <v/>
      </c>
      <c r="Y562">
        <f>IF(Y561&gt;1E-9,IF(Y561*(1+$G$51)-MAX($B$9,0.01*Y561+Y561*$G$51)&gt;1E-9,Y561*(1+$G$51)-MAX($B$9,0.01*Y561+Y561*$G$51),0),0)</f>
        <v/>
      </c>
      <c r="Z562">
        <f>Y561*$G$51</f>
        <v/>
      </c>
      <c r="AA562">
        <f>IF(AA561&gt;1E-9,IF(AA561*(1+$G$52)-MAX($B$9,0.01*AA561+AA561*$G$52)&gt;1E-9,AA561*(1+$G$52)-MAX($B$9,0.01*AA561+AA561*$G$52),0),0)</f>
        <v/>
      </c>
      <c r="AB562">
        <f>AA561*$G$52</f>
        <v/>
      </c>
      <c r="AC562">
        <f>IF(AC561&gt;1E-9,IF(AC561*(1+$G$53)-MAX($B$9,0.01*AC561+AC561*$G$53)&gt;1E-9,AC561*(1+$G$53)-MAX($B$9,0.01*AC561+AC561*$G$53),0),0)</f>
        <v/>
      </c>
      <c r="AD562">
        <f>AC561*$G$53</f>
        <v/>
      </c>
      <c r="AE562">
        <f>IF(AE561&gt;1E-9,IF(AE561*(1+$G$54)-MAX($B$9,0.01*AE561+AE561*$G$54)&gt;1E-9,AE561*(1+$G$54)-MAX($B$9,0.01*AE561+AE561*$G$54),0),0)</f>
        <v/>
      </c>
      <c r="AF562">
        <f>AE561*$G$54</f>
        <v/>
      </c>
      <c r="AG562">
        <f>IF(AG561&gt;1E-9,IF(AG561*(1+$G$55)-MAX($B$9,0.01*AG561+AG561*$G$55)&gt;1E-9,AG561*(1+$G$55)-MAX($B$9,0.01*AG561+AG561*$G$55),0),0)</f>
        <v/>
      </c>
      <c r="AH562">
        <f>AG561*$G$55</f>
        <v/>
      </c>
      <c r="AI562">
        <f>G562+K562+O562+S562+W562</f>
        <v/>
      </c>
      <c r="AJ562">
        <f>AI561+AK562-AI562</f>
        <v/>
      </c>
      <c r="AK562">
        <f>H562+L562+P562+T562+X562</f>
        <v/>
      </c>
      <c r="AL562">
        <f>TEXT(EDATE($B$5,D562-1),"mmm yyyy")</f>
        <v/>
      </c>
      <c r="AM562">
        <f>AI562</f>
        <v/>
      </c>
    </row>
    <row r="563">
      <c r="D563" t="n">
        <v>502</v>
      </c>
      <c r="E563">
        <f>IF(G562&gt;0,MAX(0,G562*(1+$G$51)-$H$51),0)</f>
        <v/>
      </c>
      <c r="F563">
        <f>$B$6+IF($D563=$B$8,$B$7,0)</f>
        <v/>
      </c>
      <c r="G563">
        <f>IF(E563-F563&gt;1E-9,E563-F563,0)</f>
        <v/>
      </c>
      <c r="H563">
        <f>G562*$G$51</f>
        <v/>
      </c>
      <c r="I563">
        <f>IF(K562&gt;0,MAX(0,K562*(1+$G$52)-$H$52),0)</f>
        <v/>
      </c>
      <c r="J563">
        <f>MAX(0,F563-E563)</f>
        <v/>
      </c>
      <c r="K563">
        <f>IF(I563-J563&gt;1E-9,I563-J563,0)</f>
        <v/>
      </c>
      <c r="L563">
        <f>K562*$G$52</f>
        <v/>
      </c>
      <c r="M563">
        <f>IF(O562&gt;0,MAX(0,O562*(1+$G$53)-$H$53),0)</f>
        <v/>
      </c>
      <c r="N563">
        <f>MAX(0,J563-I563)</f>
        <v/>
      </c>
      <c r="O563">
        <f>IF(M563-N563&gt;1E-9,M563-N563,0)</f>
        <v/>
      </c>
      <c r="P563">
        <f>O562*$G$53</f>
        <v/>
      </c>
      <c r="Q563">
        <f>IF(S562&gt;0,MAX(0,S562*(1+$G$54)-$H$54),0)</f>
        <v/>
      </c>
      <c r="R563">
        <f>MAX(0,N563-M563)</f>
        <v/>
      </c>
      <c r="S563">
        <f>IF(Q563-R563&gt;1E-9,Q563-R563,0)</f>
        <v/>
      </c>
      <c r="T563">
        <f>S562*$G$54</f>
        <v/>
      </c>
      <c r="U563">
        <f>IF(W562&gt;0,MAX(0,W562*(1+$G$55)-$H$55),0)</f>
        <v/>
      </c>
      <c r="V563">
        <f>MAX(0,R563-Q563)</f>
        <v/>
      </c>
      <c r="W563">
        <f>IF(U563-V563&gt;1E-9,U563-V563,0)</f>
        <v/>
      </c>
      <c r="X563">
        <f>W562*$G$55</f>
        <v/>
      </c>
      <c r="Y563">
        <f>IF(Y562&gt;1E-9,IF(Y562*(1+$G$51)-MAX($B$9,0.01*Y562+Y562*$G$51)&gt;1E-9,Y562*(1+$G$51)-MAX($B$9,0.01*Y562+Y562*$G$51),0),0)</f>
        <v/>
      </c>
      <c r="Z563">
        <f>Y562*$G$51</f>
        <v/>
      </c>
      <c r="AA563">
        <f>IF(AA562&gt;1E-9,IF(AA562*(1+$G$52)-MAX($B$9,0.01*AA562+AA562*$G$52)&gt;1E-9,AA562*(1+$G$52)-MAX($B$9,0.01*AA562+AA562*$G$52),0),0)</f>
        <v/>
      </c>
      <c r="AB563">
        <f>AA562*$G$52</f>
        <v/>
      </c>
      <c r="AC563">
        <f>IF(AC562&gt;1E-9,IF(AC562*(1+$G$53)-MAX($B$9,0.01*AC562+AC562*$G$53)&gt;1E-9,AC562*(1+$G$53)-MAX($B$9,0.01*AC562+AC562*$G$53),0),0)</f>
        <v/>
      </c>
      <c r="AD563">
        <f>AC562*$G$53</f>
        <v/>
      </c>
      <c r="AE563">
        <f>IF(AE562&gt;1E-9,IF(AE562*(1+$G$54)-MAX($B$9,0.01*AE562+AE562*$G$54)&gt;1E-9,AE562*(1+$G$54)-MAX($B$9,0.01*AE562+AE562*$G$54),0),0)</f>
        <v/>
      </c>
      <c r="AF563">
        <f>AE562*$G$54</f>
        <v/>
      </c>
      <c r="AG563">
        <f>IF(AG562&gt;1E-9,IF(AG562*(1+$G$55)-MAX($B$9,0.01*AG562+AG562*$G$55)&gt;1E-9,AG562*(1+$G$55)-MAX($B$9,0.01*AG562+AG562*$G$55),0),0)</f>
        <v/>
      </c>
      <c r="AH563">
        <f>AG562*$G$55</f>
        <v/>
      </c>
      <c r="AI563">
        <f>G563+K563+O563+S563+W563</f>
        <v/>
      </c>
      <c r="AJ563">
        <f>AI562+AK563-AI563</f>
        <v/>
      </c>
      <c r="AK563">
        <f>H563+L563+P563+T563+X563</f>
        <v/>
      </c>
      <c r="AL563">
        <f>TEXT(EDATE($B$5,D563-1),"mmm yyyy")</f>
        <v/>
      </c>
      <c r="AM563">
        <f>AI563</f>
        <v/>
      </c>
    </row>
    <row r="564">
      <c r="D564" t="n">
        <v>503</v>
      </c>
      <c r="E564">
        <f>IF(G563&gt;0,MAX(0,G563*(1+$G$51)-$H$51),0)</f>
        <v/>
      </c>
      <c r="F564">
        <f>$B$6+IF($D564=$B$8,$B$7,0)</f>
        <v/>
      </c>
      <c r="G564">
        <f>IF(E564-F564&gt;1E-9,E564-F564,0)</f>
        <v/>
      </c>
      <c r="H564">
        <f>G563*$G$51</f>
        <v/>
      </c>
      <c r="I564">
        <f>IF(K563&gt;0,MAX(0,K563*(1+$G$52)-$H$52),0)</f>
        <v/>
      </c>
      <c r="J564">
        <f>MAX(0,F564-E564)</f>
        <v/>
      </c>
      <c r="K564">
        <f>IF(I564-J564&gt;1E-9,I564-J564,0)</f>
        <v/>
      </c>
      <c r="L564">
        <f>K563*$G$52</f>
        <v/>
      </c>
      <c r="M564">
        <f>IF(O563&gt;0,MAX(0,O563*(1+$G$53)-$H$53),0)</f>
        <v/>
      </c>
      <c r="N564">
        <f>MAX(0,J564-I564)</f>
        <v/>
      </c>
      <c r="O564">
        <f>IF(M564-N564&gt;1E-9,M564-N564,0)</f>
        <v/>
      </c>
      <c r="P564">
        <f>O563*$G$53</f>
        <v/>
      </c>
      <c r="Q564">
        <f>IF(S563&gt;0,MAX(0,S563*(1+$G$54)-$H$54),0)</f>
        <v/>
      </c>
      <c r="R564">
        <f>MAX(0,N564-M564)</f>
        <v/>
      </c>
      <c r="S564">
        <f>IF(Q564-R564&gt;1E-9,Q564-R564,0)</f>
        <v/>
      </c>
      <c r="T564">
        <f>S563*$G$54</f>
        <v/>
      </c>
      <c r="U564">
        <f>IF(W563&gt;0,MAX(0,W563*(1+$G$55)-$H$55),0)</f>
        <v/>
      </c>
      <c r="V564">
        <f>MAX(0,R564-Q564)</f>
        <v/>
      </c>
      <c r="W564">
        <f>IF(U564-V564&gt;1E-9,U564-V564,0)</f>
        <v/>
      </c>
      <c r="X564">
        <f>W563*$G$55</f>
        <v/>
      </c>
      <c r="Y564">
        <f>IF(Y563&gt;1E-9,IF(Y563*(1+$G$51)-MAX($B$9,0.01*Y563+Y563*$G$51)&gt;1E-9,Y563*(1+$G$51)-MAX($B$9,0.01*Y563+Y563*$G$51),0),0)</f>
        <v/>
      </c>
      <c r="Z564">
        <f>Y563*$G$51</f>
        <v/>
      </c>
      <c r="AA564">
        <f>IF(AA563&gt;1E-9,IF(AA563*(1+$G$52)-MAX($B$9,0.01*AA563+AA563*$G$52)&gt;1E-9,AA563*(1+$G$52)-MAX($B$9,0.01*AA563+AA563*$G$52),0),0)</f>
        <v/>
      </c>
      <c r="AB564">
        <f>AA563*$G$52</f>
        <v/>
      </c>
      <c r="AC564">
        <f>IF(AC563&gt;1E-9,IF(AC563*(1+$G$53)-MAX($B$9,0.01*AC563+AC563*$G$53)&gt;1E-9,AC563*(1+$G$53)-MAX($B$9,0.01*AC563+AC563*$G$53),0),0)</f>
        <v/>
      </c>
      <c r="AD564">
        <f>AC563*$G$53</f>
        <v/>
      </c>
      <c r="AE564">
        <f>IF(AE563&gt;1E-9,IF(AE563*(1+$G$54)-MAX($B$9,0.01*AE563+AE563*$G$54)&gt;1E-9,AE563*(1+$G$54)-MAX($B$9,0.01*AE563+AE563*$G$54),0),0)</f>
        <v/>
      </c>
      <c r="AF564">
        <f>AE563*$G$54</f>
        <v/>
      </c>
      <c r="AG564">
        <f>IF(AG563&gt;1E-9,IF(AG563*(1+$G$55)-MAX($B$9,0.01*AG563+AG563*$G$55)&gt;1E-9,AG563*(1+$G$55)-MAX($B$9,0.01*AG563+AG563*$G$55),0),0)</f>
        <v/>
      </c>
      <c r="AH564">
        <f>AG563*$G$55</f>
        <v/>
      </c>
      <c r="AI564">
        <f>G564+K564+O564+S564+W564</f>
        <v/>
      </c>
      <c r="AJ564">
        <f>AI563+AK564-AI564</f>
        <v/>
      </c>
      <c r="AK564">
        <f>H564+L564+P564+T564+X564</f>
        <v/>
      </c>
      <c r="AL564">
        <f>TEXT(EDATE($B$5,D564-1),"mmm yyyy")</f>
        <v/>
      </c>
      <c r="AM564">
        <f>AI564</f>
        <v/>
      </c>
    </row>
    <row r="565">
      <c r="D565" t="n">
        <v>504</v>
      </c>
      <c r="E565">
        <f>IF(G564&gt;0,MAX(0,G564*(1+$G$51)-$H$51),0)</f>
        <v/>
      </c>
      <c r="F565">
        <f>$B$6+IF($D565=$B$8,$B$7,0)</f>
        <v/>
      </c>
      <c r="G565">
        <f>IF(E565-F565&gt;1E-9,E565-F565,0)</f>
        <v/>
      </c>
      <c r="H565">
        <f>G564*$G$51</f>
        <v/>
      </c>
      <c r="I565">
        <f>IF(K564&gt;0,MAX(0,K564*(1+$G$52)-$H$52),0)</f>
        <v/>
      </c>
      <c r="J565">
        <f>MAX(0,F565-E565)</f>
        <v/>
      </c>
      <c r="K565">
        <f>IF(I565-J565&gt;1E-9,I565-J565,0)</f>
        <v/>
      </c>
      <c r="L565">
        <f>K564*$G$52</f>
        <v/>
      </c>
      <c r="M565">
        <f>IF(O564&gt;0,MAX(0,O564*(1+$G$53)-$H$53),0)</f>
        <v/>
      </c>
      <c r="N565">
        <f>MAX(0,J565-I565)</f>
        <v/>
      </c>
      <c r="O565">
        <f>IF(M565-N565&gt;1E-9,M565-N565,0)</f>
        <v/>
      </c>
      <c r="P565">
        <f>O564*$G$53</f>
        <v/>
      </c>
      <c r="Q565">
        <f>IF(S564&gt;0,MAX(0,S564*(1+$G$54)-$H$54),0)</f>
        <v/>
      </c>
      <c r="R565">
        <f>MAX(0,N565-M565)</f>
        <v/>
      </c>
      <c r="S565">
        <f>IF(Q565-R565&gt;1E-9,Q565-R565,0)</f>
        <v/>
      </c>
      <c r="T565">
        <f>S564*$G$54</f>
        <v/>
      </c>
      <c r="U565">
        <f>IF(W564&gt;0,MAX(0,W564*(1+$G$55)-$H$55),0)</f>
        <v/>
      </c>
      <c r="V565">
        <f>MAX(0,R565-Q565)</f>
        <v/>
      </c>
      <c r="W565">
        <f>IF(U565-V565&gt;1E-9,U565-V565,0)</f>
        <v/>
      </c>
      <c r="X565">
        <f>W564*$G$55</f>
        <v/>
      </c>
      <c r="Y565">
        <f>IF(Y564&gt;1E-9,IF(Y564*(1+$G$51)-MAX($B$9,0.01*Y564+Y564*$G$51)&gt;1E-9,Y564*(1+$G$51)-MAX($B$9,0.01*Y564+Y564*$G$51),0),0)</f>
        <v/>
      </c>
      <c r="Z565">
        <f>Y564*$G$51</f>
        <v/>
      </c>
      <c r="AA565">
        <f>IF(AA564&gt;1E-9,IF(AA564*(1+$G$52)-MAX($B$9,0.01*AA564+AA564*$G$52)&gt;1E-9,AA564*(1+$G$52)-MAX($B$9,0.01*AA564+AA564*$G$52),0),0)</f>
        <v/>
      </c>
      <c r="AB565">
        <f>AA564*$G$52</f>
        <v/>
      </c>
      <c r="AC565">
        <f>IF(AC564&gt;1E-9,IF(AC564*(1+$G$53)-MAX($B$9,0.01*AC564+AC564*$G$53)&gt;1E-9,AC564*(1+$G$53)-MAX($B$9,0.01*AC564+AC564*$G$53),0),0)</f>
        <v/>
      </c>
      <c r="AD565">
        <f>AC564*$G$53</f>
        <v/>
      </c>
      <c r="AE565">
        <f>IF(AE564&gt;1E-9,IF(AE564*(1+$G$54)-MAX($B$9,0.01*AE564+AE564*$G$54)&gt;1E-9,AE564*(1+$G$54)-MAX($B$9,0.01*AE564+AE564*$G$54),0),0)</f>
        <v/>
      </c>
      <c r="AF565">
        <f>AE564*$G$54</f>
        <v/>
      </c>
      <c r="AG565">
        <f>IF(AG564&gt;1E-9,IF(AG564*(1+$G$55)-MAX($B$9,0.01*AG564+AG564*$G$55)&gt;1E-9,AG564*(1+$G$55)-MAX($B$9,0.01*AG564+AG564*$G$55),0),0)</f>
        <v/>
      </c>
      <c r="AH565">
        <f>AG564*$G$55</f>
        <v/>
      </c>
      <c r="AI565">
        <f>G565+K565+O565+S565+W565</f>
        <v/>
      </c>
      <c r="AJ565">
        <f>AI564+AK565-AI565</f>
        <v/>
      </c>
      <c r="AK565">
        <f>H565+L565+P565+T565+X565</f>
        <v/>
      </c>
      <c r="AL565">
        <f>TEXT(EDATE($B$5,D565-1),"mmm yyyy")</f>
        <v/>
      </c>
      <c r="AM565">
        <f>AI565</f>
        <v/>
      </c>
    </row>
    <row r="566">
      <c r="D566" t="n">
        <v>505</v>
      </c>
      <c r="E566">
        <f>IF(G565&gt;0,MAX(0,G565*(1+$G$51)-$H$51),0)</f>
        <v/>
      </c>
      <c r="F566">
        <f>$B$6+IF($D566=$B$8,$B$7,0)</f>
        <v/>
      </c>
      <c r="G566">
        <f>IF(E566-F566&gt;1E-9,E566-F566,0)</f>
        <v/>
      </c>
      <c r="H566">
        <f>G565*$G$51</f>
        <v/>
      </c>
      <c r="I566">
        <f>IF(K565&gt;0,MAX(0,K565*(1+$G$52)-$H$52),0)</f>
        <v/>
      </c>
      <c r="J566">
        <f>MAX(0,F566-E566)</f>
        <v/>
      </c>
      <c r="K566">
        <f>IF(I566-J566&gt;1E-9,I566-J566,0)</f>
        <v/>
      </c>
      <c r="L566">
        <f>K565*$G$52</f>
        <v/>
      </c>
      <c r="M566">
        <f>IF(O565&gt;0,MAX(0,O565*(1+$G$53)-$H$53),0)</f>
        <v/>
      </c>
      <c r="N566">
        <f>MAX(0,J566-I566)</f>
        <v/>
      </c>
      <c r="O566">
        <f>IF(M566-N566&gt;1E-9,M566-N566,0)</f>
        <v/>
      </c>
      <c r="P566">
        <f>O565*$G$53</f>
        <v/>
      </c>
      <c r="Q566">
        <f>IF(S565&gt;0,MAX(0,S565*(1+$G$54)-$H$54),0)</f>
        <v/>
      </c>
      <c r="R566">
        <f>MAX(0,N566-M566)</f>
        <v/>
      </c>
      <c r="S566">
        <f>IF(Q566-R566&gt;1E-9,Q566-R566,0)</f>
        <v/>
      </c>
      <c r="T566">
        <f>S565*$G$54</f>
        <v/>
      </c>
      <c r="U566">
        <f>IF(W565&gt;0,MAX(0,W565*(1+$G$55)-$H$55),0)</f>
        <v/>
      </c>
      <c r="V566">
        <f>MAX(0,R566-Q566)</f>
        <v/>
      </c>
      <c r="W566">
        <f>IF(U566-V566&gt;1E-9,U566-V566,0)</f>
        <v/>
      </c>
      <c r="X566">
        <f>W565*$G$55</f>
        <v/>
      </c>
      <c r="Y566">
        <f>IF(Y565&gt;1E-9,IF(Y565*(1+$G$51)-MAX($B$9,0.01*Y565+Y565*$G$51)&gt;1E-9,Y565*(1+$G$51)-MAX($B$9,0.01*Y565+Y565*$G$51),0),0)</f>
        <v/>
      </c>
      <c r="Z566">
        <f>Y565*$G$51</f>
        <v/>
      </c>
      <c r="AA566">
        <f>IF(AA565&gt;1E-9,IF(AA565*(1+$G$52)-MAX($B$9,0.01*AA565+AA565*$G$52)&gt;1E-9,AA565*(1+$G$52)-MAX($B$9,0.01*AA565+AA565*$G$52),0),0)</f>
        <v/>
      </c>
      <c r="AB566">
        <f>AA565*$G$52</f>
        <v/>
      </c>
      <c r="AC566">
        <f>IF(AC565&gt;1E-9,IF(AC565*(1+$G$53)-MAX($B$9,0.01*AC565+AC565*$G$53)&gt;1E-9,AC565*(1+$G$53)-MAX($B$9,0.01*AC565+AC565*$G$53),0),0)</f>
        <v/>
      </c>
      <c r="AD566">
        <f>AC565*$G$53</f>
        <v/>
      </c>
      <c r="AE566">
        <f>IF(AE565&gt;1E-9,IF(AE565*(1+$G$54)-MAX($B$9,0.01*AE565+AE565*$G$54)&gt;1E-9,AE565*(1+$G$54)-MAX($B$9,0.01*AE565+AE565*$G$54),0),0)</f>
        <v/>
      </c>
      <c r="AF566">
        <f>AE565*$G$54</f>
        <v/>
      </c>
      <c r="AG566">
        <f>IF(AG565&gt;1E-9,IF(AG565*(1+$G$55)-MAX($B$9,0.01*AG565+AG565*$G$55)&gt;1E-9,AG565*(1+$G$55)-MAX($B$9,0.01*AG565+AG565*$G$55),0),0)</f>
        <v/>
      </c>
      <c r="AH566">
        <f>AG565*$G$55</f>
        <v/>
      </c>
      <c r="AI566">
        <f>G566+K566+O566+S566+W566</f>
        <v/>
      </c>
      <c r="AJ566">
        <f>AI565+AK566-AI566</f>
        <v/>
      </c>
      <c r="AK566">
        <f>H566+L566+P566+T566+X566</f>
        <v/>
      </c>
      <c r="AL566">
        <f>TEXT(EDATE($B$5,D566-1),"mmm yyyy")</f>
        <v/>
      </c>
      <c r="AM566">
        <f>AI566</f>
        <v/>
      </c>
    </row>
    <row r="567">
      <c r="D567" t="n">
        <v>506</v>
      </c>
      <c r="E567">
        <f>IF(G566&gt;0,MAX(0,G566*(1+$G$51)-$H$51),0)</f>
        <v/>
      </c>
      <c r="F567">
        <f>$B$6+IF($D567=$B$8,$B$7,0)</f>
        <v/>
      </c>
      <c r="G567">
        <f>IF(E567-F567&gt;1E-9,E567-F567,0)</f>
        <v/>
      </c>
      <c r="H567">
        <f>G566*$G$51</f>
        <v/>
      </c>
      <c r="I567">
        <f>IF(K566&gt;0,MAX(0,K566*(1+$G$52)-$H$52),0)</f>
        <v/>
      </c>
      <c r="J567">
        <f>MAX(0,F567-E567)</f>
        <v/>
      </c>
      <c r="K567">
        <f>IF(I567-J567&gt;1E-9,I567-J567,0)</f>
        <v/>
      </c>
      <c r="L567">
        <f>K566*$G$52</f>
        <v/>
      </c>
      <c r="M567">
        <f>IF(O566&gt;0,MAX(0,O566*(1+$G$53)-$H$53),0)</f>
        <v/>
      </c>
      <c r="N567">
        <f>MAX(0,J567-I567)</f>
        <v/>
      </c>
      <c r="O567">
        <f>IF(M567-N567&gt;1E-9,M567-N567,0)</f>
        <v/>
      </c>
      <c r="P567">
        <f>O566*$G$53</f>
        <v/>
      </c>
      <c r="Q567">
        <f>IF(S566&gt;0,MAX(0,S566*(1+$G$54)-$H$54),0)</f>
        <v/>
      </c>
      <c r="R567">
        <f>MAX(0,N567-M567)</f>
        <v/>
      </c>
      <c r="S567">
        <f>IF(Q567-R567&gt;1E-9,Q567-R567,0)</f>
        <v/>
      </c>
      <c r="T567">
        <f>S566*$G$54</f>
        <v/>
      </c>
      <c r="U567">
        <f>IF(W566&gt;0,MAX(0,W566*(1+$G$55)-$H$55),0)</f>
        <v/>
      </c>
      <c r="V567">
        <f>MAX(0,R567-Q567)</f>
        <v/>
      </c>
      <c r="W567">
        <f>IF(U567-V567&gt;1E-9,U567-V567,0)</f>
        <v/>
      </c>
      <c r="X567">
        <f>W566*$G$55</f>
        <v/>
      </c>
      <c r="Y567">
        <f>IF(Y566&gt;1E-9,IF(Y566*(1+$G$51)-MAX($B$9,0.01*Y566+Y566*$G$51)&gt;1E-9,Y566*(1+$G$51)-MAX($B$9,0.01*Y566+Y566*$G$51),0),0)</f>
        <v/>
      </c>
      <c r="Z567">
        <f>Y566*$G$51</f>
        <v/>
      </c>
      <c r="AA567">
        <f>IF(AA566&gt;1E-9,IF(AA566*(1+$G$52)-MAX($B$9,0.01*AA566+AA566*$G$52)&gt;1E-9,AA566*(1+$G$52)-MAX($B$9,0.01*AA566+AA566*$G$52),0),0)</f>
        <v/>
      </c>
      <c r="AB567">
        <f>AA566*$G$52</f>
        <v/>
      </c>
      <c r="AC567">
        <f>IF(AC566&gt;1E-9,IF(AC566*(1+$G$53)-MAX($B$9,0.01*AC566+AC566*$G$53)&gt;1E-9,AC566*(1+$G$53)-MAX($B$9,0.01*AC566+AC566*$G$53),0),0)</f>
        <v/>
      </c>
      <c r="AD567">
        <f>AC566*$G$53</f>
        <v/>
      </c>
      <c r="AE567">
        <f>IF(AE566&gt;1E-9,IF(AE566*(1+$G$54)-MAX($B$9,0.01*AE566+AE566*$G$54)&gt;1E-9,AE566*(1+$G$54)-MAX($B$9,0.01*AE566+AE566*$G$54),0),0)</f>
        <v/>
      </c>
      <c r="AF567">
        <f>AE566*$G$54</f>
        <v/>
      </c>
      <c r="AG567">
        <f>IF(AG566&gt;1E-9,IF(AG566*(1+$G$55)-MAX($B$9,0.01*AG566+AG566*$G$55)&gt;1E-9,AG566*(1+$G$55)-MAX($B$9,0.01*AG566+AG566*$G$55),0),0)</f>
        <v/>
      </c>
      <c r="AH567">
        <f>AG566*$G$55</f>
        <v/>
      </c>
      <c r="AI567">
        <f>G567+K567+O567+S567+W567</f>
        <v/>
      </c>
      <c r="AJ567">
        <f>AI566+AK567-AI567</f>
        <v/>
      </c>
      <c r="AK567">
        <f>H567+L567+P567+T567+X567</f>
        <v/>
      </c>
      <c r="AL567">
        <f>TEXT(EDATE($B$5,D567-1),"mmm yyyy")</f>
        <v/>
      </c>
      <c r="AM567">
        <f>AI567</f>
        <v/>
      </c>
    </row>
    <row r="568">
      <c r="D568" t="n">
        <v>507</v>
      </c>
      <c r="E568">
        <f>IF(G567&gt;0,MAX(0,G567*(1+$G$51)-$H$51),0)</f>
        <v/>
      </c>
      <c r="F568">
        <f>$B$6+IF($D568=$B$8,$B$7,0)</f>
        <v/>
      </c>
      <c r="G568">
        <f>IF(E568-F568&gt;1E-9,E568-F568,0)</f>
        <v/>
      </c>
      <c r="H568">
        <f>G567*$G$51</f>
        <v/>
      </c>
      <c r="I568">
        <f>IF(K567&gt;0,MAX(0,K567*(1+$G$52)-$H$52),0)</f>
        <v/>
      </c>
      <c r="J568">
        <f>MAX(0,F568-E568)</f>
        <v/>
      </c>
      <c r="K568">
        <f>IF(I568-J568&gt;1E-9,I568-J568,0)</f>
        <v/>
      </c>
      <c r="L568">
        <f>K567*$G$52</f>
        <v/>
      </c>
      <c r="M568">
        <f>IF(O567&gt;0,MAX(0,O567*(1+$G$53)-$H$53),0)</f>
        <v/>
      </c>
      <c r="N568">
        <f>MAX(0,J568-I568)</f>
        <v/>
      </c>
      <c r="O568">
        <f>IF(M568-N568&gt;1E-9,M568-N568,0)</f>
        <v/>
      </c>
      <c r="P568">
        <f>O567*$G$53</f>
        <v/>
      </c>
      <c r="Q568">
        <f>IF(S567&gt;0,MAX(0,S567*(1+$G$54)-$H$54),0)</f>
        <v/>
      </c>
      <c r="R568">
        <f>MAX(0,N568-M568)</f>
        <v/>
      </c>
      <c r="S568">
        <f>IF(Q568-R568&gt;1E-9,Q568-R568,0)</f>
        <v/>
      </c>
      <c r="T568">
        <f>S567*$G$54</f>
        <v/>
      </c>
      <c r="U568">
        <f>IF(W567&gt;0,MAX(0,W567*(1+$G$55)-$H$55),0)</f>
        <v/>
      </c>
      <c r="V568">
        <f>MAX(0,R568-Q568)</f>
        <v/>
      </c>
      <c r="W568">
        <f>IF(U568-V568&gt;1E-9,U568-V568,0)</f>
        <v/>
      </c>
      <c r="X568">
        <f>W567*$G$55</f>
        <v/>
      </c>
      <c r="Y568">
        <f>IF(Y567&gt;1E-9,IF(Y567*(1+$G$51)-MAX($B$9,0.01*Y567+Y567*$G$51)&gt;1E-9,Y567*(1+$G$51)-MAX($B$9,0.01*Y567+Y567*$G$51),0),0)</f>
        <v/>
      </c>
      <c r="Z568">
        <f>Y567*$G$51</f>
        <v/>
      </c>
      <c r="AA568">
        <f>IF(AA567&gt;1E-9,IF(AA567*(1+$G$52)-MAX($B$9,0.01*AA567+AA567*$G$52)&gt;1E-9,AA567*(1+$G$52)-MAX($B$9,0.01*AA567+AA567*$G$52),0),0)</f>
        <v/>
      </c>
      <c r="AB568">
        <f>AA567*$G$52</f>
        <v/>
      </c>
      <c r="AC568">
        <f>IF(AC567&gt;1E-9,IF(AC567*(1+$G$53)-MAX($B$9,0.01*AC567+AC567*$G$53)&gt;1E-9,AC567*(1+$G$53)-MAX($B$9,0.01*AC567+AC567*$G$53),0),0)</f>
        <v/>
      </c>
      <c r="AD568">
        <f>AC567*$G$53</f>
        <v/>
      </c>
      <c r="AE568">
        <f>IF(AE567&gt;1E-9,IF(AE567*(1+$G$54)-MAX($B$9,0.01*AE567+AE567*$G$54)&gt;1E-9,AE567*(1+$G$54)-MAX($B$9,0.01*AE567+AE567*$G$54),0),0)</f>
        <v/>
      </c>
      <c r="AF568">
        <f>AE567*$G$54</f>
        <v/>
      </c>
      <c r="AG568">
        <f>IF(AG567&gt;1E-9,IF(AG567*(1+$G$55)-MAX($B$9,0.01*AG567+AG567*$G$55)&gt;1E-9,AG567*(1+$G$55)-MAX($B$9,0.01*AG567+AG567*$G$55),0),0)</f>
        <v/>
      </c>
      <c r="AH568">
        <f>AG567*$G$55</f>
        <v/>
      </c>
      <c r="AI568">
        <f>G568+K568+O568+S568+W568</f>
        <v/>
      </c>
      <c r="AJ568">
        <f>AI567+AK568-AI568</f>
        <v/>
      </c>
      <c r="AK568">
        <f>H568+L568+P568+T568+X568</f>
        <v/>
      </c>
      <c r="AL568">
        <f>TEXT(EDATE($B$5,D568-1),"mmm yyyy")</f>
        <v/>
      </c>
      <c r="AM568">
        <f>AI568</f>
        <v/>
      </c>
    </row>
    <row r="569">
      <c r="D569" t="n">
        <v>508</v>
      </c>
      <c r="E569">
        <f>IF(G568&gt;0,MAX(0,G568*(1+$G$51)-$H$51),0)</f>
        <v/>
      </c>
      <c r="F569">
        <f>$B$6+IF($D569=$B$8,$B$7,0)</f>
        <v/>
      </c>
      <c r="G569">
        <f>IF(E569-F569&gt;1E-9,E569-F569,0)</f>
        <v/>
      </c>
      <c r="H569">
        <f>G568*$G$51</f>
        <v/>
      </c>
      <c r="I569">
        <f>IF(K568&gt;0,MAX(0,K568*(1+$G$52)-$H$52),0)</f>
        <v/>
      </c>
      <c r="J569">
        <f>MAX(0,F569-E569)</f>
        <v/>
      </c>
      <c r="K569">
        <f>IF(I569-J569&gt;1E-9,I569-J569,0)</f>
        <v/>
      </c>
      <c r="L569">
        <f>K568*$G$52</f>
        <v/>
      </c>
      <c r="M569">
        <f>IF(O568&gt;0,MAX(0,O568*(1+$G$53)-$H$53),0)</f>
        <v/>
      </c>
      <c r="N569">
        <f>MAX(0,J569-I569)</f>
        <v/>
      </c>
      <c r="O569">
        <f>IF(M569-N569&gt;1E-9,M569-N569,0)</f>
        <v/>
      </c>
      <c r="P569">
        <f>O568*$G$53</f>
        <v/>
      </c>
      <c r="Q569">
        <f>IF(S568&gt;0,MAX(0,S568*(1+$G$54)-$H$54),0)</f>
        <v/>
      </c>
      <c r="R569">
        <f>MAX(0,N569-M569)</f>
        <v/>
      </c>
      <c r="S569">
        <f>IF(Q569-R569&gt;1E-9,Q569-R569,0)</f>
        <v/>
      </c>
      <c r="T569">
        <f>S568*$G$54</f>
        <v/>
      </c>
      <c r="U569">
        <f>IF(W568&gt;0,MAX(0,W568*(1+$G$55)-$H$55),0)</f>
        <v/>
      </c>
      <c r="V569">
        <f>MAX(0,R569-Q569)</f>
        <v/>
      </c>
      <c r="W569">
        <f>IF(U569-V569&gt;1E-9,U569-V569,0)</f>
        <v/>
      </c>
      <c r="X569">
        <f>W568*$G$55</f>
        <v/>
      </c>
      <c r="Y569">
        <f>IF(Y568&gt;1E-9,IF(Y568*(1+$G$51)-MAX($B$9,0.01*Y568+Y568*$G$51)&gt;1E-9,Y568*(1+$G$51)-MAX($B$9,0.01*Y568+Y568*$G$51),0),0)</f>
        <v/>
      </c>
      <c r="Z569">
        <f>Y568*$G$51</f>
        <v/>
      </c>
      <c r="AA569">
        <f>IF(AA568&gt;1E-9,IF(AA568*(1+$G$52)-MAX($B$9,0.01*AA568+AA568*$G$52)&gt;1E-9,AA568*(1+$G$52)-MAX($B$9,0.01*AA568+AA568*$G$52),0),0)</f>
        <v/>
      </c>
      <c r="AB569">
        <f>AA568*$G$52</f>
        <v/>
      </c>
      <c r="AC569">
        <f>IF(AC568&gt;1E-9,IF(AC568*(1+$G$53)-MAX($B$9,0.01*AC568+AC568*$G$53)&gt;1E-9,AC568*(1+$G$53)-MAX($B$9,0.01*AC568+AC568*$G$53),0),0)</f>
        <v/>
      </c>
      <c r="AD569">
        <f>AC568*$G$53</f>
        <v/>
      </c>
      <c r="AE569">
        <f>IF(AE568&gt;1E-9,IF(AE568*(1+$G$54)-MAX($B$9,0.01*AE568+AE568*$G$54)&gt;1E-9,AE568*(1+$G$54)-MAX($B$9,0.01*AE568+AE568*$G$54),0),0)</f>
        <v/>
      </c>
      <c r="AF569">
        <f>AE568*$G$54</f>
        <v/>
      </c>
      <c r="AG569">
        <f>IF(AG568&gt;1E-9,IF(AG568*(1+$G$55)-MAX($B$9,0.01*AG568+AG568*$G$55)&gt;1E-9,AG568*(1+$G$55)-MAX($B$9,0.01*AG568+AG568*$G$55),0),0)</f>
        <v/>
      </c>
      <c r="AH569">
        <f>AG568*$G$55</f>
        <v/>
      </c>
      <c r="AI569">
        <f>G569+K569+O569+S569+W569</f>
        <v/>
      </c>
      <c r="AJ569">
        <f>AI568+AK569-AI569</f>
        <v/>
      </c>
      <c r="AK569">
        <f>H569+L569+P569+T569+X569</f>
        <v/>
      </c>
      <c r="AL569">
        <f>TEXT(EDATE($B$5,D569-1),"mmm yyyy")</f>
        <v/>
      </c>
      <c r="AM569">
        <f>AI569</f>
        <v/>
      </c>
    </row>
    <row r="570">
      <c r="D570" t="n">
        <v>509</v>
      </c>
      <c r="E570">
        <f>IF(G569&gt;0,MAX(0,G569*(1+$G$51)-$H$51),0)</f>
        <v/>
      </c>
      <c r="F570">
        <f>$B$6+IF($D570=$B$8,$B$7,0)</f>
        <v/>
      </c>
      <c r="G570">
        <f>IF(E570-F570&gt;1E-9,E570-F570,0)</f>
        <v/>
      </c>
      <c r="H570">
        <f>G569*$G$51</f>
        <v/>
      </c>
      <c r="I570">
        <f>IF(K569&gt;0,MAX(0,K569*(1+$G$52)-$H$52),0)</f>
        <v/>
      </c>
      <c r="J570">
        <f>MAX(0,F570-E570)</f>
        <v/>
      </c>
      <c r="K570">
        <f>IF(I570-J570&gt;1E-9,I570-J570,0)</f>
        <v/>
      </c>
      <c r="L570">
        <f>K569*$G$52</f>
        <v/>
      </c>
      <c r="M570">
        <f>IF(O569&gt;0,MAX(0,O569*(1+$G$53)-$H$53),0)</f>
        <v/>
      </c>
      <c r="N570">
        <f>MAX(0,J570-I570)</f>
        <v/>
      </c>
      <c r="O570">
        <f>IF(M570-N570&gt;1E-9,M570-N570,0)</f>
        <v/>
      </c>
      <c r="P570">
        <f>O569*$G$53</f>
        <v/>
      </c>
      <c r="Q570">
        <f>IF(S569&gt;0,MAX(0,S569*(1+$G$54)-$H$54),0)</f>
        <v/>
      </c>
      <c r="R570">
        <f>MAX(0,N570-M570)</f>
        <v/>
      </c>
      <c r="S570">
        <f>IF(Q570-R570&gt;1E-9,Q570-R570,0)</f>
        <v/>
      </c>
      <c r="T570">
        <f>S569*$G$54</f>
        <v/>
      </c>
      <c r="U570">
        <f>IF(W569&gt;0,MAX(0,W569*(1+$G$55)-$H$55),0)</f>
        <v/>
      </c>
      <c r="V570">
        <f>MAX(0,R570-Q570)</f>
        <v/>
      </c>
      <c r="W570">
        <f>IF(U570-V570&gt;1E-9,U570-V570,0)</f>
        <v/>
      </c>
      <c r="X570">
        <f>W569*$G$55</f>
        <v/>
      </c>
      <c r="Y570">
        <f>IF(Y569&gt;1E-9,IF(Y569*(1+$G$51)-MAX($B$9,0.01*Y569+Y569*$G$51)&gt;1E-9,Y569*(1+$G$51)-MAX($B$9,0.01*Y569+Y569*$G$51),0),0)</f>
        <v/>
      </c>
      <c r="Z570">
        <f>Y569*$G$51</f>
        <v/>
      </c>
      <c r="AA570">
        <f>IF(AA569&gt;1E-9,IF(AA569*(1+$G$52)-MAX($B$9,0.01*AA569+AA569*$G$52)&gt;1E-9,AA569*(1+$G$52)-MAX($B$9,0.01*AA569+AA569*$G$52),0),0)</f>
        <v/>
      </c>
      <c r="AB570">
        <f>AA569*$G$52</f>
        <v/>
      </c>
      <c r="AC570">
        <f>IF(AC569&gt;1E-9,IF(AC569*(1+$G$53)-MAX($B$9,0.01*AC569+AC569*$G$53)&gt;1E-9,AC569*(1+$G$53)-MAX($B$9,0.01*AC569+AC569*$G$53),0),0)</f>
        <v/>
      </c>
      <c r="AD570">
        <f>AC569*$G$53</f>
        <v/>
      </c>
      <c r="AE570">
        <f>IF(AE569&gt;1E-9,IF(AE569*(1+$G$54)-MAX($B$9,0.01*AE569+AE569*$G$54)&gt;1E-9,AE569*(1+$G$54)-MAX($B$9,0.01*AE569+AE569*$G$54),0),0)</f>
        <v/>
      </c>
      <c r="AF570">
        <f>AE569*$G$54</f>
        <v/>
      </c>
      <c r="AG570">
        <f>IF(AG569&gt;1E-9,IF(AG569*(1+$G$55)-MAX($B$9,0.01*AG569+AG569*$G$55)&gt;1E-9,AG569*(1+$G$55)-MAX($B$9,0.01*AG569+AG569*$G$55),0),0)</f>
        <v/>
      </c>
      <c r="AH570">
        <f>AG569*$G$55</f>
        <v/>
      </c>
      <c r="AI570">
        <f>G570+K570+O570+S570+W570</f>
        <v/>
      </c>
      <c r="AJ570">
        <f>AI569+AK570-AI570</f>
        <v/>
      </c>
      <c r="AK570">
        <f>H570+L570+P570+T570+X570</f>
        <v/>
      </c>
      <c r="AL570">
        <f>TEXT(EDATE($B$5,D570-1),"mmm yyyy")</f>
        <v/>
      </c>
      <c r="AM570">
        <f>AI570</f>
        <v/>
      </c>
    </row>
    <row r="571">
      <c r="D571" t="n">
        <v>510</v>
      </c>
      <c r="E571">
        <f>IF(G570&gt;0,MAX(0,G570*(1+$G$51)-$H$51),0)</f>
        <v/>
      </c>
      <c r="F571">
        <f>$B$6+IF($D571=$B$8,$B$7,0)</f>
        <v/>
      </c>
      <c r="G571">
        <f>IF(E571-F571&gt;1E-9,E571-F571,0)</f>
        <v/>
      </c>
      <c r="H571">
        <f>G570*$G$51</f>
        <v/>
      </c>
      <c r="I571">
        <f>IF(K570&gt;0,MAX(0,K570*(1+$G$52)-$H$52),0)</f>
        <v/>
      </c>
      <c r="J571">
        <f>MAX(0,F571-E571)</f>
        <v/>
      </c>
      <c r="K571">
        <f>IF(I571-J571&gt;1E-9,I571-J571,0)</f>
        <v/>
      </c>
      <c r="L571">
        <f>K570*$G$52</f>
        <v/>
      </c>
      <c r="M571">
        <f>IF(O570&gt;0,MAX(0,O570*(1+$G$53)-$H$53),0)</f>
        <v/>
      </c>
      <c r="N571">
        <f>MAX(0,J571-I571)</f>
        <v/>
      </c>
      <c r="O571">
        <f>IF(M571-N571&gt;1E-9,M571-N571,0)</f>
        <v/>
      </c>
      <c r="P571">
        <f>O570*$G$53</f>
        <v/>
      </c>
      <c r="Q571">
        <f>IF(S570&gt;0,MAX(0,S570*(1+$G$54)-$H$54),0)</f>
        <v/>
      </c>
      <c r="R571">
        <f>MAX(0,N571-M571)</f>
        <v/>
      </c>
      <c r="S571">
        <f>IF(Q571-R571&gt;1E-9,Q571-R571,0)</f>
        <v/>
      </c>
      <c r="T571">
        <f>S570*$G$54</f>
        <v/>
      </c>
      <c r="U571">
        <f>IF(W570&gt;0,MAX(0,W570*(1+$G$55)-$H$55),0)</f>
        <v/>
      </c>
      <c r="V571">
        <f>MAX(0,R571-Q571)</f>
        <v/>
      </c>
      <c r="W571">
        <f>IF(U571-V571&gt;1E-9,U571-V571,0)</f>
        <v/>
      </c>
      <c r="X571">
        <f>W570*$G$55</f>
        <v/>
      </c>
      <c r="Y571">
        <f>IF(Y570&gt;1E-9,IF(Y570*(1+$G$51)-MAX($B$9,0.01*Y570+Y570*$G$51)&gt;1E-9,Y570*(1+$G$51)-MAX($B$9,0.01*Y570+Y570*$G$51),0),0)</f>
        <v/>
      </c>
      <c r="Z571">
        <f>Y570*$G$51</f>
        <v/>
      </c>
      <c r="AA571">
        <f>IF(AA570&gt;1E-9,IF(AA570*(1+$G$52)-MAX($B$9,0.01*AA570+AA570*$G$52)&gt;1E-9,AA570*(1+$G$52)-MAX($B$9,0.01*AA570+AA570*$G$52),0),0)</f>
        <v/>
      </c>
      <c r="AB571">
        <f>AA570*$G$52</f>
        <v/>
      </c>
      <c r="AC571">
        <f>IF(AC570&gt;1E-9,IF(AC570*(1+$G$53)-MAX($B$9,0.01*AC570+AC570*$G$53)&gt;1E-9,AC570*(1+$G$53)-MAX($B$9,0.01*AC570+AC570*$G$53),0),0)</f>
        <v/>
      </c>
      <c r="AD571">
        <f>AC570*$G$53</f>
        <v/>
      </c>
      <c r="AE571">
        <f>IF(AE570&gt;1E-9,IF(AE570*(1+$G$54)-MAX($B$9,0.01*AE570+AE570*$G$54)&gt;1E-9,AE570*(1+$G$54)-MAX($B$9,0.01*AE570+AE570*$G$54),0),0)</f>
        <v/>
      </c>
      <c r="AF571">
        <f>AE570*$G$54</f>
        <v/>
      </c>
      <c r="AG571">
        <f>IF(AG570&gt;1E-9,IF(AG570*(1+$G$55)-MAX($B$9,0.01*AG570+AG570*$G$55)&gt;1E-9,AG570*(1+$G$55)-MAX($B$9,0.01*AG570+AG570*$G$55),0),0)</f>
        <v/>
      </c>
      <c r="AH571">
        <f>AG570*$G$55</f>
        <v/>
      </c>
      <c r="AI571">
        <f>G571+K571+O571+S571+W571</f>
        <v/>
      </c>
      <c r="AJ571">
        <f>AI570+AK571-AI571</f>
        <v/>
      </c>
      <c r="AK571">
        <f>H571+L571+P571+T571+X571</f>
        <v/>
      </c>
      <c r="AL571">
        <f>TEXT(EDATE($B$5,D571-1),"mmm yyyy")</f>
        <v/>
      </c>
      <c r="AM571">
        <f>AI571</f>
        <v/>
      </c>
    </row>
    <row r="572">
      <c r="D572" t="n">
        <v>511</v>
      </c>
      <c r="E572">
        <f>IF(G571&gt;0,MAX(0,G571*(1+$G$51)-$H$51),0)</f>
        <v/>
      </c>
      <c r="F572">
        <f>$B$6+IF($D572=$B$8,$B$7,0)</f>
        <v/>
      </c>
      <c r="G572">
        <f>IF(E572-F572&gt;1E-9,E572-F572,0)</f>
        <v/>
      </c>
      <c r="H572">
        <f>G571*$G$51</f>
        <v/>
      </c>
      <c r="I572">
        <f>IF(K571&gt;0,MAX(0,K571*(1+$G$52)-$H$52),0)</f>
        <v/>
      </c>
      <c r="J572">
        <f>MAX(0,F572-E572)</f>
        <v/>
      </c>
      <c r="K572">
        <f>IF(I572-J572&gt;1E-9,I572-J572,0)</f>
        <v/>
      </c>
      <c r="L572">
        <f>K571*$G$52</f>
        <v/>
      </c>
      <c r="M572">
        <f>IF(O571&gt;0,MAX(0,O571*(1+$G$53)-$H$53),0)</f>
        <v/>
      </c>
      <c r="N572">
        <f>MAX(0,J572-I572)</f>
        <v/>
      </c>
      <c r="O572">
        <f>IF(M572-N572&gt;1E-9,M572-N572,0)</f>
        <v/>
      </c>
      <c r="P572">
        <f>O571*$G$53</f>
        <v/>
      </c>
      <c r="Q572">
        <f>IF(S571&gt;0,MAX(0,S571*(1+$G$54)-$H$54),0)</f>
        <v/>
      </c>
      <c r="R572">
        <f>MAX(0,N572-M572)</f>
        <v/>
      </c>
      <c r="S572">
        <f>IF(Q572-R572&gt;1E-9,Q572-R572,0)</f>
        <v/>
      </c>
      <c r="T572">
        <f>S571*$G$54</f>
        <v/>
      </c>
      <c r="U572">
        <f>IF(W571&gt;0,MAX(0,W571*(1+$G$55)-$H$55),0)</f>
        <v/>
      </c>
      <c r="V572">
        <f>MAX(0,R572-Q572)</f>
        <v/>
      </c>
      <c r="W572">
        <f>IF(U572-V572&gt;1E-9,U572-V572,0)</f>
        <v/>
      </c>
      <c r="X572">
        <f>W571*$G$55</f>
        <v/>
      </c>
      <c r="Y572">
        <f>IF(Y571&gt;1E-9,IF(Y571*(1+$G$51)-MAX($B$9,0.01*Y571+Y571*$G$51)&gt;1E-9,Y571*(1+$G$51)-MAX($B$9,0.01*Y571+Y571*$G$51),0),0)</f>
        <v/>
      </c>
      <c r="Z572">
        <f>Y571*$G$51</f>
        <v/>
      </c>
      <c r="AA572">
        <f>IF(AA571&gt;1E-9,IF(AA571*(1+$G$52)-MAX($B$9,0.01*AA571+AA571*$G$52)&gt;1E-9,AA571*(1+$G$52)-MAX($B$9,0.01*AA571+AA571*$G$52),0),0)</f>
        <v/>
      </c>
      <c r="AB572">
        <f>AA571*$G$52</f>
        <v/>
      </c>
      <c r="AC572">
        <f>IF(AC571&gt;1E-9,IF(AC571*(1+$G$53)-MAX($B$9,0.01*AC571+AC571*$G$53)&gt;1E-9,AC571*(1+$G$53)-MAX($B$9,0.01*AC571+AC571*$G$53),0),0)</f>
        <v/>
      </c>
      <c r="AD572">
        <f>AC571*$G$53</f>
        <v/>
      </c>
      <c r="AE572">
        <f>IF(AE571&gt;1E-9,IF(AE571*(1+$G$54)-MAX($B$9,0.01*AE571+AE571*$G$54)&gt;1E-9,AE571*(1+$G$54)-MAX($B$9,0.01*AE571+AE571*$G$54),0),0)</f>
        <v/>
      </c>
      <c r="AF572">
        <f>AE571*$G$54</f>
        <v/>
      </c>
      <c r="AG572">
        <f>IF(AG571&gt;1E-9,IF(AG571*(1+$G$55)-MAX($B$9,0.01*AG571+AG571*$G$55)&gt;1E-9,AG571*(1+$G$55)-MAX($B$9,0.01*AG571+AG571*$G$55),0),0)</f>
        <v/>
      </c>
      <c r="AH572">
        <f>AG571*$G$55</f>
        <v/>
      </c>
      <c r="AI572">
        <f>G572+K572+O572+S572+W572</f>
        <v/>
      </c>
      <c r="AJ572">
        <f>AI571+AK572-AI572</f>
        <v/>
      </c>
      <c r="AK572">
        <f>H572+L572+P572+T572+X572</f>
        <v/>
      </c>
      <c r="AL572">
        <f>TEXT(EDATE($B$5,D572-1),"mmm yyyy")</f>
        <v/>
      </c>
      <c r="AM572">
        <f>AI572</f>
        <v/>
      </c>
    </row>
    <row r="573">
      <c r="D573" t="n">
        <v>512</v>
      </c>
      <c r="E573">
        <f>IF(G572&gt;0,MAX(0,G572*(1+$G$51)-$H$51),0)</f>
        <v/>
      </c>
      <c r="F573">
        <f>$B$6+IF($D573=$B$8,$B$7,0)</f>
        <v/>
      </c>
      <c r="G573">
        <f>IF(E573-F573&gt;1E-9,E573-F573,0)</f>
        <v/>
      </c>
      <c r="H573">
        <f>G572*$G$51</f>
        <v/>
      </c>
      <c r="I573">
        <f>IF(K572&gt;0,MAX(0,K572*(1+$G$52)-$H$52),0)</f>
        <v/>
      </c>
      <c r="J573">
        <f>MAX(0,F573-E573)</f>
        <v/>
      </c>
      <c r="K573">
        <f>IF(I573-J573&gt;1E-9,I573-J573,0)</f>
        <v/>
      </c>
      <c r="L573">
        <f>K572*$G$52</f>
        <v/>
      </c>
      <c r="M573">
        <f>IF(O572&gt;0,MAX(0,O572*(1+$G$53)-$H$53),0)</f>
        <v/>
      </c>
      <c r="N573">
        <f>MAX(0,J573-I573)</f>
        <v/>
      </c>
      <c r="O573">
        <f>IF(M573-N573&gt;1E-9,M573-N573,0)</f>
        <v/>
      </c>
      <c r="P573">
        <f>O572*$G$53</f>
        <v/>
      </c>
      <c r="Q573">
        <f>IF(S572&gt;0,MAX(0,S572*(1+$G$54)-$H$54),0)</f>
        <v/>
      </c>
      <c r="R573">
        <f>MAX(0,N573-M573)</f>
        <v/>
      </c>
      <c r="S573">
        <f>IF(Q573-R573&gt;1E-9,Q573-R573,0)</f>
        <v/>
      </c>
      <c r="T573">
        <f>S572*$G$54</f>
        <v/>
      </c>
      <c r="U573">
        <f>IF(W572&gt;0,MAX(0,W572*(1+$G$55)-$H$55),0)</f>
        <v/>
      </c>
      <c r="V573">
        <f>MAX(0,R573-Q573)</f>
        <v/>
      </c>
      <c r="W573">
        <f>IF(U573-V573&gt;1E-9,U573-V573,0)</f>
        <v/>
      </c>
      <c r="X573">
        <f>W572*$G$55</f>
        <v/>
      </c>
      <c r="Y573">
        <f>IF(Y572&gt;1E-9,IF(Y572*(1+$G$51)-MAX($B$9,0.01*Y572+Y572*$G$51)&gt;1E-9,Y572*(1+$G$51)-MAX($B$9,0.01*Y572+Y572*$G$51),0),0)</f>
        <v/>
      </c>
      <c r="Z573">
        <f>Y572*$G$51</f>
        <v/>
      </c>
      <c r="AA573">
        <f>IF(AA572&gt;1E-9,IF(AA572*(1+$G$52)-MAX($B$9,0.01*AA572+AA572*$G$52)&gt;1E-9,AA572*(1+$G$52)-MAX($B$9,0.01*AA572+AA572*$G$52),0),0)</f>
        <v/>
      </c>
      <c r="AB573">
        <f>AA572*$G$52</f>
        <v/>
      </c>
      <c r="AC573">
        <f>IF(AC572&gt;1E-9,IF(AC572*(1+$G$53)-MAX($B$9,0.01*AC572+AC572*$G$53)&gt;1E-9,AC572*(1+$G$53)-MAX($B$9,0.01*AC572+AC572*$G$53),0),0)</f>
        <v/>
      </c>
      <c r="AD573">
        <f>AC572*$G$53</f>
        <v/>
      </c>
      <c r="AE573">
        <f>IF(AE572&gt;1E-9,IF(AE572*(1+$G$54)-MAX($B$9,0.01*AE572+AE572*$G$54)&gt;1E-9,AE572*(1+$G$54)-MAX($B$9,0.01*AE572+AE572*$G$54),0),0)</f>
        <v/>
      </c>
      <c r="AF573">
        <f>AE572*$G$54</f>
        <v/>
      </c>
      <c r="AG573">
        <f>IF(AG572&gt;1E-9,IF(AG572*(1+$G$55)-MAX($B$9,0.01*AG572+AG572*$G$55)&gt;1E-9,AG572*(1+$G$55)-MAX($B$9,0.01*AG572+AG572*$G$55),0),0)</f>
        <v/>
      </c>
      <c r="AH573">
        <f>AG572*$G$55</f>
        <v/>
      </c>
      <c r="AI573">
        <f>G573+K573+O573+S573+W573</f>
        <v/>
      </c>
      <c r="AJ573">
        <f>AI572+AK573-AI573</f>
        <v/>
      </c>
      <c r="AK573">
        <f>H573+L573+P573+T573+X573</f>
        <v/>
      </c>
      <c r="AL573">
        <f>TEXT(EDATE($B$5,D573-1),"mmm yyyy")</f>
        <v/>
      </c>
      <c r="AM573">
        <f>AI573</f>
        <v/>
      </c>
    </row>
    <row r="574">
      <c r="D574" t="n">
        <v>513</v>
      </c>
      <c r="E574">
        <f>IF(G573&gt;0,MAX(0,G573*(1+$G$51)-$H$51),0)</f>
        <v/>
      </c>
      <c r="F574">
        <f>$B$6+IF($D574=$B$8,$B$7,0)</f>
        <v/>
      </c>
      <c r="G574">
        <f>IF(E574-F574&gt;1E-9,E574-F574,0)</f>
        <v/>
      </c>
      <c r="H574">
        <f>G573*$G$51</f>
        <v/>
      </c>
      <c r="I574">
        <f>IF(K573&gt;0,MAX(0,K573*(1+$G$52)-$H$52),0)</f>
        <v/>
      </c>
      <c r="J574">
        <f>MAX(0,F574-E574)</f>
        <v/>
      </c>
      <c r="K574">
        <f>IF(I574-J574&gt;1E-9,I574-J574,0)</f>
        <v/>
      </c>
      <c r="L574">
        <f>K573*$G$52</f>
        <v/>
      </c>
      <c r="M574">
        <f>IF(O573&gt;0,MAX(0,O573*(1+$G$53)-$H$53),0)</f>
        <v/>
      </c>
      <c r="N574">
        <f>MAX(0,J574-I574)</f>
        <v/>
      </c>
      <c r="O574">
        <f>IF(M574-N574&gt;1E-9,M574-N574,0)</f>
        <v/>
      </c>
      <c r="P574">
        <f>O573*$G$53</f>
        <v/>
      </c>
      <c r="Q574">
        <f>IF(S573&gt;0,MAX(0,S573*(1+$G$54)-$H$54),0)</f>
        <v/>
      </c>
      <c r="R574">
        <f>MAX(0,N574-M574)</f>
        <v/>
      </c>
      <c r="S574">
        <f>IF(Q574-R574&gt;1E-9,Q574-R574,0)</f>
        <v/>
      </c>
      <c r="T574">
        <f>S573*$G$54</f>
        <v/>
      </c>
      <c r="U574">
        <f>IF(W573&gt;0,MAX(0,W573*(1+$G$55)-$H$55),0)</f>
        <v/>
      </c>
      <c r="V574">
        <f>MAX(0,R574-Q574)</f>
        <v/>
      </c>
      <c r="W574">
        <f>IF(U574-V574&gt;1E-9,U574-V574,0)</f>
        <v/>
      </c>
      <c r="X574">
        <f>W573*$G$55</f>
        <v/>
      </c>
      <c r="Y574">
        <f>IF(Y573&gt;1E-9,IF(Y573*(1+$G$51)-MAX($B$9,0.01*Y573+Y573*$G$51)&gt;1E-9,Y573*(1+$G$51)-MAX($B$9,0.01*Y573+Y573*$G$51),0),0)</f>
        <v/>
      </c>
      <c r="Z574">
        <f>Y573*$G$51</f>
        <v/>
      </c>
      <c r="AA574">
        <f>IF(AA573&gt;1E-9,IF(AA573*(1+$G$52)-MAX($B$9,0.01*AA573+AA573*$G$52)&gt;1E-9,AA573*(1+$G$52)-MAX($B$9,0.01*AA573+AA573*$G$52),0),0)</f>
        <v/>
      </c>
      <c r="AB574">
        <f>AA573*$G$52</f>
        <v/>
      </c>
      <c r="AC574">
        <f>IF(AC573&gt;1E-9,IF(AC573*(1+$G$53)-MAX($B$9,0.01*AC573+AC573*$G$53)&gt;1E-9,AC573*(1+$G$53)-MAX($B$9,0.01*AC573+AC573*$G$53),0),0)</f>
        <v/>
      </c>
      <c r="AD574">
        <f>AC573*$G$53</f>
        <v/>
      </c>
      <c r="AE574">
        <f>IF(AE573&gt;1E-9,IF(AE573*(1+$G$54)-MAX($B$9,0.01*AE573+AE573*$G$54)&gt;1E-9,AE573*(1+$G$54)-MAX($B$9,0.01*AE573+AE573*$G$54),0),0)</f>
        <v/>
      </c>
      <c r="AF574">
        <f>AE573*$G$54</f>
        <v/>
      </c>
      <c r="AG574">
        <f>IF(AG573&gt;1E-9,IF(AG573*(1+$G$55)-MAX($B$9,0.01*AG573+AG573*$G$55)&gt;1E-9,AG573*(1+$G$55)-MAX($B$9,0.01*AG573+AG573*$G$55),0),0)</f>
        <v/>
      </c>
      <c r="AH574">
        <f>AG573*$G$55</f>
        <v/>
      </c>
      <c r="AI574">
        <f>G574+K574+O574+S574+W574</f>
        <v/>
      </c>
      <c r="AJ574">
        <f>AI573+AK574-AI574</f>
        <v/>
      </c>
      <c r="AK574">
        <f>H574+L574+P574+T574+X574</f>
        <v/>
      </c>
      <c r="AL574">
        <f>TEXT(EDATE($B$5,D574-1),"mmm yyyy")</f>
        <v/>
      </c>
      <c r="AM574">
        <f>AI574</f>
        <v/>
      </c>
    </row>
    <row r="575">
      <c r="D575" t="n">
        <v>514</v>
      </c>
      <c r="E575">
        <f>IF(G574&gt;0,MAX(0,G574*(1+$G$51)-$H$51),0)</f>
        <v/>
      </c>
      <c r="F575">
        <f>$B$6+IF($D575=$B$8,$B$7,0)</f>
        <v/>
      </c>
      <c r="G575">
        <f>IF(E575-F575&gt;1E-9,E575-F575,0)</f>
        <v/>
      </c>
      <c r="H575">
        <f>G574*$G$51</f>
        <v/>
      </c>
      <c r="I575">
        <f>IF(K574&gt;0,MAX(0,K574*(1+$G$52)-$H$52),0)</f>
        <v/>
      </c>
      <c r="J575">
        <f>MAX(0,F575-E575)</f>
        <v/>
      </c>
      <c r="K575">
        <f>IF(I575-J575&gt;1E-9,I575-J575,0)</f>
        <v/>
      </c>
      <c r="L575">
        <f>K574*$G$52</f>
        <v/>
      </c>
      <c r="M575">
        <f>IF(O574&gt;0,MAX(0,O574*(1+$G$53)-$H$53),0)</f>
        <v/>
      </c>
      <c r="N575">
        <f>MAX(0,J575-I575)</f>
        <v/>
      </c>
      <c r="O575">
        <f>IF(M575-N575&gt;1E-9,M575-N575,0)</f>
        <v/>
      </c>
      <c r="P575">
        <f>O574*$G$53</f>
        <v/>
      </c>
      <c r="Q575">
        <f>IF(S574&gt;0,MAX(0,S574*(1+$G$54)-$H$54),0)</f>
        <v/>
      </c>
      <c r="R575">
        <f>MAX(0,N575-M575)</f>
        <v/>
      </c>
      <c r="S575">
        <f>IF(Q575-R575&gt;1E-9,Q575-R575,0)</f>
        <v/>
      </c>
      <c r="T575">
        <f>S574*$G$54</f>
        <v/>
      </c>
      <c r="U575">
        <f>IF(W574&gt;0,MAX(0,W574*(1+$G$55)-$H$55),0)</f>
        <v/>
      </c>
      <c r="V575">
        <f>MAX(0,R575-Q575)</f>
        <v/>
      </c>
      <c r="W575">
        <f>IF(U575-V575&gt;1E-9,U575-V575,0)</f>
        <v/>
      </c>
      <c r="X575">
        <f>W574*$G$55</f>
        <v/>
      </c>
      <c r="Y575">
        <f>IF(Y574&gt;1E-9,IF(Y574*(1+$G$51)-MAX($B$9,0.01*Y574+Y574*$G$51)&gt;1E-9,Y574*(1+$G$51)-MAX($B$9,0.01*Y574+Y574*$G$51),0),0)</f>
        <v/>
      </c>
      <c r="Z575">
        <f>Y574*$G$51</f>
        <v/>
      </c>
      <c r="AA575">
        <f>IF(AA574&gt;1E-9,IF(AA574*(1+$G$52)-MAX($B$9,0.01*AA574+AA574*$G$52)&gt;1E-9,AA574*(1+$G$52)-MAX($B$9,0.01*AA574+AA574*$G$52),0),0)</f>
        <v/>
      </c>
      <c r="AB575">
        <f>AA574*$G$52</f>
        <v/>
      </c>
      <c r="AC575">
        <f>IF(AC574&gt;1E-9,IF(AC574*(1+$G$53)-MAX($B$9,0.01*AC574+AC574*$G$53)&gt;1E-9,AC574*(1+$G$53)-MAX($B$9,0.01*AC574+AC574*$G$53),0),0)</f>
        <v/>
      </c>
      <c r="AD575">
        <f>AC574*$G$53</f>
        <v/>
      </c>
      <c r="AE575">
        <f>IF(AE574&gt;1E-9,IF(AE574*(1+$G$54)-MAX($B$9,0.01*AE574+AE574*$G$54)&gt;1E-9,AE574*(1+$G$54)-MAX($B$9,0.01*AE574+AE574*$G$54),0),0)</f>
        <v/>
      </c>
      <c r="AF575">
        <f>AE574*$G$54</f>
        <v/>
      </c>
      <c r="AG575">
        <f>IF(AG574&gt;1E-9,IF(AG574*(1+$G$55)-MAX($B$9,0.01*AG574+AG574*$G$55)&gt;1E-9,AG574*(1+$G$55)-MAX($B$9,0.01*AG574+AG574*$G$55),0),0)</f>
        <v/>
      </c>
      <c r="AH575">
        <f>AG574*$G$55</f>
        <v/>
      </c>
      <c r="AI575">
        <f>G575+K575+O575+S575+W575</f>
        <v/>
      </c>
      <c r="AJ575">
        <f>AI574+AK575-AI575</f>
        <v/>
      </c>
      <c r="AK575">
        <f>H575+L575+P575+T575+X575</f>
        <v/>
      </c>
      <c r="AL575">
        <f>TEXT(EDATE($B$5,D575-1),"mmm yyyy")</f>
        <v/>
      </c>
      <c r="AM575">
        <f>AI575</f>
        <v/>
      </c>
    </row>
    <row r="576">
      <c r="D576" t="n">
        <v>515</v>
      </c>
      <c r="E576">
        <f>IF(G575&gt;0,MAX(0,G575*(1+$G$51)-$H$51),0)</f>
        <v/>
      </c>
      <c r="F576">
        <f>$B$6+IF($D576=$B$8,$B$7,0)</f>
        <v/>
      </c>
      <c r="G576">
        <f>IF(E576-F576&gt;1E-9,E576-F576,0)</f>
        <v/>
      </c>
      <c r="H576">
        <f>G575*$G$51</f>
        <v/>
      </c>
      <c r="I576">
        <f>IF(K575&gt;0,MAX(0,K575*(1+$G$52)-$H$52),0)</f>
        <v/>
      </c>
      <c r="J576">
        <f>MAX(0,F576-E576)</f>
        <v/>
      </c>
      <c r="K576">
        <f>IF(I576-J576&gt;1E-9,I576-J576,0)</f>
        <v/>
      </c>
      <c r="L576">
        <f>K575*$G$52</f>
        <v/>
      </c>
      <c r="M576">
        <f>IF(O575&gt;0,MAX(0,O575*(1+$G$53)-$H$53),0)</f>
        <v/>
      </c>
      <c r="N576">
        <f>MAX(0,J576-I576)</f>
        <v/>
      </c>
      <c r="O576">
        <f>IF(M576-N576&gt;1E-9,M576-N576,0)</f>
        <v/>
      </c>
      <c r="P576">
        <f>O575*$G$53</f>
        <v/>
      </c>
      <c r="Q576">
        <f>IF(S575&gt;0,MAX(0,S575*(1+$G$54)-$H$54),0)</f>
        <v/>
      </c>
      <c r="R576">
        <f>MAX(0,N576-M576)</f>
        <v/>
      </c>
      <c r="S576">
        <f>IF(Q576-R576&gt;1E-9,Q576-R576,0)</f>
        <v/>
      </c>
      <c r="T576">
        <f>S575*$G$54</f>
        <v/>
      </c>
      <c r="U576">
        <f>IF(W575&gt;0,MAX(0,W575*(1+$G$55)-$H$55),0)</f>
        <v/>
      </c>
      <c r="V576">
        <f>MAX(0,R576-Q576)</f>
        <v/>
      </c>
      <c r="W576">
        <f>IF(U576-V576&gt;1E-9,U576-V576,0)</f>
        <v/>
      </c>
      <c r="X576">
        <f>W575*$G$55</f>
        <v/>
      </c>
      <c r="Y576">
        <f>IF(Y575&gt;1E-9,IF(Y575*(1+$G$51)-MAX($B$9,0.01*Y575+Y575*$G$51)&gt;1E-9,Y575*(1+$G$51)-MAX($B$9,0.01*Y575+Y575*$G$51),0),0)</f>
        <v/>
      </c>
      <c r="Z576">
        <f>Y575*$G$51</f>
        <v/>
      </c>
      <c r="AA576">
        <f>IF(AA575&gt;1E-9,IF(AA575*(1+$G$52)-MAX($B$9,0.01*AA575+AA575*$G$52)&gt;1E-9,AA575*(1+$G$52)-MAX($B$9,0.01*AA575+AA575*$G$52),0),0)</f>
        <v/>
      </c>
      <c r="AB576">
        <f>AA575*$G$52</f>
        <v/>
      </c>
      <c r="AC576">
        <f>IF(AC575&gt;1E-9,IF(AC575*(1+$G$53)-MAX($B$9,0.01*AC575+AC575*$G$53)&gt;1E-9,AC575*(1+$G$53)-MAX($B$9,0.01*AC575+AC575*$G$53),0),0)</f>
        <v/>
      </c>
      <c r="AD576">
        <f>AC575*$G$53</f>
        <v/>
      </c>
      <c r="AE576">
        <f>IF(AE575&gt;1E-9,IF(AE575*(1+$G$54)-MAX($B$9,0.01*AE575+AE575*$G$54)&gt;1E-9,AE575*(1+$G$54)-MAX($B$9,0.01*AE575+AE575*$G$54),0),0)</f>
        <v/>
      </c>
      <c r="AF576">
        <f>AE575*$G$54</f>
        <v/>
      </c>
      <c r="AG576">
        <f>IF(AG575&gt;1E-9,IF(AG575*(1+$G$55)-MAX($B$9,0.01*AG575+AG575*$G$55)&gt;1E-9,AG575*(1+$G$55)-MAX($B$9,0.01*AG575+AG575*$G$55),0),0)</f>
        <v/>
      </c>
      <c r="AH576">
        <f>AG575*$G$55</f>
        <v/>
      </c>
      <c r="AI576">
        <f>G576+K576+O576+S576+W576</f>
        <v/>
      </c>
      <c r="AJ576">
        <f>AI575+AK576-AI576</f>
        <v/>
      </c>
      <c r="AK576">
        <f>H576+L576+P576+T576+X576</f>
        <v/>
      </c>
      <c r="AL576">
        <f>TEXT(EDATE($B$5,D576-1),"mmm yyyy")</f>
        <v/>
      </c>
      <c r="AM576">
        <f>AI576</f>
        <v/>
      </c>
    </row>
    <row r="577">
      <c r="D577" t="n">
        <v>516</v>
      </c>
      <c r="E577">
        <f>IF(G576&gt;0,MAX(0,G576*(1+$G$51)-$H$51),0)</f>
        <v/>
      </c>
      <c r="F577">
        <f>$B$6+IF($D577=$B$8,$B$7,0)</f>
        <v/>
      </c>
      <c r="G577">
        <f>IF(E577-F577&gt;1E-9,E577-F577,0)</f>
        <v/>
      </c>
      <c r="H577">
        <f>G576*$G$51</f>
        <v/>
      </c>
      <c r="I577">
        <f>IF(K576&gt;0,MAX(0,K576*(1+$G$52)-$H$52),0)</f>
        <v/>
      </c>
      <c r="J577">
        <f>MAX(0,F577-E577)</f>
        <v/>
      </c>
      <c r="K577">
        <f>IF(I577-J577&gt;1E-9,I577-J577,0)</f>
        <v/>
      </c>
      <c r="L577">
        <f>K576*$G$52</f>
        <v/>
      </c>
      <c r="M577">
        <f>IF(O576&gt;0,MAX(0,O576*(1+$G$53)-$H$53),0)</f>
        <v/>
      </c>
      <c r="N577">
        <f>MAX(0,J577-I577)</f>
        <v/>
      </c>
      <c r="O577">
        <f>IF(M577-N577&gt;1E-9,M577-N577,0)</f>
        <v/>
      </c>
      <c r="P577">
        <f>O576*$G$53</f>
        <v/>
      </c>
      <c r="Q577">
        <f>IF(S576&gt;0,MAX(0,S576*(1+$G$54)-$H$54),0)</f>
        <v/>
      </c>
      <c r="R577">
        <f>MAX(0,N577-M577)</f>
        <v/>
      </c>
      <c r="S577">
        <f>IF(Q577-R577&gt;1E-9,Q577-R577,0)</f>
        <v/>
      </c>
      <c r="T577">
        <f>S576*$G$54</f>
        <v/>
      </c>
      <c r="U577">
        <f>IF(W576&gt;0,MAX(0,W576*(1+$G$55)-$H$55),0)</f>
        <v/>
      </c>
      <c r="V577">
        <f>MAX(0,R577-Q577)</f>
        <v/>
      </c>
      <c r="W577">
        <f>IF(U577-V577&gt;1E-9,U577-V577,0)</f>
        <v/>
      </c>
      <c r="X577">
        <f>W576*$G$55</f>
        <v/>
      </c>
      <c r="Y577">
        <f>IF(Y576&gt;1E-9,IF(Y576*(1+$G$51)-MAX($B$9,0.01*Y576+Y576*$G$51)&gt;1E-9,Y576*(1+$G$51)-MAX($B$9,0.01*Y576+Y576*$G$51),0),0)</f>
        <v/>
      </c>
      <c r="Z577">
        <f>Y576*$G$51</f>
        <v/>
      </c>
      <c r="AA577">
        <f>IF(AA576&gt;1E-9,IF(AA576*(1+$G$52)-MAX($B$9,0.01*AA576+AA576*$G$52)&gt;1E-9,AA576*(1+$G$52)-MAX($B$9,0.01*AA576+AA576*$G$52),0),0)</f>
        <v/>
      </c>
      <c r="AB577">
        <f>AA576*$G$52</f>
        <v/>
      </c>
      <c r="AC577">
        <f>IF(AC576&gt;1E-9,IF(AC576*(1+$G$53)-MAX($B$9,0.01*AC576+AC576*$G$53)&gt;1E-9,AC576*(1+$G$53)-MAX($B$9,0.01*AC576+AC576*$G$53),0),0)</f>
        <v/>
      </c>
      <c r="AD577">
        <f>AC576*$G$53</f>
        <v/>
      </c>
      <c r="AE577">
        <f>IF(AE576&gt;1E-9,IF(AE576*(1+$G$54)-MAX($B$9,0.01*AE576+AE576*$G$54)&gt;1E-9,AE576*(1+$G$54)-MAX($B$9,0.01*AE576+AE576*$G$54),0),0)</f>
        <v/>
      </c>
      <c r="AF577">
        <f>AE576*$G$54</f>
        <v/>
      </c>
      <c r="AG577">
        <f>IF(AG576&gt;1E-9,IF(AG576*(1+$G$55)-MAX($B$9,0.01*AG576+AG576*$G$55)&gt;1E-9,AG576*(1+$G$55)-MAX($B$9,0.01*AG576+AG576*$G$55),0),0)</f>
        <v/>
      </c>
      <c r="AH577">
        <f>AG576*$G$55</f>
        <v/>
      </c>
      <c r="AI577">
        <f>G577+K577+O577+S577+W577</f>
        <v/>
      </c>
      <c r="AJ577">
        <f>AI576+AK577-AI577</f>
        <v/>
      </c>
      <c r="AK577">
        <f>H577+L577+P577+T577+X577</f>
        <v/>
      </c>
      <c r="AL577">
        <f>TEXT(EDATE($B$5,D577-1),"mmm yyyy")</f>
        <v/>
      </c>
      <c r="AM577">
        <f>AI577</f>
        <v/>
      </c>
    </row>
    <row r="578">
      <c r="D578" t="n">
        <v>517</v>
      </c>
      <c r="E578">
        <f>IF(G577&gt;0,MAX(0,G577*(1+$G$51)-$H$51),0)</f>
        <v/>
      </c>
      <c r="F578">
        <f>$B$6+IF($D578=$B$8,$B$7,0)</f>
        <v/>
      </c>
      <c r="G578">
        <f>IF(E578-F578&gt;1E-9,E578-F578,0)</f>
        <v/>
      </c>
      <c r="H578">
        <f>G577*$G$51</f>
        <v/>
      </c>
      <c r="I578">
        <f>IF(K577&gt;0,MAX(0,K577*(1+$G$52)-$H$52),0)</f>
        <v/>
      </c>
      <c r="J578">
        <f>MAX(0,F578-E578)</f>
        <v/>
      </c>
      <c r="K578">
        <f>IF(I578-J578&gt;1E-9,I578-J578,0)</f>
        <v/>
      </c>
      <c r="L578">
        <f>K577*$G$52</f>
        <v/>
      </c>
      <c r="M578">
        <f>IF(O577&gt;0,MAX(0,O577*(1+$G$53)-$H$53),0)</f>
        <v/>
      </c>
      <c r="N578">
        <f>MAX(0,J578-I578)</f>
        <v/>
      </c>
      <c r="O578">
        <f>IF(M578-N578&gt;1E-9,M578-N578,0)</f>
        <v/>
      </c>
      <c r="P578">
        <f>O577*$G$53</f>
        <v/>
      </c>
      <c r="Q578">
        <f>IF(S577&gt;0,MAX(0,S577*(1+$G$54)-$H$54),0)</f>
        <v/>
      </c>
      <c r="R578">
        <f>MAX(0,N578-M578)</f>
        <v/>
      </c>
      <c r="S578">
        <f>IF(Q578-R578&gt;1E-9,Q578-R578,0)</f>
        <v/>
      </c>
      <c r="T578">
        <f>S577*$G$54</f>
        <v/>
      </c>
      <c r="U578">
        <f>IF(W577&gt;0,MAX(0,W577*(1+$G$55)-$H$55),0)</f>
        <v/>
      </c>
      <c r="V578">
        <f>MAX(0,R578-Q578)</f>
        <v/>
      </c>
      <c r="W578">
        <f>IF(U578-V578&gt;1E-9,U578-V578,0)</f>
        <v/>
      </c>
      <c r="X578">
        <f>W577*$G$55</f>
        <v/>
      </c>
      <c r="Y578">
        <f>IF(Y577&gt;1E-9,IF(Y577*(1+$G$51)-MAX($B$9,0.01*Y577+Y577*$G$51)&gt;1E-9,Y577*(1+$G$51)-MAX($B$9,0.01*Y577+Y577*$G$51),0),0)</f>
        <v/>
      </c>
      <c r="Z578">
        <f>Y577*$G$51</f>
        <v/>
      </c>
      <c r="AA578">
        <f>IF(AA577&gt;1E-9,IF(AA577*(1+$G$52)-MAX($B$9,0.01*AA577+AA577*$G$52)&gt;1E-9,AA577*(1+$G$52)-MAX($B$9,0.01*AA577+AA577*$G$52),0),0)</f>
        <v/>
      </c>
      <c r="AB578">
        <f>AA577*$G$52</f>
        <v/>
      </c>
      <c r="AC578">
        <f>IF(AC577&gt;1E-9,IF(AC577*(1+$G$53)-MAX($B$9,0.01*AC577+AC577*$G$53)&gt;1E-9,AC577*(1+$G$53)-MAX($B$9,0.01*AC577+AC577*$G$53),0),0)</f>
        <v/>
      </c>
      <c r="AD578">
        <f>AC577*$G$53</f>
        <v/>
      </c>
      <c r="AE578">
        <f>IF(AE577&gt;1E-9,IF(AE577*(1+$G$54)-MAX($B$9,0.01*AE577+AE577*$G$54)&gt;1E-9,AE577*(1+$G$54)-MAX($B$9,0.01*AE577+AE577*$G$54),0),0)</f>
        <v/>
      </c>
      <c r="AF578">
        <f>AE577*$G$54</f>
        <v/>
      </c>
      <c r="AG578">
        <f>IF(AG577&gt;1E-9,IF(AG577*(1+$G$55)-MAX($B$9,0.01*AG577+AG577*$G$55)&gt;1E-9,AG577*(1+$G$55)-MAX($B$9,0.01*AG577+AG577*$G$55),0),0)</f>
        <v/>
      </c>
      <c r="AH578">
        <f>AG577*$G$55</f>
        <v/>
      </c>
      <c r="AI578">
        <f>G578+K578+O578+S578+W578</f>
        <v/>
      </c>
      <c r="AJ578">
        <f>AI577+AK578-AI578</f>
        <v/>
      </c>
      <c r="AK578">
        <f>H578+L578+P578+T578+X578</f>
        <v/>
      </c>
      <c r="AL578">
        <f>TEXT(EDATE($B$5,D578-1),"mmm yyyy")</f>
        <v/>
      </c>
      <c r="AM578">
        <f>AI578</f>
        <v/>
      </c>
    </row>
    <row r="579">
      <c r="D579" t="n">
        <v>518</v>
      </c>
      <c r="E579">
        <f>IF(G578&gt;0,MAX(0,G578*(1+$G$51)-$H$51),0)</f>
        <v/>
      </c>
      <c r="F579">
        <f>$B$6+IF($D579=$B$8,$B$7,0)</f>
        <v/>
      </c>
      <c r="G579">
        <f>IF(E579-F579&gt;1E-9,E579-F579,0)</f>
        <v/>
      </c>
      <c r="H579">
        <f>G578*$G$51</f>
        <v/>
      </c>
      <c r="I579">
        <f>IF(K578&gt;0,MAX(0,K578*(1+$G$52)-$H$52),0)</f>
        <v/>
      </c>
      <c r="J579">
        <f>MAX(0,F579-E579)</f>
        <v/>
      </c>
      <c r="K579">
        <f>IF(I579-J579&gt;1E-9,I579-J579,0)</f>
        <v/>
      </c>
      <c r="L579">
        <f>K578*$G$52</f>
        <v/>
      </c>
      <c r="M579">
        <f>IF(O578&gt;0,MAX(0,O578*(1+$G$53)-$H$53),0)</f>
        <v/>
      </c>
      <c r="N579">
        <f>MAX(0,J579-I579)</f>
        <v/>
      </c>
      <c r="O579">
        <f>IF(M579-N579&gt;1E-9,M579-N579,0)</f>
        <v/>
      </c>
      <c r="P579">
        <f>O578*$G$53</f>
        <v/>
      </c>
      <c r="Q579">
        <f>IF(S578&gt;0,MAX(0,S578*(1+$G$54)-$H$54),0)</f>
        <v/>
      </c>
      <c r="R579">
        <f>MAX(0,N579-M579)</f>
        <v/>
      </c>
      <c r="S579">
        <f>IF(Q579-R579&gt;1E-9,Q579-R579,0)</f>
        <v/>
      </c>
      <c r="T579">
        <f>S578*$G$54</f>
        <v/>
      </c>
      <c r="U579">
        <f>IF(W578&gt;0,MAX(0,W578*(1+$G$55)-$H$55),0)</f>
        <v/>
      </c>
      <c r="V579">
        <f>MAX(0,R579-Q579)</f>
        <v/>
      </c>
      <c r="W579">
        <f>IF(U579-V579&gt;1E-9,U579-V579,0)</f>
        <v/>
      </c>
      <c r="X579">
        <f>W578*$G$55</f>
        <v/>
      </c>
      <c r="Y579">
        <f>IF(Y578&gt;1E-9,IF(Y578*(1+$G$51)-MAX($B$9,0.01*Y578+Y578*$G$51)&gt;1E-9,Y578*(1+$G$51)-MAX($B$9,0.01*Y578+Y578*$G$51),0),0)</f>
        <v/>
      </c>
      <c r="Z579">
        <f>Y578*$G$51</f>
        <v/>
      </c>
      <c r="AA579">
        <f>IF(AA578&gt;1E-9,IF(AA578*(1+$G$52)-MAX($B$9,0.01*AA578+AA578*$G$52)&gt;1E-9,AA578*(1+$G$52)-MAX($B$9,0.01*AA578+AA578*$G$52),0),0)</f>
        <v/>
      </c>
      <c r="AB579">
        <f>AA578*$G$52</f>
        <v/>
      </c>
      <c r="AC579">
        <f>IF(AC578&gt;1E-9,IF(AC578*(1+$G$53)-MAX($B$9,0.01*AC578+AC578*$G$53)&gt;1E-9,AC578*(1+$G$53)-MAX($B$9,0.01*AC578+AC578*$G$53),0),0)</f>
        <v/>
      </c>
      <c r="AD579">
        <f>AC578*$G$53</f>
        <v/>
      </c>
      <c r="AE579">
        <f>IF(AE578&gt;1E-9,IF(AE578*(1+$G$54)-MAX($B$9,0.01*AE578+AE578*$G$54)&gt;1E-9,AE578*(1+$G$54)-MAX($B$9,0.01*AE578+AE578*$G$54),0),0)</f>
        <v/>
      </c>
      <c r="AF579">
        <f>AE578*$G$54</f>
        <v/>
      </c>
      <c r="AG579">
        <f>IF(AG578&gt;1E-9,IF(AG578*(1+$G$55)-MAX($B$9,0.01*AG578+AG578*$G$55)&gt;1E-9,AG578*(1+$G$55)-MAX($B$9,0.01*AG578+AG578*$G$55),0),0)</f>
        <v/>
      </c>
      <c r="AH579">
        <f>AG578*$G$55</f>
        <v/>
      </c>
      <c r="AI579">
        <f>G579+K579+O579+S579+W579</f>
        <v/>
      </c>
      <c r="AJ579">
        <f>AI578+AK579-AI579</f>
        <v/>
      </c>
      <c r="AK579">
        <f>H579+L579+P579+T579+X579</f>
        <v/>
      </c>
      <c r="AL579">
        <f>TEXT(EDATE($B$5,D579-1),"mmm yyyy")</f>
        <v/>
      </c>
      <c r="AM579">
        <f>AI579</f>
        <v/>
      </c>
    </row>
    <row r="580">
      <c r="D580" t="n">
        <v>519</v>
      </c>
      <c r="E580">
        <f>IF(G579&gt;0,MAX(0,G579*(1+$G$51)-$H$51),0)</f>
        <v/>
      </c>
      <c r="F580">
        <f>$B$6+IF($D580=$B$8,$B$7,0)</f>
        <v/>
      </c>
      <c r="G580">
        <f>IF(E580-F580&gt;1E-9,E580-F580,0)</f>
        <v/>
      </c>
      <c r="H580">
        <f>G579*$G$51</f>
        <v/>
      </c>
      <c r="I580">
        <f>IF(K579&gt;0,MAX(0,K579*(1+$G$52)-$H$52),0)</f>
        <v/>
      </c>
      <c r="J580">
        <f>MAX(0,F580-E580)</f>
        <v/>
      </c>
      <c r="K580">
        <f>IF(I580-J580&gt;1E-9,I580-J580,0)</f>
        <v/>
      </c>
      <c r="L580">
        <f>K579*$G$52</f>
        <v/>
      </c>
      <c r="M580">
        <f>IF(O579&gt;0,MAX(0,O579*(1+$G$53)-$H$53),0)</f>
        <v/>
      </c>
      <c r="N580">
        <f>MAX(0,J580-I580)</f>
        <v/>
      </c>
      <c r="O580">
        <f>IF(M580-N580&gt;1E-9,M580-N580,0)</f>
        <v/>
      </c>
      <c r="P580">
        <f>O579*$G$53</f>
        <v/>
      </c>
      <c r="Q580">
        <f>IF(S579&gt;0,MAX(0,S579*(1+$G$54)-$H$54),0)</f>
        <v/>
      </c>
      <c r="R580">
        <f>MAX(0,N580-M580)</f>
        <v/>
      </c>
      <c r="S580">
        <f>IF(Q580-R580&gt;1E-9,Q580-R580,0)</f>
        <v/>
      </c>
      <c r="T580">
        <f>S579*$G$54</f>
        <v/>
      </c>
      <c r="U580">
        <f>IF(W579&gt;0,MAX(0,W579*(1+$G$55)-$H$55),0)</f>
        <v/>
      </c>
      <c r="V580">
        <f>MAX(0,R580-Q580)</f>
        <v/>
      </c>
      <c r="W580">
        <f>IF(U580-V580&gt;1E-9,U580-V580,0)</f>
        <v/>
      </c>
      <c r="X580">
        <f>W579*$G$55</f>
        <v/>
      </c>
      <c r="Y580">
        <f>IF(Y579&gt;1E-9,IF(Y579*(1+$G$51)-MAX($B$9,0.01*Y579+Y579*$G$51)&gt;1E-9,Y579*(1+$G$51)-MAX($B$9,0.01*Y579+Y579*$G$51),0),0)</f>
        <v/>
      </c>
      <c r="Z580">
        <f>Y579*$G$51</f>
        <v/>
      </c>
      <c r="AA580">
        <f>IF(AA579&gt;1E-9,IF(AA579*(1+$G$52)-MAX($B$9,0.01*AA579+AA579*$G$52)&gt;1E-9,AA579*(1+$G$52)-MAX($B$9,0.01*AA579+AA579*$G$52),0),0)</f>
        <v/>
      </c>
      <c r="AB580">
        <f>AA579*$G$52</f>
        <v/>
      </c>
      <c r="AC580">
        <f>IF(AC579&gt;1E-9,IF(AC579*(1+$G$53)-MAX($B$9,0.01*AC579+AC579*$G$53)&gt;1E-9,AC579*(1+$G$53)-MAX($B$9,0.01*AC579+AC579*$G$53),0),0)</f>
        <v/>
      </c>
      <c r="AD580">
        <f>AC579*$G$53</f>
        <v/>
      </c>
      <c r="AE580">
        <f>IF(AE579&gt;1E-9,IF(AE579*(1+$G$54)-MAX($B$9,0.01*AE579+AE579*$G$54)&gt;1E-9,AE579*(1+$G$54)-MAX($B$9,0.01*AE579+AE579*$G$54),0),0)</f>
        <v/>
      </c>
      <c r="AF580">
        <f>AE579*$G$54</f>
        <v/>
      </c>
      <c r="AG580">
        <f>IF(AG579&gt;1E-9,IF(AG579*(1+$G$55)-MAX($B$9,0.01*AG579+AG579*$G$55)&gt;1E-9,AG579*(1+$G$55)-MAX($B$9,0.01*AG579+AG579*$G$55),0),0)</f>
        <v/>
      </c>
      <c r="AH580">
        <f>AG579*$G$55</f>
        <v/>
      </c>
      <c r="AI580">
        <f>G580+K580+O580+S580+W580</f>
        <v/>
      </c>
      <c r="AJ580">
        <f>AI579+AK580-AI580</f>
        <v/>
      </c>
      <c r="AK580">
        <f>H580+L580+P580+T580+X580</f>
        <v/>
      </c>
      <c r="AL580">
        <f>TEXT(EDATE($B$5,D580-1),"mmm yyyy")</f>
        <v/>
      </c>
      <c r="AM580">
        <f>AI580</f>
        <v/>
      </c>
    </row>
    <row r="581">
      <c r="D581" t="n">
        <v>520</v>
      </c>
      <c r="E581">
        <f>IF(G580&gt;0,MAX(0,G580*(1+$G$51)-$H$51),0)</f>
        <v/>
      </c>
      <c r="F581">
        <f>$B$6+IF($D581=$B$8,$B$7,0)</f>
        <v/>
      </c>
      <c r="G581">
        <f>IF(E581-F581&gt;1E-9,E581-F581,0)</f>
        <v/>
      </c>
      <c r="H581">
        <f>G580*$G$51</f>
        <v/>
      </c>
      <c r="I581">
        <f>IF(K580&gt;0,MAX(0,K580*(1+$G$52)-$H$52),0)</f>
        <v/>
      </c>
      <c r="J581">
        <f>MAX(0,F581-E581)</f>
        <v/>
      </c>
      <c r="K581">
        <f>IF(I581-J581&gt;1E-9,I581-J581,0)</f>
        <v/>
      </c>
      <c r="L581">
        <f>K580*$G$52</f>
        <v/>
      </c>
      <c r="M581">
        <f>IF(O580&gt;0,MAX(0,O580*(1+$G$53)-$H$53),0)</f>
        <v/>
      </c>
      <c r="N581">
        <f>MAX(0,J581-I581)</f>
        <v/>
      </c>
      <c r="O581">
        <f>IF(M581-N581&gt;1E-9,M581-N581,0)</f>
        <v/>
      </c>
      <c r="P581">
        <f>O580*$G$53</f>
        <v/>
      </c>
      <c r="Q581">
        <f>IF(S580&gt;0,MAX(0,S580*(1+$G$54)-$H$54),0)</f>
        <v/>
      </c>
      <c r="R581">
        <f>MAX(0,N581-M581)</f>
        <v/>
      </c>
      <c r="S581">
        <f>IF(Q581-R581&gt;1E-9,Q581-R581,0)</f>
        <v/>
      </c>
      <c r="T581">
        <f>S580*$G$54</f>
        <v/>
      </c>
      <c r="U581">
        <f>IF(W580&gt;0,MAX(0,W580*(1+$G$55)-$H$55),0)</f>
        <v/>
      </c>
      <c r="V581">
        <f>MAX(0,R581-Q581)</f>
        <v/>
      </c>
      <c r="W581">
        <f>IF(U581-V581&gt;1E-9,U581-V581,0)</f>
        <v/>
      </c>
      <c r="X581">
        <f>W580*$G$55</f>
        <v/>
      </c>
      <c r="Y581">
        <f>IF(Y580&gt;1E-9,IF(Y580*(1+$G$51)-MAX($B$9,0.01*Y580+Y580*$G$51)&gt;1E-9,Y580*(1+$G$51)-MAX($B$9,0.01*Y580+Y580*$G$51),0),0)</f>
        <v/>
      </c>
      <c r="Z581">
        <f>Y580*$G$51</f>
        <v/>
      </c>
      <c r="AA581">
        <f>IF(AA580&gt;1E-9,IF(AA580*(1+$G$52)-MAX($B$9,0.01*AA580+AA580*$G$52)&gt;1E-9,AA580*(1+$G$52)-MAX($B$9,0.01*AA580+AA580*$G$52),0),0)</f>
        <v/>
      </c>
      <c r="AB581">
        <f>AA580*$G$52</f>
        <v/>
      </c>
      <c r="AC581">
        <f>IF(AC580&gt;1E-9,IF(AC580*(1+$G$53)-MAX($B$9,0.01*AC580+AC580*$G$53)&gt;1E-9,AC580*(1+$G$53)-MAX($B$9,0.01*AC580+AC580*$G$53),0),0)</f>
        <v/>
      </c>
      <c r="AD581">
        <f>AC580*$G$53</f>
        <v/>
      </c>
      <c r="AE581">
        <f>IF(AE580&gt;1E-9,IF(AE580*(1+$G$54)-MAX($B$9,0.01*AE580+AE580*$G$54)&gt;1E-9,AE580*(1+$G$54)-MAX($B$9,0.01*AE580+AE580*$G$54),0),0)</f>
        <v/>
      </c>
      <c r="AF581">
        <f>AE580*$G$54</f>
        <v/>
      </c>
      <c r="AG581">
        <f>IF(AG580&gt;1E-9,IF(AG580*(1+$G$55)-MAX($B$9,0.01*AG580+AG580*$G$55)&gt;1E-9,AG580*(1+$G$55)-MAX($B$9,0.01*AG580+AG580*$G$55),0),0)</f>
        <v/>
      </c>
      <c r="AH581">
        <f>AG580*$G$55</f>
        <v/>
      </c>
      <c r="AI581">
        <f>G581+K581+O581+S581+W581</f>
        <v/>
      </c>
      <c r="AJ581">
        <f>AI580+AK581-AI581</f>
        <v/>
      </c>
      <c r="AK581">
        <f>H581+L581+P581+T581+X581</f>
        <v/>
      </c>
      <c r="AL581">
        <f>TEXT(EDATE($B$5,D581-1),"mmm yyyy")</f>
        <v/>
      </c>
      <c r="AM581">
        <f>AI581</f>
        <v/>
      </c>
    </row>
    <row r="582">
      <c r="D582" t="n">
        <v>521</v>
      </c>
      <c r="E582">
        <f>IF(G581&gt;0,MAX(0,G581*(1+$G$51)-$H$51),0)</f>
        <v/>
      </c>
      <c r="F582">
        <f>$B$6+IF($D582=$B$8,$B$7,0)</f>
        <v/>
      </c>
      <c r="G582">
        <f>IF(E582-F582&gt;1E-9,E582-F582,0)</f>
        <v/>
      </c>
      <c r="H582">
        <f>G581*$G$51</f>
        <v/>
      </c>
      <c r="I582">
        <f>IF(K581&gt;0,MAX(0,K581*(1+$G$52)-$H$52),0)</f>
        <v/>
      </c>
      <c r="J582">
        <f>MAX(0,F582-E582)</f>
        <v/>
      </c>
      <c r="K582">
        <f>IF(I582-J582&gt;1E-9,I582-J582,0)</f>
        <v/>
      </c>
      <c r="L582">
        <f>K581*$G$52</f>
        <v/>
      </c>
      <c r="M582">
        <f>IF(O581&gt;0,MAX(0,O581*(1+$G$53)-$H$53),0)</f>
        <v/>
      </c>
      <c r="N582">
        <f>MAX(0,J582-I582)</f>
        <v/>
      </c>
      <c r="O582">
        <f>IF(M582-N582&gt;1E-9,M582-N582,0)</f>
        <v/>
      </c>
      <c r="P582">
        <f>O581*$G$53</f>
        <v/>
      </c>
      <c r="Q582">
        <f>IF(S581&gt;0,MAX(0,S581*(1+$G$54)-$H$54),0)</f>
        <v/>
      </c>
      <c r="R582">
        <f>MAX(0,N582-M582)</f>
        <v/>
      </c>
      <c r="S582">
        <f>IF(Q582-R582&gt;1E-9,Q582-R582,0)</f>
        <v/>
      </c>
      <c r="T582">
        <f>S581*$G$54</f>
        <v/>
      </c>
      <c r="U582">
        <f>IF(W581&gt;0,MAX(0,W581*(1+$G$55)-$H$55),0)</f>
        <v/>
      </c>
      <c r="V582">
        <f>MAX(0,R582-Q582)</f>
        <v/>
      </c>
      <c r="W582">
        <f>IF(U582-V582&gt;1E-9,U582-V582,0)</f>
        <v/>
      </c>
      <c r="X582">
        <f>W581*$G$55</f>
        <v/>
      </c>
      <c r="Y582">
        <f>IF(Y581&gt;1E-9,IF(Y581*(1+$G$51)-MAX($B$9,0.01*Y581+Y581*$G$51)&gt;1E-9,Y581*(1+$G$51)-MAX($B$9,0.01*Y581+Y581*$G$51),0),0)</f>
        <v/>
      </c>
      <c r="Z582">
        <f>Y581*$G$51</f>
        <v/>
      </c>
      <c r="AA582">
        <f>IF(AA581&gt;1E-9,IF(AA581*(1+$G$52)-MAX($B$9,0.01*AA581+AA581*$G$52)&gt;1E-9,AA581*(1+$G$52)-MAX($B$9,0.01*AA581+AA581*$G$52),0),0)</f>
        <v/>
      </c>
      <c r="AB582">
        <f>AA581*$G$52</f>
        <v/>
      </c>
      <c r="AC582">
        <f>IF(AC581&gt;1E-9,IF(AC581*(1+$G$53)-MAX($B$9,0.01*AC581+AC581*$G$53)&gt;1E-9,AC581*(1+$G$53)-MAX($B$9,0.01*AC581+AC581*$G$53),0),0)</f>
        <v/>
      </c>
      <c r="AD582">
        <f>AC581*$G$53</f>
        <v/>
      </c>
      <c r="AE582">
        <f>IF(AE581&gt;1E-9,IF(AE581*(1+$G$54)-MAX($B$9,0.01*AE581+AE581*$G$54)&gt;1E-9,AE581*(1+$G$54)-MAX($B$9,0.01*AE581+AE581*$G$54),0),0)</f>
        <v/>
      </c>
      <c r="AF582">
        <f>AE581*$G$54</f>
        <v/>
      </c>
      <c r="AG582">
        <f>IF(AG581&gt;1E-9,IF(AG581*(1+$G$55)-MAX($B$9,0.01*AG581+AG581*$G$55)&gt;1E-9,AG581*(1+$G$55)-MAX($B$9,0.01*AG581+AG581*$G$55),0),0)</f>
        <v/>
      </c>
      <c r="AH582">
        <f>AG581*$G$55</f>
        <v/>
      </c>
      <c r="AI582">
        <f>G582+K582+O582+S582+W582</f>
        <v/>
      </c>
      <c r="AJ582">
        <f>AI581+AK582-AI582</f>
        <v/>
      </c>
      <c r="AK582">
        <f>H582+L582+P582+T582+X582</f>
        <v/>
      </c>
      <c r="AL582">
        <f>TEXT(EDATE($B$5,D582-1),"mmm yyyy")</f>
        <v/>
      </c>
      <c r="AM582">
        <f>AI582</f>
        <v/>
      </c>
    </row>
    <row r="583">
      <c r="D583" t="n">
        <v>522</v>
      </c>
      <c r="E583">
        <f>IF(G582&gt;0,MAX(0,G582*(1+$G$51)-$H$51),0)</f>
        <v/>
      </c>
      <c r="F583">
        <f>$B$6+IF($D583=$B$8,$B$7,0)</f>
        <v/>
      </c>
      <c r="G583">
        <f>IF(E583-F583&gt;1E-9,E583-F583,0)</f>
        <v/>
      </c>
      <c r="H583">
        <f>G582*$G$51</f>
        <v/>
      </c>
      <c r="I583">
        <f>IF(K582&gt;0,MAX(0,K582*(1+$G$52)-$H$52),0)</f>
        <v/>
      </c>
      <c r="J583">
        <f>MAX(0,F583-E583)</f>
        <v/>
      </c>
      <c r="K583">
        <f>IF(I583-J583&gt;1E-9,I583-J583,0)</f>
        <v/>
      </c>
      <c r="L583">
        <f>K582*$G$52</f>
        <v/>
      </c>
      <c r="M583">
        <f>IF(O582&gt;0,MAX(0,O582*(1+$G$53)-$H$53),0)</f>
        <v/>
      </c>
      <c r="N583">
        <f>MAX(0,J583-I583)</f>
        <v/>
      </c>
      <c r="O583">
        <f>IF(M583-N583&gt;1E-9,M583-N583,0)</f>
        <v/>
      </c>
      <c r="P583">
        <f>O582*$G$53</f>
        <v/>
      </c>
      <c r="Q583">
        <f>IF(S582&gt;0,MAX(0,S582*(1+$G$54)-$H$54),0)</f>
        <v/>
      </c>
      <c r="R583">
        <f>MAX(0,N583-M583)</f>
        <v/>
      </c>
      <c r="S583">
        <f>IF(Q583-R583&gt;1E-9,Q583-R583,0)</f>
        <v/>
      </c>
      <c r="T583">
        <f>S582*$G$54</f>
        <v/>
      </c>
      <c r="U583">
        <f>IF(W582&gt;0,MAX(0,W582*(1+$G$55)-$H$55),0)</f>
        <v/>
      </c>
      <c r="V583">
        <f>MAX(0,R583-Q583)</f>
        <v/>
      </c>
      <c r="W583">
        <f>IF(U583-V583&gt;1E-9,U583-V583,0)</f>
        <v/>
      </c>
      <c r="X583">
        <f>W582*$G$55</f>
        <v/>
      </c>
      <c r="Y583">
        <f>IF(Y582&gt;1E-9,IF(Y582*(1+$G$51)-MAX($B$9,0.01*Y582+Y582*$G$51)&gt;1E-9,Y582*(1+$G$51)-MAX($B$9,0.01*Y582+Y582*$G$51),0),0)</f>
        <v/>
      </c>
      <c r="Z583">
        <f>Y582*$G$51</f>
        <v/>
      </c>
      <c r="AA583">
        <f>IF(AA582&gt;1E-9,IF(AA582*(1+$G$52)-MAX($B$9,0.01*AA582+AA582*$G$52)&gt;1E-9,AA582*(1+$G$52)-MAX($B$9,0.01*AA582+AA582*$G$52),0),0)</f>
        <v/>
      </c>
      <c r="AB583">
        <f>AA582*$G$52</f>
        <v/>
      </c>
      <c r="AC583">
        <f>IF(AC582&gt;1E-9,IF(AC582*(1+$G$53)-MAX($B$9,0.01*AC582+AC582*$G$53)&gt;1E-9,AC582*(1+$G$53)-MAX($B$9,0.01*AC582+AC582*$G$53),0),0)</f>
        <v/>
      </c>
      <c r="AD583">
        <f>AC582*$G$53</f>
        <v/>
      </c>
      <c r="AE583">
        <f>IF(AE582&gt;1E-9,IF(AE582*(1+$G$54)-MAX($B$9,0.01*AE582+AE582*$G$54)&gt;1E-9,AE582*(1+$G$54)-MAX($B$9,0.01*AE582+AE582*$G$54),0),0)</f>
        <v/>
      </c>
      <c r="AF583">
        <f>AE582*$G$54</f>
        <v/>
      </c>
      <c r="AG583">
        <f>IF(AG582&gt;1E-9,IF(AG582*(1+$G$55)-MAX($B$9,0.01*AG582+AG582*$G$55)&gt;1E-9,AG582*(1+$G$55)-MAX($B$9,0.01*AG582+AG582*$G$55),0),0)</f>
        <v/>
      </c>
      <c r="AH583">
        <f>AG582*$G$55</f>
        <v/>
      </c>
      <c r="AI583">
        <f>G583+K583+O583+S583+W583</f>
        <v/>
      </c>
      <c r="AJ583">
        <f>AI582+AK583-AI583</f>
        <v/>
      </c>
      <c r="AK583">
        <f>H583+L583+P583+T583+X583</f>
        <v/>
      </c>
      <c r="AL583">
        <f>TEXT(EDATE($B$5,D583-1),"mmm yyyy")</f>
        <v/>
      </c>
      <c r="AM583">
        <f>AI583</f>
        <v/>
      </c>
    </row>
    <row r="584">
      <c r="D584" t="n">
        <v>523</v>
      </c>
      <c r="E584">
        <f>IF(G583&gt;0,MAX(0,G583*(1+$G$51)-$H$51),0)</f>
        <v/>
      </c>
      <c r="F584">
        <f>$B$6+IF($D584=$B$8,$B$7,0)</f>
        <v/>
      </c>
      <c r="G584">
        <f>IF(E584-F584&gt;1E-9,E584-F584,0)</f>
        <v/>
      </c>
      <c r="H584">
        <f>G583*$G$51</f>
        <v/>
      </c>
      <c r="I584">
        <f>IF(K583&gt;0,MAX(0,K583*(1+$G$52)-$H$52),0)</f>
        <v/>
      </c>
      <c r="J584">
        <f>MAX(0,F584-E584)</f>
        <v/>
      </c>
      <c r="K584">
        <f>IF(I584-J584&gt;1E-9,I584-J584,0)</f>
        <v/>
      </c>
      <c r="L584">
        <f>K583*$G$52</f>
        <v/>
      </c>
      <c r="M584">
        <f>IF(O583&gt;0,MAX(0,O583*(1+$G$53)-$H$53),0)</f>
        <v/>
      </c>
      <c r="N584">
        <f>MAX(0,J584-I584)</f>
        <v/>
      </c>
      <c r="O584">
        <f>IF(M584-N584&gt;1E-9,M584-N584,0)</f>
        <v/>
      </c>
      <c r="P584">
        <f>O583*$G$53</f>
        <v/>
      </c>
      <c r="Q584">
        <f>IF(S583&gt;0,MAX(0,S583*(1+$G$54)-$H$54),0)</f>
        <v/>
      </c>
      <c r="R584">
        <f>MAX(0,N584-M584)</f>
        <v/>
      </c>
      <c r="S584">
        <f>IF(Q584-R584&gt;1E-9,Q584-R584,0)</f>
        <v/>
      </c>
      <c r="T584">
        <f>S583*$G$54</f>
        <v/>
      </c>
      <c r="U584">
        <f>IF(W583&gt;0,MAX(0,W583*(1+$G$55)-$H$55),0)</f>
        <v/>
      </c>
      <c r="V584">
        <f>MAX(0,R584-Q584)</f>
        <v/>
      </c>
      <c r="W584">
        <f>IF(U584-V584&gt;1E-9,U584-V584,0)</f>
        <v/>
      </c>
      <c r="X584">
        <f>W583*$G$55</f>
        <v/>
      </c>
      <c r="Y584">
        <f>IF(Y583&gt;1E-9,IF(Y583*(1+$G$51)-MAX($B$9,0.01*Y583+Y583*$G$51)&gt;1E-9,Y583*(1+$G$51)-MAX($B$9,0.01*Y583+Y583*$G$51),0),0)</f>
        <v/>
      </c>
      <c r="Z584">
        <f>Y583*$G$51</f>
        <v/>
      </c>
      <c r="AA584">
        <f>IF(AA583&gt;1E-9,IF(AA583*(1+$G$52)-MAX($B$9,0.01*AA583+AA583*$G$52)&gt;1E-9,AA583*(1+$G$52)-MAX($B$9,0.01*AA583+AA583*$G$52),0),0)</f>
        <v/>
      </c>
      <c r="AB584">
        <f>AA583*$G$52</f>
        <v/>
      </c>
      <c r="AC584">
        <f>IF(AC583&gt;1E-9,IF(AC583*(1+$G$53)-MAX($B$9,0.01*AC583+AC583*$G$53)&gt;1E-9,AC583*(1+$G$53)-MAX($B$9,0.01*AC583+AC583*$G$53),0),0)</f>
        <v/>
      </c>
      <c r="AD584">
        <f>AC583*$G$53</f>
        <v/>
      </c>
      <c r="AE584">
        <f>IF(AE583&gt;1E-9,IF(AE583*(1+$G$54)-MAX($B$9,0.01*AE583+AE583*$G$54)&gt;1E-9,AE583*(1+$G$54)-MAX($B$9,0.01*AE583+AE583*$G$54),0),0)</f>
        <v/>
      </c>
      <c r="AF584">
        <f>AE583*$G$54</f>
        <v/>
      </c>
      <c r="AG584">
        <f>IF(AG583&gt;1E-9,IF(AG583*(1+$G$55)-MAX($B$9,0.01*AG583+AG583*$G$55)&gt;1E-9,AG583*(1+$G$55)-MAX($B$9,0.01*AG583+AG583*$G$55),0),0)</f>
        <v/>
      </c>
      <c r="AH584">
        <f>AG583*$G$55</f>
        <v/>
      </c>
      <c r="AI584">
        <f>G584+K584+O584+S584+W584</f>
        <v/>
      </c>
      <c r="AJ584">
        <f>AI583+AK584-AI584</f>
        <v/>
      </c>
      <c r="AK584">
        <f>H584+L584+P584+T584+X584</f>
        <v/>
      </c>
      <c r="AL584">
        <f>TEXT(EDATE($B$5,D584-1),"mmm yyyy")</f>
        <v/>
      </c>
      <c r="AM584">
        <f>AI584</f>
        <v/>
      </c>
    </row>
    <row r="585">
      <c r="D585" t="n">
        <v>524</v>
      </c>
      <c r="E585">
        <f>IF(G584&gt;0,MAX(0,G584*(1+$G$51)-$H$51),0)</f>
        <v/>
      </c>
      <c r="F585">
        <f>$B$6+IF($D585=$B$8,$B$7,0)</f>
        <v/>
      </c>
      <c r="G585">
        <f>IF(E585-F585&gt;1E-9,E585-F585,0)</f>
        <v/>
      </c>
      <c r="H585">
        <f>G584*$G$51</f>
        <v/>
      </c>
      <c r="I585">
        <f>IF(K584&gt;0,MAX(0,K584*(1+$G$52)-$H$52),0)</f>
        <v/>
      </c>
      <c r="J585">
        <f>MAX(0,F585-E585)</f>
        <v/>
      </c>
      <c r="K585">
        <f>IF(I585-J585&gt;1E-9,I585-J585,0)</f>
        <v/>
      </c>
      <c r="L585">
        <f>K584*$G$52</f>
        <v/>
      </c>
      <c r="M585">
        <f>IF(O584&gt;0,MAX(0,O584*(1+$G$53)-$H$53),0)</f>
        <v/>
      </c>
      <c r="N585">
        <f>MAX(0,J585-I585)</f>
        <v/>
      </c>
      <c r="O585">
        <f>IF(M585-N585&gt;1E-9,M585-N585,0)</f>
        <v/>
      </c>
      <c r="P585">
        <f>O584*$G$53</f>
        <v/>
      </c>
      <c r="Q585">
        <f>IF(S584&gt;0,MAX(0,S584*(1+$G$54)-$H$54),0)</f>
        <v/>
      </c>
      <c r="R585">
        <f>MAX(0,N585-M585)</f>
        <v/>
      </c>
      <c r="S585">
        <f>IF(Q585-R585&gt;1E-9,Q585-R585,0)</f>
        <v/>
      </c>
      <c r="T585">
        <f>S584*$G$54</f>
        <v/>
      </c>
      <c r="U585">
        <f>IF(W584&gt;0,MAX(0,W584*(1+$G$55)-$H$55),0)</f>
        <v/>
      </c>
      <c r="V585">
        <f>MAX(0,R585-Q585)</f>
        <v/>
      </c>
      <c r="W585">
        <f>IF(U585-V585&gt;1E-9,U585-V585,0)</f>
        <v/>
      </c>
      <c r="X585">
        <f>W584*$G$55</f>
        <v/>
      </c>
      <c r="Y585">
        <f>IF(Y584&gt;1E-9,IF(Y584*(1+$G$51)-MAX($B$9,0.01*Y584+Y584*$G$51)&gt;1E-9,Y584*(1+$G$51)-MAX($B$9,0.01*Y584+Y584*$G$51),0),0)</f>
        <v/>
      </c>
      <c r="Z585">
        <f>Y584*$G$51</f>
        <v/>
      </c>
      <c r="AA585">
        <f>IF(AA584&gt;1E-9,IF(AA584*(1+$G$52)-MAX($B$9,0.01*AA584+AA584*$G$52)&gt;1E-9,AA584*(1+$G$52)-MAX($B$9,0.01*AA584+AA584*$G$52),0),0)</f>
        <v/>
      </c>
      <c r="AB585">
        <f>AA584*$G$52</f>
        <v/>
      </c>
      <c r="AC585">
        <f>IF(AC584&gt;1E-9,IF(AC584*(1+$G$53)-MAX($B$9,0.01*AC584+AC584*$G$53)&gt;1E-9,AC584*(1+$G$53)-MAX($B$9,0.01*AC584+AC584*$G$53),0),0)</f>
        <v/>
      </c>
      <c r="AD585">
        <f>AC584*$G$53</f>
        <v/>
      </c>
      <c r="AE585">
        <f>IF(AE584&gt;1E-9,IF(AE584*(1+$G$54)-MAX($B$9,0.01*AE584+AE584*$G$54)&gt;1E-9,AE584*(1+$G$54)-MAX($B$9,0.01*AE584+AE584*$G$54),0),0)</f>
        <v/>
      </c>
      <c r="AF585">
        <f>AE584*$G$54</f>
        <v/>
      </c>
      <c r="AG585">
        <f>IF(AG584&gt;1E-9,IF(AG584*(1+$G$55)-MAX($B$9,0.01*AG584+AG584*$G$55)&gt;1E-9,AG584*(1+$G$55)-MAX($B$9,0.01*AG584+AG584*$G$55),0),0)</f>
        <v/>
      </c>
      <c r="AH585">
        <f>AG584*$G$55</f>
        <v/>
      </c>
      <c r="AI585">
        <f>G585+K585+O585+S585+W585</f>
        <v/>
      </c>
      <c r="AJ585">
        <f>AI584+AK585-AI585</f>
        <v/>
      </c>
      <c r="AK585">
        <f>H585+L585+P585+T585+X585</f>
        <v/>
      </c>
      <c r="AL585">
        <f>TEXT(EDATE($B$5,D585-1),"mmm yyyy")</f>
        <v/>
      </c>
      <c r="AM585">
        <f>AI585</f>
        <v/>
      </c>
    </row>
    <row r="586">
      <c r="D586" t="n">
        <v>525</v>
      </c>
      <c r="E586">
        <f>IF(G585&gt;0,MAX(0,G585*(1+$G$51)-$H$51),0)</f>
        <v/>
      </c>
      <c r="F586">
        <f>$B$6+IF($D586=$B$8,$B$7,0)</f>
        <v/>
      </c>
      <c r="G586">
        <f>IF(E586-F586&gt;1E-9,E586-F586,0)</f>
        <v/>
      </c>
      <c r="H586">
        <f>G585*$G$51</f>
        <v/>
      </c>
      <c r="I586">
        <f>IF(K585&gt;0,MAX(0,K585*(1+$G$52)-$H$52),0)</f>
        <v/>
      </c>
      <c r="J586">
        <f>MAX(0,F586-E586)</f>
        <v/>
      </c>
      <c r="K586">
        <f>IF(I586-J586&gt;1E-9,I586-J586,0)</f>
        <v/>
      </c>
      <c r="L586">
        <f>K585*$G$52</f>
        <v/>
      </c>
      <c r="M586">
        <f>IF(O585&gt;0,MAX(0,O585*(1+$G$53)-$H$53),0)</f>
        <v/>
      </c>
      <c r="N586">
        <f>MAX(0,J586-I586)</f>
        <v/>
      </c>
      <c r="O586">
        <f>IF(M586-N586&gt;1E-9,M586-N586,0)</f>
        <v/>
      </c>
      <c r="P586">
        <f>O585*$G$53</f>
        <v/>
      </c>
      <c r="Q586">
        <f>IF(S585&gt;0,MAX(0,S585*(1+$G$54)-$H$54),0)</f>
        <v/>
      </c>
      <c r="R586">
        <f>MAX(0,N586-M586)</f>
        <v/>
      </c>
      <c r="S586">
        <f>IF(Q586-R586&gt;1E-9,Q586-R586,0)</f>
        <v/>
      </c>
      <c r="T586">
        <f>S585*$G$54</f>
        <v/>
      </c>
      <c r="U586">
        <f>IF(W585&gt;0,MAX(0,W585*(1+$G$55)-$H$55),0)</f>
        <v/>
      </c>
      <c r="V586">
        <f>MAX(0,R586-Q586)</f>
        <v/>
      </c>
      <c r="W586">
        <f>IF(U586-V586&gt;1E-9,U586-V586,0)</f>
        <v/>
      </c>
      <c r="X586">
        <f>W585*$G$55</f>
        <v/>
      </c>
      <c r="Y586">
        <f>IF(Y585&gt;1E-9,IF(Y585*(1+$G$51)-MAX($B$9,0.01*Y585+Y585*$G$51)&gt;1E-9,Y585*(1+$G$51)-MAX($B$9,0.01*Y585+Y585*$G$51),0),0)</f>
        <v/>
      </c>
      <c r="Z586">
        <f>Y585*$G$51</f>
        <v/>
      </c>
      <c r="AA586">
        <f>IF(AA585&gt;1E-9,IF(AA585*(1+$G$52)-MAX($B$9,0.01*AA585+AA585*$G$52)&gt;1E-9,AA585*(1+$G$52)-MAX($B$9,0.01*AA585+AA585*$G$52),0),0)</f>
        <v/>
      </c>
      <c r="AB586">
        <f>AA585*$G$52</f>
        <v/>
      </c>
      <c r="AC586">
        <f>IF(AC585&gt;1E-9,IF(AC585*(1+$G$53)-MAX($B$9,0.01*AC585+AC585*$G$53)&gt;1E-9,AC585*(1+$G$53)-MAX($B$9,0.01*AC585+AC585*$G$53),0),0)</f>
        <v/>
      </c>
      <c r="AD586">
        <f>AC585*$G$53</f>
        <v/>
      </c>
      <c r="AE586">
        <f>IF(AE585&gt;1E-9,IF(AE585*(1+$G$54)-MAX($B$9,0.01*AE585+AE585*$G$54)&gt;1E-9,AE585*(1+$G$54)-MAX($B$9,0.01*AE585+AE585*$G$54),0),0)</f>
        <v/>
      </c>
      <c r="AF586">
        <f>AE585*$G$54</f>
        <v/>
      </c>
      <c r="AG586">
        <f>IF(AG585&gt;1E-9,IF(AG585*(1+$G$55)-MAX($B$9,0.01*AG585+AG585*$G$55)&gt;1E-9,AG585*(1+$G$55)-MAX($B$9,0.01*AG585+AG585*$G$55),0),0)</f>
        <v/>
      </c>
      <c r="AH586">
        <f>AG585*$G$55</f>
        <v/>
      </c>
      <c r="AI586">
        <f>G586+K586+O586+S586+W586</f>
        <v/>
      </c>
      <c r="AJ586">
        <f>AI585+AK586-AI586</f>
        <v/>
      </c>
      <c r="AK586">
        <f>H586+L586+P586+T586+X586</f>
        <v/>
      </c>
      <c r="AL586">
        <f>TEXT(EDATE($B$5,D586-1),"mmm yyyy")</f>
        <v/>
      </c>
      <c r="AM586">
        <f>AI586</f>
        <v/>
      </c>
    </row>
    <row r="587">
      <c r="D587" t="n">
        <v>526</v>
      </c>
      <c r="E587">
        <f>IF(G586&gt;0,MAX(0,G586*(1+$G$51)-$H$51),0)</f>
        <v/>
      </c>
      <c r="F587">
        <f>$B$6+IF($D587=$B$8,$B$7,0)</f>
        <v/>
      </c>
      <c r="G587">
        <f>IF(E587-F587&gt;1E-9,E587-F587,0)</f>
        <v/>
      </c>
      <c r="H587">
        <f>G586*$G$51</f>
        <v/>
      </c>
      <c r="I587">
        <f>IF(K586&gt;0,MAX(0,K586*(1+$G$52)-$H$52),0)</f>
        <v/>
      </c>
      <c r="J587">
        <f>MAX(0,F587-E587)</f>
        <v/>
      </c>
      <c r="K587">
        <f>IF(I587-J587&gt;1E-9,I587-J587,0)</f>
        <v/>
      </c>
      <c r="L587">
        <f>K586*$G$52</f>
        <v/>
      </c>
      <c r="M587">
        <f>IF(O586&gt;0,MAX(0,O586*(1+$G$53)-$H$53),0)</f>
        <v/>
      </c>
      <c r="N587">
        <f>MAX(0,J587-I587)</f>
        <v/>
      </c>
      <c r="O587">
        <f>IF(M587-N587&gt;1E-9,M587-N587,0)</f>
        <v/>
      </c>
      <c r="P587">
        <f>O586*$G$53</f>
        <v/>
      </c>
      <c r="Q587">
        <f>IF(S586&gt;0,MAX(0,S586*(1+$G$54)-$H$54),0)</f>
        <v/>
      </c>
      <c r="R587">
        <f>MAX(0,N587-M587)</f>
        <v/>
      </c>
      <c r="S587">
        <f>IF(Q587-R587&gt;1E-9,Q587-R587,0)</f>
        <v/>
      </c>
      <c r="T587">
        <f>S586*$G$54</f>
        <v/>
      </c>
      <c r="U587">
        <f>IF(W586&gt;0,MAX(0,W586*(1+$G$55)-$H$55),0)</f>
        <v/>
      </c>
      <c r="V587">
        <f>MAX(0,R587-Q587)</f>
        <v/>
      </c>
      <c r="W587">
        <f>IF(U587-V587&gt;1E-9,U587-V587,0)</f>
        <v/>
      </c>
      <c r="X587">
        <f>W586*$G$55</f>
        <v/>
      </c>
      <c r="Y587">
        <f>IF(Y586&gt;1E-9,IF(Y586*(1+$G$51)-MAX($B$9,0.01*Y586+Y586*$G$51)&gt;1E-9,Y586*(1+$G$51)-MAX($B$9,0.01*Y586+Y586*$G$51),0),0)</f>
        <v/>
      </c>
      <c r="Z587">
        <f>Y586*$G$51</f>
        <v/>
      </c>
      <c r="AA587">
        <f>IF(AA586&gt;1E-9,IF(AA586*(1+$G$52)-MAX($B$9,0.01*AA586+AA586*$G$52)&gt;1E-9,AA586*(1+$G$52)-MAX($B$9,0.01*AA586+AA586*$G$52),0),0)</f>
        <v/>
      </c>
      <c r="AB587">
        <f>AA586*$G$52</f>
        <v/>
      </c>
      <c r="AC587">
        <f>IF(AC586&gt;1E-9,IF(AC586*(1+$G$53)-MAX($B$9,0.01*AC586+AC586*$G$53)&gt;1E-9,AC586*(1+$G$53)-MAX($B$9,0.01*AC586+AC586*$G$53),0),0)</f>
        <v/>
      </c>
      <c r="AD587">
        <f>AC586*$G$53</f>
        <v/>
      </c>
      <c r="AE587">
        <f>IF(AE586&gt;1E-9,IF(AE586*(1+$G$54)-MAX($B$9,0.01*AE586+AE586*$G$54)&gt;1E-9,AE586*(1+$G$54)-MAX($B$9,0.01*AE586+AE586*$G$54),0),0)</f>
        <v/>
      </c>
      <c r="AF587">
        <f>AE586*$G$54</f>
        <v/>
      </c>
      <c r="AG587">
        <f>IF(AG586&gt;1E-9,IF(AG586*(1+$G$55)-MAX($B$9,0.01*AG586+AG586*$G$55)&gt;1E-9,AG586*(1+$G$55)-MAX($B$9,0.01*AG586+AG586*$G$55),0),0)</f>
        <v/>
      </c>
      <c r="AH587">
        <f>AG586*$G$55</f>
        <v/>
      </c>
      <c r="AI587">
        <f>G587+K587+O587+S587+W587</f>
        <v/>
      </c>
      <c r="AJ587">
        <f>AI586+AK587-AI587</f>
        <v/>
      </c>
      <c r="AK587">
        <f>H587+L587+P587+T587+X587</f>
        <v/>
      </c>
      <c r="AL587">
        <f>TEXT(EDATE($B$5,D587-1),"mmm yyyy")</f>
        <v/>
      </c>
      <c r="AM587">
        <f>AI587</f>
        <v/>
      </c>
    </row>
    <row r="588">
      <c r="D588" t="n">
        <v>527</v>
      </c>
      <c r="E588">
        <f>IF(G587&gt;0,MAX(0,G587*(1+$G$51)-$H$51),0)</f>
        <v/>
      </c>
      <c r="F588">
        <f>$B$6+IF($D588=$B$8,$B$7,0)</f>
        <v/>
      </c>
      <c r="G588">
        <f>IF(E588-F588&gt;1E-9,E588-F588,0)</f>
        <v/>
      </c>
      <c r="H588">
        <f>G587*$G$51</f>
        <v/>
      </c>
      <c r="I588">
        <f>IF(K587&gt;0,MAX(0,K587*(1+$G$52)-$H$52),0)</f>
        <v/>
      </c>
      <c r="J588">
        <f>MAX(0,F588-E588)</f>
        <v/>
      </c>
      <c r="K588">
        <f>IF(I588-J588&gt;1E-9,I588-J588,0)</f>
        <v/>
      </c>
      <c r="L588">
        <f>K587*$G$52</f>
        <v/>
      </c>
      <c r="M588">
        <f>IF(O587&gt;0,MAX(0,O587*(1+$G$53)-$H$53),0)</f>
        <v/>
      </c>
      <c r="N588">
        <f>MAX(0,J588-I588)</f>
        <v/>
      </c>
      <c r="O588">
        <f>IF(M588-N588&gt;1E-9,M588-N588,0)</f>
        <v/>
      </c>
      <c r="P588">
        <f>O587*$G$53</f>
        <v/>
      </c>
      <c r="Q588">
        <f>IF(S587&gt;0,MAX(0,S587*(1+$G$54)-$H$54),0)</f>
        <v/>
      </c>
      <c r="R588">
        <f>MAX(0,N588-M588)</f>
        <v/>
      </c>
      <c r="S588">
        <f>IF(Q588-R588&gt;1E-9,Q588-R588,0)</f>
        <v/>
      </c>
      <c r="T588">
        <f>S587*$G$54</f>
        <v/>
      </c>
      <c r="U588">
        <f>IF(W587&gt;0,MAX(0,W587*(1+$G$55)-$H$55),0)</f>
        <v/>
      </c>
      <c r="V588">
        <f>MAX(0,R588-Q588)</f>
        <v/>
      </c>
      <c r="W588">
        <f>IF(U588-V588&gt;1E-9,U588-V588,0)</f>
        <v/>
      </c>
      <c r="X588">
        <f>W587*$G$55</f>
        <v/>
      </c>
      <c r="Y588">
        <f>IF(Y587&gt;1E-9,IF(Y587*(1+$G$51)-MAX($B$9,0.01*Y587+Y587*$G$51)&gt;1E-9,Y587*(1+$G$51)-MAX($B$9,0.01*Y587+Y587*$G$51),0),0)</f>
        <v/>
      </c>
      <c r="Z588">
        <f>Y587*$G$51</f>
        <v/>
      </c>
      <c r="AA588">
        <f>IF(AA587&gt;1E-9,IF(AA587*(1+$G$52)-MAX($B$9,0.01*AA587+AA587*$G$52)&gt;1E-9,AA587*(1+$G$52)-MAX($B$9,0.01*AA587+AA587*$G$52),0),0)</f>
        <v/>
      </c>
      <c r="AB588">
        <f>AA587*$G$52</f>
        <v/>
      </c>
      <c r="AC588">
        <f>IF(AC587&gt;1E-9,IF(AC587*(1+$G$53)-MAX($B$9,0.01*AC587+AC587*$G$53)&gt;1E-9,AC587*(1+$G$53)-MAX($B$9,0.01*AC587+AC587*$G$53),0),0)</f>
        <v/>
      </c>
      <c r="AD588">
        <f>AC587*$G$53</f>
        <v/>
      </c>
      <c r="AE588">
        <f>IF(AE587&gt;1E-9,IF(AE587*(1+$G$54)-MAX($B$9,0.01*AE587+AE587*$G$54)&gt;1E-9,AE587*(1+$G$54)-MAX($B$9,0.01*AE587+AE587*$G$54),0),0)</f>
        <v/>
      </c>
      <c r="AF588">
        <f>AE587*$G$54</f>
        <v/>
      </c>
      <c r="AG588">
        <f>IF(AG587&gt;1E-9,IF(AG587*(1+$G$55)-MAX($B$9,0.01*AG587+AG587*$G$55)&gt;1E-9,AG587*(1+$G$55)-MAX($B$9,0.01*AG587+AG587*$G$55),0),0)</f>
        <v/>
      </c>
      <c r="AH588">
        <f>AG587*$G$55</f>
        <v/>
      </c>
      <c r="AI588">
        <f>G588+K588+O588+S588+W588</f>
        <v/>
      </c>
      <c r="AJ588">
        <f>AI587+AK588-AI588</f>
        <v/>
      </c>
      <c r="AK588">
        <f>H588+L588+P588+T588+X588</f>
        <v/>
      </c>
      <c r="AL588">
        <f>TEXT(EDATE($B$5,D588-1),"mmm yyyy")</f>
        <v/>
      </c>
      <c r="AM588">
        <f>AI588</f>
        <v/>
      </c>
    </row>
    <row r="589">
      <c r="D589" t="n">
        <v>528</v>
      </c>
      <c r="E589">
        <f>IF(G588&gt;0,MAX(0,G588*(1+$G$51)-$H$51),0)</f>
        <v/>
      </c>
      <c r="F589">
        <f>$B$6+IF($D589=$B$8,$B$7,0)</f>
        <v/>
      </c>
      <c r="G589">
        <f>IF(E589-F589&gt;1E-9,E589-F589,0)</f>
        <v/>
      </c>
      <c r="H589">
        <f>G588*$G$51</f>
        <v/>
      </c>
      <c r="I589">
        <f>IF(K588&gt;0,MAX(0,K588*(1+$G$52)-$H$52),0)</f>
        <v/>
      </c>
      <c r="J589">
        <f>MAX(0,F589-E589)</f>
        <v/>
      </c>
      <c r="K589">
        <f>IF(I589-J589&gt;1E-9,I589-J589,0)</f>
        <v/>
      </c>
      <c r="L589">
        <f>K588*$G$52</f>
        <v/>
      </c>
      <c r="M589">
        <f>IF(O588&gt;0,MAX(0,O588*(1+$G$53)-$H$53),0)</f>
        <v/>
      </c>
      <c r="N589">
        <f>MAX(0,J589-I589)</f>
        <v/>
      </c>
      <c r="O589">
        <f>IF(M589-N589&gt;1E-9,M589-N589,0)</f>
        <v/>
      </c>
      <c r="P589">
        <f>O588*$G$53</f>
        <v/>
      </c>
      <c r="Q589">
        <f>IF(S588&gt;0,MAX(0,S588*(1+$G$54)-$H$54),0)</f>
        <v/>
      </c>
      <c r="R589">
        <f>MAX(0,N589-M589)</f>
        <v/>
      </c>
      <c r="S589">
        <f>IF(Q589-R589&gt;1E-9,Q589-R589,0)</f>
        <v/>
      </c>
      <c r="T589">
        <f>S588*$G$54</f>
        <v/>
      </c>
      <c r="U589">
        <f>IF(W588&gt;0,MAX(0,W588*(1+$G$55)-$H$55),0)</f>
        <v/>
      </c>
      <c r="V589">
        <f>MAX(0,R589-Q589)</f>
        <v/>
      </c>
      <c r="W589">
        <f>IF(U589-V589&gt;1E-9,U589-V589,0)</f>
        <v/>
      </c>
      <c r="X589">
        <f>W588*$G$55</f>
        <v/>
      </c>
      <c r="Y589">
        <f>IF(Y588&gt;1E-9,IF(Y588*(1+$G$51)-MAX($B$9,0.01*Y588+Y588*$G$51)&gt;1E-9,Y588*(1+$G$51)-MAX($B$9,0.01*Y588+Y588*$G$51),0),0)</f>
        <v/>
      </c>
      <c r="Z589">
        <f>Y588*$G$51</f>
        <v/>
      </c>
      <c r="AA589">
        <f>IF(AA588&gt;1E-9,IF(AA588*(1+$G$52)-MAX($B$9,0.01*AA588+AA588*$G$52)&gt;1E-9,AA588*(1+$G$52)-MAX($B$9,0.01*AA588+AA588*$G$52),0),0)</f>
        <v/>
      </c>
      <c r="AB589">
        <f>AA588*$G$52</f>
        <v/>
      </c>
      <c r="AC589">
        <f>IF(AC588&gt;1E-9,IF(AC588*(1+$G$53)-MAX($B$9,0.01*AC588+AC588*$G$53)&gt;1E-9,AC588*(1+$G$53)-MAX($B$9,0.01*AC588+AC588*$G$53),0),0)</f>
        <v/>
      </c>
      <c r="AD589">
        <f>AC588*$G$53</f>
        <v/>
      </c>
      <c r="AE589">
        <f>IF(AE588&gt;1E-9,IF(AE588*(1+$G$54)-MAX($B$9,0.01*AE588+AE588*$G$54)&gt;1E-9,AE588*(1+$G$54)-MAX($B$9,0.01*AE588+AE588*$G$54),0),0)</f>
        <v/>
      </c>
      <c r="AF589">
        <f>AE588*$G$54</f>
        <v/>
      </c>
      <c r="AG589">
        <f>IF(AG588&gt;1E-9,IF(AG588*(1+$G$55)-MAX($B$9,0.01*AG588+AG588*$G$55)&gt;1E-9,AG588*(1+$G$55)-MAX($B$9,0.01*AG588+AG588*$G$55),0),0)</f>
        <v/>
      </c>
      <c r="AH589">
        <f>AG588*$G$55</f>
        <v/>
      </c>
      <c r="AI589">
        <f>G589+K589+O589+S589+W589</f>
        <v/>
      </c>
      <c r="AJ589">
        <f>AI588+AK589-AI589</f>
        <v/>
      </c>
      <c r="AK589">
        <f>H589+L589+P589+T589+X589</f>
        <v/>
      </c>
      <c r="AL589">
        <f>TEXT(EDATE($B$5,D589-1),"mmm yyyy")</f>
        <v/>
      </c>
      <c r="AM589">
        <f>AI589</f>
        <v/>
      </c>
    </row>
    <row r="590">
      <c r="D590" t="n">
        <v>529</v>
      </c>
      <c r="E590">
        <f>IF(G589&gt;0,MAX(0,G589*(1+$G$51)-$H$51),0)</f>
        <v/>
      </c>
      <c r="F590">
        <f>$B$6+IF($D590=$B$8,$B$7,0)</f>
        <v/>
      </c>
      <c r="G590">
        <f>IF(E590-F590&gt;1E-9,E590-F590,0)</f>
        <v/>
      </c>
      <c r="H590">
        <f>G589*$G$51</f>
        <v/>
      </c>
      <c r="I590">
        <f>IF(K589&gt;0,MAX(0,K589*(1+$G$52)-$H$52),0)</f>
        <v/>
      </c>
      <c r="J590">
        <f>MAX(0,F590-E590)</f>
        <v/>
      </c>
      <c r="K590">
        <f>IF(I590-J590&gt;1E-9,I590-J590,0)</f>
        <v/>
      </c>
      <c r="L590">
        <f>K589*$G$52</f>
        <v/>
      </c>
      <c r="M590">
        <f>IF(O589&gt;0,MAX(0,O589*(1+$G$53)-$H$53),0)</f>
        <v/>
      </c>
      <c r="N590">
        <f>MAX(0,J590-I590)</f>
        <v/>
      </c>
      <c r="O590">
        <f>IF(M590-N590&gt;1E-9,M590-N590,0)</f>
        <v/>
      </c>
      <c r="P590">
        <f>O589*$G$53</f>
        <v/>
      </c>
      <c r="Q590">
        <f>IF(S589&gt;0,MAX(0,S589*(1+$G$54)-$H$54),0)</f>
        <v/>
      </c>
      <c r="R590">
        <f>MAX(0,N590-M590)</f>
        <v/>
      </c>
      <c r="S590">
        <f>IF(Q590-R590&gt;1E-9,Q590-R590,0)</f>
        <v/>
      </c>
      <c r="T590">
        <f>S589*$G$54</f>
        <v/>
      </c>
      <c r="U590">
        <f>IF(W589&gt;0,MAX(0,W589*(1+$G$55)-$H$55),0)</f>
        <v/>
      </c>
      <c r="V590">
        <f>MAX(0,R590-Q590)</f>
        <v/>
      </c>
      <c r="W590">
        <f>IF(U590-V590&gt;1E-9,U590-V590,0)</f>
        <v/>
      </c>
      <c r="X590">
        <f>W589*$G$55</f>
        <v/>
      </c>
      <c r="Y590">
        <f>IF(Y589&gt;1E-9,IF(Y589*(1+$G$51)-MAX($B$9,0.01*Y589+Y589*$G$51)&gt;1E-9,Y589*(1+$G$51)-MAX($B$9,0.01*Y589+Y589*$G$51),0),0)</f>
        <v/>
      </c>
      <c r="Z590">
        <f>Y589*$G$51</f>
        <v/>
      </c>
      <c r="AA590">
        <f>IF(AA589&gt;1E-9,IF(AA589*(1+$G$52)-MAX($B$9,0.01*AA589+AA589*$G$52)&gt;1E-9,AA589*(1+$G$52)-MAX($B$9,0.01*AA589+AA589*$G$52),0),0)</f>
        <v/>
      </c>
      <c r="AB590">
        <f>AA589*$G$52</f>
        <v/>
      </c>
      <c r="AC590">
        <f>IF(AC589&gt;1E-9,IF(AC589*(1+$G$53)-MAX($B$9,0.01*AC589+AC589*$G$53)&gt;1E-9,AC589*(1+$G$53)-MAX($B$9,0.01*AC589+AC589*$G$53),0),0)</f>
        <v/>
      </c>
      <c r="AD590">
        <f>AC589*$G$53</f>
        <v/>
      </c>
      <c r="AE590">
        <f>IF(AE589&gt;1E-9,IF(AE589*(1+$G$54)-MAX($B$9,0.01*AE589+AE589*$G$54)&gt;1E-9,AE589*(1+$G$54)-MAX($B$9,0.01*AE589+AE589*$G$54),0),0)</f>
        <v/>
      </c>
      <c r="AF590">
        <f>AE589*$G$54</f>
        <v/>
      </c>
      <c r="AG590">
        <f>IF(AG589&gt;1E-9,IF(AG589*(1+$G$55)-MAX($B$9,0.01*AG589+AG589*$G$55)&gt;1E-9,AG589*(1+$G$55)-MAX($B$9,0.01*AG589+AG589*$G$55),0),0)</f>
        <v/>
      </c>
      <c r="AH590">
        <f>AG589*$G$55</f>
        <v/>
      </c>
      <c r="AI590">
        <f>G590+K590+O590+S590+W590</f>
        <v/>
      </c>
      <c r="AJ590">
        <f>AI589+AK590-AI590</f>
        <v/>
      </c>
      <c r="AK590">
        <f>H590+L590+P590+T590+X590</f>
        <v/>
      </c>
      <c r="AL590">
        <f>TEXT(EDATE($B$5,D590-1),"mmm yyyy")</f>
        <v/>
      </c>
      <c r="AM590">
        <f>AI590</f>
        <v/>
      </c>
    </row>
    <row r="591">
      <c r="D591" t="n">
        <v>530</v>
      </c>
      <c r="E591">
        <f>IF(G590&gt;0,MAX(0,G590*(1+$G$51)-$H$51),0)</f>
        <v/>
      </c>
      <c r="F591">
        <f>$B$6+IF($D591=$B$8,$B$7,0)</f>
        <v/>
      </c>
      <c r="G591">
        <f>IF(E591-F591&gt;1E-9,E591-F591,0)</f>
        <v/>
      </c>
      <c r="H591">
        <f>G590*$G$51</f>
        <v/>
      </c>
      <c r="I591">
        <f>IF(K590&gt;0,MAX(0,K590*(1+$G$52)-$H$52),0)</f>
        <v/>
      </c>
      <c r="J591">
        <f>MAX(0,F591-E591)</f>
        <v/>
      </c>
      <c r="K591">
        <f>IF(I591-J591&gt;1E-9,I591-J591,0)</f>
        <v/>
      </c>
      <c r="L591">
        <f>K590*$G$52</f>
        <v/>
      </c>
      <c r="M591">
        <f>IF(O590&gt;0,MAX(0,O590*(1+$G$53)-$H$53),0)</f>
        <v/>
      </c>
      <c r="N591">
        <f>MAX(0,J591-I591)</f>
        <v/>
      </c>
      <c r="O591">
        <f>IF(M591-N591&gt;1E-9,M591-N591,0)</f>
        <v/>
      </c>
      <c r="P591">
        <f>O590*$G$53</f>
        <v/>
      </c>
      <c r="Q591">
        <f>IF(S590&gt;0,MAX(0,S590*(1+$G$54)-$H$54),0)</f>
        <v/>
      </c>
      <c r="R591">
        <f>MAX(0,N591-M591)</f>
        <v/>
      </c>
      <c r="S591">
        <f>IF(Q591-R591&gt;1E-9,Q591-R591,0)</f>
        <v/>
      </c>
      <c r="T591">
        <f>S590*$G$54</f>
        <v/>
      </c>
      <c r="U591">
        <f>IF(W590&gt;0,MAX(0,W590*(1+$G$55)-$H$55),0)</f>
        <v/>
      </c>
      <c r="V591">
        <f>MAX(0,R591-Q591)</f>
        <v/>
      </c>
      <c r="W591">
        <f>IF(U591-V591&gt;1E-9,U591-V591,0)</f>
        <v/>
      </c>
      <c r="X591">
        <f>W590*$G$55</f>
        <v/>
      </c>
      <c r="Y591">
        <f>IF(Y590&gt;1E-9,IF(Y590*(1+$G$51)-MAX($B$9,0.01*Y590+Y590*$G$51)&gt;1E-9,Y590*(1+$G$51)-MAX($B$9,0.01*Y590+Y590*$G$51),0),0)</f>
        <v/>
      </c>
      <c r="Z591">
        <f>Y590*$G$51</f>
        <v/>
      </c>
      <c r="AA591">
        <f>IF(AA590&gt;1E-9,IF(AA590*(1+$G$52)-MAX($B$9,0.01*AA590+AA590*$G$52)&gt;1E-9,AA590*(1+$G$52)-MAX($B$9,0.01*AA590+AA590*$G$52),0),0)</f>
        <v/>
      </c>
      <c r="AB591">
        <f>AA590*$G$52</f>
        <v/>
      </c>
      <c r="AC591">
        <f>IF(AC590&gt;1E-9,IF(AC590*(1+$G$53)-MAX($B$9,0.01*AC590+AC590*$G$53)&gt;1E-9,AC590*(1+$G$53)-MAX($B$9,0.01*AC590+AC590*$G$53),0),0)</f>
        <v/>
      </c>
      <c r="AD591">
        <f>AC590*$G$53</f>
        <v/>
      </c>
      <c r="AE591">
        <f>IF(AE590&gt;1E-9,IF(AE590*(1+$G$54)-MAX($B$9,0.01*AE590+AE590*$G$54)&gt;1E-9,AE590*(1+$G$54)-MAX($B$9,0.01*AE590+AE590*$G$54),0),0)</f>
        <v/>
      </c>
      <c r="AF591">
        <f>AE590*$G$54</f>
        <v/>
      </c>
      <c r="AG591">
        <f>IF(AG590&gt;1E-9,IF(AG590*(1+$G$55)-MAX($B$9,0.01*AG590+AG590*$G$55)&gt;1E-9,AG590*(1+$G$55)-MAX($B$9,0.01*AG590+AG590*$G$55),0),0)</f>
        <v/>
      </c>
      <c r="AH591">
        <f>AG590*$G$55</f>
        <v/>
      </c>
      <c r="AI591">
        <f>G591+K591+O591+S591+W591</f>
        <v/>
      </c>
      <c r="AJ591">
        <f>AI590+AK591-AI591</f>
        <v/>
      </c>
      <c r="AK591">
        <f>H591+L591+P591+T591+X591</f>
        <v/>
      </c>
      <c r="AL591">
        <f>TEXT(EDATE($B$5,D591-1),"mmm yyyy")</f>
        <v/>
      </c>
      <c r="AM591">
        <f>AI591</f>
        <v/>
      </c>
    </row>
    <row r="592">
      <c r="D592" t="n">
        <v>531</v>
      </c>
      <c r="E592">
        <f>IF(G591&gt;0,MAX(0,G591*(1+$G$51)-$H$51),0)</f>
        <v/>
      </c>
      <c r="F592">
        <f>$B$6+IF($D592=$B$8,$B$7,0)</f>
        <v/>
      </c>
      <c r="G592">
        <f>IF(E592-F592&gt;1E-9,E592-F592,0)</f>
        <v/>
      </c>
      <c r="H592">
        <f>G591*$G$51</f>
        <v/>
      </c>
      <c r="I592">
        <f>IF(K591&gt;0,MAX(0,K591*(1+$G$52)-$H$52),0)</f>
        <v/>
      </c>
      <c r="J592">
        <f>MAX(0,F592-E592)</f>
        <v/>
      </c>
      <c r="K592">
        <f>IF(I592-J592&gt;1E-9,I592-J592,0)</f>
        <v/>
      </c>
      <c r="L592">
        <f>K591*$G$52</f>
        <v/>
      </c>
      <c r="M592">
        <f>IF(O591&gt;0,MAX(0,O591*(1+$G$53)-$H$53),0)</f>
        <v/>
      </c>
      <c r="N592">
        <f>MAX(0,J592-I592)</f>
        <v/>
      </c>
      <c r="O592">
        <f>IF(M592-N592&gt;1E-9,M592-N592,0)</f>
        <v/>
      </c>
      <c r="P592">
        <f>O591*$G$53</f>
        <v/>
      </c>
      <c r="Q592">
        <f>IF(S591&gt;0,MAX(0,S591*(1+$G$54)-$H$54),0)</f>
        <v/>
      </c>
      <c r="R592">
        <f>MAX(0,N592-M592)</f>
        <v/>
      </c>
      <c r="S592">
        <f>IF(Q592-R592&gt;1E-9,Q592-R592,0)</f>
        <v/>
      </c>
      <c r="T592">
        <f>S591*$G$54</f>
        <v/>
      </c>
      <c r="U592">
        <f>IF(W591&gt;0,MAX(0,W591*(1+$G$55)-$H$55),0)</f>
        <v/>
      </c>
      <c r="V592">
        <f>MAX(0,R592-Q592)</f>
        <v/>
      </c>
      <c r="W592">
        <f>IF(U592-V592&gt;1E-9,U592-V592,0)</f>
        <v/>
      </c>
      <c r="X592">
        <f>W591*$G$55</f>
        <v/>
      </c>
      <c r="Y592">
        <f>IF(Y591&gt;1E-9,IF(Y591*(1+$G$51)-MAX($B$9,0.01*Y591+Y591*$G$51)&gt;1E-9,Y591*(1+$G$51)-MAX($B$9,0.01*Y591+Y591*$G$51),0),0)</f>
        <v/>
      </c>
      <c r="Z592">
        <f>Y591*$G$51</f>
        <v/>
      </c>
      <c r="AA592">
        <f>IF(AA591&gt;1E-9,IF(AA591*(1+$G$52)-MAX($B$9,0.01*AA591+AA591*$G$52)&gt;1E-9,AA591*(1+$G$52)-MAX($B$9,0.01*AA591+AA591*$G$52),0),0)</f>
        <v/>
      </c>
      <c r="AB592">
        <f>AA591*$G$52</f>
        <v/>
      </c>
      <c r="AC592">
        <f>IF(AC591&gt;1E-9,IF(AC591*(1+$G$53)-MAX($B$9,0.01*AC591+AC591*$G$53)&gt;1E-9,AC591*(1+$G$53)-MAX($B$9,0.01*AC591+AC591*$G$53),0),0)</f>
        <v/>
      </c>
      <c r="AD592">
        <f>AC591*$G$53</f>
        <v/>
      </c>
      <c r="AE592">
        <f>IF(AE591&gt;1E-9,IF(AE591*(1+$G$54)-MAX($B$9,0.01*AE591+AE591*$G$54)&gt;1E-9,AE591*(1+$G$54)-MAX($B$9,0.01*AE591+AE591*$G$54),0),0)</f>
        <v/>
      </c>
      <c r="AF592">
        <f>AE591*$G$54</f>
        <v/>
      </c>
      <c r="AG592">
        <f>IF(AG591&gt;1E-9,IF(AG591*(1+$G$55)-MAX($B$9,0.01*AG591+AG591*$G$55)&gt;1E-9,AG591*(1+$G$55)-MAX($B$9,0.01*AG591+AG591*$G$55),0),0)</f>
        <v/>
      </c>
      <c r="AH592">
        <f>AG591*$G$55</f>
        <v/>
      </c>
      <c r="AI592">
        <f>G592+K592+O592+S592+W592</f>
        <v/>
      </c>
      <c r="AJ592">
        <f>AI591+AK592-AI592</f>
        <v/>
      </c>
      <c r="AK592">
        <f>H592+L592+P592+T592+X592</f>
        <v/>
      </c>
      <c r="AL592">
        <f>TEXT(EDATE($B$5,D592-1),"mmm yyyy")</f>
        <v/>
      </c>
      <c r="AM592">
        <f>AI592</f>
        <v/>
      </c>
    </row>
    <row r="593">
      <c r="D593" t="n">
        <v>532</v>
      </c>
      <c r="E593">
        <f>IF(G592&gt;0,MAX(0,G592*(1+$G$51)-$H$51),0)</f>
        <v/>
      </c>
      <c r="F593">
        <f>$B$6+IF($D593=$B$8,$B$7,0)</f>
        <v/>
      </c>
      <c r="G593">
        <f>IF(E593-F593&gt;1E-9,E593-F593,0)</f>
        <v/>
      </c>
      <c r="H593">
        <f>G592*$G$51</f>
        <v/>
      </c>
      <c r="I593">
        <f>IF(K592&gt;0,MAX(0,K592*(1+$G$52)-$H$52),0)</f>
        <v/>
      </c>
      <c r="J593">
        <f>MAX(0,F593-E593)</f>
        <v/>
      </c>
      <c r="K593">
        <f>IF(I593-J593&gt;1E-9,I593-J593,0)</f>
        <v/>
      </c>
      <c r="L593">
        <f>K592*$G$52</f>
        <v/>
      </c>
      <c r="M593">
        <f>IF(O592&gt;0,MAX(0,O592*(1+$G$53)-$H$53),0)</f>
        <v/>
      </c>
      <c r="N593">
        <f>MAX(0,J593-I593)</f>
        <v/>
      </c>
      <c r="O593">
        <f>IF(M593-N593&gt;1E-9,M593-N593,0)</f>
        <v/>
      </c>
      <c r="P593">
        <f>O592*$G$53</f>
        <v/>
      </c>
      <c r="Q593">
        <f>IF(S592&gt;0,MAX(0,S592*(1+$G$54)-$H$54),0)</f>
        <v/>
      </c>
      <c r="R593">
        <f>MAX(0,N593-M593)</f>
        <v/>
      </c>
      <c r="S593">
        <f>IF(Q593-R593&gt;1E-9,Q593-R593,0)</f>
        <v/>
      </c>
      <c r="T593">
        <f>S592*$G$54</f>
        <v/>
      </c>
      <c r="U593">
        <f>IF(W592&gt;0,MAX(0,W592*(1+$G$55)-$H$55),0)</f>
        <v/>
      </c>
      <c r="V593">
        <f>MAX(0,R593-Q593)</f>
        <v/>
      </c>
      <c r="W593">
        <f>IF(U593-V593&gt;1E-9,U593-V593,0)</f>
        <v/>
      </c>
      <c r="X593">
        <f>W592*$G$55</f>
        <v/>
      </c>
      <c r="Y593">
        <f>IF(Y592&gt;1E-9,IF(Y592*(1+$G$51)-MAX($B$9,0.01*Y592+Y592*$G$51)&gt;1E-9,Y592*(1+$G$51)-MAX($B$9,0.01*Y592+Y592*$G$51),0),0)</f>
        <v/>
      </c>
      <c r="Z593">
        <f>Y592*$G$51</f>
        <v/>
      </c>
      <c r="AA593">
        <f>IF(AA592&gt;1E-9,IF(AA592*(1+$G$52)-MAX($B$9,0.01*AA592+AA592*$G$52)&gt;1E-9,AA592*(1+$G$52)-MAX($B$9,0.01*AA592+AA592*$G$52),0),0)</f>
        <v/>
      </c>
      <c r="AB593">
        <f>AA592*$G$52</f>
        <v/>
      </c>
      <c r="AC593">
        <f>IF(AC592&gt;1E-9,IF(AC592*(1+$G$53)-MAX($B$9,0.01*AC592+AC592*$G$53)&gt;1E-9,AC592*(1+$G$53)-MAX($B$9,0.01*AC592+AC592*$G$53),0),0)</f>
        <v/>
      </c>
      <c r="AD593">
        <f>AC592*$G$53</f>
        <v/>
      </c>
      <c r="AE593">
        <f>IF(AE592&gt;1E-9,IF(AE592*(1+$G$54)-MAX($B$9,0.01*AE592+AE592*$G$54)&gt;1E-9,AE592*(1+$G$54)-MAX($B$9,0.01*AE592+AE592*$G$54),0),0)</f>
        <v/>
      </c>
      <c r="AF593">
        <f>AE592*$G$54</f>
        <v/>
      </c>
      <c r="AG593">
        <f>IF(AG592&gt;1E-9,IF(AG592*(1+$G$55)-MAX($B$9,0.01*AG592+AG592*$G$55)&gt;1E-9,AG592*(1+$G$55)-MAX($B$9,0.01*AG592+AG592*$G$55),0),0)</f>
        <v/>
      </c>
      <c r="AH593">
        <f>AG592*$G$55</f>
        <v/>
      </c>
      <c r="AI593">
        <f>G593+K593+O593+S593+W593</f>
        <v/>
      </c>
      <c r="AJ593">
        <f>AI592+AK593-AI593</f>
        <v/>
      </c>
      <c r="AK593">
        <f>H593+L593+P593+T593+X593</f>
        <v/>
      </c>
      <c r="AL593">
        <f>TEXT(EDATE($B$5,D593-1),"mmm yyyy")</f>
        <v/>
      </c>
      <c r="AM593">
        <f>AI593</f>
        <v/>
      </c>
    </row>
    <row r="594">
      <c r="D594" t="n">
        <v>533</v>
      </c>
      <c r="E594">
        <f>IF(G593&gt;0,MAX(0,G593*(1+$G$51)-$H$51),0)</f>
        <v/>
      </c>
      <c r="F594">
        <f>$B$6+IF($D594=$B$8,$B$7,0)</f>
        <v/>
      </c>
      <c r="G594">
        <f>IF(E594-F594&gt;1E-9,E594-F594,0)</f>
        <v/>
      </c>
      <c r="H594">
        <f>G593*$G$51</f>
        <v/>
      </c>
      <c r="I594">
        <f>IF(K593&gt;0,MAX(0,K593*(1+$G$52)-$H$52),0)</f>
        <v/>
      </c>
      <c r="J594">
        <f>MAX(0,F594-E594)</f>
        <v/>
      </c>
      <c r="K594">
        <f>IF(I594-J594&gt;1E-9,I594-J594,0)</f>
        <v/>
      </c>
      <c r="L594">
        <f>K593*$G$52</f>
        <v/>
      </c>
      <c r="M594">
        <f>IF(O593&gt;0,MAX(0,O593*(1+$G$53)-$H$53),0)</f>
        <v/>
      </c>
      <c r="N594">
        <f>MAX(0,J594-I594)</f>
        <v/>
      </c>
      <c r="O594">
        <f>IF(M594-N594&gt;1E-9,M594-N594,0)</f>
        <v/>
      </c>
      <c r="P594">
        <f>O593*$G$53</f>
        <v/>
      </c>
      <c r="Q594">
        <f>IF(S593&gt;0,MAX(0,S593*(1+$G$54)-$H$54),0)</f>
        <v/>
      </c>
      <c r="R594">
        <f>MAX(0,N594-M594)</f>
        <v/>
      </c>
      <c r="S594">
        <f>IF(Q594-R594&gt;1E-9,Q594-R594,0)</f>
        <v/>
      </c>
      <c r="T594">
        <f>S593*$G$54</f>
        <v/>
      </c>
      <c r="U594">
        <f>IF(W593&gt;0,MAX(0,W593*(1+$G$55)-$H$55),0)</f>
        <v/>
      </c>
      <c r="V594">
        <f>MAX(0,R594-Q594)</f>
        <v/>
      </c>
      <c r="W594">
        <f>IF(U594-V594&gt;1E-9,U594-V594,0)</f>
        <v/>
      </c>
      <c r="X594">
        <f>W593*$G$55</f>
        <v/>
      </c>
      <c r="Y594">
        <f>IF(Y593&gt;1E-9,IF(Y593*(1+$G$51)-MAX($B$9,0.01*Y593+Y593*$G$51)&gt;1E-9,Y593*(1+$G$51)-MAX($B$9,0.01*Y593+Y593*$G$51),0),0)</f>
        <v/>
      </c>
      <c r="Z594">
        <f>Y593*$G$51</f>
        <v/>
      </c>
      <c r="AA594">
        <f>IF(AA593&gt;1E-9,IF(AA593*(1+$G$52)-MAX($B$9,0.01*AA593+AA593*$G$52)&gt;1E-9,AA593*(1+$G$52)-MAX($B$9,0.01*AA593+AA593*$G$52),0),0)</f>
        <v/>
      </c>
      <c r="AB594">
        <f>AA593*$G$52</f>
        <v/>
      </c>
      <c r="AC594">
        <f>IF(AC593&gt;1E-9,IF(AC593*(1+$G$53)-MAX($B$9,0.01*AC593+AC593*$G$53)&gt;1E-9,AC593*(1+$G$53)-MAX($B$9,0.01*AC593+AC593*$G$53),0),0)</f>
        <v/>
      </c>
      <c r="AD594">
        <f>AC593*$G$53</f>
        <v/>
      </c>
      <c r="AE594">
        <f>IF(AE593&gt;1E-9,IF(AE593*(1+$G$54)-MAX($B$9,0.01*AE593+AE593*$G$54)&gt;1E-9,AE593*(1+$G$54)-MAX($B$9,0.01*AE593+AE593*$G$54),0),0)</f>
        <v/>
      </c>
      <c r="AF594">
        <f>AE593*$G$54</f>
        <v/>
      </c>
      <c r="AG594">
        <f>IF(AG593&gt;1E-9,IF(AG593*(1+$G$55)-MAX($B$9,0.01*AG593+AG593*$G$55)&gt;1E-9,AG593*(1+$G$55)-MAX($B$9,0.01*AG593+AG593*$G$55),0),0)</f>
        <v/>
      </c>
      <c r="AH594">
        <f>AG593*$G$55</f>
        <v/>
      </c>
      <c r="AI594">
        <f>G594+K594+O594+S594+W594</f>
        <v/>
      </c>
      <c r="AJ594">
        <f>AI593+AK594-AI594</f>
        <v/>
      </c>
      <c r="AK594">
        <f>H594+L594+P594+T594+X594</f>
        <v/>
      </c>
      <c r="AL594">
        <f>TEXT(EDATE($B$5,D594-1),"mmm yyyy")</f>
        <v/>
      </c>
      <c r="AM594">
        <f>AI594</f>
        <v/>
      </c>
    </row>
    <row r="595">
      <c r="D595" t="n">
        <v>534</v>
      </c>
      <c r="E595">
        <f>IF(G594&gt;0,MAX(0,G594*(1+$G$51)-$H$51),0)</f>
        <v/>
      </c>
      <c r="F595">
        <f>$B$6+IF($D595=$B$8,$B$7,0)</f>
        <v/>
      </c>
      <c r="G595">
        <f>IF(E595-F595&gt;1E-9,E595-F595,0)</f>
        <v/>
      </c>
      <c r="H595">
        <f>G594*$G$51</f>
        <v/>
      </c>
      <c r="I595">
        <f>IF(K594&gt;0,MAX(0,K594*(1+$G$52)-$H$52),0)</f>
        <v/>
      </c>
      <c r="J595">
        <f>MAX(0,F595-E595)</f>
        <v/>
      </c>
      <c r="K595">
        <f>IF(I595-J595&gt;1E-9,I595-J595,0)</f>
        <v/>
      </c>
      <c r="L595">
        <f>K594*$G$52</f>
        <v/>
      </c>
      <c r="M595">
        <f>IF(O594&gt;0,MAX(0,O594*(1+$G$53)-$H$53),0)</f>
        <v/>
      </c>
      <c r="N595">
        <f>MAX(0,J595-I595)</f>
        <v/>
      </c>
      <c r="O595">
        <f>IF(M595-N595&gt;1E-9,M595-N595,0)</f>
        <v/>
      </c>
      <c r="P595">
        <f>O594*$G$53</f>
        <v/>
      </c>
      <c r="Q595">
        <f>IF(S594&gt;0,MAX(0,S594*(1+$G$54)-$H$54),0)</f>
        <v/>
      </c>
      <c r="R595">
        <f>MAX(0,N595-M595)</f>
        <v/>
      </c>
      <c r="S595">
        <f>IF(Q595-R595&gt;1E-9,Q595-R595,0)</f>
        <v/>
      </c>
      <c r="T595">
        <f>S594*$G$54</f>
        <v/>
      </c>
      <c r="U595">
        <f>IF(W594&gt;0,MAX(0,W594*(1+$G$55)-$H$55),0)</f>
        <v/>
      </c>
      <c r="V595">
        <f>MAX(0,R595-Q595)</f>
        <v/>
      </c>
      <c r="W595">
        <f>IF(U595-V595&gt;1E-9,U595-V595,0)</f>
        <v/>
      </c>
      <c r="X595">
        <f>W594*$G$55</f>
        <v/>
      </c>
      <c r="Y595">
        <f>IF(Y594&gt;1E-9,IF(Y594*(1+$G$51)-MAX($B$9,0.01*Y594+Y594*$G$51)&gt;1E-9,Y594*(1+$G$51)-MAX($B$9,0.01*Y594+Y594*$G$51),0),0)</f>
        <v/>
      </c>
      <c r="Z595">
        <f>Y594*$G$51</f>
        <v/>
      </c>
      <c r="AA595">
        <f>IF(AA594&gt;1E-9,IF(AA594*(1+$G$52)-MAX($B$9,0.01*AA594+AA594*$G$52)&gt;1E-9,AA594*(1+$G$52)-MAX($B$9,0.01*AA594+AA594*$G$52),0),0)</f>
        <v/>
      </c>
      <c r="AB595">
        <f>AA594*$G$52</f>
        <v/>
      </c>
      <c r="AC595">
        <f>IF(AC594&gt;1E-9,IF(AC594*(1+$G$53)-MAX($B$9,0.01*AC594+AC594*$G$53)&gt;1E-9,AC594*(1+$G$53)-MAX($B$9,0.01*AC594+AC594*$G$53),0),0)</f>
        <v/>
      </c>
      <c r="AD595">
        <f>AC594*$G$53</f>
        <v/>
      </c>
      <c r="AE595">
        <f>IF(AE594&gt;1E-9,IF(AE594*(1+$G$54)-MAX($B$9,0.01*AE594+AE594*$G$54)&gt;1E-9,AE594*(1+$G$54)-MAX($B$9,0.01*AE594+AE594*$G$54),0),0)</f>
        <v/>
      </c>
      <c r="AF595">
        <f>AE594*$G$54</f>
        <v/>
      </c>
      <c r="AG595">
        <f>IF(AG594&gt;1E-9,IF(AG594*(1+$G$55)-MAX($B$9,0.01*AG594+AG594*$G$55)&gt;1E-9,AG594*(1+$G$55)-MAX($B$9,0.01*AG594+AG594*$G$55),0),0)</f>
        <v/>
      </c>
      <c r="AH595">
        <f>AG594*$G$55</f>
        <v/>
      </c>
      <c r="AI595">
        <f>G595+K595+O595+S595+W595</f>
        <v/>
      </c>
      <c r="AJ595">
        <f>AI594+AK595-AI595</f>
        <v/>
      </c>
      <c r="AK595">
        <f>H595+L595+P595+T595+X595</f>
        <v/>
      </c>
      <c r="AL595">
        <f>TEXT(EDATE($B$5,D595-1),"mmm yyyy")</f>
        <v/>
      </c>
      <c r="AM595">
        <f>AI595</f>
        <v/>
      </c>
    </row>
    <row r="596">
      <c r="D596" t="n">
        <v>535</v>
      </c>
      <c r="E596">
        <f>IF(G595&gt;0,MAX(0,G595*(1+$G$51)-$H$51),0)</f>
        <v/>
      </c>
      <c r="F596">
        <f>$B$6+IF($D596=$B$8,$B$7,0)</f>
        <v/>
      </c>
      <c r="G596">
        <f>IF(E596-F596&gt;1E-9,E596-F596,0)</f>
        <v/>
      </c>
      <c r="H596">
        <f>G595*$G$51</f>
        <v/>
      </c>
      <c r="I596">
        <f>IF(K595&gt;0,MAX(0,K595*(1+$G$52)-$H$52),0)</f>
        <v/>
      </c>
      <c r="J596">
        <f>MAX(0,F596-E596)</f>
        <v/>
      </c>
      <c r="K596">
        <f>IF(I596-J596&gt;1E-9,I596-J596,0)</f>
        <v/>
      </c>
      <c r="L596">
        <f>K595*$G$52</f>
        <v/>
      </c>
      <c r="M596">
        <f>IF(O595&gt;0,MAX(0,O595*(1+$G$53)-$H$53),0)</f>
        <v/>
      </c>
      <c r="N596">
        <f>MAX(0,J596-I596)</f>
        <v/>
      </c>
      <c r="O596">
        <f>IF(M596-N596&gt;1E-9,M596-N596,0)</f>
        <v/>
      </c>
      <c r="P596">
        <f>O595*$G$53</f>
        <v/>
      </c>
      <c r="Q596">
        <f>IF(S595&gt;0,MAX(0,S595*(1+$G$54)-$H$54),0)</f>
        <v/>
      </c>
      <c r="R596">
        <f>MAX(0,N596-M596)</f>
        <v/>
      </c>
      <c r="S596">
        <f>IF(Q596-R596&gt;1E-9,Q596-R596,0)</f>
        <v/>
      </c>
      <c r="T596">
        <f>S595*$G$54</f>
        <v/>
      </c>
      <c r="U596">
        <f>IF(W595&gt;0,MAX(0,W595*(1+$G$55)-$H$55),0)</f>
        <v/>
      </c>
      <c r="V596">
        <f>MAX(0,R596-Q596)</f>
        <v/>
      </c>
      <c r="W596">
        <f>IF(U596-V596&gt;1E-9,U596-V596,0)</f>
        <v/>
      </c>
      <c r="X596">
        <f>W595*$G$55</f>
        <v/>
      </c>
      <c r="Y596">
        <f>IF(Y595&gt;1E-9,IF(Y595*(1+$G$51)-MAX($B$9,0.01*Y595+Y595*$G$51)&gt;1E-9,Y595*(1+$G$51)-MAX($B$9,0.01*Y595+Y595*$G$51),0),0)</f>
        <v/>
      </c>
      <c r="Z596">
        <f>Y595*$G$51</f>
        <v/>
      </c>
      <c r="AA596">
        <f>IF(AA595&gt;1E-9,IF(AA595*(1+$G$52)-MAX($B$9,0.01*AA595+AA595*$G$52)&gt;1E-9,AA595*(1+$G$52)-MAX($B$9,0.01*AA595+AA595*$G$52),0),0)</f>
        <v/>
      </c>
      <c r="AB596">
        <f>AA595*$G$52</f>
        <v/>
      </c>
      <c r="AC596">
        <f>IF(AC595&gt;1E-9,IF(AC595*(1+$G$53)-MAX($B$9,0.01*AC595+AC595*$G$53)&gt;1E-9,AC595*(1+$G$53)-MAX($B$9,0.01*AC595+AC595*$G$53),0),0)</f>
        <v/>
      </c>
      <c r="AD596">
        <f>AC595*$G$53</f>
        <v/>
      </c>
      <c r="AE596">
        <f>IF(AE595&gt;1E-9,IF(AE595*(1+$G$54)-MAX($B$9,0.01*AE595+AE595*$G$54)&gt;1E-9,AE595*(1+$G$54)-MAX($B$9,0.01*AE595+AE595*$G$54),0),0)</f>
        <v/>
      </c>
      <c r="AF596">
        <f>AE595*$G$54</f>
        <v/>
      </c>
      <c r="AG596">
        <f>IF(AG595&gt;1E-9,IF(AG595*(1+$G$55)-MAX($B$9,0.01*AG595+AG595*$G$55)&gt;1E-9,AG595*(1+$G$55)-MAX($B$9,0.01*AG595+AG595*$G$55),0),0)</f>
        <v/>
      </c>
      <c r="AH596">
        <f>AG595*$G$55</f>
        <v/>
      </c>
      <c r="AI596">
        <f>G596+K596+O596+S596+W596</f>
        <v/>
      </c>
      <c r="AJ596">
        <f>AI595+AK596-AI596</f>
        <v/>
      </c>
      <c r="AK596">
        <f>H596+L596+P596+T596+X596</f>
        <v/>
      </c>
      <c r="AL596">
        <f>TEXT(EDATE($B$5,D596-1),"mmm yyyy")</f>
        <v/>
      </c>
      <c r="AM596">
        <f>AI596</f>
        <v/>
      </c>
    </row>
    <row r="597">
      <c r="D597" t="n">
        <v>536</v>
      </c>
      <c r="E597">
        <f>IF(G596&gt;0,MAX(0,G596*(1+$G$51)-$H$51),0)</f>
        <v/>
      </c>
      <c r="F597">
        <f>$B$6+IF($D597=$B$8,$B$7,0)</f>
        <v/>
      </c>
      <c r="G597">
        <f>IF(E597-F597&gt;1E-9,E597-F597,0)</f>
        <v/>
      </c>
      <c r="H597">
        <f>G596*$G$51</f>
        <v/>
      </c>
      <c r="I597">
        <f>IF(K596&gt;0,MAX(0,K596*(1+$G$52)-$H$52),0)</f>
        <v/>
      </c>
      <c r="J597">
        <f>MAX(0,F597-E597)</f>
        <v/>
      </c>
      <c r="K597">
        <f>IF(I597-J597&gt;1E-9,I597-J597,0)</f>
        <v/>
      </c>
      <c r="L597">
        <f>K596*$G$52</f>
        <v/>
      </c>
      <c r="M597">
        <f>IF(O596&gt;0,MAX(0,O596*(1+$G$53)-$H$53),0)</f>
        <v/>
      </c>
      <c r="N597">
        <f>MAX(0,J597-I597)</f>
        <v/>
      </c>
      <c r="O597">
        <f>IF(M597-N597&gt;1E-9,M597-N597,0)</f>
        <v/>
      </c>
      <c r="P597">
        <f>O596*$G$53</f>
        <v/>
      </c>
      <c r="Q597">
        <f>IF(S596&gt;0,MAX(0,S596*(1+$G$54)-$H$54),0)</f>
        <v/>
      </c>
      <c r="R597">
        <f>MAX(0,N597-M597)</f>
        <v/>
      </c>
      <c r="S597">
        <f>IF(Q597-R597&gt;1E-9,Q597-R597,0)</f>
        <v/>
      </c>
      <c r="T597">
        <f>S596*$G$54</f>
        <v/>
      </c>
      <c r="U597">
        <f>IF(W596&gt;0,MAX(0,W596*(1+$G$55)-$H$55),0)</f>
        <v/>
      </c>
      <c r="V597">
        <f>MAX(0,R597-Q597)</f>
        <v/>
      </c>
      <c r="W597">
        <f>IF(U597-V597&gt;1E-9,U597-V597,0)</f>
        <v/>
      </c>
      <c r="X597">
        <f>W596*$G$55</f>
        <v/>
      </c>
      <c r="Y597">
        <f>IF(Y596&gt;1E-9,IF(Y596*(1+$G$51)-MAX($B$9,0.01*Y596+Y596*$G$51)&gt;1E-9,Y596*(1+$G$51)-MAX($B$9,0.01*Y596+Y596*$G$51),0),0)</f>
        <v/>
      </c>
      <c r="Z597">
        <f>Y596*$G$51</f>
        <v/>
      </c>
      <c r="AA597">
        <f>IF(AA596&gt;1E-9,IF(AA596*(1+$G$52)-MAX($B$9,0.01*AA596+AA596*$G$52)&gt;1E-9,AA596*(1+$G$52)-MAX($B$9,0.01*AA596+AA596*$G$52),0),0)</f>
        <v/>
      </c>
      <c r="AB597">
        <f>AA596*$G$52</f>
        <v/>
      </c>
      <c r="AC597">
        <f>IF(AC596&gt;1E-9,IF(AC596*(1+$G$53)-MAX($B$9,0.01*AC596+AC596*$G$53)&gt;1E-9,AC596*(1+$G$53)-MAX($B$9,0.01*AC596+AC596*$G$53),0),0)</f>
        <v/>
      </c>
      <c r="AD597">
        <f>AC596*$G$53</f>
        <v/>
      </c>
      <c r="AE597">
        <f>IF(AE596&gt;1E-9,IF(AE596*(1+$G$54)-MAX($B$9,0.01*AE596+AE596*$G$54)&gt;1E-9,AE596*(1+$G$54)-MAX($B$9,0.01*AE596+AE596*$G$54),0),0)</f>
        <v/>
      </c>
      <c r="AF597">
        <f>AE596*$G$54</f>
        <v/>
      </c>
      <c r="AG597">
        <f>IF(AG596&gt;1E-9,IF(AG596*(1+$G$55)-MAX($B$9,0.01*AG596+AG596*$G$55)&gt;1E-9,AG596*(1+$G$55)-MAX($B$9,0.01*AG596+AG596*$G$55),0),0)</f>
        <v/>
      </c>
      <c r="AH597">
        <f>AG596*$G$55</f>
        <v/>
      </c>
      <c r="AI597">
        <f>G597+K597+O597+S597+W597</f>
        <v/>
      </c>
      <c r="AJ597">
        <f>AI596+AK597-AI597</f>
        <v/>
      </c>
      <c r="AK597">
        <f>H597+L597+P597+T597+X597</f>
        <v/>
      </c>
      <c r="AL597">
        <f>TEXT(EDATE($B$5,D597-1),"mmm yyyy")</f>
        <v/>
      </c>
      <c r="AM597">
        <f>AI597</f>
        <v/>
      </c>
    </row>
    <row r="598">
      <c r="D598" t="n">
        <v>537</v>
      </c>
      <c r="E598">
        <f>IF(G597&gt;0,MAX(0,G597*(1+$G$51)-$H$51),0)</f>
        <v/>
      </c>
      <c r="F598">
        <f>$B$6+IF($D598=$B$8,$B$7,0)</f>
        <v/>
      </c>
      <c r="G598">
        <f>IF(E598-F598&gt;1E-9,E598-F598,0)</f>
        <v/>
      </c>
      <c r="H598">
        <f>G597*$G$51</f>
        <v/>
      </c>
      <c r="I598">
        <f>IF(K597&gt;0,MAX(0,K597*(1+$G$52)-$H$52),0)</f>
        <v/>
      </c>
      <c r="J598">
        <f>MAX(0,F598-E598)</f>
        <v/>
      </c>
      <c r="K598">
        <f>IF(I598-J598&gt;1E-9,I598-J598,0)</f>
        <v/>
      </c>
      <c r="L598">
        <f>K597*$G$52</f>
        <v/>
      </c>
      <c r="M598">
        <f>IF(O597&gt;0,MAX(0,O597*(1+$G$53)-$H$53),0)</f>
        <v/>
      </c>
      <c r="N598">
        <f>MAX(0,J598-I598)</f>
        <v/>
      </c>
      <c r="O598">
        <f>IF(M598-N598&gt;1E-9,M598-N598,0)</f>
        <v/>
      </c>
      <c r="P598">
        <f>O597*$G$53</f>
        <v/>
      </c>
      <c r="Q598">
        <f>IF(S597&gt;0,MAX(0,S597*(1+$G$54)-$H$54),0)</f>
        <v/>
      </c>
      <c r="R598">
        <f>MAX(0,N598-M598)</f>
        <v/>
      </c>
      <c r="S598">
        <f>IF(Q598-R598&gt;1E-9,Q598-R598,0)</f>
        <v/>
      </c>
      <c r="T598">
        <f>S597*$G$54</f>
        <v/>
      </c>
      <c r="U598">
        <f>IF(W597&gt;0,MAX(0,W597*(1+$G$55)-$H$55),0)</f>
        <v/>
      </c>
      <c r="V598">
        <f>MAX(0,R598-Q598)</f>
        <v/>
      </c>
      <c r="W598">
        <f>IF(U598-V598&gt;1E-9,U598-V598,0)</f>
        <v/>
      </c>
      <c r="X598">
        <f>W597*$G$55</f>
        <v/>
      </c>
      <c r="Y598">
        <f>IF(Y597&gt;1E-9,IF(Y597*(1+$G$51)-MAX($B$9,0.01*Y597+Y597*$G$51)&gt;1E-9,Y597*(1+$G$51)-MAX($B$9,0.01*Y597+Y597*$G$51),0),0)</f>
        <v/>
      </c>
      <c r="Z598">
        <f>Y597*$G$51</f>
        <v/>
      </c>
      <c r="AA598">
        <f>IF(AA597&gt;1E-9,IF(AA597*(1+$G$52)-MAX($B$9,0.01*AA597+AA597*$G$52)&gt;1E-9,AA597*(1+$G$52)-MAX($B$9,0.01*AA597+AA597*$G$52),0),0)</f>
        <v/>
      </c>
      <c r="AB598">
        <f>AA597*$G$52</f>
        <v/>
      </c>
      <c r="AC598">
        <f>IF(AC597&gt;1E-9,IF(AC597*(1+$G$53)-MAX($B$9,0.01*AC597+AC597*$G$53)&gt;1E-9,AC597*(1+$G$53)-MAX($B$9,0.01*AC597+AC597*$G$53),0),0)</f>
        <v/>
      </c>
      <c r="AD598">
        <f>AC597*$G$53</f>
        <v/>
      </c>
      <c r="AE598">
        <f>IF(AE597&gt;1E-9,IF(AE597*(1+$G$54)-MAX($B$9,0.01*AE597+AE597*$G$54)&gt;1E-9,AE597*(1+$G$54)-MAX($B$9,0.01*AE597+AE597*$G$54),0),0)</f>
        <v/>
      </c>
      <c r="AF598">
        <f>AE597*$G$54</f>
        <v/>
      </c>
      <c r="AG598">
        <f>IF(AG597&gt;1E-9,IF(AG597*(1+$G$55)-MAX($B$9,0.01*AG597+AG597*$G$55)&gt;1E-9,AG597*(1+$G$55)-MAX($B$9,0.01*AG597+AG597*$G$55),0),0)</f>
        <v/>
      </c>
      <c r="AH598">
        <f>AG597*$G$55</f>
        <v/>
      </c>
      <c r="AI598">
        <f>G598+K598+O598+S598+W598</f>
        <v/>
      </c>
      <c r="AJ598">
        <f>AI597+AK598-AI598</f>
        <v/>
      </c>
      <c r="AK598">
        <f>H598+L598+P598+T598+X598</f>
        <v/>
      </c>
      <c r="AL598">
        <f>TEXT(EDATE($B$5,D598-1),"mmm yyyy")</f>
        <v/>
      </c>
      <c r="AM598">
        <f>AI598</f>
        <v/>
      </c>
    </row>
    <row r="599">
      <c r="D599" t="n">
        <v>538</v>
      </c>
      <c r="E599">
        <f>IF(G598&gt;0,MAX(0,G598*(1+$G$51)-$H$51),0)</f>
        <v/>
      </c>
      <c r="F599">
        <f>$B$6+IF($D599=$B$8,$B$7,0)</f>
        <v/>
      </c>
      <c r="G599">
        <f>IF(E599-F599&gt;1E-9,E599-F599,0)</f>
        <v/>
      </c>
      <c r="H599">
        <f>G598*$G$51</f>
        <v/>
      </c>
      <c r="I599">
        <f>IF(K598&gt;0,MAX(0,K598*(1+$G$52)-$H$52),0)</f>
        <v/>
      </c>
      <c r="J599">
        <f>MAX(0,F599-E599)</f>
        <v/>
      </c>
      <c r="K599">
        <f>IF(I599-J599&gt;1E-9,I599-J599,0)</f>
        <v/>
      </c>
      <c r="L599">
        <f>K598*$G$52</f>
        <v/>
      </c>
      <c r="M599">
        <f>IF(O598&gt;0,MAX(0,O598*(1+$G$53)-$H$53),0)</f>
        <v/>
      </c>
      <c r="N599">
        <f>MAX(0,J599-I599)</f>
        <v/>
      </c>
      <c r="O599">
        <f>IF(M599-N599&gt;1E-9,M599-N599,0)</f>
        <v/>
      </c>
      <c r="P599">
        <f>O598*$G$53</f>
        <v/>
      </c>
      <c r="Q599">
        <f>IF(S598&gt;0,MAX(0,S598*(1+$G$54)-$H$54),0)</f>
        <v/>
      </c>
      <c r="R599">
        <f>MAX(0,N599-M599)</f>
        <v/>
      </c>
      <c r="S599">
        <f>IF(Q599-R599&gt;1E-9,Q599-R599,0)</f>
        <v/>
      </c>
      <c r="T599">
        <f>S598*$G$54</f>
        <v/>
      </c>
      <c r="U599">
        <f>IF(W598&gt;0,MAX(0,W598*(1+$G$55)-$H$55),0)</f>
        <v/>
      </c>
      <c r="V599">
        <f>MAX(0,R599-Q599)</f>
        <v/>
      </c>
      <c r="W599">
        <f>IF(U599-V599&gt;1E-9,U599-V599,0)</f>
        <v/>
      </c>
      <c r="X599">
        <f>W598*$G$55</f>
        <v/>
      </c>
      <c r="Y599">
        <f>IF(Y598&gt;1E-9,IF(Y598*(1+$G$51)-MAX($B$9,0.01*Y598+Y598*$G$51)&gt;1E-9,Y598*(1+$G$51)-MAX($B$9,0.01*Y598+Y598*$G$51),0),0)</f>
        <v/>
      </c>
      <c r="Z599">
        <f>Y598*$G$51</f>
        <v/>
      </c>
      <c r="AA599">
        <f>IF(AA598&gt;1E-9,IF(AA598*(1+$G$52)-MAX($B$9,0.01*AA598+AA598*$G$52)&gt;1E-9,AA598*(1+$G$52)-MAX($B$9,0.01*AA598+AA598*$G$52),0),0)</f>
        <v/>
      </c>
      <c r="AB599">
        <f>AA598*$G$52</f>
        <v/>
      </c>
      <c r="AC599">
        <f>IF(AC598&gt;1E-9,IF(AC598*(1+$G$53)-MAX($B$9,0.01*AC598+AC598*$G$53)&gt;1E-9,AC598*(1+$G$53)-MAX($B$9,0.01*AC598+AC598*$G$53),0),0)</f>
        <v/>
      </c>
      <c r="AD599">
        <f>AC598*$G$53</f>
        <v/>
      </c>
      <c r="AE599">
        <f>IF(AE598&gt;1E-9,IF(AE598*(1+$G$54)-MAX($B$9,0.01*AE598+AE598*$G$54)&gt;1E-9,AE598*(1+$G$54)-MAX($B$9,0.01*AE598+AE598*$G$54),0),0)</f>
        <v/>
      </c>
      <c r="AF599">
        <f>AE598*$G$54</f>
        <v/>
      </c>
      <c r="AG599">
        <f>IF(AG598&gt;1E-9,IF(AG598*(1+$G$55)-MAX($B$9,0.01*AG598+AG598*$G$55)&gt;1E-9,AG598*(1+$G$55)-MAX($B$9,0.01*AG598+AG598*$G$55),0),0)</f>
        <v/>
      </c>
      <c r="AH599">
        <f>AG598*$G$55</f>
        <v/>
      </c>
      <c r="AI599">
        <f>G599+K599+O599+S599+W599</f>
        <v/>
      </c>
      <c r="AJ599">
        <f>AI598+AK599-AI599</f>
        <v/>
      </c>
      <c r="AK599">
        <f>H599+L599+P599+T599+X599</f>
        <v/>
      </c>
      <c r="AL599">
        <f>TEXT(EDATE($B$5,D599-1),"mmm yyyy")</f>
        <v/>
      </c>
      <c r="AM599">
        <f>AI599</f>
        <v/>
      </c>
    </row>
    <row r="600">
      <c r="D600" t="n">
        <v>539</v>
      </c>
      <c r="E600">
        <f>IF(G599&gt;0,MAX(0,G599*(1+$G$51)-$H$51),0)</f>
        <v/>
      </c>
      <c r="F600">
        <f>$B$6+IF($D600=$B$8,$B$7,0)</f>
        <v/>
      </c>
      <c r="G600">
        <f>IF(E600-F600&gt;1E-9,E600-F600,0)</f>
        <v/>
      </c>
      <c r="H600">
        <f>G599*$G$51</f>
        <v/>
      </c>
      <c r="I600">
        <f>IF(K599&gt;0,MAX(0,K599*(1+$G$52)-$H$52),0)</f>
        <v/>
      </c>
      <c r="J600">
        <f>MAX(0,F600-E600)</f>
        <v/>
      </c>
      <c r="K600">
        <f>IF(I600-J600&gt;1E-9,I600-J600,0)</f>
        <v/>
      </c>
      <c r="L600">
        <f>K599*$G$52</f>
        <v/>
      </c>
      <c r="M600">
        <f>IF(O599&gt;0,MAX(0,O599*(1+$G$53)-$H$53),0)</f>
        <v/>
      </c>
      <c r="N600">
        <f>MAX(0,J600-I600)</f>
        <v/>
      </c>
      <c r="O600">
        <f>IF(M600-N600&gt;1E-9,M600-N600,0)</f>
        <v/>
      </c>
      <c r="P600">
        <f>O599*$G$53</f>
        <v/>
      </c>
      <c r="Q600">
        <f>IF(S599&gt;0,MAX(0,S599*(1+$G$54)-$H$54),0)</f>
        <v/>
      </c>
      <c r="R600">
        <f>MAX(0,N600-M600)</f>
        <v/>
      </c>
      <c r="S600">
        <f>IF(Q600-R600&gt;1E-9,Q600-R600,0)</f>
        <v/>
      </c>
      <c r="T600">
        <f>S599*$G$54</f>
        <v/>
      </c>
      <c r="U600">
        <f>IF(W599&gt;0,MAX(0,W599*(1+$G$55)-$H$55),0)</f>
        <v/>
      </c>
      <c r="V600">
        <f>MAX(0,R600-Q600)</f>
        <v/>
      </c>
      <c r="W600">
        <f>IF(U600-V600&gt;1E-9,U600-V600,0)</f>
        <v/>
      </c>
      <c r="X600">
        <f>W599*$G$55</f>
        <v/>
      </c>
      <c r="Y600">
        <f>IF(Y599&gt;1E-9,IF(Y599*(1+$G$51)-MAX($B$9,0.01*Y599+Y599*$G$51)&gt;1E-9,Y599*(1+$G$51)-MAX($B$9,0.01*Y599+Y599*$G$51),0),0)</f>
        <v/>
      </c>
      <c r="Z600">
        <f>Y599*$G$51</f>
        <v/>
      </c>
      <c r="AA600">
        <f>IF(AA599&gt;1E-9,IF(AA599*(1+$G$52)-MAX($B$9,0.01*AA599+AA599*$G$52)&gt;1E-9,AA599*(1+$G$52)-MAX($B$9,0.01*AA599+AA599*$G$52),0),0)</f>
        <v/>
      </c>
      <c r="AB600">
        <f>AA599*$G$52</f>
        <v/>
      </c>
      <c r="AC600">
        <f>IF(AC599&gt;1E-9,IF(AC599*(1+$G$53)-MAX($B$9,0.01*AC599+AC599*$G$53)&gt;1E-9,AC599*(1+$G$53)-MAX($B$9,0.01*AC599+AC599*$G$53),0),0)</f>
        <v/>
      </c>
      <c r="AD600">
        <f>AC599*$G$53</f>
        <v/>
      </c>
      <c r="AE600">
        <f>IF(AE599&gt;1E-9,IF(AE599*(1+$G$54)-MAX($B$9,0.01*AE599+AE599*$G$54)&gt;1E-9,AE599*(1+$G$54)-MAX($B$9,0.01*AE599+AE599*$G$54),0),0)</f>
        <v/>
      </c>
      <c r="AF600">
        <f>AE599*$G$54</f>
        <v/>
      </c>
      <c r="AG600">
        <f>IF(AG599&gt;1E-9,IF(AG599*(1+$G$55)-MAX($B$9,0.01*AG599+AG599*$G$55)&gt;1E-9,AG599*(1+$G$55)-MAX($B$9,0.01*AG599+AG599*$G$55),0),0)</f>
        <v/>
      </c>
      <c r="AH600">
        <f>AG599*$G$55</f>
        <v/>
      </c>
      <c r="AI600">
        <f>G600+K600+O600+S600+W600</f>
        <v/>
      </c>
      <c r="AJ600">
        <f>AI599+AK600-AI600</f>
        <v/>
      </c>
      <c r="AK600">
        <f>H600+L600+P600+T600+X600</f>
        <v/>
      </c>
      <c r="AL600">
        <f>TEXT(EDATE($B$5,D600-1),"mmm yyyy")</f>
        <v/>
      </c>
      <c r="AM600">
        <f>AI600</f>
        <v/>
      </c>
    </row>
    <row r="601">
      <c r="D601" t="n">
        <v>540</v>
      </c>
      <c r="E601">
        <f>IF(G600&gt;0,MAX(0,G600*(1+$G$51)-$H$51),0)</f>
        <v/>
      </c>
      <c r="F601">
        <f>$B$6+IF($D601=$B$8,$B$7,0)</f>
        <v/>
      </c>
      <c r="G601">
        <f>IF(E601-F601&gt;1E-9,E601-F601,0)</f>
        <v/>
      </c>
      <c r="H601">
        <f>G600*$G$51</f>
        <v/>
      </c>
      <c r="I601">
        <f>IF(K600&gt;0,MAX(0,K600*(1+$G$52)-$H$52),0)</f>
        <v/>
      </c>
      <c r="J601">
        <f>MAX(0,F601-E601)</f>
        <v/>
      </c>
      <c r="K601">
        <f>IF(I601-J601&gt;1E-9,I601-J601,0)</f>
        <v/>
      </c>
      <c r="L601">
        <f>K600*$G$52</f>
        <v/>
      </c>
      <c r="M601">
        <f>IF(O600&gt;0,MAX(0,O600*(1+$G$53)-$H$53),0)</f>
        <v/>
      </c>
      <c r="N601">
        <f>MAX(0,J601-I601)</f>
        <v/>
      </c>
      <c r="O601">
        <f>IF(M601-N601&gt;1E-9,M601-N601,0)</f>
        <v/>
      </c>
      <c r="P601">
        <f>O600*$G$53</f>
        <v/>
      </c>
      <c r="Q601">
        <f>IF(S600&gt;0,MAX(0,S600*(1+$G$54)-$H$54),0)</f>
        <v/>
      </c>
      <c r="R601">
        <f>MAX(0,N601-M601)</f>
        <v/>
      </c>
      <c r="S601">
        <f>IF(Q601-R601&gt;1E-9,Q601-R601,0)</f>
        <v/>
      </c>
      <c r="T601">
        <f>S600*$G$54</f>
        <v/>
      </c>
      <c r="U601">
        <f>IF(W600&gt;0,MAX(0,W600*(1+$G$55)-$H$55),0)</f>
        <v/>
      </c>
      <c r="V601">
        <f>MAX(0,R601-Q601)</f>
        <v/>
      </c>
      <c r="W601">
        <f>IF(U601-V601&gt;1E-9,U601-V601,0)</f>
        <v/>
      </c>
      <c r="X601">
        <f>W600*$G$55</f>
        <v/>
      </c>
      <c r="Y601">
        <f>IF(Y600&gt;1E-9,IF(Y600*(1+$G$51)-MAX($B$9,0.01*Y600+Y600*$G$51)&gt;1E-9,Y600*(1+$G$51)-MAX($B$9,0.01*Y600+Y600*$G$51),0),0)</f>
        <v/>
      </c>
      <c r="Z601">
        <f>Y600*$G$51</f>
        <v/>
      </c>
      <c r="AA601">
        <f>IF(AA600&gt;1E-9,IF(AA600*(1+$G$52)-MAX($B$9,0.01*AA600+AA600*$G$52)&gt;1E-9,AA600*(1+$G$52)-MAX($B$9,0.01*AA600+AA600*$G$52),0),0)</f>
        <v/>
      </c>
      <c r="AB601">
        <f>AA600*$G$52</f>
        <v/>
      </c>
      <c r="AC601">
        <f>IF(AC600&gt;1E-9,IF(AC600*(1+$G$53)-MAX($B$9,0.01*AC600+AC600*$G$53)&gt;1E-9,AC600*(1+$G$53)-MAX($B$9,0.01*AC600+AC600*$G$53),0),0)</f>
        <v/>
      </c>
      <c r="AD601">
        <f>AC600*$G$53</f>
        <v/>
      </c>
      <c r="AE601">
        <f>IF(AE600&gt;1E-9,IF(AE600*(1+$G$54)-MAX($B$9,0.01*AE600+AE600*$G$54)&gt;1E-9,AE600*(1+$G$54)-MAX($B$9,0.01*AE600+AE600*$G$54),0),0)</f>
        <v/>
      </c>
      <c r="AF601">
        <f>AE600*$G$54</f>
        <v/>
      </c>
      <c r="AG601">
        <f>IF(AG600&gt;1E-9,IF(AG600*(1+$G$55)-MAX($B$9,0.01*AG600+AG600*$G$55)&gt;1E-9,AG600*(1+$G$55)-MAX($B$9,0.01*AG600+AG600*$G$55),0),0)</f>
        <v/>
      </c>
      <c r="AH601">
        <f>AG600*$G$55</f>
        <v/>
      </c>
      <c r="AI601">
        <f>G601+K601+O601+S601+W601</f>
        <v/>
      </c>
      <c r="AJ601">
        <f>AI600+AK601-AI601</f>
        <v/>
      </c>
      <c r="AK601">
        <f>H601+L601+P601+T601+X601</f>
        <v/>
      </c>
      <c r="AL601">
        <f>TEXT(EDATE($B$5,D601-1),"mmm yyyy")</f>
        <v/>
      </c>
      <c r="AM601">
        <f>AI601</f>
        <v/>
      </c>
    </row>
    <row r="602">
      <c r="D602" t="n">
        <v>541</v>
      </c>
      <c r="E602">
        <f>IF(G601&gt;0,MAX(0,G601*(1+$G$51)-$H$51),0)</f>
        <v/>
      </c>
      <c r="F602">
        <f>$B$6+IF($D602=$B$8,$B$7,0)</f>
        <v/>
      </c>
      <c r="G602">
        <f>IF(E602-F602&gt;1E-9,E602-F602,0)</f>
        <v/>
      </c>
      <c r="H602">
        <f>G601*$G$51</f>
        <v/>
      </c>
      <c r="I602">
        <f>IF(K601&gt;0,MAX(0,K601*(1+$G$52)-$H$52),0)</f>
        <v/>
      </c>
      <c r="J602">
        <f>MAX(0,F602-E602)</f>
        <v/>
      </c>
      <c r="K602">
        <f>IF(I602-J602&gt;1E-9,I602-J602,0)</f>
        <v/>
      </c>
      <c r="L602">
        <f>K601*$G$52</f>
        <v/>
      </c>
      <c r="M602">
        <f>IF(O601&gt;0,MAX(0,O601*(1+$G$53)-$H$53),0)</f>
        <v/>
      </c>
      <c r="N602">
        <f>MAX(0,J602-I602)</f>
        <v/>
      </c>
      <c r="O602">
        <f>IF(M602-N602&gt;1E-9,M602-N602,0)</f>
        <v/>
      </c>
      <c r="P602">
        <f>O601*$G$53</f>
        <v/>
      </c>
      <c r="Q602">
        <f>IF(S601&gt;0,MAX(0,S601*(1+$G$54)-$H$54),0)</f>
        <v/>
      </c>
      <c r="R602">
        <f>MAX(0,N602-M602)</f>
        <v/>
      </c>
      <c r="S602">
        <f>IF(Q602-R602&gt;1E-9,Q602-R602,0)</f>
        <v/>
      </c>
      <c r="T602">
        <f>S601*$G$54</f>
        <v/>
      </c>
      <c r="U602">
        <f>IF(W601&gt;0,MAX(0,W601*(1+$G$55)-$H$55),0)</f>
        <v/>
      </c>
      <c r="V602">
        <f>MAX(0,R602-Q602)</f>
        <v/>
      </c>
      <c r="W602">
        <f>IF(U602-V602&gt;1E-9,U602-V602,0)</f>
        <v/>
      </c>
      <c r="X602">
        <f>W601*$G$55</f>
        <v/>
      </c>
      <c r="Y602">
        <f>IF(Y601&gt;1E-9,IF(Y601*(1+$G$51)-MAX($B$9,0.01*Y601+Y601*$G$51)&gt;1E-9,Y601*(1+$G$51)-MAX($B$9,0.01*Y601+Y601*$G$51),0),0)</f>
        <v/>
      </c>
      <c r="Z602">
        <f>Y601*$G$51</f>
        <v/>
      </c>
      <c r="AA602">
        <f>IF(AA601&gt;1E-9,IF(AA601*(1+$G$52)-MAX($B$9,0.01*AA601+AA601*$G$52)&gt;1E-9,AA601*(1+$G$52)-MAX($B$9,0.01*AA601+AA601*$G$52),0),0)</f>
        <v/>
      </c>
      <c r="AB602">
        <f>AA601*$G$52</f>
        <v/>
      </c>
      <c r="AC602">
        <f>IF(AC601&gt;1E-9,IF(AC601*(1+$G$53)-MAX($B$9,0.01*AC601+AC601*$G$53)&gt;1E-9,AC601*(1+$G$53)-MAX($B$9,0.01*AC601+AC601*$G$53),0),0)</f>
        <v/>
      </c>
      <c r="AD602">
        <f>AC601*$G$53</f>
        <v/>
      </c>
      <c r="AE602">
        <f>IF(AE601&gt;1E-9,IF(AE601*(1+$G$54)-MAX($B$9,0.01*AE601+AE601*$G$54)&gt;1E-9,AE601*(1+$G$54)-MAX($B$9,0.01*AE601+AE601*$G$54),0),0)</f>
        <v/>
      </c>
      <c r="AF602">
        <f>AE601*$G$54</f>
        <v/>
      </c>
      <c r="AG602">
        <f>IF(AG601&gt;1E-9,IF(AG601*(1+$G$55)-MAX($B$9,0.01*AG601+AG601*$G$55)&gt;1E-9,AG601*(1+$G$55)-MAX($B$9,0.01*AG601+AG601*$G$55),0),0)</f>
        <v/>
      </c>
      <c r="AH602">
        <f>AG601*$G$55</f>
        <v/>
      </c>
      <c r="AI602">
        <f>G602+K602+O602+S602+W602</f>
        <v/>
      </c>
      <c r="AJ602">
        <f>AI601+AK602-AI602</f>
        <v/>
      </c>
      <c r="AK602">
        <f>H602+L602+P602+T602+X602</f>
        <v/>
      </c>
      <c r="AL602">
        <f>TEXT(EDATE($B$5,D602-1),"mmm yyyy")</f>
        <v/>
      </c>
      <c r="AM602">
        <f>AI602</f>
        <v/>
      </c>
    </row>
    <row r="603">
      <c r="D603" t="n">
        <v>542</v>
      </c>
      <c r="E603">
        <f>IF(G602&gt;0,MAX(0,G602*(1+$G$51)-$H$51),0)</f>
        <v/>
      </c>
      <c r="F603">
        <f>$B$6+IF($D603=$B$8,$B$7,0)</f>
        <v/>
      </c>
      <c r="G603">
        <f>IF(E603-F603&gt;1E-9,E603-F603,0)</f>
        <v/>
      </c>
      <c r="H603">
        <f>G602*$G$51</f>
        <v/>
      </c>
      <c r="I603">
        <f>IF(K602&gt;0,MAX(0,K602*(1+$G$52)-$H$52),0)</f>
        <v/>
      </c>
      <c r="J603">
        <f>MAX(0,F603-E603)</f>
        <v/>
      </c>
      <c r="K603">
        <f>IF(I603-J603&gt;1E-9,I603-J603,0)</f>
        <v/>
      </c>
      <c r="L603">
        <f>K602*$G$52</f>
        <v/>
      </c>
      <c r="M603">
        <f>IF(O602&gt;0,MAX(0,O602*(1+$G$53)-$H$53),0)</f>
        <v/>
      </c>
      <c r="N603">
        <f>MAX(0,J603-I603)</f>
        <v/>
      </c>
      <c r="O603">
        <f>IF(M603-N603&gt;1E-9,M603-N603,0)</f>
        <v/>
      </c>
      <c r="P603">
        <f>O602*$G$53</f>
        <v/>
      </c>
      <c r="Q603">
        <f>IF(S602&gt;0,MAX(0,S602*(1+$G$54)-$H$54),0)</f>
        <v/>
      </c>
      <c r="R603">
        <f>MAX(0,N603-M603)</f>
        <v/>
      </c>
      <c r="S603">
        <f>IF(Q603-R603&gt;1E-9,Q603-R603,0)</f>
        <v/>
      </c>
      <c r="T603">
        <f>S602*$G$54</f>
        <v/>
      </c>
      <c r="U603">
        <f>IF(W602&gt;0,MAX(0,W602*(1+$G$55)-$H$55),0)</f>
        <v/>
      </c>
      <c r="V603">
        <f>MAX(0,R603-Q603)</f>
        <v/>
      </c>
      <c r="W603">
        <f>IF(U603-V603&gt;1E-9,U603-V603,0)</f>
        <v/>
      </c>
      <c r="X603">
        <f>W602*$G$55</f>
        <v/>
      </c>
      <c r="Y603">
        <f>IF(Y602&gt;1E-9,IF(Y602*(1+$G$51)-MAX($B$9,0.01*Y602+Y602*$G$51)&gt;1E-9,Y602*(1+$G$51)-MAX($B$9,0.01*Y602+Y602*$G$51),0),0)</f>
        <v/>
      </c>
      <c r="Z603">
        <f>Y602*$G$51</f>
        <v/>
      </c>
      <c r="AA603">
        <f>IF(AA602&gt;1E-9,IF(AA602*(1+$G$52)-MAX($B$9,0.01*AA602+AA602*$G$52)&gt;1E-9,AA602*(1+$G$52)-MAX($B$9,0.01*AA602+AA602*$G$52),0),0)</f>
        <v/>
      </c>
      <c r="AB603">
        <f>AA602*$G$52</f>
        <v/>
      </c>
      <c r="AC603">
        <f>IF(AC602&gt;1E-9,IF(AC602*(1+$G$53)-MAX($B$9,0.01*AC602+AC602*$G$53)&gt;1E-9,AC602*(1+$G$53)-MAX($B$9,0.01*AC602+AC602*$G$53),0),0)</f>
        <v/>
      </c>
      <c r="AD603">
        <f>AC602*$G$53</f>
        <v/>
      </c>
      <c r="AE603">
        <f>IF(AE602&gt;1E-9,IF(AE602*(1+$G$54)-MAX($B$9,0.01*AE602+AE602*$G$54)&gt;1E-9,AE602*(1+$G$54)-MAX($B$9,0.01*AE602+AE602*$G$54),0),0)</f>
        <v/>
      </c>
      <c r="AF603">
        <f>AE602*$G$54</f>
        <v/>
      </c>
      <c r="AG603">
        <f>IF(AG602&gt;1E-9,IF(AG602*(1+$G$55)-MAX($B$9,0.01*AG602+AG602*$G$55)&gt;1E-9,AG602*(1+$G$55)-MAX($B$9,0.01*AG602+AG602*$G$55),0),0)</f>
        <v/>
      </c>
      <c r="AH603">
        <f>AG602*$G$55</f>
        <v/>
      </c>
      <c r="AI603">
        <f>G603+K603+O603+S603+W603</f>
        <v/>
      </c>
      <c r="AJ603">
        <f>AI602+AK603-AI603</f>
        <v/>
      </c>
      <c r="AK603">
        <f>H603+L603+P603+T603+X603</f>
        <v/>
      </c>
      <c r="AL603">
        <f>TEXT(EDATE($B$5,D603-1),"mmm yyyy")</f>
        <v/>
      </c>
      <c r="AM603">
        <f>AI603</f>
        <v/>
      </c>
    </row>
    <row r="604">
      <c r="D604" t="n">
        <v>543</v>
      </c>
      <c r="E604">
        <f>IF(G603&gt;0,MAX(0,G603*(1+$G$51)-$H$51),0)</f>
        <v/>
      </c>
      <c r="F604">
        <f>$B$6+IF($D604=$B$8,$B$7,0)</f>
        <v/>
      </c>
      <c r="G604">
        <f>IF(E604-F604&gt;1E-9,E604-F604,0)</f>
        <v/>
      </c>
      <c r="H604">
        <f>G603*$G$51</f>
        <v/>
      </c>
      <c r="I604">
        <f>IF(K603&gt;0,MAX(0,K603*(1+$G$52)-$H$52),0)</f>
        <v/>
      </c>
      <c r="J604">
        <f>MAX(0,F604-E604)</f>
        <v/>
      </c>
      <c r="K604">
        <f>IF(I604-J604&gt;1E-9,I604-J604,0)</f>
        <v/>
      </c>
      <c r="L604">
        <f>K603*$G$52</f>
        <v/>
      </c>
      <c r="M604">
        <f>IF(O603&gt;0,MAX(0,O603*(1+$G$53)-$H$53),0)</f>
        <v/>
      </c>
      <c r="N604">
        <f>MAX(0,J604-I604)</f>
        <v/>
      </c>
      <c r="O604">
        <f>IF(M604-N604&gt;1E-9,M604-N604,0)</f>
        <v/>
      </c>
      <c r="P604">
        <f>O603*$G$53</f>
        <v/>
      </c>
      <c r="Q604">
        <f>IF(S603&gt;0,MAX(0,S603*(1+$G$54)-$H$54),0)</f>
        <v/>
      </c>
      <c r="R604">
        <f>MAX(0,N604-M604)</f>
        <v/>
      </c>
      <c r="S604">
        <f>IF(Q604-R604&gt;1E-9,Q604-R604,0)</f>
        <v/>
      </c>
      <c r="T604">
        <f>S603*$G$54</f>
        <v/>
      </c>
      <c r="U604">
        <f>IF(W603&gt;0,MAX(0,W603*(1+$G$55)-$H$55),0)</f>
        <v/>
      </c>
      <c r="V604">
        <f>MAX(0,R604-Q604)</f>
        <v/>
      </c>
      <c r="W604">
        <f>IF(U604-V604&gt;1E-9,U604-V604,0)</f>
        <v/>
      </c>
      <c r="X604">
        <f>W603*$G$55</f>
        <v/>
      </c>
      <c r="Y604">
        <f>IF(Y603&gt;1E-9,IF(Y603*(1+$G$51)-MAX($B$9,0.01*Y603+Y603*$G$51)&gt;1E-9,Y603*(1+$G$51)-MAX($B$9,0.01*Y603+Y603*$G$51),0),0)</f>
        <v/>
      </c>
      <c r="Z604">
        <f>Y603*$G$51</f>
        <v/>
      </c>
      <c r="AA604">
        <f>IF(AA603&gt;1E-9,IF(AA603*(1+$G$52)-MAX($B$9,0.01*AA603+AA603*$G$52)&gt;1E-9,AA603*(1+$G$52)-MAX($B$9,0.01*AA603+AA603*$G$52),0),0)</f>
        <v/>
      </c>
      <c r="AB604">
        <f>AA603*$G$52</f>
        <v/>
      </c>
      <c r="AC604">
        <f>IF(AC603&gt;1E-9,IF(AC603*(1+$G$53)-MAX($B$9,0.01*AC603+AC603*$G$53)&gt;1E-9,AC603*(1+$G$53)-MAX($B$9,0.01*AC603+AC603*$G$53),0),0)</f>
        <v/>
      </c>
      <c r="AD604">
        <f>AC603*$G$53</f>
        <v/>
      </c>
      <c r="AE604">
        <f>IF(AE603&gt;1E-9,IF(AE603*(1+$G$54)-MAX($B$9,0.01*AE603+AE603*$G$54)&gt;1E-9,AE603*(1+$G$54)-MAX($B$9,0.01*AE603+AE603*$G$54),0),0)</f>
        <v/>
      </c>
      <c r="AF604">
        <f>AE603*$G$54</f>
        <v/>
      </c>
      <c r="AG604">
        <f>IF(AG603&gt;1E-9,IF(AG603*(1+$G$55)-MAX($B$9,0.01*AG603+AG603*$G$55)&gt;1E-9,AG603*(1+$G$55)-MAX($B$9,0.01*AG603+AG603*$G$55),0),0)</f>
        <v/>
      </c>
      <c r="AH604">
        <f>AG603*$G$55</f>
        <v/>
      </c>
      <c r="AI604">
        <f>G604+K604+O604+S604+W604</f>
        <v/>
      </c>
      <c r="AJ604">
        <f>AI603+AK604-AI604</f>
        <v/>
      </c>
      <c r="AK604">
        <f>H604+L604+P604+T604+X604</f>
        <v/>
      </c>
      <c r="AL604">
        <f>TEXT(EDATE($B$5,D604-1),"mmm yyyy")</f>
        <v/>
      </c>
      <c r="AM604">
        <f>AI604</f>
        <v/>
      </c>
    </row>
    <row r="605">
      <c r="D605" t="n">
        <v>544</v>
      </c>
      <c r="E605">
        <f>IF(G604&gt;0,MAX(0,G604*(1+$G$51)-$H$51),0)</f>
        <v/>
      </c>
      <c r="F605">
        <f>$B$6+IF($D605=$B$8,$B$7,0)</f>
        <v/>
      </c>
      <c r="G605">
        <f>IF(E605-F605&gt;1E-9,E605-F605,0)</f>
        <v/>
      </c>
      <c r="H605">
        <f>G604*$G$51</f>
        <v/>
      </c>
      <c r="I605">
        <f>IF(K604&gt;0,MAX(0,K604*(1+$G$52)-$H$52),0)</f>
        <v/>
      </c>
      <c r="J605">
        <f>MAX(0,F605-E605)</f>
        <v/>
      </c>
      <c r="K605">
        <f>IF(I605-J605&gt;1E-9,I605-J605,0)</f>
        <v/>
      </c>
      <c r="L605">
        <f>K604*$G$52</f>
        <v/>
      </c>
      <c r="M605">
        <f>IF(O604&gt;0,MAX(0,O604*(1+$G$53)-$H$53),0)</f>
        <v/>
      </c>
      <c r="N605">
        <f>MAX(0,J605-I605)</f>
        <v/>
      </c>
      <c r="O605">
        <f>IF(M605-N605&gt;1E-9,M605-N605,0)</f>
        <v/>
      </c>
      <c r="P605">
        <f>O604*$G$53</f>
        <v/>
      </c>
      <c r="Q605">
        <f>IF(S604&gt;0,MAX(0,S604*(1+$G$54)-$H$54),0)</f>
        <v/>
      </c>
      <c r="R605">
        <f>MAX(0,N605-M605)</f>
        <v/>
      </c>
      <c r="S605">
        <f>IF(Q605-R605&gt;1E-9,Q605-R605,0)</f>
        <v/>
      </c>
      <c r="T605">
        <f>S604*$G$54</f>
        <v/>
      </c>
      <c r="U605">
        <f>IF(W604&gt;0,MAX(0,W604*(1+$G$55)-$H$55),0)</f>
        <v/>
      </c>
      <c r="V605">
        <f>MAX(0,R605-Q605)</f>
        <v/>
      </c>
      <c r="W605">
        <f>IF(U605-V605&gt;1E-9,U605-V605,0)</f>
        <v/>
      </c>
      <c r="X605">
        <f>W604*$G$55</f>
        <v/>
      </c>
      <c r="Y605">
        <f>IF(Y604&gt;1E-9,IF(Y604*(1+$G$51)-MAX($B$9,0.01*Y604+Y604*$G$51)&gt;1E-9,Y604*(1+$G$51)-MAX($B$9,0.01*Y604+Y604*$G$51),0),0)</f>
        <v/>
      </c>
      <c r="Z605">
        <f>Y604*$G$51</f>
        <v/>
      </c>
      <c r="AA605">
        <f>IF(AA604&gt;1E-9,IF(AA604*(1+$G$52)-MAX($B$9,0.01*AA604+AA604*$G$52)&gt;1E-9,AA604*(1+$G$52)-MAX($B$9,0.01*AA604+AA604*$G$52),0),0)</f>
        <v/>
      </c>
      <c r="AB605">
        <f>AA604*$G$52</f>
        <v/>
      </c>
      <c r="AC605">
        <f>IF(AC604&gt;1E-9,IF(AC604*(1+$G$53)-MAX($B$9,0.01*AC604+AC604*$G$53)&gt;1E-9,AC604*(1+$G$53)-MAX($B$9,0.01*AC604+AC604*$G$53),0),0)</f>
        <v/>
      </c>
      <c r="AD605">
        <f>AC604*$G$53</f>
        <v/>
      </c>
      <c r="AE605">
        <f>IF(AE604&gt;1E-9,IF(AE604*(1+$G$54)-MAX($B$9,0.01*AE604+AE604*$G$54)&gt;1E-9,AE604*(1+$G$54)-MAX($B$9,0.01*AE604+AE604*$G$54),0),0)</f>
        <v/>
      </c>
      <c r="AF605">
        <f>AE604*$G$54</f>
        <v/>
      </c>
      <c r="AG605">
        <f>IF(AG604&gt;1E-9,IF(AG604*(1+$G$55)-MAX($B$9,0.01*AG604+AG604*$G$55)&gt;1E-9,AG604*(1+$G$55)-MAX($B$9,0.01*AG604+AG604*$G$55),0),0)</f>
        <v/>
      </c>
      <c r="AH605">
        <f>AG604*$G$55</f>
        <v/>
      </c>
      <c r="AI605">
        <f>G605+K605+O605+S605+W605</f>
        <v/>
      </c>
      <c r="AJ605">
        <f>AI604+AK605-AI605</f>
        <v/>
      </c>
      <c r="AK605">
        <f>H605+L605+P605+T605+X605</f>
        <v/>
      </c>
      <c r="AL605">
        <f>TEXT(EDATE($B$5,D605-1),"mmm yyyy")</f>
        <v/>
      </c>
      <c r="AM605">
        <f>AI605</f>
        <v/>
      </c>
    </row>
    <row r="606">
      <c r="D606" t="n">
        <v>545</v>
      </c>
      <c r="E606">
        <f>IF(G605&gt;0,MAX(0,G605*(1+$G$51)-$H$51),0)</f>
        <v/>
      </c>
      <c r="F606">
        <f>$B$6+IF($D606=$B$8,$B$7,0)</f>
        <v/>
      </c>
      <c r="G606">
        <f>IF(E606-F606&gt;1E-9,E606-F606,0)</f>
        <v/>
      </c>
      <c r="H606">
        <f>G605*$G$51</f>
        <v/>
      </c>
      <c r="I606">
        <f>IF(K605&gt;0,MAX(0,K605*(1+$G$52)-$H$52),0)</f>
        <v/>
      </c>
      <c r="J606">
        <f>MAX(0,F606-E606)</f>
        <v/>
      </c>
      <c r="K606">
        <f>IF(I606-J606&gt;1E-9,I606-J606,0)</f>
        <v/>
      </c>
      <c r="L606">
        <f>K605*$G$52</f>
        <v/>
      </c>
      <c r="M606">
        <f>IF(O605&gt;0,MAX(0,O605*(1+$G$53)-$H$53),0)</f>
        <v/>
      </c>
      <c r="N606">
        <f>MAX(0,J606-I606)</f>
        <v/>
      </c>
      <c r="O606">
        <f>IF(M606-N606&gt;1E-9,M606-N606,0)</f>
        <v/>
      </c>
      <c r="P606">
        <f>O605*$G$53</f>
        <v/>
      </c>
      <c r="Q606">
        <f>IF(S605&gt;0,MAX(0,S605*(1+$G$54)-$H$54),0)</f>
        <v/>
      </c>
      <c r="R606">
        <f>MAX(0,N606-M606)</f>
        <v/>
      </c>
      <c r="S606">
        <f>IF(Q606-R606&gt;1E-9,Q606-R606,0)</f>
        <v/>
      </c>
      <c r="T606">
        <f>S605*$G$54</f>
        <v/>
      </c>
      <c r="U606">
        <f>IF(W605&gt;0,MAX(0,W605*(1+$G$55)-$H$55),0)</f>
        <v/>
      </c>
      <c r="V606">
        <f>MAX(0,R606-Q606)</f>
        <v/>
      </c>
      <c r="W606">
        <f>IF(U606-V606&gt;1E-9,U606-V606,0)</f>
        <v/>
      </c>
      <c r="X606">
        <f>W605*$G$55</f>
        <v/>
      </c>
      <c r="Y606">
        <f>IF(Y605&gt;1E-9,IF(Y605*(1+$G$51)-MAX($B$9,0.01*Y605+Y605*$G$51)&gt;1E-9,Y605*(1+$G$51)-MAX($B$9,0.01*Y605+Y605*$G$51),0),0)</f>
        <v/>
      </c>
      <c r="Z606">
        <f>Y605*$G$51</f>
        <v/>
      </c>
      <c r="AA606">
        <f>IF(AA605&gt;1E-9,IF(AA605*(1+$G$52)-MAX($B$9,0.01*AA605+AA605*$G$52)&gt;1E-9,AA605*(1+$G$52)-MAX($B$9,0.01*AA605+AA605*$G$52),0),0)</f>
        <v/>
      </c>
      <c r="AB606">
        <f>AA605*$G$52</f>
        <v/>
      </c>
      <c r="AC606">
        <f>IF(AC605&gt;1E-9,IF(AC605*(1+$G$53)-MAX($B$9,0.01*AC605+AC605*$G$53)&gt;1E-9,AC605*(1+$G$53)-MAX($B$9,0.01*AC605+AC605*$G$53),0),0)</f>
        <v/>
      </c>
      <c r="AD606">
        <f>AC605*$G$53</f>
        <v/>
      </c>
      <c r="AE606">
        <f>IF(AE605&gt;1E-9,IF(AE605*(1+$G$54)-MAX($B$9,0.01*AE605+AE605*$G$54)&gt;1E-9,AE605*(1+$G$54)-MAX($B$9,0.01*AE605+AE605*$G$54),0),0)</f>
        <v/>
      </c>
      <c r="AF606">
        <f>AE605*$G$54</f>
        <v/>
      </c>
      <c r="AG606">
        <f>IF(AG605&gt;1E-9,IF(AG605*(1+$G$55)-MAX($B$9,0.01*AG605+AG605*$G$55)&gt;1E-9,AG605*(1+$G$55)-MAX($B$9,0.01*AG605+AG605*$G$55),0),0)</f>
        <v/>
      </c>
      <c r="AH606">
        <f>AG605*$G$55</f>
        <v/>
      </c>
      <c r="AI606">
        <f>G606+K606+O606+S606+W606</f>
        <v/>
      </c>
      <c r="AJ606">
        <f>AI605+AK606-AI606</f>
        <v/>
      </c>
      <c r="AK606">
        <f>H606+L606+P606+T606+X606</f>
        <v/>
      </c>
      <c r="AL606">
        <f>TEXT(EDATE($B$5,D606-1),"mmm yyyy")</f>
        <v/>
      </c>
      <c r="AM606">
        <f>AI606</f>
        <v/>
      </c>
    </row>
    <row r="607">
      <c r="D607" t="n">
        <v>546</v>
      </c>
      <c r="E607">
        <f>IF(G606&gt;0,MAX(0,G606*(1+$G$51)-$H$51),0)</f>
        <v/>
      </c>
      <c r="F607">
        <f>$B$6+IF($D607=$B$8,$B$7,0)</f>
        <v/>
      </c>
      <c r="G607">
        <f>IF(E607-F607&gt;1E-9,E607-F607,0)</f>
        <v/>
      </c>
      <c r="H607">
        <f>G606*$G$51</f>
        <v/>
      </c>
      <c r="I607">
        <f>IF(K606&gt;0,MAX(0,K606*(1+$G$52)-$H$52),0)</f>
        <v/>
      </c>
      <c r="J607">
        <f>MAX(0,F607-E607)</f>
        <v/>
      </c>
      <c r="K607">
        <f>IF(I607-J607&gt;1E-9,I607-J607,0)</f>
        <v/>
      </c>
      <c r="L607">
        <f>K606*$G$52</f>
        <v/>
      </c>
      <c r="M607">
        <f>IF(O606&gt;0,MAX(0,O606*(1+$G$53)-$H$53),0)</f>
        <v/>
      </c>
      <c r="N607">
        <f>MAX(0,J607-I607)</f>
        <v/>
      </c>
      <c r="O607">
        <f>IF(M607-N607&gt;1E-9,M607-N607,0)</f>
        <v/>
      </c>
      <c r="P607">
        <f>O606*$G$53</f>
        <v/>
      </c>
      <c r="Q607">
        <f>IF(S606&gt;0,MAX(0,S606*(1+$G$54)-$H$54),0)</f>
        <v/>
      </c>
      <c r="R607">
        <f>MAX(0,N607-M607)</f>
        <v/>
      </c>
      <c r="S607">
        <f>IF(Q607-R607&gt;1E-9,Q607-R607,0)</f>
        <v/>
      </c>
      <c r="T607">
        <f>S606*$G$54</f>
        <v/>
      </c>
      <c r="U607">
        <f>IF(W606&gt;0,MAX(0,W606*(1+$G$55)-$H$55),0)</f>
        <v/>
      </c>
      <c r="V607">
        <f>MAX(0,R607-Q607)</f>
        <v/>
      </c>
      <c r="W607">
        <f>IF(U607-V607&gt;1E-9,U607-V607,0)</f>
        <v/>
      </c>
      <c r="X607">
        <f>W606*$G$55</f>
        <v/>
      </c>
      <c r="Y607">
        <f>IF(Y606&gt;1E-9,IF(Y606*(1+$G$51)-MAX($B$9,0.01*Y606+Y606*$G$51)&gt;1E-9,Y606*(1+$G$51)-MAX($B$9,0.01*Y606+Y606*$G$51),0),0)</f>
        <v/>
      </c>
      <c r="Z607">
        <f>Y606*$G$51</f>
        <v/>
      </c>
      <c r="AA607">
        <f>IF(AA606&gt;1E-9,IF(AA606*(1+$G$52)-MAX($B$9,0.01*AA606+AA606*$G$52)&gt;1E-9,AA606*(1+$G$52)-MAX($B$9,0.01*AA606+AA606*$G$52),0),0)</f>
        <v/>
      </c>
      <c r="AB607">
        <f>AA606*$G$52</f>
        <v/>
      </c>
      <c r="AC607">
        <f>IF(AC606&gt;1E-9,IF(AC606*(1+$G$53)-MAX($B$9,0.01*AC606+AC606*$G$53)&gt;1E-9,AC606*(1+$G$53)-MAX($B$9,0.01*AC606+AC606*$G$53),0),0)</f>
        <v/>
      </c>
      <c r="AD607">
        <f>AC606*$G$53</f>
        <v/>
      </c>
      <c r="AE607">
        <f>IF(AE606&gt;1E-9,IF(AE606*(1+$G$54)-MAX($B$9,0.01*AE606+AE606*$G$54)&gt;1E-9,AE606*(1+$G$54)-MAX($B$9,0.01*AE606+AE606*$G$54),0),0)</f>
        <v/>
      </c>
      <c r="AF607">
        <f>AE606*$G$54</f>
        <v/>
      </c>
      <c r="AG607">
        <f>IF(AG606&gt;1E-9,IF(AG606*(1+$G$55)-MAX($B$9,0.01*AG606+AG606*$G$55)&gt;1E-9,AG606*(1+$G$55)-MAX($B$9,0.01*AG606+AG606*$G$55),0),0)</f>
        <v/>
      </c>
      <c r="AH607">
        <f>AG606*$G$55</f>
        <v/>
      </c>
      <c r="AI607">
        <f>G607+K607+O607+S607+W607</f>
        <v/>
      </c>
      <c r="AJ607">
        <f>AI606+AK607-AI607</f>
        <v/>
      </c>
      <c r="AK607">
        <f>H607+L607+P607+T607+X607</f>
        <v/>
      </c>
      <c r="AL607">
        <f>TEXT(EDATE($B$5,D607-1),"mmm yyyy")</f>
        <v/>
      </c>
      <c r="AM607">
        <f>AI607</f>
        <v/>
      </c>
    </row>
    <row r="608">
      <c r="D608" t="n">
        <v>547</v>
      </c>
      <c r="E608">
        <f>IF(G607&gt;0,MAX(0,G607*(1+$G$51)-$H$51),0)</f>
        <v/>
      </c>
      <c r="F608">
        <f>$B$6+IF($D608=$B$8,$B$7,0)</f>
        <v/>
      </c>
      <c r="G608">
        <f>IF(E608-F608&gt;1E-9,E608-F608,0)</f>
        <v/>
      </c>
      <c r="H608">
        <f>G607*$G$51</f>
        <v/>
      </c>
      <c r="I608">
        <f>IF(K607&gt;0,MAX(0,K607*(1+$G$52)-$H$52),0)</f>
        <v/>
      </c>
      <c r="J608">
        <f>MAX(0,F608-E608)</f>
        <v/>
      </c>
      <c r="K608">
        <f>IF(I608-J608&gt;1E-9,I608-J608,0)</f>
        <v/>
      </c>
      <c r="L608">
        <f>K607*$G$52</f>
        <v/>
      </c>
      <c r="M608">
        <f>IF(O607&gt;0,MAX(0,O607*(1+$G$53)-$H$53),0)</f>
        <v/>
      </c>
      <c r="N608">
        <f>MAX(0,J608-I608)</f>
        <v/>
      </c>
      <c r="O608">
        <f>IF(M608-N608&gt;1E-9,M608-N608,0)</f>
        <v/>
      </c>
      <c r="P608">
        <f>O607*$G$53</f>
        <v/>
      </c>
      <c r="Q608">
        <f>IF(S607&gt;0,MAX(0,S607*(1+$G$54)-$H$54),0)</f>
        <v/>
      </c>
      <c r="R608">
        <f>MAX(0,N608-M608)</f>
        <v/>
      </c>
      <c r="S608">
        <f>IF(Q608-R608&gt;1E-9,Q608-R608,0)</f>
        <v/>
      </c>
      <c r="T608">
        <f>S607*$G$54</f>
        <v/>
      </c>
      <c r="U608">
        <f>IF(W607&gt;0,MAX(0,W607*(1+$G$55)-$H$55),0)</f>
        <v/>
      </c>
      <c r="V608">
        <f>MAX(0,R608-Q608)</f>
        <v/>
      </c>
      <c r="W608">
        <f>IF(U608-V608&gt;1E-9,U608-V608,0)</f>
        <v/>
      </c>
      <c r="X608">
        <f>W607*$G$55</f>
        <v/>
      </c>
      <c r="Y608">
        <f>IF(Y607&gt;1E-9,IF(Y607*(1+$G$51)-MAX($B$9,0.01*Y607+Y607*$G$51)&gt;1E-9,Y607*(1+$G$51)-MAX($B$9,0.01*Y607+Y607*$G$51),0),0)</f>
        <v/>
      </c>
      <c r="Z608">
        <f>Y607*$G$51</f>
        <v/>
      </c>
      <c r="AA608">
        <f>IF(AA607&gt;1E-9,IF(AA607*(1+$G$52)-MAX($B$9,0.01*AA607+AA607*$G$52)&gt;1E-9,AA607*(1+$G$52)-MAX($B$9,0.01*AA607+AA607*$G$52),0),0)</f>
        <v/>
      </c>
      <c r="AB608">
        <f>AA607*$G$52</f>
        <v/>
      </c>
      <c r="AC608">
        <f>IF(AC607&gt;1E-9,IF(AC607*(1+$G$53)-MAX($B$9,0.01*AC607+AC607*$G$53)&gt;1E-9,AC607*(1+$G$53)-MAX($B$9,0.01*AC607+AC607*$G$53),0),0)</f>
        <v/>
      </c>
      <c r="AD608">
        <f>AC607*$G$53</f>
        <v/>
      </c>
      <c r="AE608">
        <f>IF(AE607&gt;1E-9,IF(AE607*(1+$G$54)-MAX($B$9,0.01*AE607+AE607*$G$54)&gt;1E-9,AE607*(1+$G$54)-MAX($B$9,0.01*AE607+AE607*$G$54),0),0)</f>
        <v/>
      </c>
      <c r="AF608">
        <f>AE607*$G$54</f>
        <v/>
      </c>
      <c r="AG608">
        <f>IF(AG607&gt;1E-9,IF(AG607*(1+$G$55)-MAX($B$9,0.01*AG607+AG607*$G$55)&gt;1E-9,AG607*(1+$G$55)-MAX($B$9,0.01*AG607+AG607*$G$55),0),0)</f>
        <v/>
      </c>
      <c r="AH608">
        <f>AG607*$G$55</f>
        <v/>
      </c>
      <c r="AI608">
        <f>G608+K608+O608+S608+W608</f>
        <v/>
      </c>
      <c r="AJ608">
        <f>AI607+AK608-AI608</f>
        <v/>
      </c>
      <c r="AK608">
        <f>H608+L608+P608+T608+X608</f>
        <v/>
      </c>
      <c r="AL608">
        <f>TEXT(EDATE($B$5,D608-1),"mmm yyyy")</f>
        <v/>
      </c>
      <c r="AM608">
        <f>AI608</f>
        <v/>
      </c>
    </row>
    <row r="609">
      <c r="D609" t="n">
        <v>548</v>
      </c>
      <c r="E609">
        <f>IF(G608&gt;0,MAX(0,G608*(1+$G$51)-$H$51),0)</f>
        <v/>
      </c>
      <c r="F609">
        <f>$B$6+IF($D609=$B$8,$B$7,0)</f>
        <v/>
      </c>
      <c r="G609">
        <f>IF(E609-F609&gt;1E-9,E609-F609,0)</f>
        <v/>
      </c>
      <c r="H609">
        <f>G608*$G$51</f>
        <v/>
      </c>
      <c r="I609">
        <f>IF(K608&gt;0,MAX(0,K608*(1+$G$52)-$H$52),0)</f>
        <v/>
      </c>
      <c r="J609">
        <f>MAX(0,F609-E609)</f>
        <v/>
      </c>
      <c r="K609">
        <f>IF(I609-J609&gt;1E-9,I609-J609,0)</f>
        <v/>
      </c>
      <c r="L609">
        <f>K608*$G$52</f>
        <v/>
      </c>
      <c r="M609">
        <f>IF(O608&gt;0,MAX(0,O608*(1+$G$53)-$H$53),0)</f>
        <v/>
      </c>
      <c r="N609">
        <f>MAX(0,J609-I609)</f>
        <v/>
      </c>
      <c r="O609">
        <f>IF(M609-N609&gt;1E-9,M609-N609,0)</f>
        <v/>
      </c>
      <c r="P609">
        <f>O608*$G$53</f>
        <v/>
      </c>
      <c r="Q609">
        <f>IF(S608&gt;0,MAX(0,S608*(1+$G$54)-$H$54),0)</f>
        <v/>
      </c>
      <c r="R609">
        <f>MAX(0,N609-M609)</f>
        <v/>
      </c>
      <c r="S609">
        <f>IF(Q609-R609&gt;1E-9,Q609-R609,0)</f>
        <v/>
      </c>
      <c r="T609">
        <f>S608*$G$54</f>
        <v/>
      </c>
      <c r="U609">
        <f>IF(W608&gt;0,MAX(0,W608*(1+$G$55)-$H$55),0)</f>
        <v/>
      </c>
      <c r="V609">
        <f>MAX(0,R609-Q609)</f>
        <v/>
      </c>
      <c r="W609">
        <f>IF(U609-V609&gt;1E-9,U609-V609,0)</f>
        <v/>
      </c>
      <c r="X609">
        <f>W608*$G$55</f>
        <v/>
      </c>
      <c r="Y609">
        <f>IF(Y608&gt;1E-9,IF(Y608*(1+$G$51)-MAX($B$9,0.01*Y608+Y608*$G$51)&gt;1E-9,Y608*(1+$G$51)-MAX($B$9,0.01*Y608+Y608*$G$51),0),0)</f>
        <v/>
      </c>
      <c r="Z609">
        <f>Y608*$G$51</f>
        <v/>
      </c>
      <c r="AA609">
        <f>IF(AA608&gt;1E-9,IF(AA608*(1+$G$52)-MAX($B$9,0.01*AA608+AA608*$G$52)&gt;1E-9,AA608*(1+$G$52)-MAX($B$9,0.01*AA608+AA608*$G$52),0),0)</f>
        <v/>
      </c>
      <c r="AB609">
        <f>AA608*$G$52</f>
        <v/>
      </c>
      <c r="AC609">
        <f>IF(AC608&gt;1E-9,IF(AC608*(1+$G$53)-MAX($B$9,0.01*AC608+AC608*$G$53)&gt;1E-9,AC608*(1+$G$53)-MAX($B$9,0.01*AC608+AC608*$G$53),0),0)</f>
        <v/>
      </c>
      <c r="AD609">
        <f>AC608*$G$53</f>
        <v/>
      </c>
      <c r="AE609">
        <f>IF(AE608&gt;1E-9,IF(AE608*(1+$G$54)-MAX($B$9,0.01*AE608+AE608*$G$54)&gt;1E-9,AE608*(1+$G$54)-MAX($B$9,0.01*AE608+AE608*$G$54),0),0)</f>
        <v/>
      </c>
      <c r="AF609">
        <f>AE608*$G$54</f>
        <v/>
      </c>
      <c r="AG609">
        <f>IF(AG608&gt;1E-9,IF(AG608*(1+$G$55)-MAX($B$9,0.01*AG608+AG608*$G$55)&gt;1E-9,AG608*(1+$G$55)-MAX($B$9,0.01*AG608+AG608*$G$55),0),0)</f>
        <v/>
      </c>
      <c r="AH609">
        <f>AG608*$G$55</f>
        <v/>
      </c>
      <c r="AI609">
        <f>G609+K609+O609+S609+W609</f>
        <v/>
      </c>
      <c r="AJ609">
        <f>AI608+AK609-AI609</f>
        <v/>
      </c>
      <c r="AK609">
        <f>H609+L609+P609+T609+X609</f>
        <v/>
      </c>
      <c r="AL609">
        <f>TEXT(EDATE($B$5,D609-1),"mmm yyyy")</f>
        <v/>
      </c>
      <c r="AM609">
        <f>AI609</f>
        <v/>
      </c>
    </row>
    <row r="610">
      <c r="D610" t="n">
        <v>549</v>
      </c>
      <c r="E610">
        <f>IF(G609&gt;0,MAX(0,G609*(1+$G$51)-$H$51),0)</f>
        <v/>
      </c>
      <c r="F610">
        <f>$B$6+IF($D610=$B$8,$B$7,0)</f>
        <v/>
      </c>
      <c r="G610">
        <f>IF(E610-F610&gt;1E-9,E610-F610,0)</f>
        <v/>
      </c>
      <c r="H610">
        <f>G609*$G$51</f>
        <v/>
      </c>
      <c r="I610">
        <f>IF(K609&gt;0,MAX(0,K609*(1+$G$52)-$H$52),0)</f>
        <v/>
      </c>
      <c r="J610">
        <f>MAX(0,F610-E610)</f>
        <v/>
      </c>
      <c r="K610">
        <f>IF(I610-J610&gt;1E-9,I610-J610,0)</f>
        <v/>
      </c>
      <c r="L610">
        <f>K609*$G$52</f>
        <v/>
      </c>
      <c r="M610">
        <f>IF(O609&gt;0,MAX(0,O609*(1+$G$53)-$H$53),0)</f>
        <v/>
      </c>
      <c r="N610">
        <f>MAX(0,J610-I610)</f>
        <v/>
      </c>
      <c r="O610">
        <f>IF(M610-N610&gt;1E-9,M610-N610,0)</f>
        <v/>
      </c>
      <c r="P610">
        <f>O609*$G$53</f>
        <v/>
      </c>
      <c r="Q610">
        <f>IF(S609&gt;0,MAX(0,S609*(1+$G$54)-$H$54),0)</f>
        <v/>
      </c>
      <c r="R610">
        <f>MAX(0,N610-M610)</f>
        <v/>
      </c>
      <c r="S610">
        <f>IF(Q610-R610&gt;1E-9,Q610-R610,0)</f>
        <v/>
      </c>
      <c r="T610">
        <f>S609*$G$54</f>
        <v/>
      </c>
      <c r="U610">
        <f>IF(W609&gt;0,MAX(0,W609*(1+$G$55)-$H$55),0)</f>
        <v/>
      </c>
      <c r="V610">
        <f>MAX(0,R610-Q610)</f>
        <v/>
      </c>
      <c r="W610">
        <f>IF(U610-V610&gt;1E-9,U610-V610,0)</f>
        <v/>
      </c>
      <c r="X610">
        <f>W609*$G$55</f>
        <v/>
      </c>
      <c r="Y610">
        <f>IF(Y609&gt;1E-9,IF(Y609*(1+$G$51)-MAX($B$9,0.01*Y609+Y609*$G$51)&gt;1E-9,Y609*(1+$G$51)-MAX($B$9,0.01*Y609+Y609*$G$51),0),0)</f>
        <v/>
      </c>
      <c r="Z610">
        <f>Y609*$G$51</f>
        <v/>
      </c>
      <c r="AA610">
        <f>IF(AA609&gt;1E-9,IF(AA609*(1+$G$52)-MAX($B$9,0.01*AA609+AA609*$G$52)&gt;1E-9,AA609*(1+$G$52)-MAX($B$9,0.01*AA609+AA609*$G$52),0),0)</f>
        <v/>
      </c>
      <c r="AB610">
        <f>AA609*$G$52</f>
        <v/>
      </c>
      <c r="AC610">
        <f>IF(AC609&gt;1E-9,IF(AC609*(1+$G$53)-MAX($B$9,0.01*AC609+AC609*$G$53)&gt;1E-9,AC609*(1+$G$53)-MAX($B$9,0.01*AC609+AC609*$G$53),0),0)</f>
        <v/>
      </c>
      <c r="AD610">
        <f>AC609*$G$53</f>
        <v/>
      </c>
      <c r="AE610">
        <f>IF(AE609&gt;1E-9,IF(AE609*(1+$G$54)-MAX($B$9,0.01*AE609+AE609*$G$54)&gt;1E-9,AE609*(1+$G$54)-MAX($B$9,0.01*AE609+AE609*$G$54),0),0)</f>
        <v/>
      </c>
      <c r="AF610">
        <f>AE609*$G$54</f>
        <v/>
      </c>
      <c r="AG610">
        <f>IF(AG609&gt;1E-9,IF(AG609*(1+$G$55)-MAX($B$9,0.01*AG609+AG609*$G$55)&gt;1E-9,AG609*(1+$G$55)-MAX($B$9,0.01*AG609+AG609*$G$55),0),0)</f>
        <v/>
      </c>
      <c r="AH610">
        <f>AG609*$G$55</f>
        <v/>
      </c>
      <c r="AI610">
        <f>G610+K610+O610+S610+W610</f>
        <v/>
      </c>
      <c r="AJ610">
        <f>AI609+AK610-AI610</f>
        <v/>
      </c>
      <c r="AK610">
        <f>H610+L610+P610+T610+X610</f>
        <v/>
      </c>
      <c r="AL610">
        <f>TEXT(EDATE($B$5,D610-1),"mmm yyyy")</f>
        <v/>
      </c>
      <c r="AM610">
        <f>AI610</f>
        <v/>
      </c>
    </row>
    <row r="611">
      <c r="D611" t="n">
        <v>550</v>
      </c>
      <c r="E611">
        <f>IF(G610&gt;0,MAX(0,G610*(1+$G$51)-$H$51),0)</f>
        <v/>
      </c>
      <c r="F611">
        <f>$B$6+IF($D611=$B$8,$B$7,0)</f>
        <v/>
      </c>
      <c r="G611">
        <f>IF(E611-F611&gt;1E-9,E611-F611,0)</f>
        <v/>
      </c>
      <c r="H611">
        <f>G610*$G$51</f>
        <v/>
      </c>
      <c r="I611">
        <f>IF(K610&gt;0,MAX(0,K610*(1+$G$52)-$H$52),0)</f>
        <v/>
      </c>
      <c r="J611">
        <f>MAX(0,F611-E611)</f>
        <v/>
      </c>
      <c r="K611">
        <f>IF(I611-J611&gt;1E-9,I611-J611,0)</f>
        <v/>
      </c>
      <c r="L611">
        <f>K610*$G$52</f>
        <v/>
      </c>
      <c r="M611">
        <f>IF(O610&gt;0,MAX(0,O610*(1+$G$53)-$H$53),0)</f>
        <v/>
      </c>
      <c r="N611">
        <f>MAX(0,J611-I611)</f>
        <v/>
      </c>
      <c r="O611">
        <f>IF(M611-N611&gt;1E-9,M611-N611,0)</f>
        <v/>
      </c>
      <c r="P611">
        <f>O610*$G$53</f>
        <v/>
      </c>
      <c r="Q611">
        <f>IF(S610&gt;0,MAX(0,S610*(1+$G$54)-$H$54),0)</f>
        <v/>
      </c>
      <c r="R611">
        <f>MAX(0,N611-M611)</f>
        <v/>
      </c>
      <c r="S611">
        <f>IF(Q611-R611&gt;1E-9,Q611-R611,0)</f>
        <v/>
      </c>
      <c r="T611">
        <f>S610*$G$54</f>
        <v/>
      </c>
      <c r="U611">
        <f>IF(W610&gt;0,MAX(0,W610*(1+$G$55)-$H$55),0)</f>
        <v/>
      </c>
      <c r="V611">
        <f>MAX(0,R611-Q611)</f>
        <v/>
      </c>
      <c r="W611">
        <f>IF(U611-V611&gt;1E-9,U611-V611,0)</f>
        <v/>
      </c>
      <c r="X611">
        <f>W610*$G$55</f>
        <v/>
      </c>
      <c r="Y611">
        <f>IF(Y610&gt;1E-9,IF(Y610*(1+$G$51)-MAX($B$9,0.01*Y610+Y610*$G$51)&gt;1E-9,Y610*(1+$G$51)-MAX($B$9,0.01*Y610+Y610*$G$51),0),0)</f>
        <v/>
      </c>
      <c r="Z611">
        <f>Y610*$G$51</f>
        <v/>
      </c>
      <c r="AA611">
        <f>IF(AA610&gt;1E-9,IF(AA610*(1+$G$52)-MAX($B$9,0.01*AA610+AA610*$G$52)&gt;1E-9,AA610*(1+$G$52)-MAX($B$9,0.01*AA610+AA610*$G$52),0),0)</f>
        <v/>
      </c>
      <c r="AB611">
        <f>AA610*$G$52</f>
        <v/>
      </c>
      <c r="AC611">
        <f>IF(AC610&gt;1E-9,IF(AC610*(1+$G$53)-MAX($B$9,0.01*AC610+AC610*$G$53)&gt;1E-9,AC610*(1+$G$53)-MAX($B$9,0.01*AC610+AC610*$G$53),0),0)</f>
        <v/>
      </c>
      <c r="AD611">
        <f>AC610*$G$53</f>
        <v/>
      </c>
      <c r="AE611">
        <f>IF(AE610&gt;1E-9,IF(AE610*(1+$G$54)-MAX($B$9,0.01*AE610+AE610*$G$54)&gt;1E-9,AE610*(1+$G$54)-MAX($B$9,0.01*AE610+AE610*$G$54),0),0)</f>
        <v/>
      </c>
      <c r="AF611">
        <f>AE610*$G$54</f>
        <v/>
      </c>
      <c r="AG611">
        <f>IF(AG610&gt;1E-9,IF(AG610*(1+$G$55)-MAX($B$9,0.01*AG610+AG610*$G$55)&gt;1E-9,AG610*(1+$G$55)-MAX($B$9,0.01*AG610+AG610*$G$55),0),0)</f>
        <v/>
      </c>
      <c r="AH611">
        <f>AG610*$G$55</f>
        <v/>
      </c>
      <c r="AI611">
        <f>G611+K611+O611+S611+W611</f>
        <v/>
      </c>
      <c r="AJ611">
        <f>AI610+AK611-AI611</f>
        <v/>
      </c>
      <c r="AK611">
        <f>H611+L611+P611+T611+X611</f>
        <v/>
      </c>
      <c r="AL611">
        <f>TEXT(EDATE($B$5,D611-1),"mmm yyyy")</f>
        <v/>
      </c>
      <c r="AM611">
        <f>AI611</f>
        <v/>
      </c>
    </row>
    <row r="612">
      <c r="D612" t="n">
        <v>551</v>
      </c>
      <c r="E612">
        <f>IF(G611&gt;0,MAX(0,G611*(1+$G$51)-$H$51),0)</f>
        <v/>
      </c>
      <c r="F612">
        <f>$B$6+IF($D612=$B$8,$B$7,0)</f>
        <v/>
      </c>
      <c r="G612">
        <f>IF(E612-F612&gt;1E-9,E612-F612,0)</f>
        <v/>
      </c>
      <c r="H612">
        <f>G611*$G$51</f>
        <v/>
      </c>
      <c r="I612">
        <f>IF(K611&gt;0,MAX(0,K611*(1+$G$52)-$H$52),0)</f>
        <v/>
      </c>
      <c r="J612">
        <f>MAX(0,F612-E612)</f>
        <v/>
      </c>
      <c r="K612">
        <f>IF(I612-J612&gt;1E-9,I612-J612,0)</f>
        <v/>
      </c>
      <c r="L612">
        <f>K611*$G$52</f>
        <v/>
      </c>
      <c r="M612">
        <f>IF(O611&gt;0,MAX(0,O611*(1+$G$53)-$H$53),0)</f>
        <v/>
      </c>
      <c r="N612">
        <f>MAX(0,J612-I612)</f>
        <v/>
      </c>
      <c r="O612">
        <f>IF(M612-N612&gt;1E-9,M612-N612,0)</f>
        <v/>
      </c>
      <c r="P612">
        <f>O611*$G$53</f>
        <v/>
      </c>
      <c r="Q612">
        <f>IF(S611&gt;0,MAX(0,S611*(1+$G$54)-$H$54),0)</f>
        <v/>
      </c>
      <c r="R612">
        <f>MAX(0,N612-M612)</f>
        <v/>
      </c>
      <c r="S612">
        <f>IF(Q612-R612&gt;1E-9,Q612-R612,0)</f>
        <v/>
      </c>
      <c r="T612">
        <f>S611*$G$54</f>
        <v/>
      </c>
      <c r="U612">
        <f>IF(W611&gt;0,MAX(0,W611*(1+$G$55)-$H$55),0)</f>
        <v/>
      </c>
      <c r="V612">
        <f>MAX(0,R612-Q612)</f>
        <v/>
      </c>
      <c r="W612">
        <f>IF(U612-V612&gt;1E-9,U612-V612,0)</f>
        <v/>
      </c>
      <c r="X612">
        <f>W611*$G$55</f>
        <v/>
      </c>
      <c r="Y612">
        <f>IF(Y611&gt;1E-9,IF(Y611*(1+$G$51)-MAX($B$9,0.01*Y611+Y611*$G$51)&gt;1E-9,Y611*(1+$G$51)-MAX($B$9,0.01*Y611+Y611*$G$51),0),0)</f>
        <v/>
      </c>
      <c r="Z612">
        <f>Y611*$G$51</f>
        <v/>
      </c>
      <c r="AA612">
        <f>IF(AA611&gt;1E-9,IF(AA611*(1+$G$52)-MAX($B$9,0.01*AA611+AA611*$G$52)&gt;1E-9,AA611*(1+$G$52)-MAX($B$9,0.01*AA611+AA611*$G$52),0),0)</f>
        <v/>
      </c>
      <c r="AB612">
        <f>AA611*$G$52</f>
        <v/>
      </c>
      <c r="AC612">
        <f>IF(AC611&gt;1E-9,IF(AC611*(1+$G$53)-MAX($B$9,0.01*AC611+AC611*$G$53)&gt;1E-9,AC611*(1+$G$53)-MAX($B$9,0.01*AC611+AC611*$G$53),0),0)</f>
        <v/>
      </c>
      <c r="AD612">
        <f>AC611*$G$53</f>
        <v/>
      </c>
      <c r="AE612">
        <f>IF(AE611&gt;1E-9,IF(AE611*(1+$G$54)-MAX($B$9,0.01*AE611+AE611*$G$54)&gt;1E-9,AE611*(1+$G$54)-MAX($B$9,0.01*AE611+AE611*$G$54),0),0)</f>
        <v/>
      </c>
      <c r="AF612">
        <f>AE611*$G$54</f>
        <v/>
      </c>
      <c r="AG612">
        <f>IF(AG611&gt;1E-9,IF(AG611*(1+$G$55)-MAX($B$9,0.01*AG611+AG611*$G$55)&gt;1E-9,AG611*(1+$G$55)-MAX($B$9,0.01*AG611+AG611*$G$55),0),0)</f>
        <v/>
      </c>
      <c r="AH612">
        <f>AG611*$G$55</f>
        <v/>
      </c>
      <c r="AI612">
        <f>G612+K612+O612+S612+W612</f>
        <v/>
      </c>
      <c r="AJ612">
        <f>AI611+AK612-AI612</f>
        <v/>
      </c>
      <c r="AK612">
        <f>H612+L612+P612+T612+X612</f>
        <v/>
      </c>
      <c r="AL612">
        <f>TEXT(EDATE($B$5,D612-1),"mmm yyyy")</f>
        <v/>
      </c>
      <c r="AM612">
        <f>AI612</f>
        <v/>
      </c>
    </row>
    <row r="613">
      <c r="D613" t="n">
        <v>552</v>
      </c>
      <c r="E613">
        <f>IF(G612&gt;0,MAX(0,G612*(1+$G$51)-$H$51),0)</f>
        <v/>
      </c>
      <c r="F613">
        <f>$B$6+IF($D613=$B$8,$B$7,0)</f>
        <v/>
      </c>
      <c r="G613">
        <f>IF(E613-F613&gt;1E-9,E613-F613,0)</f>
        <v/>
      </c>
      <c r="H613">
        <f>G612*$G$51</f>
        <v/>
      </c>
      <c r="I613">
        <f>IF(K612&gt;0,MAX(0,K612*(1+$G$52)-$H$52),0)</f>
        <v/>
      </c>
      <c r="J613">
        <f>MAX(0,F613-E613)</f>
        <v/>
      </c>
      <c r="K613">
        <f>IF(I613-J613&gt;1E-9,I613-J613,0)</f>
        <v/>
      </c>
      <c r="L613">
        <f>K612*$G$52</f>
        <v/>
      </c>
      <c r="M613">
        <f>IF(O612&gt;0,MAX(0,O612*(1+$G$53)-$H$53),0)</f>
        <v/>
      </c>
      <c r="N613">
        <f>MAX(0,J613-I613)</f>
        <v/>
      </c>
      <c r="O613">
        <f>IF(M613-N613&gt;1E-9,M613-N613,0)</f>
        <v/>
      </c>
      <c r="P613">
        <f>O612*$G$53</f>
        <v/>
      </c>
      <c r="Q613">
        <f>IF(S612&gt;0,MAX(0,S612*(1+$G$54)-$H$54),0)</f>
        <v/>
      </c>
      <c r="R613">
        <f>MAX(0,N613-M613)</f>
        <v/>
      </c>
      <c r="S613">
        <f>IF(Q613-R613&gt;1E-9,Q613-R613,0)</f>
        <v/>
      </c>
      <c r="T613">
        <f>S612*$G$54</f>
        <v/>
      </c>
      <c r="U613">
        <f>IF(W612&gt;0,MAX(0,W612*(1+$G$55)-$H$55),0)</f>
        <v/>
      </c>
      <c r="V613">
        <f>MAX(0,R613-Q613)</f>
        <v/>
      </c>
      <c r="W613">
        <f>IF(U613-V613&gt;1E-9,U613-V613,0)</f>
        <v/>
      </c>
      <c r="X613">
        <f>W612*$G$55</f>
        <v/>
      </c>
      <c r="Y613">
        <f>IF(Y612&gt;1E-9,IF(Y612*(1+$G$51)-MAX($B$9,0.01*Y612+Y612*$G$51)&gt;1E-9,Y612*(1+$G$51)-MAX($B$9,0.01*Y612+Y612*$G$51),0),0)</f>
        <v/>
      </c>
      <c r="Z613">
        <f>Y612*$G$51</f>
        <v/>
      </c>
      <c r="AA613">
        <f>IF(AA612&gt;1E-9,IF(AA612*(1+$G$52)-MAX($B$9,0.01*AA612+AA612*$G$52)&gt;1E-9,AA612*(1+$G$52)-MAX($B$9,0.01*AA612+AA612*$G$52),0),0)</f>
        <v/>
      </c>
      <c r="AB613">
        <f>AA612*$G$52</f>
        <v/>
      </c>
      <c r="AC613">
        <f>IF(AC612&gt;1E-9,IF(AC612*(1+$G$53)-MAX($B$9,0.01*AC612+AC612*$G$53)&gt;1E-9,AC612*(1+$G$53)-MAX($B$9,0.01*AC612+AC612*$G$53),0),0)</f>
        <v/>
      </c>
      <c r="AD613">
        <f>AC612*$G$53</f>
        <v/>
      </c>
      <c r="AE613">
        <f>IF(AE612&gt;1E-9,IF(AE612*(1+$G$54)-MAX($B$9,0.01*AE612+AE612*$G$54)&gt;1E-9,AE612*(1+$G$54)-MAX($B$9,0.01*AE612+AE612*$G$54),0),0)</f>
        <v/>
      </c>
      <c r="AF613">
        <f>AE612*$G$54</f>
        <v/>
      </c>
      <c r="AG613">
        <f>IF(AG612&gt;1E-9,IF(AG612*(1+$G$55)-MAX($B$9,0.01*AG612+AG612*$G$55)&gt;1E-9,AG612*(1+$G$55)-MAX($B$9,0.01*AG612+AG612*$G$55),0),0)</f>
        <v/>
      </c>
      <c r="AH613">
        <f>AG612*$G$55</f>
        <v/>
      </c>
      <c r="AI613">
        <f>G613+K613+O613+S613+W613</f>
        <v/>
      </c>
      <c r="AJ613">
        <f>AI612+AK613-AI613</f>
        <v/>
      </c>
      <c r="AK613">
        <f>H613+L613+P613+T613+X613</f>
        <v/>
      </c>
      <c r="AL613">
        <f>TEXT(EDATE($B$5,D613-1),"mmm yyyy")</f>
        <v/>
      </c>
      <c r="AM613">
        <f>AI613</f>
        <v/>
      </c>
    </row>
    <row r="614">
      <c r="D614" t="n">
        <v>553</v>
      </c>
      <c r="E614">
        <f>IF(G613&gt;0,MAX(0,G613*(1+$G$51)-$H$51),0)</f>
        <v/>
      </c>
      <c r="F614">
        <f>$B$6+IF($D614=$B$8,$B$7,0)</f>
        <v/>
      </c>
      <c r="G614">
        <f>IF(E614-F614&gt;1E-9,E614-F614,0)</f>
        <v/>
      </c>
      <c r="H614">
        <f>G613*$G$51</f>
        <v/>
      </c>
      <c r="I614">
        <f>IF(K613&gt;0,MAX(0,K613*(1+$G$52)-$H$52),0)</f>
        <v/>
      </c>
      <c r="J614">
        <f>MAX(0,F614-E614)</f>
        <v/>
      </c>
      <c r="K614">
        <f>IF(I614-J614&gt;1E-9,I614-J614,0)</f>
        <v/>
      </c>
      <c r="L614">
        <f>K613*$G$52</f>
        <v/>
      </c>
      <c r="M614">
        <f>IF(O613&gt;0,MAX(0,O613*(1+$G$53)-$H$53),0)</f>
        <v/>
      </c>
      <c r="N614">
        <f>MAX(0,J614-I614)</f>
        <v/>
      </c>
      <c r="O614">
        <f>IF(M614-N614&gt;1E-9,M614-N614,0)</f>
        <v/>
      </c>
      <c r="P614">
        <f>O613*$G$53</f>
        <v/>
      </c>
      <c r="Q614">
        <f>IF(S613&gt;0,MAX(0,S613*(1+$G$54)-$H$54),0)</f>
        <v/>
      </c>
      <c r="R614">
        <f>MAX(0,N614-M614)</f>
        <v/>
      </c>
      <c r="S614">
        <f>IF(Q614-R614&gt;1E-9,Q614-R614,0)</f>
        <v/>
      </c>
      <c r="T614">
        <f>S613*$G$54</f>
        <v/>
      </c>
      <c r="U614">
        <f>IF(W613&gt;0,MAX(0,W613*(1+$G$55)-$H$55),0)</f>
        <v/>
      </c>
      <c r="V614">
        <f>MAX(0,R614-Q614)</f>
        <v/>
      </c>
      <c r="W614">
        <f>IF(U614-V614&gt;1E-9,U614-V614,0)</f>
        <v/>
      </c>
      <c r="X614">
        <f>W613*$G$55</f>
        <v/>
      </c>
      <c r="Y614">
        <f>IF(Y613&gt;1E-9,IF(Y613*(1+$G$51)-MAX($B$9,0.01*Y613+Y613*$G$51)&gt;1E-9,Y613*(1+$G$51)-MAX($B$9,0.01*Y613+Y613*$G$51),0),0)</f>
        <v/>
      </c>
      <c r="Z614">
        <f>Y613*$G$51</f>
        <v/>
      </c>
      <c r="AA614">
        <f>IF(AA613&gt;1E-9,IF(AA613*(1+$G$52)-MAX($B$9,0.01*AA613+AA613*$G$52)&gt;1E-9,AA613*(1+$G$52)-MAX($B$9,0.01*AA613+AA613*$G$52),0),0)</f>
        <v/>
      </c>
      <c r="AB614">
        <f>AA613*$G$52</f>
        <v/>
      </c>
      <c r="AC614">
        <f>IF(AC613&gt;1E-9,IF(AC613*(1+$G$53)-MAX($B$9,0.01*AC613+AC613*$G$53)&gt;1E-9,AC613*(1+$G$53)-MAX($B$9,0.01*AC613+AC613*$G$53),0),0)</f>
        <v/>
      </c>
      <c r="AD614">
        <f>AC613*$G$53</f>
        <v/>
      </c>
      <c r="AE614">
        <f>IF(AE613&gt;1E-9,IF(AE613*(1+$G$54)-MAX($B$9,0.01*AE613+AE613*$G$54)&gt;1E-9,AE613*(1+$G$54)-MAX($B$9,0.01*AE613+AE613*$G$54),0),0)</f>
        <v/>
      </c>
      <c r="AF614">
        <f>AE613*$G$54</f>
        <v/>
      </c>
      <c r="AG614">
        <f>IF(AG613&gt;1E-9,IF(AG613*(1+$G$55)-MAX($B$9,0.01*AG613+AG613*$G$55)&gt;1E-9,AG613*(1+$G$55)-MAX($B$9,0.01*AG613+AG613*$G$55),0),0)</f>
        <v/>
      </c>
      <c r="AH614">
        <f>AG613*$G$55</f>
        <v/>
      </c>
      <c r="AI614">
        <f>G614+K614+O614+S614+W614</f>
        <v/>
      </c>
      <c r="AJ614">
        <f>AI613+AK614-AI614</f>
        <v/>
      </c>
      <c r="AK614">
        <f>H614+L614+P614+T614+X614</f>
        <v/>
      </c>
      <c r="AL614">
        <f>TEXT(EDATE($B$5,D614-1),"mmm yyyy")</f>
        <v/>
      </c>
      <c r="AM614">
        <f>AI614</f>
        <v/>
      </c>
    </row>
    <row r="615">
      <c r="D615" t="n">
        <v>554</v>
      </c>
      <c r="E615">
        <f>IF(G614&gt;0,MAX(0,G614*(1+$G$51)-$H$51),0)</f>
        <v/>
      </c>
      <c r="F615">
        <f>$B$6+IF($D615=$B$8,$B$7,0)</f>
        <v/>
      </c>
      <c r="G615">
        <f>IF(E615-F615&gt;1E-9,E615-F615,0)</f>
        <v/>
      </c>
      <c r="H615">
        <f>G614*$G$51</f>
        <v/>
      </c>
      <c r="I615">
        <f>IF(K614&gt;0,MAX(0,K614*(1+$G$52)-$H$52),0)</f>
        <v/>
      </c>
      <c r="J615">
        <f>MAX(0,F615-E615)</f>
        <v/>
      </c>
      <c r="K615">
        <f>IF(I615-J615&gt;1E-9,I615-J615,0)</f>
        <v/>
      </c>
      <c r="L615">
        <f>K614*$G$52</f>
        <v/>
      </c>
      <c r="M615">
        <f>IF(O614&gt;0,MAX(0,O614*(1+$G$53)-$H$53),0)</f>
        <v/>
      </c>
      <c r="N615">
        <f>MAX(0,J615-I615)</f>
        <v/>
      </c>
      <c r="O615">
        <f>IF(M615-N615&gt;1E-9,M615-N615,0)</f>
        <v/>
      </c>
      <c r="P615">
        <f>O614*$G$53</f>
        <v/>
      </c>
      <c r="Q615">
        <f>IF(S614&gt;0,MAX(0,S614*(1+$G$54)-$H$54),0)</f>
        <v/>
      </c>
      <c r="R615">
        <f>MAX(0,N615-M615)</f>
        <v/>
      </c>
      <c r="S615">
        <f>IF(Q615-R615&gt;1E-9,Q615-R615,0)</f>
        <v/>
      </c>
      <c r="T615">
        <f>S614*$G$54</f>
        <v/>
      </c>
      <c r="U615">
        <f>IF(W614&gt;0,MAX(0,W614*(1+$G$55)-$H$55),0)</f>
        <v/>
      </c>
      <c r="V615">
        <f>MAX(0,R615-Q615)</f>
        <v/>
      </c>
      <c r="W615">
        <f>IF(U615-V615&gt;1E-9,U615-V615,0)</f>
        <v/>
      </c>
      <c r="X615">
        <f>W614*$G$55</f>
        <v/>
      </c>
      <c r="Y615">
        <f>IF(Y614&gt;1E-9,IF(Y614*(1+$G$51)-MAX($B$9,0.01*Y614+Y614*$G$51)&gt;1E-9,Y614*(1+$G$51)-MAX($B$9,0.01*Y614+Y614*$G$51),0),0)</f>
        <v/>
      </c>
      <c r="Z615">
        <f>Y614*$G$51</f>
        <v/>
      </c>
      <c r="AA615">
        <f>IF(AA614&gt;1E-9,IF(AA614*(1+$G$52)-MAX($B$9,0.01*AA614+AA614*$G$52)&gt;1E-9,AA614*(1+$G$52)-MAX($B$9,0.01*AA614+AA614*$G$52),0),0)</f>
        <v/>
      </c>
      <c r="AB615">
        <f>AA614*$G$52</f>
        <v/>
      </c>
      <c r="AC615">
        <f>IF(AC614&gt;1E-9,IF(AC614*(1+$G$53)-MAX($B$9,0.01*AC614+AC614*$G$53)&gt;1E-9,AC614*(1+$G$53)-MAX($B$9,0.01*AC614+AC614*$G$53),0),0)</f>
        <v/>
      </c>
      <c r="AD615">
        <f>AC614*$G$53</f>
        <v/>
      </c>
      <c r="AE615">
        <f>IF(AE614&gt;1E-9,IF(AE614*(1+$G$54)-MAX($B$9,0.01*AE614+AE614*$G$54)&gt;1E-9,AE614*(1+$G$54)-MAX($B$9,0.01*AE614+AE614*$G$54),0),0)</f>
        <v/>
      </c>
      <c r="AF615">
        <f>AE614*$G$54</f>
        <v/>
      </c>
      <c r="AG615">
        <f>IF(AG614&gt;1E-9,IF(AG614*(1+$G$55)-MAX($B$9,0.01*AG614+AG614*$G$55)&gt;1E-9,AG614*(1+$G$55)-MAX($B$9,0.01*AG614+AG614*$G$55),0),0)</f>
        <v/>
      </c>
      <c r="AH615">
        <f>AG614*$G$55</f>
        <v/>
      </c>
      <c r="AI615">
        <f>G615+K615+O615+S615+W615</f>
        <v/>
      </c>
      <c r="AJ615">
        <f>AI614+AK615-AI615</f>
        <v/>
      </c>
      <c r="AK615">
        <f>H615+L615+P615+T615+X615</f>
        <v/>
      </c>
      <c r="AL615">
        <f>TEXT(EDATE($B$5,D615-1),"mmm yyyy")</f>
        <v/>
      </c>
      <c r="AM615">
        <f>AI615</f>
        <v/>
      </c>
    </row>
    <row r="616">
      <c r="D616" t="n">
        <v>555</v>
      </c>
      <c r="E616">
        <f>IF(G615&gt;0,MAX(0,G615*(1+$G$51)-$H$51),0)</f>
        <v/>
      </c>
      <c r="F616">
        <f>$B$6+IF($D616=$B$8,$B$7,0)</f>
        <v/>
      </c>
      <c r="G616">
        <f>IF(E616-F616&gt;1E-9,E616-F616,0)</f>
        <v/>
      </c>
      <c r="H616">
        <f>G615*$G$51</f>
        <v/>
      </c>
      <c r="I616">
        <f>IF(K615&gt;0,MAX(0,K615*(1+$G$52)-$H$52),0)</f>
        <v/>
      </c>
      <c r="J616">
        <f>MAX(0,F616-E616)</f>
        <v/>
      </c>
      <c r="K616">
        <f>IF(I616-J616&gt;1E-9,I616-J616,0)</f>
        <v/>
      </c>
      <c r="L616">
        <f>K615*$G$52</f>
        <v/>
      </c>
      <c r="M616">
        <f>IF(O615&gt;0,MAX(0,O615*(1+$G$53)-$H$53),0)</f>
        <v/>
      </c>
      <c r="N616">
        <f>MAX(0,J616-I616)</f>
        <v/>
      </c>
      <c r="O616">
        <f>IF(M616-N616&gt;1E-9,M616-N616,0)</f>
        <v/>
      </c>
      <c r="P616">
        <f>O615*$G$53</f>
        <v/>
      </c>
      <c r="Q616">
        <f>IF(S615&gt;0,MAX(0,S615*(1+$G$54)-$H$54),0)</f>
        <v/>
      </c>
      <c r="R616">
        <f>MAX(0,N616-M616)</f>
        <v/>
      </c>
      <c r="S616">
        <f>IF(Q616-R616&gt;1E-9,Q616-R616,0)</f>
        <v/>
      </c>
      <c r="T616">
        <f>S615*$G$54</f>
        <v/>
      </c>
      <c r="U616">
        <f>IF(W615&gt;0,MAX(0,W615*(1+$G$55)-$H$55),0)</f>
        <v/>
      </c>
      <c r="V616">
        <f>MAX(0,R616-Q616)</f>
        <v/>
      </c>
      <c r="W616">
        <f>IF(U616-V616&gt;1E-9,U616-V616,0)</f>
        <v/>
      </c>
      <c r="X616">
        <f>W615*$G$55</f>
        <v/>
      </c>
      <c r="Y616">
        <f>IF(Y615&gt;1E-9,IF(Y615*(1+$G$51)-MAX($B$9,0.01*Y615+Y615*$G$51)&gt;1E-9,Y615*(1+$G$51)-MAX($B$9,0.01*Y615+Y615*$G$51),0),0)</f>
        <v/>
      </c>
      <c r="Z616">
        <f>Y615*$G$51</f>
        <v/>
      </c>
      <c r="AA616">
        <f>IF(AA615&gt;1E-9,IF(AA615*(1+$G$52)-MAX($B$9,0.01*AA615+AA615*$G$52)&gt;1E-9,AA615*(1+$G$52)-MAX($B$9,0.01*AA615+AA615*$G$52),0),0)</f>
        <v/>
      </c>
      <c r="AB616">
        <f>AA615*$G$52</f>
        <v/>
      </c>
      <c r="AC616">
        <f>IF(AC615&gt;1E-9,IF(AC615*(1+$G$53)-MAX($B$9,0.01*AC615+AC615*$G$53)&gt;1E-9,AC615*(1+$G$53)-MAX($B$9,0.01*AC615+AC615*$G$53),0),0)</f>
        <v/>
      </c>
      <c r="AD616">
        <f>AC615*$G$53</f>
        <v/>
      </c>
      <c r="AE616">
        <f>IF(AE615&gt;1E-9,IF(AE615*(1+$G$54)-MAX($B$9,0.01*AE615+AE615*$G$54)&gt;1E-9,AE615*(1+$G$54)-MAX($B$9,0.01*AE615+AE615*$G$54),0),0)</f>
        <v/>
      </c>
      <c r="AF616">
        <f>AE615*$G$54</f>
        <v/>
      </c>
      <c r="AG616">
        <f>IF(AG615&gt;1E-9,IF(AG615*(1+$G$55)-MAX($B$9,0.01*AG615+AG615*$G$55)&gt;1E-9,AG615*(1+$G$55)-MAX($B$9,0.01*AG615+AG615*$G$55),0),0)</f>
        <v/>
      </c>
      <c r="AH616">
        <f>AG615*$G$55</f>
        <v/>
      </c>
      <c r="AI616">
        <f>G616+K616+O616+S616+W616</f>
        <v/>
      </c>
      <c r="AJ616">
        <f>AI615+AK616-AI616</f>
        <v/>
      </c>
      <c r="AK616">
        <f>H616+L616+P616+T616+X616</f>
        <v/>
      </c>
      <c r="AL616">
        <f>TEXT(EDATE($B$5,D616-1),"mmm yyyy")</f>
        <v/>
      </c>
      <c r="AM616">
        <f>AI616</f>
        <v/>
      </c>
    </row>
    <row r="617">
      <c r="D617" t="n">
        <v>556</v>
      </c>
      <c r="E617">
        <f>IF(G616&gt;0,MAX(0,G616*(1+$G$51)-$H$51),0)</f>
        <v/>
      </c>
      <c r="F617">
        <f>$B$6+IF($D617=$B$8,$B$7,0)</f>
        <v/>
      </c>
      <c r="G617">
        <f>IF(E617-F617&gt;1E-9,E617-F617,0)</f>
        <v/>
      </c>
      <c r="H617">
        <f>G616*$G$51</f>
        <v/>
      </c>
      <c r="I617">
        <f>IF(K616&gt;0,MAX(0,K616*(1+$G$52)-$H$52),0)</f>
        <v/>
      </c>
      <c r="J617">
        <f>MAX(0,F617-E617)</f>
        <v/>
      </c>
      <c r="K617">
        <f>IF(I617-J617&gt;1E-9,I617-J617,0)</f>
        <v/>
      </c>
      <c r="L617">
        <f>K616*$G$52</f>
        <v/>
      </c>
      <c r="M617">
        <f>IF(O616&gt;0,MAX(0,O616*(1+$G$53)-$H$53),0)</f>
        <v/>
      </c>
      <c r="N617">
        <f>MAX(0,J617-I617)</f>
        <v/>
      </c>
      <c r="O617">
        <f>IF(M617-N617&gt;1E-9,M617-N617,0)</f>
        <v/>
      </c>
      <c r="P617">
        <f>O616*$G$53</f>
        <v/>
      </c>
      <c r="Q617">
        <f>IF(S616&gt;0,MAX(0,S616*(1+$G$54)-$H$54),0)</f>
        <v/>
      </c>
      <c r="R617">
        <f>MAX(0,N617-M617)</f>
        <v/>
      </c>
      <c r="S617">
        <f>IF(Q617-R617&gt;1E-9,Q617-R617,0)</f>
        <v/>
      </c>
      <c r="T617">
        <f>S616*$G$54</f>
        <v/>
      </c>
      <c r="U617">
        <f>IF(W616&gt;0,MAX(0,W616*(1+$G$55)-$H$55),0)</f>
        <v/>
      </c>
      <c r="V617">
        <f>MAX(0,R617-Q617)</f>
        <v/>
      </c>
      <c r="W617">
        <f>IF(U617-V617&gt;1E-9,U617-V617,0)</f>
        <v/>
      </c>
      <c r="X617">
        <f>W616*$G$55</f>
        <v/>
      </c>
      <c r="Y617">
        <f>IF(Y616&gt;1E-9,IF(Y616*(1+$G$51)-MAX($B$9,0.01*Y616+Y616*$G$51)&gt;1E-9,Y616*(1+$G$51)-MAX($B$9,0.01*Y616+Y616*$G$51),0),0)</f>
        <v/>
      </c>
      <c r="Z617">
        <f>Y616*$G$51</f>
        <v/>
      </c>
      <c r="AA617">
        <f>IF(AA616&gt;1E-9,IF(AA616*(1+$G$52)-MAX($B$9,0.01*AA616+AA616*$G$52)&gt;1E-9,AA616*(1+$G$52)-MAX($B$9,0.01*AA616+AA616*$G$52),0),0)</f>
        <v/>
      </c>
      <c r="AB617">
        <f>AA616*$G$52</f>
        <v/>
      </c>
      <c r="AC617">
        <f>IF(AC616&gt;1E-9,IF(AC616*(1+$G$53)-MAX($B$9,0.01*AC616+AC616*$G$53)&gt;1E-9,AC616*(1+$G$53)-MAX($B$9,0.01*AC616+AC616*$G$53),0),0)</f>
        <v/>
      </c>
      <c r="AD617">
        <f>AC616*$G$53</f>
        <v/>
      </c>
      <c r="AE617">
        <f>IF(AE616&gt;1E-9,IF(AE616*(1+$G$54)-MAX($B$9,0.01*AE616+AE616*$G$54)&gt;1E-9,AE616*(1+$G$54)-MAX($B$9,0.01*AE616+AE616*$G$54),0),0)</f>
        <v/>
      </c>
      <c r="AF617">
        <f>AE616*$G$54</f>
        <v/>
      </c>
      <c r="AG617">
        <f>IF(AG616&gt;1E-9,IF(AG616*(1+$G$55)-MAX($B$9,0.01*AG616+AG616*$G$55)&gt;1E-9,AG616*(1+$G$55)-MAX($B$9,0.01*AG616+AG616*$G$55),0),0)</f>
        <v/>
      </c>
      <c r="AH617">
        <f>AG616*$G$55</f>
        <v/>
      </c>
      <c r="AI617">
        <f>G617+K617+O617+S617+W617</f>
        <v/>
      </c>
      <c r="AJ617">
        <f>AI616+AK617-AI617</f>
        <v/>
      </c>
      <c r="AK617">
        <f>H617+L617+P617+T617+X617</f>
        <v/>
      </c>
      <c r="AL617">
        <f>TEXT(EDATE($B$5,D617-1),"mmm yyyy")</f>
        <v/>
      </c>
      <c r="AM617">
        <f>AI617</f>
        <v/>
      </c>
    </row>
    <row r="618">
      <c r="D618" t="n">
        <v>557</v>
      </c>
      <c r="E618">
        <f>IF(G617&gt;0,MAX(0,G617*(1+$G$51)-$H$51),0)</f>
        <v/>
      </c>
      <c r="F618">
        <f>$B$6+IF($D618=$B$8,$B$7,0)</f>
        <v/>
      </c>
      <c r="G618">
        <f>IF(E618-F618&gt;1E-9,E618-F618,0)</f>
        <v/>
      </c>
      <c r="H618">
        <f>G617*$G$51</f>
        <v/>
      </c>
      <c r="I618">
        <f>IF(K617&gt;0,MAX(0,K617*(1+$G$52)-$H$52),0)</f>
        <v/>
      </c>
      <c r="J618">
        <f>MAX(0,F618-E618)</f>
        <v/>
      </c>
      <c r="K618">
        <f>IF(I618-J618&gt;1E-9,I618-J618,0)</f>
        <v/>
      </c>
      <c r="L618">
        <f>K617*$G$52</f>
        <v/>
      </c>
      <c r="M618">
        <f>IF(O617&gt;0,MAX(0,O617*(1+$G$53)-$H$53),0)</f>
        <v/>
      </c>
      <c r="N618">
        <f>MAX(0,J618-I618)</f>
        <v/>
      </c>
      <c r="O618">
        <f>IF(M618-N618&gt;1E-9,M618-N618,0)</f>
        <v/>
      </c>
      <c r="P618">
        <f>O617*$G$53</f>
        <v/>
      </c>
      <c r="Q618">
        <f>IF(S617&gt;0,MAX(0,S617*(1+$G$54)-$H$54),0)</f>
        <v/>
      </c>
      <c r="R618">
        <f>MAX(0,N618-M618)</f>
        <v/>
      </c>
      <c r="S618">
        <f>IF(Q618-R618&gt;1E-9,Q618-R618,0)</f>
        <v/>
      </c>
      <c r="T618">
        <f>S617*$G$54</f>
        <v/>
      </c>
      <c r="U618">
        <f>IF(W617&gt;0,MAX(0,W617*(1+$G$55)-$H$55),0)</f>
        <v/>
      </c>
      <c r="V618">
        <f>MAX(0,R618-Q618)</f>
        <v/>
      </c>
      <c r="W618">
        <f>IF(U618-V618&gt;1E-9,U618-V618,0)</f>
        <v/>
      </c>
      <c r="X618">
        <f>W617*$G$55</f>
        <v/>
      </c>
      <c r="Y618">
        <f>IF(Y617&gt;1E-9,IF(Y617*(1+$G$51)-MAX($B$9,0.01*Y617+Y617*$G$51)&gt;1E-9,Y617*(1+$G$51)-MAX($B$9,0.01*Y617+Y617*$G$51),0),0)</f>
        <v/>
      </c>
      <c r="Z618">
        <f>Y617*$G$51</f>
        <v/>
      </c>
      <c r="AA618">
        <f>IF(AA617&gt;1E-9,IF(AA617*(1+$G$52)-MAX($B$9,0.01*AA617+AA617*$G$52)&gt;1E-9,AA617*(1+$G$52)-MAX($B$9,0.01*AA617+AA617*$G$52),0),0)</f>
        <v/>
      </c>
      <c r="AB618">
        <f>AA617*$G$52</f>
        <v/>
      </c>
      <c r="AC618">
        <f>IF(AC617&gt;1E-9,IF(AC617*(1+$G$53)-MAX($B$9,0.01*AC617+AC617*$G$53)&gt;1E-9,AC617*(1+$G$53)-MAX($B$9,0.01*AC617+AC617*$G$53),0),0)</f>
        <v/>
      </c>
      <c r="AD618">
        <f>AC617*$G$53</f>
        <v/>
      </c>
      <c r="AE618">
        <f>IF(AE617&gt;1E-9,IF(AE617*(1+$G$54)-MAX($B$9,0.01*AE617+AE617*$G$54)&gt;1E-9,AE617*(1+$G$54)-MAX($B$9,0.01*AE617+AE617*$G$54),0),0)</f>
        <v/>
      </c>
      <c r="AF618">
        <f>AE617*$G$54</f>
        <v/>
      </c>
      <c r="AG618">
        <f>IF(AG617&gt;1E-9,IF(AG617*(1+$G$55)-MAX($B$9,0.01*AG617+AG617*$G$55)&gt;1E-9,AG617*(1+$G$55)-MAX($B$9,0.01*AG617+AG617*$G$55),0),0)</f>
        <v/>
      </c>
      <c r="AH618">
        <f>AG617*$G$55</f>
        <v/>
      </c>
      <c r="AI618">
        <f>G618+K618+O618+S618+W618</f>
        <v/>
      </c>
      <c r="AJ618">
        <f>AI617+AK618-AI618</f>
        <v/>
      </c>
      <c r="AK618">
        <f>H618+L618+P618+T618+X618</f>
        <v/>
      </c>
      <c r="AL618">
        <f>TEXT(EDATE($B$5,D618-1),"mmm yyyy")</f>
        <v/>
      </c>
      <c r="AM618">
        <f>AI618</f>
        <v/>
      </c>
    </row>
    <row r="619">
      <c r="D619" t="n">
        <v>558</v>
      </c>
      <c r="E619">
        <f>IF(G618&gt;0,MAX(0,G618*(1+$G$51)-$H$51),0)</f>
        <v/>
      </c>
      <c r="F619">
        <f>$B$6+IF($D619=$B$8,$B$7,0)</f>
        <v/>
      </c>
      <c r="G619">
        <f>IF(E619-F619&gt;1E-9,E619-F619,0)</f>
        <v/>
      </c>
      <c r="H619">
        <f>G618*$G$51</f>
        <v/>
      </c>
      <c r="I619">
        <f>IF(K618&gt;0,MAX(0,K618*(1+$G$52)-$H$52),0)</f>
        <v/>
      </c>
      <c r="J619">
        <f>MAX(0,F619-E619)</f>
        <v/>
      </c>
      <c r="K619">
        <f>IF(I619-J619&gt;1E-9,I619-J619,0)</f>
        <v/>
      </c>
      <c r="L619">
        <f>K618*$G$52</f>
        <v/>
      </c>
      <c r="M619">
        <f>IF(O618&gt;0,MAX(0,O618*(1+$G$53)-$H$53),0)</f>
        <v/>
      </c>
      <c r="N619">
        <f>MAX(0,J619-I619)</f>
        <v/>
      </c>
      <c r="O619">
        <f>IF(M619-N619&gt;1E-9,M619-N619,0)</f>
        <v/>
      </c>
      <c r="P619">
        <f>O618*$G$53</f>
        <v/>
      </c>
      <c r="Q619">
        <f>IF(S618&gt;0,MAX(0,S618*(1+$G$54)-$H$54),0)</f>
        <v/>
      </c>
      <c r="R619">
        <f>MAX(0,N619-M619)</f>
        <v/>
      </c>
      <c r="S619">
        <f>IF(Q619-R619&gt;1E-9,Q619-R619,0)</f>
        <v/>
      </c>
      <c r="T619">
        <f>S618*$G$54</f>
        <v/>
      </c>
      <c r="U619">
        <f>IF(W618&gt;0,MAX(0,W618*(1+$G$55)-$H$55),0)</f>
        <v/>
      </c>
      <c r="V619">
        <f>MAX(0,R619-Q619)</f>
        <v/>
      </c>
      <c r="W619">
        <f>IF(U619-V619&gt;1E-9,U619-V619,0)</f>
        <v/>
      </c>
      <c r="X619">
        <f>W618*$G$55</f>
        <v/>
      </c>
      <c r="Y619">
        <f>IF(Y618&gt;1E-9,IF(Y618*(1+$G$51)-MAX($B$9,0.01*Y618+Y618*$G$51)&gt;1E-9,Y618*(1+$G$51)-MAX($B$9,0.01*Y618+Y618*$G$51),0),0)</f>
        <v/>
      </c>
      <c r="Z619">
        <f>Y618*$G$51</f>
        <v/>
      </c>
      <c r="AA619">
        <f>IF(AA618&gt;1E-9,IF(AA618*(1+$G$52)-MAX($B$9,0.01*AA618+AA618*$G$52)&gt;1E-9,AA618*(1+$G$52)-MAX($B$9,0.01*AA618+AA618*$G$52),0),0)</f>
        <v/>
      </c>
      <c r="AB619">
        <f>AA618*$G$52</f>
        <v/>
      </c>
      <c r="AC619">
        <f>IF(AC618&gt;1E-9,IF(AC618*(1+$G$53)-MAX($B$9,0.01*AC618+AC618*$G$53)&gt;1E-9,AC618*(1+$G$53)-MAX($B$9,0.01*AC618+AC618*$G$53),0),0)</f>
        <v/>
      </c>
      <c r="AD619">
        <f>AC618*$G$53</f>
        <v/>
      </c>
      <c r="AE619">
        <f>IF(AE618&gt;1E-9,IF(AE618*(1+$G$54)-MAX($B$9,0.01*AE618+AE618*$G$54)&gt;1E-9,AE618*(1+$G$54)-MAX($B$9,0.01*AE618+AE618*$G$54),0),0)</f>
        <v/>
      </c>
      <c r="AF619">
        <f>AE618*$G$54</f>
        <v/>
      </c>
      <c r="AG619">
        <f>IF(AG618&gt;1E-9,IF(AG618*(1+$G$55)-MAX($B$9,0.01*AG618+AG618*$G$55)&gt;1E-9,AG618*(1+$G$55)-MAX($B$9,0.01*AG618+AG618*$G$55),0),0)</f>
        <v/>
      </c>
      <c r="AH619">
        <f>AG618*$G$55</f>
        <v/>
      </c>
      <c r="AI619">
        <f>G619+K619+O619+S619+W619</f>
        <v/>
      </c>
      <c r="AJ619">
        <f>AI618+AK619-AI619</f>
        <v/>
      </c>
      <c r="AK619">
        <f>H619+L619+P619+T619+X619</f>
        <v/>
      </c>
      <c r="AL619">
        <f>TEXT(EDATE($B$5,D619-1),"mmm yyyy")</f>
        <v/>
      </c>
      <c r="AM619">
        <f>AI619</f>
        <v/>
      </c>
    </row>
    <row r="620">
      <c r="D620" t="n">
        <v>559</v>
      </c>
      <c r="E620">
        <f>IF(G619&gt;0,MAX(0,G619*(1+$G$51)-$H$51),0)</f>
        <v/>
      </c>
      <c r="F620">
        <f>$B$6+IF($D620=$B$8,$B$7,0)</f>
        <v/>
      </c>
      <c r="G620">
        <f>IF(E620-F620&gt;1E-9,E620-F620,0)</f>
        <v/>
      </c>
      <c r="H620">
        <f>G619*$G$51</f>
        <v/>
      </c>
      <c r="I620">
        <f>IF(K619&gt;0,MAX(0,K619*(1+$G$52)-$H$52),0)</f>
        <v/>
      </c>
      <c r="J620">
        <f>MAX(0,F620-E620)</f>
        <v/>
      </c>
      <c r="K620">
        <f>IF(I620-J620&gt;1E-9,I620-J620,0)</f>
        <v/>
      </c>
      <c r="L620">
        <f>K619*$G$52</f>
        <v/>
      </c>
      <c r="M620">
        <f>IF(O619&gt;0,MAX(0,O619*(1+$G$53)-$H$53),0)</f>
        <v/>
      </c>
      <c r="N620">
        <f>MAX(0,J620-I620)</f>
        <v/>
      </c>
      <c r="O620">
        <f>IF(M620-N620&gt;1E-9,M620-N620,0)</f>
        <v/>
      </c>
      <c r="P620">
        <f>O619*$G$53</f>
        <v/>
      </c>
      <c r="Q620">
        <f>IF(S619&gt;0,MAX(0,S619*(1+$G$54)-$H$54),0)</f>
        <v/>
      </c>
      <c r="R620">
        <f>MAX(0,N620-M620)</f>
        <v/>
      </c>
      <c r="S620">
        <f>IF(Q620-R620&gt;1E-9,Q620-R620,0)</f>
        <v/>
      </c>
      <c r="T620">
        <f>S619*$G$54</f>
        <v/>
      </c>
      <c r="U620">
        <f>IF(W619&gt;0,MAX(0,W619*(1+$G$55)-$H$55),0)</f>
        <v/>
      </c>
      <c r="V620">
        <f>MAX(0,R620-Q620)</f>
        <v/>
      </c>
      <c r="W620">
        <f>IF(U620-V620&gt;1E-9,U620-V620,0)</f>
        <v/>
      </c>
      <c r="X620">
        <f>W619*$G$55</f>
        <v/>
      </c>
      <c r="Y620">
        <f>IF(Y619&gt;1E-9,IF(Y619*(1+$G$51)-MAX($B$9,0.01*Y619+Y619*$G$51)&gt;1E-9,Y619*(1+$G$51)-MAX($B$9,0.01*Y619+Y619*$G$51),0),0)</f>
        <v/>
      </c>
      <c r="Z620">
        <f>Y619*$G$51</f>
        <v/>
      </c>
      <c r="AA620">
        <f>IF(AA619&gt;1E-9,IF(AA619*(1+$G$52)-MAX($B$9,0.01*AA619+AA619*$G$52)&gt;1E-9,AA619*(1+$G$52)-MAX($B$9,0.01*AA619+AA619*$G$52),0),0)</f>
        <v/>
      </c>
      <c r="AB620">
        <f>AA619*$G$52</f>
        <v/>
      </c>
      <c r="AC620">
        <f>IF(AC619&gt;1E-9,IF(AC619*(1+$G$53)-MAX($B$9,0.01*AC619+AC619*$G$53)&gt;1E-9,AC619*(1+$G$53)-MAX($B$9,0.01*AC619+AC619*$G$53),0),0)</f>
        <v/>
      </c>
      <c r="AD620">
        <f>AC619*$G$53</f>
        <v/>
      </c>
      <c r="AE620">
        <f>IF(AE619&gt;1E-9,IF(AE619*(1+$G$54)-MAX($B$9,0.01*AE619+AE619*$G$54)&gt;1E-9,AE619*(1+$G$54)-MAX($B$9,0.01*AE619+AE619*$G$54),0),0)</f>
        <v/>
      </c>
      <c r="AF620">
        <f>AE619*$G$54</f>
        <v/>
      </c>
      <c r="AG620">
        <f>IF(AG619&gt;1E-9,IF(AG619*(1+$G$55)-MAX($B$9,0.01*AG619+AG619*$G$55)&gt;1E-9,AG619*(1+$G$55)-MAX($B$9,0.01*AG619+AG619*$G$55),0),0)</f>
        <v/>
      </c>
      <c r="AH620">
        <f>AG619*$G$55</f>
        <v/>
      </c>
      <c r="AI620">
        <f>G620+K620+O620+S620+W620</f>
        <v/>
      </c>
      <c r="AJ620">
        <f>AI619+AK620-AI620</f>
        <v/>
      </c>
      <c r="AK620">
        <f>H620+L620+P620+T620+X620</f>
        <v/>
      </c>
      <c r="AL620">
        <f>TEXT(EDATE($B$5,D620-1),"mmm yyyy")</f>
        <v/>
      </c>
      <c r="AM620">
        <f>AI620</f>
        <v/>
      </c>
    </row>
    <row r="621">
      <c r="D621" t="n">
        <v>560</v>
      </c>
      <c r="E621">
        <f>IF(G620&gt;0,MAX(0,G620*(1+$G$51)-$H$51),0)</f>
        <v/>
      </c>
      <c r="F621">
        <f>$B$6+IF($D621=$B$8,$B$7,0)</f>
        <v/>
      </c>
      <c r="G621">
        <f>IF(E621-F621&gt;1E-9,E621-F621,0)</f>
        <v/>
      </c>
      <c r="H621">
        <f>G620*$G$51</f>
        <v/>
      </c>
      <c r="I621">
        <f>IF(K620&gt;0,MAX(0,K620*(1+$G$52)-$H$52),0)</f>
        <v/>
      </c>
      <c r="J621">
        <f>MAX(0,F621-E621)</f>
        <v/>
      </c>
      <c r="K621">
        <f>IF(I621-J621&gt;1E-9,I621-J621,0)</f>
        <v/>
      </c>
      <c r="L621">
        <f>K620*$G$52</f>
        <v/>
      </c>
      <c r="M621">
        <f>IF(O620&gt;0,MAX(0,O620*(1+$G$53)-$H$53),0)</f>
        <v/>
      </c>
      <c r="N621">
        <f>MAX(0,J621-I621)</f>
        <v/>
      </c>
      <c r="O621">
        <f>IF(M621-N621&gt;1E-9,M621-N621,0)</f>
        <v/>
      </c>
      <c r="P621">
        <f>O620*$G$53</f>
        <v/>
      </c>
      <c r="Q621">
        <f>IF(S620&gt;0,MAX(0,S620*(1+$G$54)-$H$54),0)</f>
        <v/>
      </c>
      <c r="R621">
        <f>MAX(0,N621-M621)</f>
        <v/>
      </c>
      <c r="S621">
        <f>IF(Q621-R621&gt;1E-9,Q621-R621,0)</f>
        <v/>
      </c>
      <c r="T621">
        <f>S620*$G$54</f>
        <v/>
      </c>
      <c r="U621">
        <f>IF(W620&gt;0,MAX(0,W620*(1+$G$55)-$H$55),0)</f>
        <v/>
      </c>
      <c r="V621">
        <f>MAX(0,R621-Q621)</f>
        <v/>
      </c>
      <c r="W621">
        <f>IF(U621-V621&gt;1E-9,U621-V621,0)</f>
        <v/>
      </c>
      <c r="X621">
        <f>W620*$G$55</f>
        <v/>
      </c>
      <c r="Y621">
        <f>IF(Y620&gt;1E-9,IF(Y620*(1+$G$51)-MAX($B$9,0.01*Y620+Y620*$G$51)&gt;1E-9,Y620*(1+$G$51)-MAX($B$9,0.01*Y620+Y620*$G$51),0),0)</f>
        <v/>
      </c>
      <c r="Z621">
        <f>Y620*$G$51</f>
        <v/>
      </c>
      <c r="AA621">
        <f>IF(AA620&gt;1E-9,IF(AA620*(1+$G$52)-MAX($B$9,0.01*AA620+AA620*$G$52)&gt;1E-9,AA620*(1+$G$52)-MAX($B$9,0.01*AA620+AA620*$G$52),0),0)</f>
        <v/>
      </c>
      <c r="AB621">
        <f>AA620*$G$52</f>
        <v/>
      </c>
      <c r="AC621">
        <f>IF(AC620&gt;1E-9,IF(AC620*(1+$G$53)-MAX($B$9,0.01*AC620+AC620*$G$53)&gt;1E-9,AC620*(1+$G$53)-MAX($B$9,0.01*AC620+AC620*$G$53),0),0)</f>
        <v/>
      </c>
      <c r="AD621">
        <f>AC620*$G$53</f>
        <v/>
      </c>
      <c r="AE621">
        <f>IF(AE620&gt;1E-9,IF(AE620*(1+$G$54)-MAX($B$9,0.01*AE620+AE620*$G$54)&gt;1E-9,AE620*(1+$G$54)-MAX($B$9,0.01*AE620+AE620*$G$54),0),0)</f>
        <v/>
      </c>
      <c r="AF621">
        <f>AE620*$G$54</f>
        <v/>
      </c>
      <c r="AG621">
        <f>IF(AG620&gt;1E-9,IF(AG620*(1+$G$55)-MAX($B$9,0.01*AG620+AG620*$G$55)&gt;1E-9,AG620*(1+$G$55)-MAX($B$9,0.01*AG620+AG620*$G$55),0),0)</f>
        <v/>
      </c>
      <c r="AH621">
        <f>AG620*$G$55</f>
        <v/>
      </c>
      <c r="AI621">
        <f>G621+K621+O621+S621+W621</f>
        <v/>
      </c>
      <c r="AJ621">
        <f>AI620+AK621-AI621</f>
        <v/>
      </c>
      <c r="AK621">
        <f>H621+L621+P621+T621+X621</f>
        <v/>
      </c>
      <c r="AL621">
        <f>TEXT(EDATE($B$5,D621-1),"mmm yyyy")</f>
        <v/>
      </c>
      <c r="AM621">
        <f>AI621</f>
        <v/>
      </c>
    </row>
    <row r="622">
      <c r="D622" t="n">
        <v>561</v>
      </c>
      <c r="E622">
        <f>IF(G621&gt;0,MAX(0,G621*(1+$G$51)-$H$51),0)</f>
        <v/>
      </c>
      <c r="F622">
        <f>$B$6+IF($D622=$B$8,$B$7,0)</f>
        <v/>
      </c>
      <c r="G622">
        <f>IF(E622-F622&gt;1E-9,E622-F622,0)</f>
        <v/>
      </c>
      <c r="H622">
        <f>G621*$G$51</f>
        <v/>
      </c>
      <c r="I622">
        <f>IF(K621&gt;0,MAX(0,K621*(1+$G$52)-$H$52),0)</f>
        <v/>
      </c>
      <c r="J622">
        <f>MAX(0,F622-E622)</f>
        <v/>
      </c>
      <c r="K622">
        <f>IF(I622-J622&gt;1E-9,I622-J622,0)</f>
        <v/>
      </c>
      <c r="L622">
        <f>K621*$G$52</f>
        <v/>
      </c>
      <c r="M622">
        <f>IF(O621&gt;0,MAX(0,O621*(1+$G$53)-$H$53),0)</f>
        <v/>
      </c>
      <c r="N622">
        <f>MAX(0,J622-I622)</f>
        <v/>
      </c>
      <c r="O622">
        <f>IF(M622-N622&gt;1E-9,M622-N622,0)</f>
        <v/>
      </c>
      <c r="P622">
        <f>O621*$G$53</f>
        <v/>
      </c>
      <c r="Q622">
        <f>IF(S621&gt;0,MAX(0,S621*(1+$G$54)-$H$54),0)</f>
        <v/>
      </c>
      <c r="R622">
        <f>MAX(0,N622-M622)</f>
        <v/>
      </c>
      <c r="S622">
        <f>IF(Q622-R622&gt;1E-9,Q622-R622,0)</f>
        <v/>
      </c>
      <c r="T622">
        <f>S621*$G$54</f>
        <v/>
      </c>
      <c r="U622">
        <f>IF(W621&gt;0,MAX(0,W621*(1+$G$55)-$H$55),0)</f>
        <v/>
      </c>
      <c r="V622">
        <f>MAX(0,R622-Q622)</f>
        <v/>
      </c>
      <c r="W622">
        <f>IF(U622-V622&gt;1E-9,U622-V622,0)</f>
        <v/>
      </c>
      <c r="X622">
        <f>W621*$G$55</f>
        <v/>
      </c>
      <c r="Y622">
        <f>IF(Y621&gt;1E-9,IF(Y621*(1+$G$51)-MAX($B$9,0.01*Y621+Y621*$G$51)&gt;1E-9,Y621*(1+$G$51)-MAX($B$9,0.01*Y621+Y621*$G$51),0),0)</f>
        <v/>
      </c>
      <c r="Z622">
        <f>Y621*$G$51</f>
        <v/>
      </c>
      <c r="AA622">
        <f>IF(AA621&gt;1E-9,IF(AA621*(1+$G$52)-MAX($B$9,0.01*AA621+AA621*$G$52)&gt;1E-9,AA621*(1+$G$52)-MAX($B$9,0.01*AA621+AA621*$G$52),0),0)</f>
        <v/>
      </c>
      <c r="AB622">
        <f>AA621*$G$52</f>
        <v/>
      </c>
      <c r="AC622">
        <f>IF(AC621&gt;1E-9,IF(AC621*(1+$G$53)-MAX($B$9,0.01*AC621+AC621*$G$53)&gt;1E-9,AC621*(1+$G$53)-MAX($B$9,0.01*AC621+AC621*$G$53),0),0)</f>
        <v/>
      </c>
      <c r="AD622">
        <f>AC621*$G$53</f>
        <v/>
      </c>
      <c r="AE622">
        <f>IF(AE621&gt;1E-9,IF(AE621*(1+$G$54)-MAX($B$9,0.01*AE621+AE621*$G$54)&gt;1E-9,AE621*(1+$G$54)-MAX($B$9,0.01*AE621+AE621*$G$54),0),0)</f>
        <v/>
      </c>
      <c r="AF622">
        <f>AE621*$G$54</f>
        <v/>
      </c>
      <c r="AG622">
        <f>IF(AG621&gt;1E-9,IF(AG621*(1+$G$55)-MAX($B$9,0.01*AG621+AG621*$G$55)&gt;1E-9,AG621*(1+$G$55)-MAX($B$9,0.01*AG621+AG621*$G$55),0),0)</f>
        <v/>
      </c>
      <c r="AH622">
        <f>AG621*$G$55</f>
        <v/>
      </c>
      <c r="AI622">
        <f>G622+K622+O622+S622+W622</f>
        <v/>
      </c>
      <c r="AJ622">
        <f>AI621+AK622-AI622</f>
        <v/>
      </c>
      <c r="AK622">
        <f>H622+L622+P622+T622+X622</f>
        <v/>
      </c>
      <c r="AL622">
        <f>TEXT(EDATE($B$5,D622-1),"mmm yyyy")</f>
        <v/>
      </c>
      <c r="AM622">
        <f>AI622</f>
        <v/>
      </c>
    </row>
    <row r="623">
      <c r="D623" t="n">
        <v>562</v>
      </c>
      <c r="E623">
        <f>IF(G622&gt;0,MAX(0,G622*(1+$G$51)-$H$51),0)</f>
        <v/>
      </c>
      <c r="F623">
        <f>$B$6+IF($D623=$B$8,$B$7,0)</f>
        <v/>
      </c>
      <c r="G623">
        <f>IF(E623-F623&gt;1E-9,E623-F623,0)</f>
        <v/>
      </c>
      <c r="H623">
        <f>G622*$G$51</f>
        <v/>
      </c>
      <c r="I623">
        <f>IF(K622&gt;0,MAX(0,K622*(1+$G$52)-$H$52),0)</f>
        <v/>
      </c>
      <c r="J623">
        <f>MAX(0,F623-E623)</f>
        <v/>
      </c>
      <c r="K623">
        <f>IF(I623-J623&gt;1E-9,I623-J623,0)</f>
        <v/>
      </c>
      <c r="L623">
        <f>K622*$G$52</f>
        <v/>
      </c>
      <c r="M623">
        <f>IF(O622&gt;0,MAX(0,O622*(1+$G$53)-$H$53),0)</f>
        <v/>
      </c>
      <c r="N623">
        <f>MAX(0,J623-I623)</f>
        <v/>
      </c>
      <c r="O623">
        <f>IF(M623-N623&gt;1E-9,M623-N623,0)</f>
        <v/>
      </c>
      <c r="P623">
        <f>O622*$G$53</f>
        <v/>
      </c>
      <c r="Q623">
        <f>IF(S622&gt;0,MAX(0,S622*(1+$G$54)-$H$54),0)</f>
        <v/>
      </c>
      <c r="R623">
        <f>MAX(0,N623-M623)</f>
        <v/>
      </c>
      <c r="S623">
        <f>IF(Q623-R623&gt;1E-9,Q623-R623,0)</f>
        <v/>
      </c>
      <c r="T623">
        <f>S622*$G$54</f>
        <v/>
      </c>
      <c r="U623">
        <f>IF(W622&gt;0,MAX(0,W622*(1+$G$55)-$H$55),0)</f>
        <v/>
      </c>
      <c r="V623">
        <f>MAX(0,R623-Q623)</f>
        <v/>
      </c>
      <c r="W623">
        <f>IF(U623-V623&gt;1E-9,U623-V623,0)</f>
        <v/>
      </c>
      <c r="X623">
        <f>W622*$G$55</f>
        <v/>
      </c>
      <c r="Y623">
        <f>IF(Y622&gt;1E-9,IF(Y622*(1+$G$51)-MAX($B$9,0.01*Y622+Y622*$G$51)&gt;1E-9,Y622*(1+$G$51)-MAX($B$9,0.01*Y622+Y622*$G$51),0),0)</f>
        <v/>
      </c>
      <c r="Z623">
        <f>Y622*$G$51</f>
        <v/>
      </c>
      <c r="AA623">
        <f>IF(AA622&gt;1E-9,IF(AA622*(1+$G$52)-MAX($B$9,0.01*AA622+AA622*$G$52)&gt;1E-9,AA622*(1+$G$52)-MAX($B$9,0.01*AA622+AA622*$G$52),0),0)</f>
        <v/>
      </c>
      <c r="AB623">
        <f>AA622*$G$52</f>
        <v/>
      </c>
      <c r="AC623">
        <f>IF(AC622&gt;1E-9,IF(AC622*(1+$G$53)-MAX($B$9,0.01*AC622+AC622*$G$53)&gt;1E-9,AC622*(1+$G$53)-MAX($B$9,0.01*AC622+AC622*$G$53),0),0)</f>
        <v/>
      </c>
      <c r="AD623">
        <f>AC622*$G$53</f>
        <v/>
      </c>
      <c r="AE623">
        <f>IF(AE622&gt;1E-9,IF(AE622*(1+$G$54)-MAX($B$9,0.01*AE622+AE622*$G$54)&gt;1E-9,AE622*(1+$G$54)-MAX($B$9,0.01*AE622+AE622*$G$54),0),0)</f>
        <v/>
      </c>
      <c r="AF623">
        <f>AE622*$G$54</f>
        <v/>
      </c>
      <c r="AG623">
        <f>IF(AG622&gt;1E-9,IF(AG622*(1+$G$55)-MAX($B$9,0.01*AG622+AG622*$G$55)&gt;1E-9,AG622*(1+$G$55)-MAX($B$9,0.01*AG622+AG622*$G$55),0),0)</f>
        <v/>
      </c>
      <c r="AH623">
        <f>AG622*$G$55</f>
        <v/>
      </c>
      <c r="AI623">
        <f>G623+K623+O623+S623+W623</f>
        <v/>
      </c>
      <c r="AJ623">
        <f>AI622+AK623-AI623</f>
        <v/>
      </c>
      <c r="AK623">
        <f>H623+L623+P623+T623+X623</f>
        <v/>
      </c>
      <c r="AL623">
        <f>TEXT(EDATE($B$5,D623-1),"mmm yyyy")</f>
        <v/>
      </c>
      <c r="AM623">
        <f>AI623</f>
        <v/>
      </c>
    </row>
    <row r="624">
      <c r="D624" t="n">
        <v>563</v>
      </c>
      <c r="E624">
        <f>IF(G623&gt;0,MAX(0,G623*(1+$G$51)-$H$51),0)</f>
        <v/>
      </c>
      <c r="F624">
        <f>$B$6+IF($D624=$B$8,$B$7,0)</f>
        <v/>
      </c>
      <c r="G624">
        <f>IF(E624-F624&gt;1E-9,E624-F624,0)</f>
        <v/>
      </c>
      <c r="H624">
        <f>G623*$G$51</f>
        <v/>
      </c>
      <c r="I624">
        <f>IF(K623&gt;0,MAX(0,K623*(1+$G$52)-$H$52),0)</f>
        <v/>
      </c>
      <c r="J624">
        <f>MAX(0,F624-E624)</f>
        <v/>
      </c>
      <c r="K624">
        <f>IF(I624-J624&gt;1E-9,I624-J624,0)</f>
        <v/>
      </c>
      <c r="L624">
        <f>K623*$G$52</f>
        <v/>
      </c>
      <c r="M624">
        <f>IF(O623&gt;0,MAX(0,O623*(1+$G$53)-$H$53),0)</f>
        <v/>
      </c>
      <c r="N624">
        <f>MAX(0,J624-I624)</f>
        <v/>
      </c>
      <c r="O624">
        <f>IF(M624-N624&gt;1E-9,M624-N624,0)</f>
        <v/>
      </c>
      <c r="P624">
        <f>O623*$G$53</f>
        <v/>
      </c>
      <c r="Q624">
        <f>IF(S623&gt;0,MAX(0,S623*(1+$G$54)-$H$54),0)</f>
        <v/>
      </c>
      <c r="R624">
        <f>MAX(0,N624-M624)</f>
        <v/>
      </c>
      <c r="S624">
        <f>IF(Q624-R624&gt;1E-9,Q624-R624,0)</f>
        <v/>
      </c>
      <c r="T624">
        <f>S623*$G$54</f>
        <v/>
      </c>
      <c r="U624">
        <f>IF(W623&gt;0,MAX(0,W623*(1+$G$55)-$H$55),0)</f>
        <v/>
      </c>
      <c r="V624">
        <f>MAX(0,R624-Q624)</f>
        <v/>
      </c>
      <c r="W624">
        <f>IF(U624-V624&gt;1E-9,U624-V624,0)</f>
        <v/>
      </c>
      <c r="X624">
        <f>W623*$G$55</f>
        <v/>
      </c>
      <c r="Y624">
        <f>IF(Y623&gt;1E-9,IF(Y623*(1+$G$51)-MAX($B$9,0.01*Y623+Y623*$G$51)&gt;1E-9,Y623*(1+$G$51)-MAX($B$9,0.01*Y623+Y623*$G$51),0),0)</f>
        <v/>
      </c>
      <c r="Z624">
        <f>Y623*$G$51</f>
        <v/>
      </c>
      <c r="AA624">
        <f>IF(AA623&gt;1E-9,IF(AA623*(1+$G$52)-MAX($B$9,0.01*AA623+AA623*$G$52)&gt;1E-9,AA623*(1+$G$52)-MAX($B$9,0.01*AA623+AA623*$G$52),0),0)</f>
        <v/>
      </c>
      <c r="AB624">
        <f>AA623*$G$52</f>
        <v/>
      </c>
      <c r="AC624">
        <f>IF(AC623&gt;1E-9,IF(AC623*(1+$G$53)-MAX($B$9,0.01*AC623+AC623*$G$53)&gt;1E-9,AC623*(1+$G$53)-MAX($B$9,0.01*AC623+AC623*$G$53),0),0)</f>
        <v/>
      </c>
      <c r="AD624">
        <f>AC623*$G$53</f>
        <v/>
      </c>
      <c r="AE624">
        <f>IF(AE623&gt;1E-9,IF(AE623*(1+$G$54)-MAX($B$9,0.01*AE623+AE623*$G$54)&gt;1E-9,AE623*(1+$G$54)-MAX($B$9,0.01*AE623+AE623*$G$54),0),0)</f>
        <v/>
      </c>
      <c r="AF624">
        <f>AE623*$G$54</f>
        <v/>
      </c>
      <c r="AG624">
        <f>IF(AG623&gt;1E-9,IF(AG623*(1+$G$55)-MAX($B$9,0.01*AG623+AG623*$G$55)&gt;1E-9,AG623*(1+$G$55)-MAX($B$9,0.01*AG623+AG623*$G$55),0),0)</f>
        <v/>
      </c>
      <c r="AH624">
        <f>AG623*$G$55</f>
        <v/>
      </c>
      <c r="AI624">
        <f>G624+K624+O624+S624+W624</f>
        <v/>
      </c>
      <c r="AJ624">
        <f>AI623+AK624-AI624</f>
        <v/>
      </c>
      <c r="AK624">
        <f>H624+L624+P624+T624+X624</f>
        <v/>
      </c>
      <c r="AL624">
        <f>TEXT(EDATE($B$5,D624-1),"mmm yyyy")</f>
        <v/>
      </c>
      <c r="AM624">
        <f>AI624</f>
        <v/>
      </c>
    </row>
    <row r="625">
      <c r="D625" t="n">
        <v>564</v>
      </c>
      <c r="E625">
        <f>IF(G624&gt;0,MAX(0,G624*(1+$G$51)-$H$51),0)</f>
        <v/>
      </c>
      <c r="F625">
        <f>$B$6+IF($D625=$B$8,$B$7,0)</f>
        <v/>
      </c>
      <c r="G625">
        <f>IF(E625-F625&gt;1E-9,E625-F625,0)</f>
        <v/>
      </c>
      <c r="H625">
        <f>G624*$G$51</f>
        <v/>
      </c>
      <c r="I625">
        <f>IF(K624&gt;0,MAX(0,K624*(1+$G$52)-$H$52),0)</f>
        <v/>
      </c>
      <c r="J625">
        <f>MAX(0,F625-E625)</f>
        <v/>
      </c>
      <c r="K625">
        <f>IF(I625-J625&gt;1E-9,I625-J625,0)</f>
        <v/>
      </c>
      <c r="L625">
        <f>K624*$G$52</f>
        <v/>
      </c>
      <c r="M625">
        <f>IF(O624&gt;0,MAX(0,O624*(1+$G$53)-$H$53),0)</f>
        <v/>
      </c>
      <c r="N625">
        <f>MAX(0,J625-I625)</f>
        <v/>
      </c>
      <c r="O625">
        <f>IF(M625-N625&gt;1E-9,M625-N625,0)</f>
        <v/>
      </c>
      <c r="P625">
        <f>O624*$G$53</f>
        <v/>
      </c>
      <c r="Q625">
        <f>IF(S624&gt;0,MAX(0,S624*(1+$G$54)-$H$54),0)</f>
        <v/>
      </c>
      <c r="R625">
        <f>MAX(0,N625-M625)</f>
        <v/>
      </c>
      <c r="S625">
        <f>IF(Q625-R625&gt;1E-9,Q625-R625,0)</f>
        <v/>
      </c>
      <c r="T625">
        <f>S624*$G$54</f>
        <v/>
      </c>
      <c r="U625">
        <f>IF(W624&gt;0,MAX(0,W624*(1+$G$55)-$H$55),0)</f>
        <v/>
      </c>
      <c r="V625">
        <f>MAX(0,R625-Q625)</f>
        <v/>
      </c>
      <c r="W625">
        <f>IF(U625-V625&gt;1E-9,U625-V625,0)</f>
        <v/>
      </c>
      <c r="X625">
        <f>W624*$G$55</f>
        <v/>
      </c>
      <c r="Y625">
        <f>IF(Y624&gt;1E-9,IF(Y624*(1+$G$51)-MAX($B$9,0.01*Y624+Y624*$G$51)&gt;1E-9,Y624*(1+$G$51)-MAX($B$9,0.01*Y624+Y624*$G$51),0),0)</f>
        <v/>
      </c>
      <c r="Z625">
        <f>Y624*$G$51</f>
        <v/>
      </c>
      <c r="AA625">
        <f>IF(AA624&gt;1E-9,IF(AA624*(1+$G$52)-MAX($B$9,0.01*AA624+AA624*$G$52)&gt;1E-9,AA624*(1+$G$52)-MAX($B$9,0.01*AA624+AA624*$G$52),0),0)</f>
        <v/>
      </c>
      <c r="AB625">
        <f>AA624*$G$52</f>
        <v/>
      </c>
      <c r="AC625">
        <f>IF(AC624&gt;1E-9,IF(AC624*(1+$G$53)-MAX($B$9,0.01*AC624+AC624*$G$53)&gt;1E-9,AC624*(1+$G$53)-MAX($B$9,0.01*AC624+AC624*$G$53),0),0)</f>
        <v/>
      </c>
      <c r="AD625">
        <f>AC624*$G$53</f>
        <v/>
      </c>
      <c r="AE625">
        <f>IF(AE624&gt;1E-9,IF(AE624*(1+$G$54)-MAX($B$9,0.01*AE624+AE624*$G$54)&gt;1E-9,AE624*(1+$G$54)-MAX($B$9,0.01*AE624+AE624*$G$54),0),0)</f>
        <v/>
      </c>
      <c r="AF625">
        <f>AE624*$G$54</f>
        <v/>
      </c>
      <c r="AG625">
        <f>IF(AG624&gt;1E-9,IF(AG624*(1+$G$55)-MAX($B$9,0.01*AG624+AG624*$G$55)&gt;1E-9,AG624*(1+$G$55)-MAX($B$9,0.01*AG624+AG624*$G$55),0),0)</f>
        <v/>
      </c>
      <c r="AH625">
        <f>AG624*$G$55</f>
        <v/>
      </c>
      <c r="AI625">
        <f>G625+K625+O625+S625+W625</f>
        <v/>
      </c>
      <c r="AJ625">
        <f>AI624+AK625-AI625</f>
        <v/>
      </c>
      <c r="AK625">
        <f>H625+L625+P625+T625+X625</f>
        <v/>
      </c>
      <c r="AL625">
        <f>TEXT(EDATE($B$5,D625-1),"mmm yyyy")</f>
        <v/>
      </c>
      <c r="AM625">
        <f>AI625</f>
        <v/>
      </c>
    </row>
    <row r="626">
      <c r="D626" t="n">
        <v>565</v>
      </c>
      <c r="E626">
        <f>IF(G625&gt;0,MAX(0,G625*(1+$G$51)-$H$51),0)</f>
        <v/>
      </c>
      <c r="F626">
        <f>$B$6+IF($D626=$B$8,$B$7,0)</f>
        <v/>
      </c>
      <c r="G626">
        <f>IF(E626-F626&gt;1E-9,E626-F626,0)</f>
        <v/>
      </c>
      <c r="H626">
        <f>G625*$G$51</f>
        <v/>
      </c>
      <c r="I626">
        <f>IF(K625&gt;0,MAX(0,K625*(1+$G$52)-$H$52),0)</f>
        <v/>
      </c>
      <c r="J626">
        <f>MAX(0,F626-E626)</f>
        <v/>
      </c>
      <c r="K626">
        <f>IF(I626-J626&gt;1E-9,I626-J626,0)</f>
        <v/>
      </c>
      <c r="L626">
        <f>K625*$G$52</f>
        <v/>
      </c>
      <c r="M626">
        <f>IF(O625&gt;0,MAX(0,O625*(1+$G$53)-$H$53),0)</f>
        <v/>
      </c>
      <c r="N626">
        <f>MAX(0,J626-I626)</f>
        <v/>
      </c>
      <c r="O626">
        <f>IF(M626-N626&gt;1E-9,M626-N626,0)</f>
        <v/>
      </c>
      <c r="P626">
        <f>O625*$G$53</f>
        <v/>
      </c>
      <c r="Q626">
        <f>IF(S625&gt;0,MAX(0,S625*(1+$G$54)-$H$54),0)</f>
        <v/>
      </c>
      <c r="R626">
        <f>MAX(0,N626-M626)</f>
        <v/>
      </c>
      <c r="S626">
        <f>IF(Q626-R626&gt;1E-9,Q626-R626,0)</f>
        <v/>
      </c>
      <c r="T626">
        <f>S625*$G$54</f>
        <v/>
      </c>
      <c r="U626">
        <f>IF(W625&gt;0,MAX(0,W625*(1+$G$55)-$H$55),0)</f>
        <v/>
      </c>
      <c r="V626">
        <f>MAX(0,R626-Q626)</f>
        <v/>
      </c>
      <c r="W626">
        <f>IF(U626-V626&gt;1E-9,U626-V626,0)</f>
        <v/>
      </c>
      <c r="X626">
        <f>W625*$G$55</f>
        <v/>
      </c>
      <c r="Y626">
        <f>IF(Y625&gt;1E-9,IF(Y625*(1+$G$51)-MAX($B$9,0.01*Y625+Y625*$G$51)&gt;1E-9,Y625*(1+$G$51)-MAX($B$9,0.01*Y625+Y625*$G$51),0),0)</f>
        <v/>
      </c>
      <c r="Z626">
        <f>Y625*$G$51</f>
        <v/>
      </c>
      <c r="AA626">
        <f>IF(AA625&gt;1E-9,IF(AA625*(1+$G$52)-MAX($B$9,0.01*AA625+AA625*$G$52)&gt;1E-9,AA625*(1+$G$52)-MAX($B$9,0.01*AA625+AA625*$G$52),0),0)</f>
        <v/>
      </c>
      <c r="AB626">
        <f>AA625*$G$52</f>
        <v/>
      </c>
      <c r="AC626">
        <f>IF(AC625&gt;1E-9,IF(AC625*(1+$G$53)-MAX($B$9,0.01*AC625+AC625*$G$53)&gt;1E-9,AC625*(1+$G$53)-MAX($B$9,0.01*AC625+AC625*$G$53),0),0)</f>
        <v/>
      </c>
      <c r="AD626">
        <f>AC625*$G$53</f>
        <v/>
      </c>
      <c r="AE626">
        <f>IF(AE625&gt;1E-9,IF(AE625*(1+$G$54)-MAX($B$9,0.01*AE625+AE625*$G$54)&gt;1E-9,AE625*(1+$G$54)-MAX($B$9,0.01*AE625+AE625*$G$54),0),0)</f>
        <v/>
      </c>
      <c r="AF626">
        <f>AE625*$G$54</f>
        <v/>
      </c>
      <c r="AG626">
        <f>IF(AG625&gt;1E-9,IF(AG625*(1+$G$55)-MAX($B$9,0.01*AG625+AG625*$G$55)&gt;1E-9,AG625*(1+$G$55)-MAX($B$9,0.01*AG625+AG625*$G$55),0),0)</f>
        <v/>
      </c>
      <c r="AH626">
        <f>AG625*$G$55</f>
        <v/>
      </c>
      <c r="AI626">
        <f>G626+K626+O626+S626+W626</f>
        <v/>
      </c>
      <c r="AJ626">
        <f>AI625+AK626-AI626</f>
        <v/>
      </c>
      <c r="AK626">
        <f>H626+L626+P626+T626+X626</f>
        <v/>
      </c>
      <c r="AL626">
        <f>TEXT(EDATE($B$5,D626-1),"mmm yyyy")</f>
        <v/>
      </c>
      <c r="AM626">
        <f>AI626</f>
        <v/>
      </c>
    </row>
    <row r="627">
      <c r="D627" t="n">
        <v>566</v>
      </c>
      <c r="E627">
        <f>IF(G626&gt;0,MAX(0,G626*(1+$G$51)-$H$51),0)</f>
        <v/>
      </c>
      <c r="F627">
        <f>$B$6+IF($D627=$B$8,$B$7,0)</f>
        <v/>
      </c>
      <c r="G627">
        <f>IF(E627-F627&gt;1E-9,E627-F627,0)</f>
        <v/>
      </c>
      <c r="H627">
        <f>G626*$G$51</f>
        <v/>
      </c>
      <c r="I627">
        <f>IF(K626&gt;0,MAX(0,K626*(1+$G$52)-$H$52),0)</f>
        <v/>
      </c>
      <c r="J627">
        <f>MAX(0,F627-E627)</f>
        <v/>
      </c>
      <c r="K627">
        <f>IF(I627-J627&gt;1E-9,I627-J627,0)</f>
        <v/>
      </c>
      <c r="L627">
        <f>K626*$G$52</f>
        <v/>
      </c>
      <c r="M627">
        <f>IF(O626&gt;0,MAX(0,O626*(1+$G$53)-$H$53),0)</f>
        <v/>
      </c>
      <c r="N627">
        <f>MAX(0,J627-I627)</f>
        <v/>
      </c>
      <c r="O627">
        <f>IF(M627-N627&gt;1E-9,M627-N627,0)</f>
        <v/>
      </c>
      <c r="P627">
        <f>O626*$G$53</f>
        <v/>
      </c>
      <c r="Q627">
        <f>IF(S626&gt;0,MAX(0,S626*(1+$G$54)-$H$54),0)</f>
        <v/>
      </c>
      <c r="R627">
        <f>MAX(0,N627-M627)</f>
        <v/>
      </c>
      <c r="S627">
        <f>IF(Q627-R627&gt;1E-9,Q627-R627,0)</f>
        <v/>
      </c>
      <c r="T627">
        <f>S626*$G$54</f>
        <v/>
      </c>
      <c r="U627">
        <f>IF(W626&gt;0,MAX(0,W626*(1+$G$55)-$H$55),0)</f>
        <v/>
      </c>
      <c r="V627">
        <f>MAX(0,R627-Q627)</f>
        <v/>
      </c>
      <c r="W627">
        <f>IF(U627-V627&gt;1E-9,U627-V627,0)</f>
        <v/>
      </c>
      <c r="X627">
        <f>W626*$G$55</f>
        <v/>
      </c>
      <c r="Y627">
        <f>IF(Y626&gt;1E-9,IF(Y626*(1+$G$51)-MAX($B$9,0.01*Y626+Y626*$G$51)&gt;1E-9,Y626*(1+$G$51)-MAX($B$9,0.01*Y626+Y626*$G$51),0),0)</f>
        <v/>
      </c>
      <c r="Z627">
        <f>Y626*$G$51</f>
        <v/>
      </c>
      <c r="AA627">
        <f>IF(AA626&gt;1E-9,IF(AA626*(1+$G$52)-MAX($B$9,0.01*AA626+AA626*$G$52)&gt;1E-9,AA626*(1+$G$52)-MAX($B$9,0.01*AA626+AA626*$G$52),0),0)</f>
        <v/>
      </c>
      <c r="AB627">
        <f>AA626*$G$52</f>
        <v/>
      </c>
      <c r="AC627">
        <f>IF(AC626&gt;1E-9,IF(AC626*(1+$G$53)-MAX($B$9,0.01*AC626+AC626*$G$53)&gt;1E-9,AC626*(1+$G$53)-MAX($B$9,0.01*AC626+AC626*$G$53),0),0)</f>
        <v/>
      </c>
      <c r="AD627">
        <f>AC626*$G$53</f>
        <v/>
      </c>
      <c r="AE627">
        <f>IF(AE626&gt;1E-9,IF(AE626*(1+$G$54)-MAX($B$9,0.01*AE626+AE626*$G$54)&gt;1E-9,AE626*(1+$G$54)-MAX($B$9,0.01*AE626+AE626*$G$54),0),0)</f>
        <v/>
      </c>
      <c r="AF627">
        <f>AE626*$G$54</f>
        <v/>
      </c>
      <c r="AG627">
        <f>IF(AG626&gt;1E-9,IF(AG626*(1+$G$55)-MAX($B$9,0.01*AG626+AG626*$G$55)&gt;1E-9,AG626*(1+$G$55)-MAX($B$9,0.01*AG626+AG626*$G$55),0),0)</f>
        <v/>
      </c>
      <c r="AH627">
        <f>AG626*$G$55</f>
        <v/>
      </c>
      <c r="AI627">
        <f>G627+K627+O627+S627+W627</f>
        <v/>
      </c>
      <c r="AJ627">
        <f>AI626+AK627-AI627</f>
        <v/>
      </c>
      <c r="AK627">
        <f>H627+L627+P627+T627+X627</f>
        <v/>
      </c>
      <c r="AL627">
        <f>TEXT(EDATE($B$5,D627-1),"mmm yyyy")</f>
        <v/>
      </c>
      <c r="AM627">
        <f>AI627</f>
        <v/>
      </c>
    </row>
    <row r="628">
      <c r="D628" t="n">
        <v>567</v>
      </c>
      <c r="E628">
        <f>IF(G627&gt;0,MAX(0,G627*(1+$G$51)-$H$51),0)</f>
        <v/>
      </c>
      <c r="F628">
        <f>$B$6+IF($D628=$B$8,$B$7,0)</f>
        <v/>
      </c>
      <c r="G628">
        <f>IF(E628-F628&gt;1E-9,E628-F628,0)</f>
        <v/>
      </c>
      <c r="H628">
        <f>G627*$G$51</f>
        <v/>
      </c>
      <c r="I628">
        <f>IF(K627&gt;0,MAX(0,K627*(1+$G$52)-$H$52),0)</f>
        <v/>
      </c>
      <c r="J628">
        <f>MAX(0,F628-E628)</f>
        <v/>
      </c>
      <c r="K628">
        <f>IF(I628-J628&gt;1E-9,I628-J628,0)</f>
        <v/>
      </c>
      <c r="L628">
        <f>K627*$G$52</f>
        <v/>
      </c>
      <c r="M628">
        <f>IF(O627&gt;0,MAX(0,O627*(1+$G$53)-$H$53),0)</f>
        <v/>
      </c>
      <c r="N628">
        <f>MAX(0,J628-I628)</f>
        <v/>
      </c>
      <c r="O628">
        <f>IF(M628-N628&gt;1E-9,M628-N628,0)</f>
        <v/>
      </c>
      <c r="P628">
        <f>O627*$G$53</f>
        <v/>
      </c>
      <c r="Q628">
        <f>IF(S627&gt;0,MAX(0,S627*(1+$G$54)-$H$54),0)</f>
        <v/>
      </c>
      <c r="R628">
        <f>MAX(0,N628-M628)</f>
        <v/>
      </c>
      <c r="S628">
        <f>IF(Q628-R628&gt;1E-9,Q628-R628,0)</f>
        <v/>
      </c>
      <c r="T628">
        <f>S627*$G$54</f>
        <v/>
      </c>
      <c r="U628">
        <f>IF(W627&gt;0,MAX(0,W627*(1+$G$55)-$H$55),0)</f>
        <v/>
      </c>
      <c r="V628">
        <f>MAX(0,R628-Q628)</f>
        <v/>
      </c>
      <c r="W628">
        <f>IF(U628-V628&gt;1E-9,U628-V628,0)</f>
        <v/>
      </c>
      <c r="X628">
        <f>W627*$G$55</f>
        <v/>
      </c>
      <c r="Y628">
        <f>IF(Y627&gt;1E-9,IF(Y627*(1+$G$51)-MAX($B$9,0.01*Y627+Y627*$G$51)&gt;1E-9,Y627*(1+$G$51)-MAX($B$9,0.01*Y627+Y627*$G$51),0),0)</f>
        <v/>
      </c>
      <c r="Z628">
        <f>Y627*$G$51</f>
        <v/>
      </c>
      <c r="AA628">
        <f>IF(AA627&gt;1E-9,IF(AA627*(1+$G$52)-MAX($B$9,0.01*AA627+AA627*$G$52)&gt;1E-9,AA627*(1+$G$52)-MAX($B$9,0.01*AA627+AA627*$G$52),0),0)</f>
        <v/>
      </c>
      <c r="AB628">
        <f>AA627*$G$52</f>
        <v/>
      </c>
      <c r="AC628">
        <f>IF(AC627&gt;1E-9,IF(AC627*(1+$G$53)-MAX($B$9,0.01*AC627+AC627*$G$53)&gt;1E-9,AC627*(1+$G$53)-MAX($B$9,0.01*AC627+AC627*$G$53),0),0)</f>
        <v/>
      </c>
      <c r="AD628">
        <f>AC627*$G$53</f>
        <v/>
      </c>
      <c r="AE628">
        <f>IF(AE627&gt;1E-9,IF(AE627*(1+$G$54)-MAX($B$9,0.01*AE627+AE627*$G$54)&gt;1E-9,AE627*(1+$G$54)-MAX($B$9,0.01*AE627+AE627*$G$54),0),0)</f>
        <v/>
      </c>
      <c r="AF628">
        <f>AE627*$G$54</f>
        <v/>
      </c>
      <c r="AG628">
        <f>IF(AG627&gt;1E-9,IF(AG627*(1+$G$55)-MAX($B$9,0.01*AG627+AG627*$G$55)&gt;1E-9,AG627*(1+$G$55)-MAX($B$9,0.01*AG627+AG627*$G$55),0),0)</f>
        <v/>
      </c>
      <c r="AH628">
        <f>AG627*$G$55</f>
        <v/>
      </c>
      <c r="AI628">
        <f>G628+K628+O628+S628+W628</f>
        <v/>
      </c>
      <c r="AJ628">
        <f>AI627+AK628-AI628</f>
        <v/>
      </c>
      <c r="AK628">
        <f>H628+L628+P628+T628+X628</f>
        <v/>
      </c>
      <c r="AL628">
        <f>TEXT(EDATE($B$5,D628-1),"mmm yyyy")</f>
        <v/>
      </c>
      <c r="AM628">
        <f>AI628</f>
        <v/>
      </c>
    </row>
    <row r="629">
      <c r="D629" t="n">
        <v>568</v>
      </c>
      <c r="E629">
        <f>IF(G628&gt;0,MAX(0,G628*(1+$G$51)-$H$51),0)</f>
        <v/>
      </c>
      <c r="F629">
        <f>$B$6+IF($D629=$B$8,$B$7,0)</f>
        <v/>
      </c>
      <c r="G629">
        <f>IF(E629-F629&gt;1E-9,E629-F629,0)</f>
        <v/>
      </c>
      <c r="H629">
        <f>G628*$G$51</f>
        <v/>
      </c>
      <c r="I629">
        <f>IF(K628&gt;0,MAX(0,K628*(1+$G$52)-$H$52),0)</f>
        <v/>
      </c>
      <c r="J629">
        <f>MAX(0,F629-E629)</f>
        <v/>
      </c>
      <c r="K629">
        <f>IF(I629-J629&gt;1E-9,I629-J629,0)</f>
        <v/>
      </c>
      <c r="L629">
        <f>K628*$G$52</f>
        <v/>
      </c>
      <c r="M629">
        <f>IF(O628&gt;0,MAX(0,O628*(1+$G$53)-$H$53),0)</f>
        <v/>
      </c>
      <c r="N629">
        <f>MAX(0,J629-I629)</f>
        <v/>
      </c>
      <c r="O629">
        <f>IF(M629-N629&gt;1E-9,M629-N629,0)</f>
        <v/>
      </c>
      <c r="P629">
        <f>O628*$G$53</f>
        <v/>
      </c>
      <c r="Q629">
        <f>IF(S628&gt;0,MAX(0,S628*(1+$G$54)-$H$54),0)</f>
        <v/>
      </c>
      <c r="R629">
        <f>MAX(0,N629-M629)</f>
        <v/>
      </c>
      <c r="S629">
        <f>IF(Q629-R629&gt;1E-9,Q629-R629,0)</f>
        <v/>
      </c>
      <c r="T629">
        <f>S628*$G$54</f>
        <v/>
      </c>
      <c r="U629">
        <f>IF(W628&gt;0,MAX(0,W628*(1+$G$55)-$H$55),0)</f>
        <v/>
      </c>
      <c r="V629">
        <f>MAX(0,R629-Q629)</f>
        <v/>
      </c>
      <c r="W629">
        <f>IF(U629-V629&gt;1E-9,U629-V629,0)</f>
        <v/>
      </c>
      <c r="X629">
        <f>W628*$G$55</f>
        <v/>
      </c>
      <c r="Y629">
        <f>IF(Y628&gt;1E-9,IF(Y628*(1+$G$51)-MAX($B$9,0.01*Y628+Y628*$G$51)&gt;1E-9,Y628*(1+$G$51)-MAX($B$9,0.01*Y628+Y628*$G$51),0),0)</f>
        <v/>
      </c>
      <c r="Z629">
        <f>Y628*$G$51</f>
        <v/>
      </c>
      <c r="AA629">
        <f>IF(AA628&gt;1E-9,IF(AA628*(1+$G$52)-MAX($B$9,0.01*AA628+AA628*$G$52)&gt;1E-9,AA628*(1+$G$52)-MAX($B$9,0.01*AA628+AA628*$G$52),0),0)</f>
        <v/>
      </c>
      <c r="AB629">
        <f>AA628*$G$52</f>
        <v/>
      </c>
      <c r="AC629">
        <f>IF(AC628&gt;1E-9,IF(AC628*(1+$G$53)-MAX($B$9,0.01*AC628+AC628*$G$53)&gt;1E-9,AC628*(1+$G$53)-MAX($B$9,0.01*AC628+AC628*$G$53),0),0)</f>
        <v/>
      </c>
      <c r="AD629">
        <f>AC628*$G$53</f>
        <v/>
      </c>
      <c r="AE629">
        <f>IF(AE628&gt;1E-9,IF(AE628*(1+$G$54)-MAX($B$9,0.01*AE628+AE628*$G$54)&gt;1E-9,AE628*(1+$G$54)-MAX($B$9,0.01*AE628+AE628*$G$54),0),0)</f>
        <v/>
      </c>
      <c r="AF629">
        <f>AE628*$G$54</f>
        <v/>
      </c>
      <c r="AG629">
        <f>IF(AG628&gt;1E-9,IF(AG628*(1+$G$55)-MAX($B$9,0.01*AG628+AG628*$G$55)&gt;1E-9,AG628*(1+$G$55)-MAX($B$9,0.01*AG628+AG628*$G$55),0),0)</f>
        <v/>
      </c>
      <c r="AH629">
        <f>AG628*$G$55</f>
        <v/>
      </c>
      <c r="AI629">
        <f>G629+K629+O629+S629+W629</f>
        <v/>
      </c>
      <c r="AJ629">
        <f>AI628+AK629-AI629</f>
        <v/>
      </c>
      <c r="AK629">
        <f>H629+L629+P629+T629+X629</f>
        <v/>
      </c>
      <c r="AL629">
        <f>TEXT(EDATE($B$5,D629-1),"mmm yyyy")</f>
        <v/>
      </c>
      <c r="AM629">
        <f>AI629</f>
        <v/>
      </c>
    </row>
    <row r="630">
      <c r="D630" t="n">
        <v>569</v>
      </c>
      <c r="E630">
        <f>IF(G629&gt;0,MAX(0,G629*(1+$G$51)-$H$51),0)</f>
        <v/>
      </c>
      <c r="F630">
        <f>$B$6+IF($D630=$B$8,$B$7,0)</f>
        <v/>
      </c>
      <c r="G630">
        <f>IF(E630-F630&gt;1E-9,E630-F630,0)</f>
        <v/>
      </c>
      <c r="H630">
        <f>G629*$G$51</f>
        <v/>
      </c>
      <c r="I630">
        <f>IF(K629&gt;0,MAX(0,K629*(1+$G$52)-$H$52),0)</f>
        <v/>
      </c>
      <c r="J630">
        <f>MAX(0,F630-E630)</f>
        <v/>
      </c>
      <c r="K630">
        <f>IF(I630-J630&gt;1E-9,I630-J630,0)</f>
        <v/>
      </c>
      <c r="L630">
        <f>K629*$G$52</f>
        <v/>
      </c>
      <c r="M630">
        <f>IF(O629&gt;0,MAX(0,O629*(1+$G$53)-$H$53),0)</f>
        <v/>
      </c>
      <c r="N630">
        <f>MAX(0,J630-I630)</f>
        <v/>
      </c>
      <c r="O630">
        <f>IF(M630-N630&gt;1E-9,M630-N630,0)</f>
        <v/>
      </c>
      <c r="P630">
        <f>O629*$G$53</f>
        <v/>
      </c>
      <c r="Q630">
        <f>IF(S629&gt;0,MAX(0,S629*(1+$G$54)-$H$54),0)</f>
        <v/>
      </c>
      <c r="R630">
        <f>MAX(0,N630-M630)</f>
        <v/>
      </c>
      <c r="S630">
        <f>IF(Q630-R630&gt;1E-9,Q630-R630,0)</f>
        <v/>
      </c>
      <c r="T630">
        <f>S629*$G$54</f>
        <v/>
      </c>
      <c r="U630">
        <f>IF(W629&gt;0,MAX(0,W629*(1+$G$55)-$H$55),0)</f>
        <v/>
      </c>
      <c r="V630">
        <f>MAX(0,R630-Q630)</f>
        <v/>
      </c>
      <c r="W630">
        <f>IF(U630-V630&gt;1E-9,U630-V630,0)</f>
        <v/>
      </c>
      <c r="X630">
        <f>W629*$G$55</f>
        <v/>
      </c>
      <c r="Y630">
        <f>IF(Y629&gt;1E-9,IF(Y629*(1+$G$51)-MAX($B$9,0.01*Y629+Y629*$G$51)&gt;1E-9,Y629*(1+$G$51)-MAX($B$9,0.01*Y629+Y629*$G$51),0),0)</f>
        <v/>
      </c>
      <c r="Z630">
        <f>Y629*$G$51</f>
        <v/>
      </c>
      <c r="AA630">
        <f>IF(AA629&gt;1E-9,IF(AA629*(1+$G$52)-MAX($B$9,0.01*AA629+AA629*$G$52)&gt;1E-9,AA629*(1+$G$52)-MAX($B$9,0.01*AA629+AA629*$G$52),0),0)</f>
        <v/>
      </c>
      <c r="AB630">
        <f>AA629*$G$52</f>
        <v/>
      </c>
      <c r="AC630">
        <f>IF(AC629&gt;1E-9,IF(AC629*(1+$G$53)-MAX($B$9,0.01*AC629+AC629*$G$53)&gt;1E-9,AC629*(1+$G$53)-MAX($B$9,0.01*AC629+AC629*$G$53),0),0)</f>
        <v/>
      </c>
      <c r="AD630">
        <f>AC629*$G$53</f>
        <v/>
      </c>
      <c r="AE630">
        <f>IF(AE629&gt;1E-9,IF(AE629*(1+$G$54)-MAX($B$9,0.01*AE629+AE629*$G$54)&gt;1E-9,AE629*(1+$G$54)-MAX($B$9,0.01*AE629+AE629*$G$54),0),0)</f>
        <v/>
      </c>
      <c r="AF630">
        <f>AE629*$G$54</f>
        <v/>
      </c>
      <c r="AG630">
        <f>IF(AG629&gt;1E-9,IF(AG629*(1+$G$55)-MAX($B$9,0.01*AG629+AG629*$G$55)&gt;1E-9,AG629*(1+$G$55)-MAX($B$9,0.01*AG629+AG629*$G$55),0),0)</f>
        <v/>
      </c>
      <c r="AH630">
        <f>AG629*$G$55</f>
        <v/>
      </c>
      <c r="AI630">
        <f>G630+K630+O630+S630+W630</f>
        <v/>
      </c>
      <c r="AJ630">
        <f>AI629+AK630-AI630</f>
        <v/>
      </c>
      <c r="AK630">
        <f>H630+L630+P630+T630+X630</f>
        <v/>
      </c>
      <c r="AL630">
        <f>TEXT(EDATE($B$5,D630-1),"mmm yyyy")</f>
        <v/>
      </c>
      <c r="AM630">
        <f>AI630</f>
        <v/>
      </c>
    </row>
    <row r="631">
      <c r="D631" t="n">
        <v>570</v>
      </c>
      <c r="E631">
        <f>IF(G630&gt;0,MAX(0,G630*(1+$G$51)-$H$51),0)</f>
        <v/>
      </c>
      <c r="F631">
        <f>$B$6+IF($D631=$B$8,$B$7,0)</f>
        <v/>
      </c>
      <c r="G631">
        <f>IF(E631-F631&gt;1E-9,E631-F631,0)</f>
        <v/>
      </c>
      <c r="H631">
        <f>G630*$G$51</f>
        <v/>
      </c>
      <c r="I631">
        <f>IF(K630&gt;0,MAX(0,K630*(1+$G$52)-$H$52),0)</f>
        <v/>
      </c>
      <c r="J631">
        <f>MAX(0,F631-E631)</f>
        <v/>
      </c>
      <c r="K631">
        <f>IF(I631-J631&gt;1E-9,I631-J631,0)</f>
        <v/>
      </c>
      <c r="L631">
        <f>K630*$G$52</f>
        <v/>
      </c>
      <c r="M631">
        <f>IF(O630&gt;0,MAX(0,O630*(1+$G$53)-$H$53),0)</f>
        <v/>
      </c>
      <c r="N631">
        <f>MAX(0,J631-I631)</f>
        <v/>
      </c>
      <c r="O631">
        <f>IF(M631-N631&gt;1E-9,M631-N631,0)</f>
        <v/>
      </c>
      <c r="P631">
        <f>O630*$G$53</f>
        <v/>
      </c>
      <c r="Q631">
        <f>IF(S630&gt;0,MAX(0,S630*(1+$G$54)-$H$54),0)</f>
        <v/>
      </c>
      <c r="R631">
        <f>MAX(0,N631-M631)</f>
        <v/>
      </c>
      <c r="S631">
        <f>IF(Q631-R631&gt;1E-9,Q631-R631,0)</f>
        <v/>
      </c>
      <c r="T631">
        <f>S630*$G$54</f>
        <v/>
      </c>
      <c r="U631">
        <f>IF(W630&gt;0,MAX(0,W630*(1+$G$55)-$H$55),0)</f>
        <v/>
      </c>
      <c r="V631">
        <f>MAX(0,R631-Q631)</f>
        <v/>
      </c>
      <c r="W631">
        <f>IF(U631-V631&gt;1E-9,U631-V631,0)</f>
        <v/>
      </c>
      <c r="X631">
        <f>W630*$G$55</f>
        <v/>
      </c>
      <c r="Y631">
        <f>IF(Y630&gt;1E-9,IF(Y630*(1+$G$51)-MAX($B$9,0.01*Y630+Y630*$G$51)&gt;1E-9,Y630*(1+$G$51)-MAX($B$9,0.01*Y630+Y630*$G$51),0),0)</f>
        <v/>
      </c>
      <c r="Z631">
        <f>Y630*$G$51</f>
        <v/>
      </c>
      <c r="AA631">
        <f>IF(AA630&gt;1E-9,IF(AA630*(1+$G$52)-MAX($B$9,0.01*AA630+AA630*$G$52)&gt;1E-9,AA630*(1+$G$52)-MAX($B$9,0.01*AA630+AA630*$G$52),0),0)</f>
        <v/>
      </c>
      <c r="AB631">
        <f>AA630*$G$52</f>
        <v/>
      </c>
      <c r="AC631">
        <f>IF(AC630&gt;1E-9,IF(AC630*(1+$G$53)-MAX($B$9,0.01*AC630+AC630*$G$53)&gt;1E-9,AC630*(1+$G$53)-MAX($B$9,0.01*AC630+AC630*$G$53),0),0)</f>
        <v/>
      </c>
      <c r="AD631">
        <f>AC630*$G$53</f>
        <v/>
      </c>
      <c r="AE631">
        <f>IF(AE630&gt;1E-9,IF(AE630*(1+$G$54)-MAX($B$9,0.01*AE630+AE630*$G$54)&gt;1E-9,AE630*(1+$G$54)-MAX($B$9,0.01*AE630+AE630*$G$54),0),0)</f>
        <v/>
      </c>
      <c r="AF631">
        <f>AE630*$G$54</f>
        <v/>
      </c>
      <c r="AG631">
        <f>IF(AG630&gt;1E-9,IF(AG630*(1+$G$55)-MAX($B$9,0.01*AG630+AG630*$G$55)&gt;1E-9,AG630*(1+$G$55)-MAX($B$9,0.01*AG630+AG630*$G$55),0),0)</f>
        <v/>
      </c>
      <c r="AH631">
        <f>AG630*$G$55</f>
        <v/>
      </c>
      <c r="AI631">
        <f>G631+K631+O631+S631+W631</f>
        <v/>
      </c>
      <c r="AJ631">
        <f>AI630+AK631-AI631</f>
        <v/>
      </c>
      <c r="AK631">
        <f>H631+L631+P631+T631+X631</f>
        <v/>
      </c>
      <c r="AL631">
        <f>TEXT(EDATE($B$5,D631-1),"mmm yyyy")</f>
        <v/>
      </c>
      <c r="AM631">
        <f>AI631</f>
        <v/>
      </c>
    </row>
    <row r="632">
      <c r="D632" t="n">
        <v>571</v>
      </c>
      <c r="E632">
        <f>IF(G631&gt;0,MAX(0,G631*(1+$G$51)-$H$51),0)</f>
        <v/>
      </c>
      <c r="F632">
        <f>$B$6+IF($D632=$B$8,$B$7,0)</f>
        <v/>
      </c>
      <c r="G632">
        <f>IF(E632-F632&gt;1E-9,E632-F632,0)</f>
        <v/>
      </c>
      <c r="H632">
        <f>G631*$G$51</f>
        <v/>
      </c>
      <c r="I632">
        <f>IF(K631&gt;0,MAX(0,K631*(1+$G$52)-$H$52),0)</f>
        <v/>
      </c>
      <c r="J632">
        <f>MAX(0,F632-E632)</f>
        <v/>
      </c>
      <c r="K632">
        <f>IF(I632-J632&gt;1E-9,I632-J632,0)</f>
        <v/>
      </c>
      <c r="L632">
        <f>K631*$G$52</f>
        <v/>
      </c>
      <c r="M632">
        <f>IF(O631&gt;0,MAX(0,O631*(1+$G$53)-$H$53),0)</f>
        <v/>
      </c>
      <c r="N632">
        <f>MAX(0,J632-I632)</f>
        <v/>
      </c>
      <c r="O632">
        <f>IF(M632-N632&gt;1E-9,M632-N632,0)</f>
        <v/>
      </c>
      <c r="P632">
        <f>O631*$G$53</f>
        <v/>
      </c>
      <c r="Q632">
        <f>IF(S631&gt;0,MAX(0,S631*(1+$G$54)-$H$54),0)</f>
        <v/>
      </c>
      <c r="R632">
        <f>MAX(0,N632-M632)</f>
        <v/>
      </c>
      <c r="S632">
        <f>IF(Q632-R632&gt;1E-9,Q632-R632,0)</f>
        <v/>
      </c>
      <c r="T632">
        <f>S631*$G$54</f>
        <v/>
      </c>
      <c r="U632">
        <f>IF(W631&gt;0,MAX(0,W631*(1+$G$55)-$H$55),0)</f>
        <v/>
      </c>
      <c r="V632">
        <f>MAX(0,R632-Q632)</f>
        <v/>
      </c>
      <c r="W632">
        <f>IF(U632-V632&gt;1E-9,U632-V632,0)</f>
        <v/>
      </c>
      <c r="X632">
        <f>W631*$G$55</f>
        <v/>
      </c>
      <c r="Y632">
        <f>IF(Y631&gt;1E-9,IF(Y631*(1+$G$51)-MAX($B$9,0.01*Y631+Y631*$G$51)&gt;1E-9,Y631*(1+$G$51)-MAX($B$9,0.01*Y631+Y631*$G$51),0),0)</f>
        <v/>
      </c>
      <c r="Z632">
        <f>Y631*$G$51</f>
        <v/>
      </c>
      <c r="AA632">
        <f>IF(AA631&gt;1E-9,IF(AA631*(1+$G$52)-MAX($B$9,0.01*AA631+AA631*$G$52)&gt;1E-9,AA631*(1+$G$52)-MAX($B$9,0.01*AA631+AA631*$G$52),0),0)</f>
        <v/>
      </c>
      <c r="AB632">
        <f>AA631*$G$52</f>
        <v/>
      </c>
      <c r="AC632">
        <f>IF(AC631&gt;1E-9,IF(AC631*(1+$G$53)-MAX($B$9,0.01*AC631+AC631*$G$53)&gt;1E-9,AC631*(1+$G$53)-MAX($B$9,0.01*AC631+AC631*$G$53),0),0)</f>
        <v/>
      </c>
      <c r="AD632">
        <f>AC631*$G$53</f>
        <v/>
      </c>
      <c r="AE632">
        <f>IF(AE631&gt;1E-9,IF(AE631*(1+$G$54)-MAX($B$9,0.01*AE631+AE631*$G$54)&gt;1E-9,AE631*(1+$G$54)-MAX($B$9,0.01*AE631+AE631*$G$54),0),0)</f>
        <v/>
      </c>
      <c r="AF632">
        <f>AE631*$G$54</f>
        <v/>
      </c>
      <c r="AG632">
        <f>IF(AG631&gt;1E-9,IF(AG631*(1+$G$55)-MAX($B$9,0.01*AG631+AG631*$G$55)&gt;1E-9,AG631*(1+$G$55)-MAX($B$9,0.01*AG631+AG631*$G$55),0),0)</f>
        <v/>
      </c>
      <c r="AH632">
        <f>AG631*$G$55</f>
        <v/>
      </c>
      <c r="AI632">
        <f>G632+K632+O632+S632+W632</f>
        <v/>
      </c>
      <c r="AJ632">
        <f>AI631+AK632-AI632</f>
        <v/>
      </c>
      <c r="AK632">
        <f>H632+L632+P632+T632+X632</f>
        <v/>
      </c>
      <c r="AL632">
        <f>TEXT(EDATE($B$5,D632-1),"mmm yyyy")</f>
        <v/>
      </c>
      <c r="AM632">
        <f>AI632</f>
        <v/>
      </c>
    </row>
    <row r="633">
      <c r="D633" t="n">
        <v>572</v>
      </c>
      <c r="E633">
        <f>IF(G632&gt;0,MAX(0,G632*(1+$G$51)-$H$51),0)</f>
        <v/>
      </c>
      <c r="F633">
        <f>$B$6+IF($D633=$B$8,$B$7,0)</f>
        <v/>
      </c>
      <c r="G633">
        <f>IF(E633-F633&gt;1E-9,E633-F633,0)</f>
        <v/>
      </c>
      <c r="H633">
        <f>G632*$G$51</f>
        <v/>
      </c>
      <c r="I633">
        <f>IF(K632&gt;0,MAX(0,K632*(1+$G$52)-$H$52),0)</f>
        <v/>
      </c>
      <c r="J633">
        <f>MAX(0,F633-E633)</f>
        <v/>
      </c>
      <c r="K633">
        <f>IF(I633-J633&gt;1E-9,I633-J633,0)</f>
        <v/>
      </c>
      <c r="L633">
        <f>K632*$G$52</f>
        <v/>
      </c>
      <c r="M633">
        <f>IF(O632&gt;0,MAX(0,O632*(1+$G$53)-$H$53),0)</f>
        <v/>
      </c>
      <c r="N633">
        <f>MAX(0,J633-I633)</f>
        <v/>
      </c>
      <c r="O633">
        <f>IF(M633-N633&gt;1E-9,M633-N633,0)</f>
        <v/>
      </c>
      <c r="P633">
        <f>O632*$G$53</f>
        <v/>
      </c>
      <c r="Q633">
        <f>IF(S632&gt;0,MAX(0,S632*(1+$G$54)-$H$54),0)</f>
        <v/>
      </c>
      <c r="R633">
        <f>MAX(0,N633-M633)</f>
        <v/>
      </c>
      <c r="S633">
        <f>IF(Q633-R633&gt;1E-9,Q633-R633,0)</f>
        <v/>
      </c>
      <c r="T633">
        <f>S632*$G$54</f>
        <v/>
      </c>
      <c r="U633">
        <f>IF(W632&gt;0,MAX(0,W632*(1+$G$55)-$H$55),0)</f>
        <v/>
      </c>
      <c r="V633">
        <f>MAX(0,R633-Q633)</f>
        <v/>
      </c>
      <c r="W633">
        <f>IF(U633-V633&gt;1E-9,U633-V633,0)</f>
        <v/>
      </c>
      <c r="X633">
        <f>W632*$G$55</f>
        <v/>
      </c>
      <c r="Y633">
        <f>IF(Y632&gt;1E-9,IF(Y632*(1+$G$51)-MAX($B$9,0.01*Y632+Y632*$G$51)&gt;1E-9,Y632*(1+$G$51)-MAX($B$9,0.01*Y632+Y632*$G$51),0),0)</f>
        <v/>
      </c>
      <c r="Z633">
        <f>Y632*$G$51</f>
        <v/>
      </c>
      <c r="AA633">
        <f>IF(AA632&gt;1E-9,IF(AA632*(1+$G$52)-MAX($B$9,0.01*AA632+AA632*$G$52)&gt;1E-9,AA632*(1+$G$52)-MAX($B$9,0.01*AA632+AA632*$G$52),0),0)</f>
        <v/>
      </c>
      <c r="AB633">
        <f>AA632*$G$52</f>
        <v/>
      </c>
      <c r="AC633">
        <f>IF(AC632&gt;1E-9,IF(AC632*(1+$G$53)-MAX($B$9,0.01*AC632+AC632*$G$53)&gt;1E-9,AC632*(1+$G$53)-MAX($B$9,0.01*AC632+AC632*$G$53),0),0)</f>
        <v/>
      </c>
      <c r="AD633">
        <f>AC632*$G$53</f>
        <v/>
      </c>
      <c r="AE633">
        <f>IF(AE632&gt;1E-9,IF(AE632*(1+$G$54)-MAX($B$9,0.01*AE632+AE632*$G$54)&gt;1E-9,AE632*(1+$G$54)-MAX($B$9,0.01*AE632+AE632*$G$54),0),0)</f>
        <v/>
      </c>
      <c r="AF633">
        <f>AE632*$G$54</f>
        <v/>
      </c>
      <c r="AG633">
        <f>IF(AG632&gt;1E-9,IF(AG632*(1+$G$55)-MAX($B$9,0.01*AG632+AG632*$G$55)&gt;1E-9,AG632*(1+$G$55)-MAX($B$9,0.01*AG632+AG632*$G$55),0),0)</f>
        <v/>
      </c>
      <c r="AH633">
        <f>AG632*$G$55</f>
        <v/>
      </c>
      <c r="AI633">
        <f>G633+K633+O633+S633+W633</f>
        <v/>
      </c>
      <c r="AJ633">
        <f>AI632+AK633-AI633</f>
        <v/>
      </c>
      <c r="AK633">
        <f>H633+L633+P633+T633+X633</f>
        <v/>
      </c>
      <c r="AL633">
        <f>TEXT(EDATE($B$5,D633-1),"mmm yyyy")</f>
        <v/>
      </c>
      <c r="AM633">
        <f>AI633</f>
        <v/>
      </c>
    </row>
    <row r="634">
      <c r="D634" t="n">
        <v>573</v>
      </c>
      <c r="E634">
        <f>IF(G633&gt;0,MAX(0,G633*(1+$G$51)-$H$51),0)</f>
        <v/>
      </c>
      <c r="F634">
        <f>$B$6+IF($D634=$B$8,$B$7,0)</f>
        <v/>
      </c>
      <c r="G634">
        <f>IF(E634-F634&gt;1E-9,E634-F634,0)</f>
        <v/>
      </c>
      <c r="H634">
        <f>G633*$G$51</f>
        <v/>
      </c>
      <c r="I634">
        <f>IF(K633&gt;0,MAX(0,K633*(1+$G$52)-$H$52),0)</f>
        <v/>
      </c>
      <c r="J634">
        <f>MAX(0,F634-E634)</f>
        <v/>
      </c>
      <c r="K634">
        <f>IF(I634-J634&gt;1E-9,I634-J634,0)</f>
        <v/>
      </c>
      <c r="L634">
        <f>K633*$G$52</f>
        <v/>
      </c>
      <c r="M634">
        <f>IF(O633&gt;0,MAX(0,O633*(1+$G$53)-$H$53),0)</f>
        <v/>
      </c>
      <c r="N634">
        <f>MAX(0,J634-I634)</f>
        <v/>
      </c>
      <c r="O634">
        <f>IF(M634-N634&gt;1E-9,M634-N634,0)</f>
        <v/>
      </c>
      <c r="P634">
        <f>O633*$G$53</f>
        <v/>
      </c>
      <c r="Q634">
        <f>IF(S633&gt;0,MAX(0,S633*(1+$G$54)-$H$54),0)</f>
        <v/>
      </c>
      <c r="R634">
        <f>MAX(0,N634-M634)</f>
        <v/>
      </c>
      <c r="S634">
        <f>IF(Q634-R634&gt;1E-9,Q634-R634,0)</f>
        <v/>
      </c>
      <c r="T634">
        <f>S633*$G$54</f>
        <v/>
      </c>
      <c r="U634">
        <f>IF(W633&gt;0,MAX(0,W633*(1+$G$55)-$H$55),0)</f>
        <v/>
      </c>
      <c r="V634">
        <f>MAX(0,R634-Q634)</f>
        <v/>
      </c>
      <c r="W634">
        <f>IF(U634-V634&gt;1E-9,U634-V634,0)</f>
        <v/>
      </c>
      <c r="X634">
        <f>W633*$G$55</f>
        <v/>
      </c>
      <c r="Y634">
        <f>IF(Y633&gt;1E-9,IF(Y633*(1+$G$51)-MAX($B$9,0.01*Y633+Y633*$G$51)&gt;1E-9,Y633*(1+$G$51)-MAX($B$9,0.01*Y633+Y633*$G$51),0),0)</f>
        <v/>
      </c>
      <c r="Z634">
        <f>Y633*$G$51</f>
        <v/>
      </c>
      <c r="AA634">
        <f>IF(AA633&gt;1E-9,IF(AA633*(1+$G$52)-MAX($B$9,0.01*AA633+AA633*$G$52)&gt;1E-9,AA633*(1+$G$52)-MAX($B$9,0.01*AA633+AA633*$G$52),0),0)</f>
        <v/>
      </c>
      <c r="AB634">
        <f>AA633*$G$52</f>
        <v/>
      </c>
      <c r="AC634">
        <f>IF(AC633&gt;1E-9,IF(AC633*(1+$G$53)-MAX($B$9,0.01*AC633+AC633*$G$53)&gt;1E-9,AC633*(1+$G$53)-MAX($B$9,0.01*AC633+AC633*$G$53),0),0)</f>
        <v/>
      </c>
      <c r="AD634">
        <f>AC633*$G$53</f>
        <v/>
      </c>
      <c r="AE634">
        <f>IF(AE633&gt;1E-9,IF(AE633*(1+$G$54)-MAX($B$9,0.01*AE633+AE633*$G$54)&gt;1E-9,AE633*(1+$G$54)-MAX($B$9,0.01*AE633+AE633*$G$54),0),0)</f>
        <v/>
      </c>
      <c r="AF634">
        <f>AE633*$G$54</f>
        <v/>
      </c>
      <c r="AG634">
        <f>IF(AG633&gt;1E-9,IF(AG633*(1+$G$55)-MAX($B$9,0.01*AG633+AG633*$G$55)&gt;1E-9,AG633*(1+$G$55)-MAX($B$9,0.01*AG633+AG633*$G$55),0),0)</f>
        <v/>
      </c>
      <c r="AH634">
        <f>AG633*$G$55</f>
        <v/>
      </c>
      <c r="AI634">
        <f>G634+K634+O634+S634+W634</f>
        <v/>
      </c>
      <c r="AJ634">
        <f>AI633+AK634-AI634</f>
        <v/>
      </c>
      <c r="AK634">
        <f>H634+L634+P634+T634+X634</f>
        <v/>
      </c>
      <c r="AL634">
        <f>TEXT(EDATE($B$5,D634-1),"mmm yyyy")</f>
        <v/>
      </c>
      <c r="AM634">
        <f>AI634</f>
        <v/>
      </c>
    </row>
    <row r="635">
      <c r="D635" t="n">
        <v>574</v>
      </c>
      <c r="E635">
        <f>IF(G634&gt;0,MAX(0,G634*(1+$G$51)-$H$51),0)</f>
        <v/>
      </c>
      <c r="F635">
        <f>$B$6+IF($D635=$B$8,$B$7,0)</f>
        <v/>
      </c>
      <c r="G635">
        <f>IF(E635-F635&gt;1E-9,E635-F635,0)</f>
        <v/>
      </c>
      <c r="H635">
        <f>G634*$G$51</f>
        <v/>
      </c>
      <c r="I635">
        <f>IF(K634&gt;0,MAX(0,K634*(1+$G$52)-$H$52),0)</f>
        <v/>
      </c>
      <c r="J635">
        <f>MAX(0,F635-E635)</f>
        <v/>
      </c>
      <c r="K635">
        <f>IF(I635-J635&gt;1E-9,I635-J635,0)</f>
        <v/>
      </c>
      <c r="L635">
        <f>K634*$G$52</f>
        <v/>
      </c>
      <c r="M635">
        <f>IF(O634&gt;0,MAX(0,O634*(1+$G$53)-$H$53),0)</f>
        <v/>
      </c>
      <c r="N635">
        <f>MAX(0,J635-I635)</f>
        <v/>
      </c>
      <c r="O635">
        <f>IF(M635-N635&gt;1E-9,M635-N635,0)</f>
        <v/>
      </c>
      <c r="P635">
        <f>O634*$G$53</f>
        <v/>
      </c>
      <c r="Q635">
        <f>IF(S634&gt;0,MAX(0,S634*(1+$G$54)-$H$54),0)</f>
        <v/>
      </c>
      <c r="R635">
        <f>MAX(0,N635-M635)</f>
        <v/>
      </c>
      <c r="S635">
        <f>IF(Q635-R635&gt;1E-9,Q635-R635,0)</f>
        <v/>
      </c>
      <c r="T635">
        <f>S634*$G$54</f>
        <v/>
      </c>
      <c r="U635">
        <f>IF(W634&gt;0,MAX(0,W634*(1+$G$55)-$H$55),0)</f>
        <v/>
      </c>
      <c r="V635">
        <f>MAX(0,R635-Q635)</f>
        <v/>
      </c>
      <c r="W635">
        <f>IF(U635-V635&gt;1E-9,U635-V635,0)</f>
        <v/>
      </c>
      <c r="X635">
        <f>W634*$G$55</f>
        <v/>
      </c>
      <c r="Y635">
        <f>IF(Y634&gt;1E-9,IF(Y634*(1+$G$51)-MAX($B$9,0.01*Y634+Y634*$G$51)&gt;1E-9,Y634*(1+$G$51)-MAX($B$9,0.01*Y634+Y634*$G$51),0),0)</f>
        <v/>
      </c>
      <c r="Z635">
        <f>Y634*$G$51</f>
        <v/>
      </c>
      <c r="AA635">
        <f>IF(AA634&gt;1E-9,IF(AA634*(1+$G$52)-MAX($B$9,0.01*AA634+AA634*$G$52)&gt;1E-9,AA634*(1+$G$52)-MAX($B$9,0.01*AA634+AA634*$G$52),0),0)</f>
        <v/>
      </c>
      <c r="AB635">
        <f>AA634*$G$52</f>
        <v/>
      </c>
      <c r="AC635">
        <f>IF(AC634&gt;1E-9,IF(AC634*(1+$G$53)-MAX($B$9,0.01*AC634+AC634*$G$53)&gt;1E-9,AC634*(1+$G$53)-MAX($B$9,0.01*AC634+AC634*$G$53),0),0)</f>
        <v/>
      </c>
      <c r="AD635">
        <f>AC634*$G$53</f>
        <v/>
      </c>
      <c r="AE635">
        <f>IF(AE634&gt;1E-9,IF(AE634*(1+$G$54)-MAX($B$9,0.01*AE634+AE634*$G$54)&gt;1E-9,AE634*(1+$G$54)-MAX($B$9,0.01*AE634+AE634*$G$54),0),0)</f>
        <v/>
      </c>
      <c r="AF635">
        <f>AE634*$G$54</f>
        <v/>
      </c>
      <c r="AG635">
        <f>IF(AG634&gt;1E-9,IF(AG634*(1+$G$55)-MAX($B$9,0.01*AG634+AG634*$G$55)&gt;1E-9,AG634*(1+$G$55)-MAX($B$9,0.01*AG634+AG634*$G$55),0),0)</f>
        <v/>
      </c>
      <c r="AH635">
        <f>AG634*$G$55</f>
        <v/>
      </c>
      <c r="AI635">
        <f>G635+K635+O635+S635+W635</f>
        <v/>
      </c>
      <c r="AJ635">
        <f>AI634+AK635-AI635</f>
        <v/>
      </c>
      <c r="AK635">
        <f>H635+L635+P635+T635+X635</f>
        <v/>
      </c>
      <c r="AL635">
        <f>TEXT(EDATE($B$5,D635-1),"mmm yyyy")</f>
        <v/>
      </c>
      <c r="AM635">
        <f>AI635</f>
        <v/>
      </c>
    </row>
    <row r="636">
      <c r="D636" t="n">
        <v>575</v>
      </c>
      <c r="E636">
        <f>IF(G635&gt;0,MAX(0,G635*(1+$G$51)-$H$51),0)</f>
        <v/>
      </c>
      <c r="F636">
        <f>$B$6+IF($D636=$B$8,$B$7,0)</f>
        <v/>
      </c>
      <c r="G636">
        <f>IF(E636-F636&gt;1E-9,E636-F636,0)</f>
        <v/>
      </c>
      <c r="H636">
        <f>G635*$G$51</f>
        <v/>
      </c>
      <c r="I636">
        <f>IF(K635&gt;0,MAX(0,K635*(1+$G$52)-$H$52),0)</f>
        <v/>
      </c>
      <c r="J636">
        <f>MAX(0,F636-E636)</f>
        <v/>
      </c>
      <c r="K636">
        <f>IF(I636-J636&gt;1E-9,I636-J636,0)</f>
        <v/>
      </c>
      <c r="L636">
        <f>K635*$G$52</f>
        <v/>
      </c>
      <c r="M636">
        <f>IF(O635&gt;0,MAX(0,O635*(1+$G$53)-$H$53),0)</f>
        <v/>
      </c>
      <c r="N636">
        <f>MAX(0,J636-I636)</f>
        <v/>
      </c>
      <c r="O636">
        <f>IF(M636-N636&gt;1E-9,M636-N636,0)</f>
        <v/>
      </c>
      <c r="P636">
        <f>O635*$G$53</f>
        <v/>
      </c>
      <c r="Q636">
        <f>IF(S635&gt;0,MAX(0,S635*(1+$G$54)-$H$54),0)</f>
        <v/>
      </c>
      <c r="R636">
        <f>MAX(0,N636-M636)</f>
        <v/>
      </c>
      <c r="S636">
        <f>IF(Q636-R636&gt;1E-9,Q636-R636,0)</f>
        <v/>
      </c>
      <c r="T636">
        <f>S635*$G$54</f>
        <v/>
      </c>
      <c r="U636">
        <f>IF(W635&gt;0,MAX(0,W635*(1+$G$55)-$H$55),0)</f>
        <v/>
      </c>
      <c r="V636">
        <f>MAX(0,R636-Q636)</f>
        <v/>
      </c>
      <c r="W636">
        <f>IF(U636-V636&gt;1E-9,U636-V636,0)</f>
        <v/>
      </c>
      <c r="X636">
        <f>W635*$G$55</f>
        <v/>
      </c>
      <c r="Y636">
        <f>IF(Y635&gt;1E-9,IF(Y635*(1+$G$51)-MAX($B$9,0.01*Y635+Y635*$G$51)&gt;1E-9,Y635*(1+$G$51)-MAX($B$9,0.01*Y635+Y635*$G$51),0),0)</f>
        <v/>
      </c>
      <c r="Z636">
        <f>Y635*$G$51</f>
        <v/>
      </c>
      <c r="AA636">
        <f>IF(AA635&gt;1E-9,IF(AA635*(1+$G$52)-MAX($B$9,0.01*AA635+AA635*$G$52)&gt;1E-9,AA635*(1+$G$52)-MAX($B$9,0.01*AA635+AA635*$G$52),0),0)</f>
        <v/>
      </c>
      <c r="AB636">
        <f>AA635*$G$52</f>
        <v/>
      </c>
      <c r="AC636">
        <f>IF(AC635&gt;1E-9,IF(AC635*(1+$G$53)-MAX($B$9,0.01*AC635+AC635*$G$53)&gt;1E-9,AC635*(1+$G$53)-MAX($B$9,0.01*AC635+AC635*$G$53),0),0)</f>
        <v/>
      </c>
      <c r="AD636">
        <f>AC635*$G$53</f>
        <v/>
      </c>
      <c r="AE636">
        <f>IF(AE635&gt;1E-9,IF(AE635*(1+$G$54)-MAX($B$9,0.01*AE635+AE635*$G$54)&gt;1E-9,AE635*(1+$G$54)-MAX($B$9,0.01*AE635+AE635*$G$54),0),0)</f>
        <v/>
      </c>
      <c r="AF636">
        <f>AE635*$G$54</f>
        <v/>
      </c>
      <c r="AG636">
        <f>IF(AG635&gt;1E-9,IF(AG635*(1+$G$55)-MAX($B$9,0.01*AG635+AG635*$G$55)&gt;1E-9,AG635*(1+$G$55)-MAX($B$9,0.01*AG635+AG635*$G$55),0),0)</f>
        <v/>
      </c>
      <c r="AH636">
        <f>AG635*$G$55</f>
        <v/>
      </c>
      <c r="AI636">
        <f>G636+K636+O636+S636+W636</f>
        <v/>
      </c>
      <c r="AJ636">
        <f>AI635+AK636-AI636</f>
        <v/>
      </c>
      <c r="AK636">
        <f>H636+L636+P636+T636+X636</f>
        <v/>
      </c>
      <c r="AL636">
        <f>TEXT(EDATE($B$5,D636-1),"mmm yyyy")</f>
        <v/>
      </c>
      <c r="AM636">
        <f>AI636</f>
        <v/>
      </c>
    </row>
    <row r="637">
      <c r="D637" t="n">
        <v>576</v>
      </c>
      <c r="E637">
        <f>IF(G636&gt;0,MAX(0,G636*(1+$G$51)-$H$51),0)</f>
        <v/>
      </c>
      <c r="F637">
        <f>$B$6+IF($D637=$B$8,$B$7,0)</f>
        <v/>
      </c>
      <c r="G637">
        <f>IF(E637-F637&gt;1E-9,E637-F637,0)</f>
        <v/>
      </c>
      <c r="H637">
        <f>G636*$G$51</f>
        <v/>
      </c>
      <c r="I637">
        <f>IF(K636&gt;0,MAX(0,K636*(1+$G$52)-$H$52),0)</f>
        <v/>
      </c>
      <c r="J637">
        <f>MAX(0,F637-E637)</f>
        <v/>
      </c>
      <c r="K637">
        <f>IF(I637-J637&gt;1E-9,I637-J637,0)</f>
        <v/>
      </c>
      <c r="L637">
        <f>K636*$G$52</f>
        <v/>
      </c>
      <c r="M637">
        <f>IF(O636&gt;0,MAX(0,O636*(1+$G$53)-$H$53),0)</f>
        <v/>
      </c>
      <c r="N637">
        <f>MAX(0,J637-I637)</f>
        <v/>
      </c>
      <c r="O637">
        <f>IF(M637-N637&gt;1E-9,M637-N637,0)</f>
        <v/>
      </c>
      <c r="P637">
        <f>O636*$G$53</f>
        <v/>
      </c>
      <c r="Q637">
        <f>IF(S636&gt;0,MAX(0,S636*(1+$G$54)-$H$54),0)</f>
        <v/>
      </c>
      <c r="R637">
        <f>MAX(0,N637-M637)</f>
        <v/>
      </c>
      <c r="S637">
        <f>IF(Q637-R637&gt;1E-9,Q637-R637,0)</f>
        <v/>
      </c>
      <c r="T637">
        <f>S636*$G$54</f>
        <v/>
      </c>
      <c r="U637">
        <f>IF(W636&gt;0,MAX(0,W636*(1+$G$55)-$H$55),0)</f>
        <v/>
      </c>
      <c r="V637">
        <f>MAX(0,R637-Q637)</f>
        <v/>
      </c>
      <c r="W637">
        <f>IF(U637-V637&gt;1E-9,U637-V637,0)</f>
        <v/>
      </c>
      <c r="X637">
        <f>W636*$G$55</f>
        <v/>
      </c>
      <c r="Y637">
        <f>IF(Y636&gt;1E-9,IF(Y636*(1+$G$51)-MAX($B$9,0.01*Y636+Y636*$G$51)&gt;1E-9,Y636*(1+$G$51)-MAX($B$9,0.01*Y636+Y636*$G$51),0),0)</f>
        <v/>
      </c>
      <c r="Z637">
        <f>Y636*$G$51</f>
        <v/>
      </c>
      <c r="AA637">
        <f>IF(AA636&gt;1E-9,IF(AA636*(1+$G$52)-MAX($B$9,0.01*AA636+AA636*$G$52)&gt;1E-9,AA636*(1+$G$52)-MAX($B$9,0.01*AA636+AA636*$G$52),0),0)</f>
        <v/>
      </c>
      <c r="AB637">
        <f>AA636*$G$52</f>
        <v/>
      </c>
      <c r="AC637">
        <f>IF(AC636&gt;1E-9,IF(AC636*(1+$G$53)-MAX($B$9,0.01*AC636+AC636*$G$53)&gt;1E-9,AC636*(1+$G$53)-MAX($B$9,0.01*AC636+AC636*$G$53),0),0)</f>
        <v/>
      </c>
      <c r="AD637">
        <f>AC636*$G$53</f>
        <v/>
      </c>
      <c r="AE637">
        <f>IF(AE636&gt;1E-9,IF(AE636*(1+$G$54)-MAX($B$9,0.01*AE636+AE636*$G$54)&gt;1E-9,AE636*(1+$G$54)-MAX($B$9,0.01*AE636+AE636*$G$54),0),0)</f>
        <v/>
      </c>
      <c r="AF637">
        <f>AE636*$G$54</f>
        <v/>
      </c>
      <c r="AG637">
        <f>IF(AG636&gt;1E-9,IF(AG636*(1+$G$55)-MAX($B$9,0.01*AG636+AG636*$G$55)&gt;1E-9,AG636*(1+$G$55)-MAX($B$9,0.01*AG636+AG636*$G$55),0),0)</f>
        <v/>
      </c>
      <c r="AH637">
        <f>AG636*$G$55</f>
        <v/>
      </c>
      <c r="AI637">
        <f>G637+K637+O637+S637+W637</f>
        <v/>
      </c>
      <c r="AJ637">
        <f>AI636+AK637-AI637</f>
        <v/>
      </c>
      <c r="AK637">
        <f>H637+L637+P637+T637+X637</f>
        <v/>
      </c>
      <c r="AL637">
        <f>TEXT(EDATE($B$5,D637-1),"mmm yyyy")</f>
        <v/>
      </c>
      <c r="AM637">
        <f>AI637</f>
        <v/>
      </c>
    </row>
    <row r="638">
      <c r="D638" t="n">
        <v>577</v>
      </c>
      <c r="E638">
        <f>IF(G637&gt;0,MAX(0,G637*(1+$G$51)-$H$51),0)</f>
        <v/>
      </c>
      <c r="F638">
        <f>$B$6+IF($D638=$B$8,$B$7,0)</f>
        <v/>
      </c>
      <c r="G638">
        <f>IF(E638-F638&gt;1E-9,E638-F638,0)</f>
        <v/>
      </c>
      <c r="H638">
        <f>G637*$G$51</f>
        <v/>
      </c>
      <c r="I638">
        <f>IF(K637&gt;0,MAX(0,K637*(1+$G$52)-$H$52),0)</f>
        <v/>
      </c>
      <c r="J638">
        <f>MAX(0,F638-E638)</f>
        <v/>
      </c>
      <c r="K638">
        <f>IF(I638-J638&gt;1E-9,I638-J638,0)</f>
        <v/>
      </c>
      <c r="L638">
        <f>K637*$G$52</f>
        <v/>
      </c>
      <c r="M638">
        <f>IF(O637&gt;0,MAX(0,O637*(1+$G$53)-$H$53),0)</f>
        <v/>
      </c>
      <c r="N638">
        <f>MAX(0,J638-I638)</f>
        <v/>
      </c>
      <c r="O638">
        <f>IF(M638-N638&gt;1E-9,M638-N638,0)</f>
        <v/>
      </c>
      <c r="P638">
        <f>O637*$G$53</f>
        <v/>
      </c>
      <c r="Q638">
        <f>IF(S637&gt;0,MAX(0,S637*(1+$G$54)-$H$54),0)</f>
        <v/>
      </c>
      <c r="R638">
        <f>MAX(0,N638-M638)</f>
        <v/>
      </c>
      <c r="S638">
        <f>IF(Q638-R638&gt;1E-9,Q638-R638,0)</f>
        <v/>
      </c>
      <c r="T638">
        <f>S637*$G$54</f>
        <v/>
      </c>
      <c r="U638">
        <f>IF(W637&gt;0,MAX(0,W637*(1+$G$55)-$H$55),0)</f>
        <v/>
      </c>
      <c r="V638">
        <f>MAX(0,R638-Q638)</f>
        <v/>
      </c>
      <c r="W638">
        <f>IF(U638-V638&gt;1E-9,U638-V638,0)</f>
        <v/>
      </c>
      <c r="X638">
        <f>W637*$G$55</f>
        <v/>
      </c>
      <c r="Y638">
        <f>IF(Y637&gt;1E-9,IF(Y637*(1+$G$51)-MAX($B$9,0.01*Y637+Y637*$G$51)&gt;1E-9,Y637*(1+$G$51)-MAX($B$9,0.01*Y637+Y637*$G$51),0),0)</f>
        <v/>
      </c>
      <c r="Z638">
        <f>Y637*$G$51</f>
        <v/>
      </c>
      <c r="AA638">
        <f>IF(AA637&gt;1E-9,IF(AA637*(1+$G$52)-MAX($B$9,0.01*AA637+AA637*$G$52)&gt;1E-9,AA637*(1+$G$52)-MAX($B$9,0.01*AA637+AA637*$G$52),0),0)</f>
        <v/>
      </c>
      <c r="AB638">
        <f>AA637*$G$52</f>
        <v/>
      </c>
      <c r="AC638">
        <f>IF(AC637&gt;1E-9,IF(AC637*(1+$G$53)-MAX($B$9,0.01*AC637+AC637*$G$53)&gt;1E-9,AC637*(1+$G$53)-MAX($B$9,0.01*AC637+AC637*$G$53),0),0)</f>
        <v/>
      </c>
      <c r="AD638">
        <f>AC637*$G$53</f>
        <v/>
      </c>
      <c r="AE638">
        <f>IF(AE637&gt;1E-9,IF(AE637*(1+$G$54)-MAX($B$9,0.01*AE637+AE637*$G$54)&gt;1E-9,AE637*(1+$G$54)-MAX($B$9,0.01*AE637+AE637*$G$54),0),0)</f>
        <v/>
      </c>
      <c r="AF638">
        <f>AE637*$G$54</f>
        <v/>
      </c>
      <c r="AG638">
        <f>IF(AG637&gt;1E-9,IF(AG637*(1+$G$55)-MAX($B$9,0.01*AG637+AG637*$G$55)&gt;1E-9,AG637*(1+$G$55)-MAX($B$9,0.01*AG637+AG637*$G$55),0),0)</f>
        <v/>
      </c>
      <c r="AH638">
        <f>AG637*$G$55</f>
        <v/>
      </c>
      <c r="AI638">
        <f>G638+K638+O638+S638+W638</f>
        <v/>
      </c>
      <c r="AJ638">
        <f>AI637+AK638-AI638</f>
        <v/>
      </c>
      <c r="AK638">
        <f>H638+L638+P638+T638+X638</f>
        <v/>
      </c>
      <c r="AL638">
        <f>TEXT(EDATE($B$5,D638-1),"mmm yyyy")</f>
        <v/>
      </c>
      <c r="AM638">
        <f>AI638</f>
        <v/>
      </c>
    </row>
    <row r="639">
      <c r="D639" t="n">
        <v>578</v>
      </c>
      <c r="E639">
        <f>IF(G638&gt;0,MAX(0,G638*(1+$G$51)-$H$51),0)</f>
        <v/>
      </c>
      <c r="F639">
        <f>$B$6+IF($D639=$B$8,$B$7,0)</f>
        <v/>
      </c>
      <c r="G639">
        <f>IF(E639-F639&gt;1E-9,E639-F639,0)</f>
        <v/>
      </c>
      <c r="H639">
        <f>G638*$G$51</f>
        <v/>
      </c>
      <c r="I639">
        <f>IF(K638&gt;0,MAX(0,K638*(1+$G$52)-$H$52),0)</f>
        <v/>
      </c>
      <c r="J639">
        <f>MAX(0,F639-E639)</f>
        <v/>
      </c>
      <c r="K639">
        <f>IF(I639-J639&gt;1E-9,I639-J639,0)</f>
        <v/>
      </c>
      <c r="L639">
        <f>K638*$G$52</f>
        <v/>
      </c>
      <c r="M639">
        <f>IF(O638&gt;0,MAX(0,O638*(1+$G$53)-$H$53),0)</f>
        <v/>
      </c>
      <c r="N639">
        <f>MAX(0,J639-I639)</f>
        <v/>
      </c>
      <c r="O639">
        <f>IF(M639-N639&gt;1E-9,M639-N639,0)</f>
        <v/>
      </c>
      <c r="P639">
        <f>O638*$G$53</f>
        <v/>
      </c>
      <c r="Q639">
        <f>IF(S638&gt;0,MAX(0,S638*(1+$G$54)-$H$54),0)</f>
        <v/>
      </c>
      <c r="R639">
        <f>MAX(0,N639-M639)</f>
        <v/>
      </c>
      <c r="S639">
        <f>IF(Q639-R639&gt;1E-9,Q639-R639,0)</f>
        <v/>
      </c>
      <c r="T639">
        <f>S638*$G$54</f>
        <v/>
      </c>
      <c r="U639">
        <f>IF(W638&gt;0,MAX(0,W638*(1+$G$55)-$H$55),0)</f>
        <v/>
      </c>
      <c r="V639">
        <f>MAX(0,R639-Q639)</f>
        <v/>
      </c>
      <c r="W639">
        <f>IF(U639-V639&gt;1E-9,U639-V639,0)</f>
        <v/>
      </c>
      <c r="X639">
        <f>W638*$G$55</f>
        <v/>
      </c>
      <c r="Y639">
        <f>IF(Y638&gt;1E-9,IF(Y638*(1+$G$51)-MAX($B$9,0.01*Y638+Y638*$G$51)&gt;1E-9,Y638*(1+$G$51)-MAX($B$9,0.01*Y638+Y638*$G$51),0),0)</f>
        <v/>
      </c>
      <c r="Z639">
        <f>Y638*$G$51</f>
        <v/>
      </c>
      <c r="AA639">
        <f>IF(AA638&gt;1E-9,IF(AA638*(1+$G$52)-MAX($B$9,0.01*AA638+AA638*$G$52)&gt;1E-9,AA638*(1+$G$52)-MAX($B$9,0.01*AA638+AA638*$G$52),0),0)</f>
        <v/>
      </c>
      <c r="AB639">
        <f>AA638*$G$52</f>
        <v/>
      </c>
      <c r="AC639">
        <f>IF(AC638&gt;1E-9,IF(AC638*(1+$G$53)-MAX($B$9,0.01*AC638+AC638*$G$53)&gt;1E-9,AC638*(1+$G$53)-MAX($B$9,0.01*AC638+AC638*$G$53),0),0)</f>
        <v/>
      </c>
      <c r="AD639">
        <f>AC638*$G$53</f>
        <v/>
      </c>
      <c r="AE639">
        <f>IF(AE638&gt;1E-9,IF(AE638*(1+$G$54)-MAX($B$9,0.01*AE638+AE638*$G$54)&gt;1E-9,AE638*(1+$G$54)-MAX($B$9,0.01*AE638+AE638*$G$54),0),0)</f>
        <v/>
      </c>
      <c r="AF639">
        <f>AE638*$G$54</f>
        <v/>
      </c>
      <c r="AG639">
        <f>IF(AG638&gt;1E-9,IF(AG638*(1+$G$55)-MAX($B$9,0.01*AG638+AG638*$G$55)&gt;1E-9,AG638*(1+$G$55)-MAX($B$9,0.01*AG638+AG638*$G$55),0),0)</f>
        <v/>
      </c>
      <c r="AH639">
        <f>AG638*$G$55</f>
        <v/>
      </c>
      <c r="AI639">
        <f>G639+K639+O639+S639+W639</f>
        <v/>
      </c>
      <c r="AJ639">
        <f>AI638+AK639-AI639</f>
        <v/>
      </c>
      <c r="AK639">
        <f>H639+L639+P639+T639+X639</f>
        <v/>
      </c>
      <c r="AL639">
        <f>TEXT(EDATE($B$5,D639-1),"mmm yyyy")</f>
        <v/>
      </c>
      <c r="AM639">
        <f>AI639</f>
        <v/>
      </c>
    </row>
    <row r="640">
      <c r="D640" t="n">
        <v>579</v>
      </c>
      <c r="E640">
        <f>IF(G639&gt;0,MAX(0,G639*(1+$G$51)-$H$51),0)</f>
        <v/>
      </c>
      <c r="F640">
        <f>$B$6+IF($D640=$B$8,$B$7,0)</f>
        <v/>
      </c>
      <c r="G640">
        <f>IF(E640-F640&gt;1E-9,E640-F640,0)</f>
        <v/>
      </c>
      <c r="H640">
        <f>G639*$G$51</f>
        <v/>
      </c>
      <c r="I640">
        <f>IF(K639&gt;0,MAX(0,K639*(1+$G$52)-$H$52),0)</f>
        <v/>
      </c>
      <c r="J640">
        <f>MAX(0,F640-E640)</f>
        <v/>
      </c>
      <c r="K640">
        <f>IF(I640-J640&gt;1E-9,I640-J640,0)</f>
        <v/>
      </c>
      <c r="L640">
        <f>K639*$G$52</f>
        <v/>
      </c>
      <c r="M640">
        <f>IF(O639&gt;0,MAX(0,O639*(1+$G$53)-$H$53),0)</f>
        <v/>
      </c>
      <c r="N640">
        <f>MAX(0,J640-I640)</f>
        <v/>
      </c>
      <c r="O640">
        <f>IF(M640-N640&gt;1E-9,M640-N640,0)</f>
        <v/>
      </c>
      <c r="P640">
        <f>O639*$G$53</f>
        <v/>
      </c>
      <c r="Q640">
        <f>IF(S639&gt;0,MAX(0,S639*(1+$G$54)-$H$54),0)</f>
        <v/>
      </c>
      <c r="R640">
        <f>MAX(0,N640-M640)</f>
        <v/>
      </c>
      <c r="S640">
        <f>IF(Q640-R640&gt;1E-9,Q640-R640,0)</f>
        <v/>
      </c>
      <c r="T640">
        <f>S639*$G$54</f>
        <v/>
      </c>
      <c r="U640">
        <f>IF(W639&gt;0,MAX(0,W639*(1+$G$55)-$H$55),0)</f>
        <v/>
      </c>
      <c r="V640">
        <f>MAX(0,R640-Q640)</f>
        <v/>
      </c>
      <c r="W640">
        <f>IF(U640-V640&gt;1E-9,U640-V640,0)</f>
        <v/>
      </c>
      <c r="X640">
        <f>W639*$G$55</f>
        <v/>
      </c>
      <c r="Y640">
        <f>IF(Y639&gt;1E-9,IF(Y639*(1+$G$51)-MAX($B$9,0.01*Y639+Y639*$G$51)&gt;1E-9,Y639*(1+$G$51)-MAX($B$9,0.01*Y639+Y639*$G$51),0),0)</f>
        <v/>
      </c>
      <c r="Z640">
        <f>Y639*$G$51</f>
        <v/>
      </c>
      <c r="AA640">
        <f>IF(AA639&gt;1E-9,IF(AA639*(1+$G$52)-MAX($B$9,0.01*AA639+AA639*$G$52)&gt;1E-9,AA639*(1+$G$52)-MAX($B$9,0.01*AA639+AA639*$G$52),0),0)</f>
        <v/>
      </c>
      <c r="AB640">
        <f>AA639*$G$52</f>
        <v/>
      </c>
      <c r="AC640">
        <f>IF(AC639&gt;1E-9,IF(AC639*(1+$G$53)-MAX($B$9,0.01*AC639+AC639*$G$53)&gt;1E-9,AC639*(1+$G$53)-MAX($B$9,0.01*AC639+AC639*$G$53),0),0)</f>
        <v/>
      </c>
      <c r="AD640">
        <f>AC639*$G$53</f>
        <v/>
      </c>
      <c r="AE640">
        <f>IF(AE639&gt;1E-9,IF(AE639*(1+$G$54)-MAX($B$9,0.01*AE639+AE639*$G$54)&gt;1E-9,AE639*(1+$G$54)-MAX($B$9,0.01*AE639+AE639*$G$54),0),0)</f>
        <v/>
      </c>
      <c r="AF640">
        <f>AE639*$G$54</f>
        <v/>
      </c>
      <c r="AG640">
        <f>IF(AG639&gt;1E-9,IF(AG639*(1+$G$55)-MAX($B$9,0.01*AG639+AG639*$G$55)&gt;1E-9,AG639*(1+$G$55)-MAX($B$9,0.01*AG639+AG639*$G$55),0),0)</f>
        <v/>
      </c>
      <c r="AH640">
        <f>AG639*$G$55</f>
        <v/>
      </c>
      <c r="AI640">
        <f>G640+K640+O640+S640+W640</f>
        <v/>
      </c>
      <c r="AJ640">
        <f>AI639+AK640-AI640</f>
        <v/>
      </c>
      <c r="AK640">
        <f>H640+L640+P640+T640+X640</f>
        <v/>
      </c>
      <c r="AL640">
        <f>TEXT(EDATE($B$5,D640-1),"mmm yyyy")</f>
        <v/>
      </c>
      <c r="AM640">
        <f>AI640</f>
        <v/>
      </c>
    </row>
    <row r="641">
      <c r="D641" t="n">
        <v>580</v>
      </c>
      <c r="E641">
        <f>IF(G640&gt;0,MAX(0,G640*(1+$G$51)-$H$51),0)</f>
        <v/>
      </c>
      <c r="F641">
        <f>$B$6+IF($D641=$B$8,$B$7,0)</f>
        <v/>
      </c>
      <c r="G641">
        <f>IF(E641-F641&gt;1E-9,E641-F641,0)</f>
        <v/>
      </c>
      <c r="H641">
        <f>G640*$G$51</f>
        <v/>
      </c>
      <c r="I641">
        <f>IF(K640&gt;0,MAX(0,K640*(1+$G$52)-$H$52),0)</f>
        <v/>
      </c>
      <c r="J641">
        <f>MAX(0,F641-E641)</f>
        <v/>
      </c>
      <c r="K641">
        <f>IF(I641-J641&gt;1E-9,I641-J641,0)</f>
        <v/>
      </c>
      <c r="L641">
        <f>K640*$G$52</f>
        <v/>
      </c>
      <c r="M641">
        <f>IF(O640&gt;0,MAX(0,O640*(1+$G$53)-$H$53),0)</f>
        <v/>
      </c>
      <c r="N641">
        <f>MAX(0,J641-I641)</f>
        <v/>
      </c>
      <c r="O641">
        <f>IF(M641-N641&gt;1E-9,M641-N641,0)</f>
        <v/>
      </c>
      <c r="P641">
        <f>O640*$G$53</f>
        <v/>
      </c>
      <c r="Q641">
        <f>IF(S640&gt;0,MAX(0,S640*(1+$G$54)-$H$54),0)</f>
        <v/>
      </c>
      <c r="R641">
        <f>MAX(0,N641-M641)</f>
        <v/>
      </c>
      <c r="S641">
        <f>IF(Q641-R641&gt;1E-9,Q641-R641,0)</f>
        <v/>
      </c>
      <c r="T641">
        <f>S640*$G$54</f>
        <v/>
      </c>
      <c r="U641">
        <f>IF(W640&gt;0,MAX(0,W640*(1+$G$55)-$H$55),0)</f>
        <v/>
      </c>
      <c r="V641">
        <f>MAX(0,R641-Q641)</f>
        <v/>
      </c>
      <c r="W641">
        <f>IF(U641-V641&gt;1E-9,U641-V641,0)</f>
        <v/>
      </c>
      <c r="X641">
        <f>W640*$G$55</f>
        <v/>
      </c>
      <c r="Y641">
        <f>IF(Y640&gt;1E-9,IF(Y640*(1+$G$51)-MAX($B$9,0.01*Y640+Y640*$G$51)&gt;1E-9,Y640*(1+$G$51)-MAX($B$9,0.01*Y640+Y640*$G$51),0),0)</f>
        <v/>
      </c>
      <c r="Z641">
        <f>Y640*$G$51</f>
        <v/>
      </c>
      <c r="AA641">
        <f>IF(AA640&gt;1E-9,IF(AA640*(1+$G$52)-MAX($B$9,0.01*AA640+AA640*$G$52)&gt;1E-9,AA640*(1+$G$52)-MAX($B$9,0.01*AA640+AA640*$G$52),0),0)</f>
        <v/>
      </c>
      <c r="AB641">
        <f>AA640*$G$52</f>
        <v/>
      </c>
      <c r="AC641">
        <f>IF(AC640&gt;1E-9,IF(AC640*(1+$G$53)-MAX($B$9,0.01*AC640+AC640*$G$53)&gt;1E-9,AC640*(1+$G$53)-MAX($B$9,0.01*AC640+AC640*$G$53),0),0)</f>
        <v/>
      </c>
      <c r="AD641">
        <f>AC640*$G$53</f>
        <v/>
      </c>
      <c r="AE641">
        <f>IF(AE640&gt;1E-9,IF(AE640*(1+$G$54)-MAX($B$9,0.01*AE640+AE640*$G$54)&gt;1E-9,AE640*(1+$G$54)-MAX($B$9,0.01*AE640+AE640*$G$54),0),0)</f>
        <v/>
      </c>
      <c r="AF641">
        <f>AE640*$G$54</f>
        <v/>
      </c>
      <c r="AG641">
        <f>IF(AG640&gt;1E-9,IF(AG640*(1+$G$55)-MAX($B$9,0.01*AG640+AG640*$G$55)&gt;1E-9,AG640*(1+$G$55)-MAX($B$9,0.01*AG640+AG640*$G$55),0),0)</f>
        <v/>
      </c>
      <c r="AH641">
        <f>AG640*$G$55</f>
        <v/>
      </c>
      <c r="AI641">
        <f>G641+K641+O641+S641+W641</f>
        <v/>
      </c>
      <c r="AJ641">
        <f>AI640+AK641-AI641</f>
        <v/>
      </c>
      <c r="AK641">
        <f>H641+L641+P641+T641+X641</f>
        <v/>
      </c>
      <c r="AL641">
        <f>TEXT(EDATE($B$5,D641-1),"mmm yyyy")</f>
        <v/>
      </c>
      <c r="AM641">
        <f>AI641</f>
        <v/>
      </c>
    </row>
    <row r="642">
      <c r="D642" t="n">
        <v>581</v>
      </c>
      <c r="E642">
        <f>IF(G641&gt;0,MAX(0,G641*(1+$G$51)-$H$51),0)</f>
        <v/>
      </c>
      <c r="F642">
        <f>$B$6+IF($D642=$B$8,$B$7,0)</f>
        <v/>
      </c>
      <c r="G642">
        <f>IF(E642-F642&gt;1E-9,E642-F642,0)</f>
        <v/>
      </c>
      <c r="H642">
        <f>G641*$G$51</f>
        <v/>
      </c>
      <c r="I642">
        <f>IF(K641&gt;0,MAX(0,K641*(1+$G$52)-$H$52),0)</f>
        <v/>
      </c>
      <c r="J642">
        <f>MAX(0,F642-E642)</f>
        <v/>
      </c>
      <c r="K642">
        <f>IF(I642-J642&gt;1E-9,I642-J642,0)</f>
        <v/>
      </c>
      <c r="L642">
        <f>K641*$G$52</f>
        <v/>
      </c>
      <c r="M642">
        <f>IF(O641&gt;0,MAX(0,O641*(1+$G$53)-$H$53),0)</f>
        <v/>
      </c>
      <c r="N642">
        <f>MAX(0,J642-I642)</f>
        <v/>
      </c>
      <c r="O642">
        <f>IF(M642-N642&gt;1E-9,M642-N642,0)</f>
        <v/>
      </c>
      <c r="P642">
        <f>O641*$G$53</f>
        <v/>
      </c>
      <c r="Q642">
        <f>IF(S641&gt;0,MAX(0,S641*(1+$G$54)-$H$54),0)</f>
        <v/>
      </c>
      <c r="R642">
        <f>MAX(0,N642-M642)</f>
        <v/>
      </c>
      <c r="S642">
        <f>IF(Q642-R642&gt;1E-9,Q642-R642,0)</f>
        <v/>
      </c>
      <c r="T642">
        <f>S641*$G$54</f>
        <v/>
      </c>
      <c r="U642">
        <f>IF(W641&gt;0,MAX(0,W641*(1+$G$55)-$H$55),0)</f>
        <v/>
      </c>
      <c r="V642">
        <f>MAX(0,R642-Q642)</f>
        <v/>
      </c>
      <c r="W642">
        <f>IF(U642-V642&gt;1E-9,U642-V642,0)</f>
        <v/>
      </c>
      <c r="X642">
        <f>W641*$G$55</f>
        <v/>
      </c>
      <c r="Y642">
        <f>IF(Y641&gt;1E-9,IF(Y641*(1+$G$51)-MAX($B$9,0.01*Y641+Y641*$G$51)&gt;1E-9,Y641*(1+$G$51)-MAX($B$9,0.01*Y641+Y641*$G$51),0),0)</f>
        <v/>
      </c>
      <c r="Z642">
        <f>Y641*$G$51</f>
        <v/>
      </c>
      <c r="AA642">
        <f>IF(AA641&gt;1E-9,IF(AA641*(1+$G$52)-MAX($B$9,0.01*AA641+AA641*$G$52)&gt;1E-9,AA641*(1+$G$52)-MAX($B$9,0.01*AA641+AA641*$G$52),0),0)</f>
        <v/>
      </c>
      <c r="AB642">
        <f>AA641*$G$52</f>
        <v/>
      </c>
      <c r="AC642">
        <f>IF(AC641&gt;1E-9,IF(AC641*(1+$G$53)-MAX($B$9,0.01*AC641+AC641*$G$53)&gt;1E-9,AC641*(1+$G$53)-MAX($B$9,0.01*AC641+AC641*$G$53),0),0)</f>
        <v/>
      </c>
      <c r="AD642">
        <f>AC641*$G$53</f>
        <v/>
      </c>
      <c r="AE642">
        <f>IF(AE641&gt;1E-9,IF(AE641*(1+$G$54)-MAX($B$9,0.01*AE641+AE641*$G$54)&gt;1E-9,AE641*(1+$G$54)-MAX($B$9,0.01*AE641+AE641*$G$54),0),0)</f>
        <v/>
      </c>
      <c r="AF642">
        <f>AE641*$G$54</f>
        <v/>
      </c>
      <c r="AG642">
        <f>IF(AG641&gt;1E-9,IF(AG641*(1+$G$55)-MAX($B$9,0.01*AG641+AG641*$G$55)&gt;1E-9,AG641*(1+$G$55)-MAX($B$9,0.01*AG641+AG641*$G$55),0),0)</f>
        <v/>
      </c>
      <c r="AH642">
        <f>AG641*$G$55</f>
        <v/>
      </c>
      <c r="AI642">
        <f>G642+K642+O642+S642+W642</f>
        <v/>
      </c>
      <c r="AJ642">
        <f>AI641+AK642-AI642</f>
        <v/>
      </c>
      <c r="AK642">
        <f>H642+L642+P642+T642+X642</f>
        <v/>
      </c>
      <c r="AL642">
        <f>TEXT(EDATE($B$5,D642-1),"mmm yyyy")</f>
        <v/>
      </c>
      <c r="AM642">
        <f>AI642</f>
        <v/>
      </c>
    </row>
    <row r="643">
      <c r="D643" t="n">
        <v>582</v>
      </c>
      <c r="E643">
        <f>IF(G642&gt;0,MAX(0,G642*(1+$G$51)-$H$51),0)</f>
        <v/>
      </c>
      <c r="F643">
        <f>$B$6+IF($D643=$B$8,$B$7,0)</f>
        <v/>
      </c>
      <c r="G643">
        <f>IF(E643-F643&gt;1E-9,E643-F643,0)</f>
        <v/>
      </c>
      <c r="H643">
        <f>G642*$G$51</f>
        <v/>
      </c>
      <c r="I643">
        <f>IF(K642&gt;0,MAX(0,K642*(1+$G$52)-$H$52),0)</f>
        <v/>
      </c>
      <c r="J643">
        <f>MAX(0,F643-E643)</f>
        <v/>
      </c>
      <c r="K643">
        <f>IF(I643-J643&gt;1E-9,I643-J643,0)</f>
        <v/>
      </c>
      <c r="L643">
        <f>K642*$G$52</f>
        <v/>
      </c>
      <c r="M643">
        <f>IF(O642&gt;0,MAX(0,O642*(1+$G$53)-$H$53),0)</f>
        <v/>
      </c>
      <c r="N643">
        <f>MAX(0,J643-I643)</f>
        <v/>
      </c>
      <c r="O643">
        <f>IF(M643-N643&gt;1E-9,M643-N643,0)</f>
        <v/>
      </c>
      <c r="P643">
        <f>O642*$G$53</f>
        <v/>
      </c>
      <c r="Q643">
        <f>IF(S642&gt;0,MAX(0,S642*(1+$G$54)-$H$54),0)</f>
        <v/>
      </c>
      <c r="R643">
        <f>MAX(0,N643-M643)</f>
        <v/>
      </c>
      <c r="S643">
        <f>IF(Q643-R643&gt;1E-9,Q643-R643,0)</f>
        <v/>
      </c>
      <c r="T643">
        <f>S642*$G$54</f>
        <v/>
      </c>
      <c r="U643">
        <f>IF(W642&gt;0,MAX(0,W642*(1+$G$55)-$H$55),0)</f>
        <v/>
      </c>
      <c r="V643">
        <f>MAX(0,R643-Q643)</f>
        <v/>
      </c>
      <c r="W643">
        <f>IF(U643-V643&gt;1E-9,U643-V643,0)</f>
        <v/>
      </c>
      <c r="X643">
        <f>W642*$G$55</f>
        <v/>
      </c>
      <c r="Y643">
        <f>IF(Y642&gt;1E-9,IF(Y642*(1+$G$51)-MAX($B$9,0.01*Y642+Y642*$G$51)&gt;1E-9,Y642*(1+$G$51)-MAX($B$9,0.01*Y642+Y642*$G$51),0),0)</f>
        <v/>
      </c>
      <c r="Z643">
        <f>Y642*$G$51</f>
        <v/>
      </c>
      <c r="AA643">
        <f>IF(AA642&gt;1E-9,IF(AA642*(1+$G$52)-MAX($B$9,0.01*AA642+AA642*$G$52)&gt;1E-9,AA642*(1+$G$52)-MAX($B$9,0.01*AA642+AA642*$G$52),0),0)</f>
        <v/>
      </c>
      <c r="AB643">
        <f>AA642*$G$52</f>
        <v/>
      </c>
      <c r="AC643">
        <f>IF(AC642&gt;1E-9,IF(AC642*(1+$G$53)-MAX($B$9,0.01*AC642+AC642*$G$53)&gt;1E-9,AC642*(1+$G$53)-MAX($B$9,0.01*AC642+AC642*$G$53),0),0)</f>
        <v/>
      </c>
      <c r="AD643">
        <f>AC642*$G$53</f>
        <v/>
      </c>
      <c r="AE643">
        <f>IF(AE642&gt;1E-9,IF(AE642*(1+$G$54)-MAX($B$9,0.01*AE642+AE642*$G$54)&gt;1E-9,AE642*(1+$G$54)-MAX($B$9,0.01*AE642+AE642*$G$54),0),0)</f>
        <v/>
      </c>
      <c r="AF643">
        <f>AE642*$G$54</f>
        <v/>
      </c>
      <c r="AG643">
        <f>IF(AG642&gt;1E-9,IF(AG642*(1+$G$55)-MAX($B$9,0.01*AG642+AG642*$G$55)&gt;1E-9,AG642*(1+$G$55)-MAX($B$9,0.01*AG642+AG642*$G$55),0),0)</f>
        <v/>
      </c>
      <c r="AH643">
        <f>AG642*$G$55</f>
        <v/>
      </c>
      <c r="AI643">
        <f>G643+K643+O643+S643+W643</f>
        <v/>
      </c>
      <c r="AJ643">
        <f>AI642+AK643-AI643</f>
        <v/>
      </c>
      <c r="AK643">
        <f>H643+L643+P643+T643+X643</f>
        <v/>
      </c>
      <c r="AL643">
        <f>TEXT(EDATE($B$5,D643-1),"mmm yyyy")</f>
        <v/>
      </c>
      <c r="AM643">
        <f>AI643</f>
        <v/>
      </c>
    </row>
    <row r="644">
      <c r="D644" t="n">
        <v>583</v>
      </c>
      <c r="E644">
        <f>IF(G643&gt;0,MAX(0,G643*(1+$G$51)-$H$51),0)</f>
        <v/>
      </c>
      <c r="F644">
        <f>$B$6+IF($D644=$B$8,$B$7,0)</f>
        <v/>
      </c>
      <c r="G644">
        <f>IF(E644-F644&gt;1E-9,E644-F644,0)</f>
        <v/>
      </c>
      <c r="H644">
        <f>G643*$G$51</f>
        <v/>
      </c>
      <c r="I644">
        <f>IF(K643&gt;0,MAX(0,K643*(1+$G$52)-$H$52),0)</f>
        <v/>
      </c>
      <c r="J644">
        <f>MAX(0,F644-E644)</f>
        <v/>
      </c>
      <c r="K644">
        <f>IF(I644-J644&gt;1E-9,I644-J644,0)</f>
        <v/>
      </c>
      <c r="L644">
        <f>K643*$G$52</f>
        <v/>
      </c>
      <c r="M644">
        <f>IF(O643&gt;0,MAX(0,O643*(1+$G$53)-$H$53),0)</f>
        <v/>
      </c>
      <c r="N644">
        <f>MAX(0,J644-I644)</f>
        <v/>
      </c>
      <c r="O644">
        <f>IF(M644-N644&gt;1E-9,M644-N644,0)</f>
        <v/>
      </c>
      <c r="P644">
        <f>O643*$G$53</f>
        <v/>
      </c>
      <c r="Q644">
        <f>IF(S643&gt;0,MAX(0,S643*(1+$G$54)-$H$54),0)</f>
        <v/>
      </c>
      <c r="R644">
        <f>MAX(0,N644-M644)</f>
        <v/>
      </c>
      <c r="S644">
        <f>IF(Q644-R644&gt;1E-9,Q644-R644,0)</f>
        <v/>
      </c>
      <c r="T644">
        <f>S643*$G$54</f>
        <v/>
      </c>
      <c r="U644">
        <f>IF(W643&gt;0,MAX(0,W643*(1+$G$55)-$H$55),0)</f>
        <v/>
      </c>
      <c r="V644">
        <f>MAX(0,R644-Q644)</f>
        <v/>
      </c>
      <c r="W644">
        <f>IF(U644-V644&gt;1E-9,U644-V644,0)</f>
        <v/>
      </c>
      <c r="X644">
        <f>W643*$G$55</f>
        <v/>
      </c>
      <c r="Y644">
        <f>IF(Y643&gt;1E-9,IF(Y643*(1+$G$51)-MAX($B$9,0.01*Y643+Y643*$G$51)&gt;1E-9,Y643*(1+$G$51)-MAX($B$9,0.01*Y643+Y643*$G$51),0),0)</f>
        <v/>
      </c>
      <c r="Z644">
        <f>Y643*$G$51</f>
        <v/>
      </c>
      <c r="AA644">
        <f>IF(AA643&gt;1E-9,IF(AA643*(1+$G$52)-MAX($B$9,0.01*AA643+AA643*$G$52)&gt;1E-9,AA643*(1+$G$52)-MAX($B$9,0.01*AA643+AA643*$G$52),0),0)</f>
        <v/>
      </c>
      <c r="AB644">
        <f>AA643*$G$52</f>
        <v/>
      </c>
      <c r="AC644">
        <f>IF(AC643&gt;1E-9,IF(AC643*(1+$G$53)-MAX($B$9,0.01*AC643+AC643*$G$53)&gt;1E-9,AC643*(1+$G$53)-MAX($B$9,0.01*AC643+AC643*$G$53),0),0)</f>
        <v/>
      </c>
      <c r="AD644">
        <f>AC643*$G$53</f>
        <v/>
      </c>
      <c r="AE644">
        <f>IF(AE643&gt;1E-9,IF(AE643*(1+$G$54)-MAX($B$9,0.01*AE643+AE643*$G$54)&gt;1E-9,AE643*(1+$G$54)-MAX($B$9,0.01*AE643+AE643*$G$54),0),0)</f>
        <v/>
      </c>
      <c r="AF644">
        <f>AE643*$G$54</f>
        <v/>
      </c>
      <c r="AG644">
        <f>IF(AG643&gt;1E-9,IF(AG643*(1+$G$55)-MAX($B$9,0.01*AG643+AG643*$G$55)&gt;1E-9,AG643*(1+$G$55)-MAX($B$9,0.01*AG643+AG643*$G$55),0),0)</f>
        <v/>
      </c>
      <c r="AH644">
        <f>AG643*$G$55</f>
        <v/>
      </c>
      <c r="AI644">
        <f>G644+K644+O644+S644+W644</f>
        <v/>
      </c>
      <c r="AJ644">
        <f>AI643+AK644-AI644</f>
        <v/>
      </c>
      <c r="AK644">
        <f>H644+L644+P644+T644+X644</f>
        <v/>
      </c>
      <c r="AL644">
        <f>TEXT(EDATE($B$5,D644-1),"mmm yyyy")</f>
        <v/>
      </c>
      <c r="AM644">
        <f>AI644</f>
        <v/>
      </c>
    </row>
    <row r="645">
      <c r="D645" t="n">
        <v>584</v>
      </c>
      <c r="E645">
        <f>IF(G644&gt;0,MAX(0,G644*(1+$G$51)-$H$51),0)</f>
        <v/>
      </c>
      <c r="F645">
        <f>$B$6+IF($D645=$B$8,$B$7,0)</f>
        <v/>
      </c>
      <c r="G645">
        <f>IF(E645-F645&gt;1E-9,E645-F645,0)</f>
        <v/>
      </c>
      <c r="H645">
        <f>G644*$G$51</f>
        <v/>
      </c>
      <c r="I645">
        <f>IF(K644&gt;0,MAX(0,K644*(1+$G$52)-$H$52),0)</f>
        <v/>
      </c>
      <c r="J645">
        <f>MAX(0,F645-E645)</f>
        <v/>
      </c>
      <c r="K645">
        <f>IF(I645-J645&gt;1E-9,I645-J645,0)</f>
        <v/>
      </c>
      <c r="L645">
        <f>K644*$G$52</f>
        <v/>
      </c>
      <c r="M645">
        <f>IF(O644&gt;0,MAX(0,O644*(1+$G$53)-$H$53),0)</f>
        <v/>
      </c>
      <c r="N645">
        <f>MAX(0,J645-I645)</f>
        <v/>
      </c>
      <c r="O645">
        <f>IF(M645-N645&gt;1E-9,M645-N645,0)</f>
        <v/>
      </c>
      <c r="P645">
        <f>O644*$G$53</f>
        <v/>
      </c>
      <c r="Q645">
        <f>IF(S644&gt;0,MAX(0,S644*(1+$G$54)-$H$54),0)</f>
        <v/>
      </c>
      <c r="R645">
        <f>MAX(0,N645-M645)</f>
        <v/>
      </c>
      <c r="S645">
        <f>IF(Q645-R645&gt;1E-9,Q645-R645,0)</f>
        <v/>
      </c>
      <c r="T645">
        <f>S644*$G$54</f>
        <v/>
      </c>
      <c r="U645">
        <f>IF(W644&gt;0,MAX(0,W644*(1+$G$55)-$H$55),0)</f>
        <v/>
      </c>
      <c r="V645">
        <f>MAX(0,R645-Q645)</f>
        <v/>
      </c>
      <c r="W645">
        <f>IF(U645-V645&gt;1E-9,U645-V645,0)</f>
        <v/>
      </c>
      <c r="X645">
        <f>W644*$G$55</f>
        <v/>
      </c>
      <c r="Y645">
        <f>IF(Y644&gt;1E-9,IF(Y644*(1+$G$51)-MAX($B$9,0.01*Y644+Y644*$G$51)&gt;1E-9,Y644*(1+$G$51)-MAX($B$9,0.01*Y644+Y644*$G$51),0),0)</f>
        <v/>
      </c>
      <c r="Z645">
        <f>Y644*$G$51</f>
        <v/>
      </c>
      <c r="AA645">
        <f>IF(AA644&gt;1E-9,IF(AA644*(1+$G$52)-MAX($B$9,0.01*AA644+AA644*$G$52)&gt;1E-9,AA644*(1+$G$52)-MAX($B$9,0.01*AA644+AA644*$G$52),0),0)</f>
        <v/>
      </c>
      <c r="AB645">
        <f>AA644*$G$52</f>
        <v/>
      </c>
      <c r="AC645">
        <f>IF(AC644&gt;1E-9,IF(AC644*(1+$G$53)-MAX($B$9,0.01*AC644+AC644*$G$53)&gt;1E-9,AC644*(1+$G$53)-MAX($B$9,0.01*AC644+AC644*$G$53),0),0)</f>
        <v/>
      </c>
      <c r="AD645">
        <f>AC644*$G$53</f>
        <v/>
      </c>
      <c r="AE645">
        <f>IF(AE644&gt;1E-9,IF(AE644*(1+$G$54)-MAX($B$9,0.01*AE644+AE644*$G$54)&gt;1E-9,AE644*(1+$G$54)-MAX($B$9,0.01*AE644+AE644*$G$54),0),0)</f>
        <v/>
      </c>
      <c r="AF645">
        <f>AE644*$G$54</f>
        <v/>
      </c>
      <c r="AG645">
        <f>IF(AG644&gt;1E-9,IF(AG644*(1+$G$55)-MAX($B$9,0.01*AG644+AG644*$G$55)&gt;1E-9,AG644*(1+$G$55)-MAX($B$9,0.01*AG644+AG644*$G$55),0),0)</f>
        <v/>
      </c>
      <c r="AH645">
        <f>AG644*$G$55</f>
        <v/>
      </c>
      <c r="AI645">
        <f>G645+K645+O645+S645+W645</f>
        <v/>
      </c>
      <c r="AJ645">
        <f>AI644+AK645-AI645</f>
        <v/>
      </c>
      <c r="AK645">
        <f>H645+L645+P645+T645+X645</f>
        <v/>
      </c>
      <c r="AL645">
        <f>TEXT(EDATE($B$5,D645-1),"mmm yyyy")</f>
        <v/>
      </c>
      <c r="AM645">
        <f>AI645</f>
        <v/>
      </c>
    </row>
    <row r="646">
      <c r="D646" t="n">
        <v>585</v>
      </c>
      <c r="E646">
        <f>IF(G645&gt;0,MAX(0,G645*(1+$G$51)-$H$51),0)</f>
        <v/>
      </c>
      <c r="F646">
        <f>$B$6+IF($D646=$B$8,$B$7,0)</f>
        <v/>
      </c>
      <c r="G646">
        <f>IF(E646-F646&gt;1E-9,E646-F646,0)</f>
        <v/>
      </c>
      <c r="H646">
        <f>G645*$G$51</f>
        <v/>
      </c>
      <c r="I646">
        <f>IF(K645&gt;0,MAX(0,K645*(1+$G$52)-$H$52),0)</f>
        <v/>
      </c>
      <c r="J646">
        <f>MAX(0,F646-E646)</f>
        <v/>
      </c>
      <c r="K646">
        <f>IF(I646-J646&gt;1E-9,I646-J646,0)</f>
        <v/>
      </c>
      <c r="L646">
        <f>K645*$G$52</f>
        <v/>
      </c>
      <c r="M646">
        <f>IF(O645&gt;0,MAX(0,O645*(1+$G$53)-$H$53),0)</f>
        <v/>
      </c>
      <c r="N646">
        <f>MAX(0,J646-I646)</f>
        <v/>
      </c>
      <c r="O646">
        <f>IF(M646-N646&gt;1E-9,M646-N646,0)</f>
        <v/>
      </c>
      <c r="P646">
        <f>O645*$G$53</f>
        <v/>
      </c>
      <c r="Q646">
        <f>IF(S645&gt;0,MAX(0,S645*(1+$G$54)-$H$54),0)</f>
        <v/>
      </c>
      <c r="R646">
        <f>MAX(0,N646-M646)</f>
        <v/>
      </c>
      <c r="S646">
        <f>IF(Q646-R646&gt;1E-9,Q646-R646,0)</f>
        <v/>
      </c>
      <c r="T646">
        <f>S645*$G$54</f>
        <v/>
      </c>
      <c r="U646">
        <f>IF(W645&gt;0,MAX(0,W645*(1+$G$55)-$H$55),0)</f>
        <v/>
      </c>
      <c r="V646">
        <f>MAX(0,R646-Q646)</f>
        <v/>
      </c>
      <c r="W646">
        <f>IF(U646-V646&gt;1E-9,U646-V646,0)</f>
        <v/>
      </c>
      <c r="X646">
        <f>W645*$G$55</f>
        <v/>
      </c>
      <c r="Y646">
        <f>IF(Y645&gt;1E-9,IF(Y645*(1+$G$51)-MAX($B$9,0.01*Y645+Y645*$G$51)&gt;1E-9,Y645*(1+$G$51)-MAX($B$9,0.01*Y645+Y645*$G$51),0),0)</f>
        <v/>
      </c>
      <c r="Z646">
        <f>Y645*$G$51</f>
        <v/>
      </c>
      <c r="AA646">
        <f>IF(AA645&gt;1E-9,IF(AA645*(1+$G$52)-MAX($B$9,0.01*AA645+AA645*$G$52)&gt;1E-9,AA645*(1+$G$52)-MAX($B$9,0.01*AA645+AA645*$G$52),0),0)</f>
        <v/>
      </c>
      <c r="AB646">
        <f>AA645*$G$52</f>
        <v/>
      </c>
      <c r="AC646">
        <f>IF(AC645&gt;1E-9,IF(AC645*(1+$G$53)-MAX($B$9,0.01*AC645+AC645*$G$53)&gt;1E-9,AC645*(1+$G$53)-MAX($B$9,0.01*AC645+AC645*$G$53),0),0)</f>
        <v/>
      </c>
      <c r="AD646">
        <f>AC645*$G$53</f>
        <v/>
      </c>
      <c r="AE646">
        <f>IF(AE645&gt;1E-9,IF(AE645*(1+$G$54)-MAX($B$9,0.01*AE645+AE645*$G$54)&gt;1E-9,AE645*(1+$G$54)-MAX($B$9,0.01*AE645+AE645*$G$54),0),0)</f>
        <v/>
      </c>
      <c r="AF646">
        <f>AE645*$G$54</f>
        <v/>
      </c>
      <c r="AG646">
        <f>IF(AG645&gt;1E-9,IF(AG645*(1+$G$55)-MAX($B$9,0.01*AG645+AG645*$G$55)&gt;1E-9,AG645*(1+$G$55)-MAX($B$9,0.01*AG645+AG645*$G$55),0),0)</f>
        <v/>
      </c>
      <c r="AH646">
        <f>AG645*$G$55</f>
        <v/>
      </c>
      <c r="AI646">
        <f>G646+K646+O646+S646+W646</f>
        <v/>
      </c>
      <c r="AJ646">
        <f>AI645+AK646-AI646</f>
        <v/>
      </c>
      <c r="AK646">
        <f>H646+L646+P646+T646+X646</f>
        <v/>
      </c>
      <c r="AL646">
        <f>TEXT(EDATE($B$5,D646-1),"mmm yyyy")</f>
        <v/>
      </c>
      <c r="AM646">
        <f>AI646</f>
        <v/>
      </c>
    </row>
    <row r="647">
      <c r="D647" t="n">
        <v>586</v>
      </c>
      <c r="E647">
        <f>IF(G646&gt;0,MAX(0,G646*(1+$G$51)-$H$51),0)</f>
        <v/>
      </c>
      <c r="F647">
        <f>$B$6+IF($D647=$B$8,$B$7,0)</f>
        <v/>
      </c>
      <c r="G647">
        <f>IF(E647-F647&gt;1E-9,E647-F647,0)</f>
        <v/>
      </c>
      <c r="H647">
        <f>G646*$G$51</f>
        <v/>
      </c>
      <c r="I647">
        <f>IF(K646&gt;0,MAX(0,K646*(1+$G$52)-$H$52),0)</f>
        <v/>
      </c>
      <c r="J647">
        <f>MAX(0,F647-E647)</f>
        <v/>
      </c>
      <c r="K647">
        <f>IF(I647-J647&gt;1E-9,I647-J647,0)</f>
        <v/>
      </c>
      <c r="L647">
        <f>K646*$G$52</f>
        <v/>
      </c>
      <c r="M647">
        <f>IF(O646&gt;0,MAX(0,O646*(1+$G$53)-$H$53),0)</f>
        <v/>
      </c>
      <c r="N647">
        <f>MAX(0,J647-I647)</f>
        <v/>
      </c>
      <c r="O647">
        <f>IF(M647-N647&gt;1E-9,M647-N647,0)</f>
        <v/>
      </c>
      <c r="P647">
        <f>O646*$G$53</f>
        <v/>
      </c>
      <c r="Q647">
        <f>IF(S646&gt;0,MAX(0,S646*(1+$G$54)-$H$54),0)</f>
        <v/>
      </c>
      <c r="R647">
        <f>MAX(0,N647-M647)</f>
        <v/>
      </c>
      <c r="S647">
        <f>IF(Q647-R647&gt;1E-9,Q647-R647,0)</f>
        <v/>
      </c>
      <c r="T647">
        <f>S646*$G$54</f>
        <v/>
      </c>
      <c r="U647">
        <f>IF(W646&gt;0,MAX(0,W646*(1+$G$55)-$H$55),0)</f>
        <v/>
      </c>
      <c r="V647">
        <f>MAX(0,R647-Q647)</f>
        <v/>
      </c>
      <c r="W647">
        <f>IF(U647-V647&gt;1E-9,U647-V647,0)</f>
        <v/>
      </c>
      <c r="X647">
        <f>W646*$G$55</f>
        <v/>
      </c>
      <c r="Y647">
        <f>IF(Y646&gt;1E-9,IF(Y646*(1+$G$51)-MAX($B$9,0.01*Y646+Y646*$G$51)&gt;1E-9,Y646*(1+$G$51)-MAX($B$9,0.01*Y646+Y646*$G$51),0),0)</f>
        <v/>
      </c>
      <c r="Z647">
        <f>Y646*$G$51</f>
        <v/>
      </c>
      <c r="AA647">
        <f>IF(AA646&gt;1E-9,IF(AA646*(1+$G$52)-MAX($B$9,0.01*AA646+AA646*$G$52)&gt;1E-9,AA646*(1+$G$52)-MAX($B$9,0.01*AA646+AA646*$G$52),0),0)</f>
        <v/>
      </c>
      <c r="AB647">
        <f>AA646*$G$52</f>
        <v/>
      </c>
      <c r="AC647">
        <f>IF(AC646&gt;1E-9,IF(AC646*(1+$G$53)-MAX($B$9,0.01*AC646+AC646*$G$53)&gt;1E-9,AC646*(1+$G$53)-MAX($B$9,0.01*AC646+AC646*$G$53),0),0)</f>
        <v/>
      </c>
      <c r="AD647">
        <f>AC646*$G$53</f>
        <v/>
      </c>
      <c r="AE647">
        <f>IF(AE646&gt;1E-9,IF(AE646*(1+$G$54)-MAX($B$9,0.01*AE646+AE646*$G$54)&gt;1E-9,AE646*(1+$G$54)-MAX($B$9,0.01*AE646+AE646*$G$54),0),0)</f>
        <v/>
      </c>
      <c r="AF647">
        <f>AE646*$G$54</f>
        <v/>
      </c>
      <c r="AG647">
        <f>IF(AG646&gt;1E-9,IF(AG646*(1+$G$55)-MAX($B$9,0.01*AG646+AG646*$G$55)&gt;1E-9,AG646*(1+$G$55)-MAX($B$9,0.01*AG646+AG646*$G$55),0),0)</f>
        <v/>
      </c>
      <c r="AH647">
        <f>AG646*$G$55</f>
        <v/>
      </c>
      <c r="AI647">
        <f>G647+K647+O647+S647+W647</f>
        <v/>
      </c>
      <c r="AJ647">
        <f>AI646+AK647-AI647</f>
        <v/>
      </c>
      <c r="AK647">
        <f>H647+L647+P647+T647+X647</f>
        <v/>
      </c>
      <c r="AL647">
        <f>TEXT(EDATE($B$5,D647-1),"mmm yyyy")</f>
        <v/>
      </c>
      <c r="AM647">
        <f>AI647</f>
        <v/>
      </c>
    </row>
    <row r="648">
      <c r="D648" t="n">
        <v>587</v>
      </c>
      <c r="E648">
        <f>IF(G647&gt;0,MAX(0,G647*(1+$G$51)-$H$51),0)</f>
        <v/>
      </c>
      <c r="F648">
        <f>$B$6+IF($D648=$B$8,$B$7,0)</f>
        <v/>
      </c>
      <c r="G648">
        <f>IF(E648-F648&gt;1E-9,E648-F648,0)</f>
        <v/>
      </c>
      <c r="H648">
        <f>G647*$G$51</f>
        <v/>
      </c>
      <c r="I648">
        <f>IF(K647&gt;0,MAX(0,K647*(1+$G$52)-$H$52),0)</f>
        <v/>
      </c>
      <c r="J648">
        <f>MAX(0,F648-E648)</f>
        <v/>
      </c>
      <c r="K648">
        <f>IF(I648-J648&gt;1E-9,I648-J648,0)</f>
        <v/>
      </c>
      <c r="L648">
        <f>K647*$G$52</f>
        <v/>
      </c>
      <c r="M648">
        <f>IF(O647&gt;0,MAX(0,O647*(1+$G$53)-$H$53),0)</f>
        <v/>
      </c>
      <c r="N648">
        <f>MAX(0,J648-I648)</f>
        <v/>
      </c>
      <c r="O648">
        <f>IF(M648-N648&gt;1E-9,M648-N648,0)</f>
        <v/>
      </c>
      <c r="P648">
        <f>O647*$G$53</f>
        <v/>
      </c>
      <c r="Q648">
        <f>IF(S647&gt;0,MAX(0,S647*(1+$G$54)-$H$54),0)</f>
        <v/>
      </c>
      <c r="R648">
        <f>MAX(0,N648-M648)</f>
        <v/>
      </c>
      <c r="S648">
        <f>IF(Q648-R648&gt;1E-9,Q648-R648,0)</f>
        <v/>
      </c>
      <c r="T648">
        <f>S647*$G$54</f>
        <v/>
      </c>
      <c r="U648">
        <f>IF(W647&gt;0,MAX(0,W647*(1+$G$55)-$H$55),0)</f>
        <v/>
      </c>
      <c r="V648">
        <f>MAX(0,R648-Q648)</f>
        <v/>
      </c>
      <c r="W648">
        <f>IF(U648-V648&gt;1E-9,U648-V648,0)</f>
        <v/>
      </c>
      <c r="X648">
        <f>W647*$G$55</f>
        <v/>
      </c>
      <c r="Y648">
        <f>IF(Y647&gt;1E-9,IF(Y647*(1+$G$51)-MAX($B$9,0.01*Y647+Y647*$G$51)&gt;1E-9,Y647*(1+$G$51)-MAX($B$9,0.01*Y647+Y647*$G$51),0),0)</f>
        <v/>
      </c>
      <c r="Z648">
        <f>Y647*$G$51</f>
        <v/>
      </c>
      <c r="AA648">
        <f>IF(AA647&gt;1E-9,IF(AA647*(1+$G$52)-MAX($B$9,0.01*AA647+AA647*$G$52)&gt;1E-9,AA647*(1+$G$52)-MAX($B$9,0.01*AA647+AA647*$G$52),0),0)</f>
        <v/>
      </c>
      <c r="AB648">
        <f>AA647*$G$52</f>
        <v/>
      </c>
      <c r="AC648">
        <f>IF(AC647&gt;1E-9,IF(AC647*(1+$G$53)-MAX($B$9,0.01*AC647+AC647*$G$53)&gt;1E-9,AC647*(1+$G$53)-MAX($B$9,0.01*AC647+AC647*$G$53),0),0)</f>
        <v/>
      </c>
      <c r="AD648">
        <f>AC647*$G$53</f>
        <v/>
      </c>
      <c r="AE648">
        <f>IF(AE647&gt;1E-9,IF(AE647*(1+$G$54)-MAX($B$9,0.01*AE647+AE647*$G$54)&gt;1E-9,AE647*(1+$G$54)-MAX($B$9,0.01*AE647+AE647*$G$54),0),0)</f>
        <v/>
      </c>
      <c r="AF648">
        <f>AE647*$G$54</f>
        <v/>
      </c>
      <c r="AG648">
        <f>IF(AG647&gt;1E-9,IF(AG647*(1+$G$55)-MAX($B$9,0.01*AG647+AG647*$G$55)&gt;1E-9,AG647*(1+$G$55)-MAX($B$9,0.01*AG647+AG647*$G$55),0),0)</f>
        <v/>
      </c>
      <c r="AH648">
        <f>AG647*$G$55</f>
        <v/>
      </c>
      <c r="AI648">
        <f>G648+K648+O648+S648+W648</f>
        <v/>
      </c>
      <c r="AJ648">
        <f>AI647+AK648-AI648</f>
        <v/>
      </c>
      <c r="AK648">
        <f>H648+L648+P648+T648+X648</f>
        <v/>
      </c>
      <c r="AL648">
        <f>TEXT(EDATE($B$5,D648-1),"mmm yyyy")</f>
        <v/>
      </c>
      <c r="AM648">
        <f>AI648</f>
        <v/>
      </c>
    </row>
    <row r="649">
      <c r="D649" t="n">
        <v>588</v>
      </c>
      <c r="E649">
        <f>IF(G648&gt;0,MAX(0,G648*(1+$G$51)-$H$51),0)</f>
        <v/>
      </c>
      <c r="F649">
        <f>$B$6+IF($D649=$B$8,$B$7,0)</f>
        <v/>
      </c>
      <c r="G649">
        <f>IF(E649-F649&gt;1E-9,E649-F649,0)</f>
        <v/>
      </c>
      <c r="H649">
        <f>G648*$G$51</f>
        <v/>
      </c>
      <c r="I649">
        <f>IF(K648&gt;0,MAX(0,K648*(1+$G$52)-$H$52),0)</f>
        <v/>
      </c>
      <c r="J649">
        <f>MAX(0,F649-E649)</f>
        <v/>
      </c>
      <c r="K649">
        <f>IF(I649-J649&gt;1E-9,I649-J649,0)</f>
        <v/>
      </c>
      <c r="L649">
        <f>K648*$G$52</f>
        <v/>
      </c>
      <c r="M649">
        <f>IF(O648&gt;0,MAX(0,O648*(1+$G$53)-$H$53),0)</f>
        <v/>
      </c>
      <c r="N649">
        <f>MAX(0,J649-I649)</f>
        <v/>
      </c>
      <c r="O649">
        <f>IF(M649-N649&gt;1E-9,M649-N649,0)</f>
        <v/>
      </c>
      <c r="P649">
        <f>O648*$G$53</f>
        <v/>
      </c>
      <c r="Q649">
        <f>IF(S648&gt;0,MAX(0,S648*(1+$G$54)-$H$54),0)</f>
        <v/>
      </c>
      <c r="R649">
        <f>MAX(0,N649-M649)</f>
        <v/>
      </c>
      <c r="S649">
        <f>IF(Q649-R649&gt;1E-9,Q649-R649,0)</f>
        <v/>
      </c>
      <c r="T649">
        <f>S648*$G$54</f>
        <v/>
      </c>
      <c r="U649">
        <f>IF(W648&gt;0,MAX(0,W648*(1+$G$55)-$H$55),0)</f>
        <v/>
      </c>
      <c r="V649">
        <f>MAX(0,R649-Q649)</f>
        <v/>
      </c>
      <c r="W649">
        <f>IF(U649-V649&gt;1E-9,U649-V649,0)</f>
        <v/>
      </c>
      <c r="X649">
        <f>W648*$G$55</f>
        <v/>
      </c>
      <c r="Y649">
        <f>IF(Y648&gt;1E-9,IF(Y648*(1+$G$51)-MAX($B$9,0.01*Y648+Y648*$G$51)&gt;1E-9,Y648*(1+$G$51)-MAX($B$9,0.01*Y648+Y648*$G$51),0),0)</f>
        <v/>
      </c>
      <c r="Z649">
        <f>Y648*$G$51</f>
        <v/>
      </c>
      <c r="AA649">
        <f>IF(AA648&gt;1E-9,IF(AA648*(1+$G$52)-MAX($B$9,0.01*AA648+AA648*$G$52)&gt;1E-9,AA648*(1+$G$52)-MAX($B$9,0.01*AA648+AA648*$G$52),0),0)</f>
        <v/>
      </c>
      <c r="AB649">
        <f>AA648*$G$52</f>
        <v/>
      </c>
      <c r="AC649">
        <f>IF(AC648&gt;1E-9,IF(AC648*(1+$G$53)-MAX($B$9,0.01*AC648+AC648*$G$53)&gt;1E-9,AC648*(1+$G$53)-MAX($B$9,0.01*AC648+AC648*$G$53),0),0)</f>
        <v/>
      </c>
      <c r="AD649">
        <f>AC648*$G$53</f>
        <v/>
      </c>
      <c r="AE649">
        <f>IF(AE648&gt;1E-9,IF(AE648*(1+$G$54)-MAX($B$9,0.01*AE648+AE648*$G$54)&gt;1E-9,AE648*(1+$G$54)-MAX($B$9,0.01*AE648+AE648*$G$54),0),0)</f>
        <v/>
      </c>
      <c r="AF649">
        <f>AE648*$G$54</f>
        <v/>
      </c>
      <c r="AG649">
        <f>IF(AG648&gt;1E-9,IF(AG648*(1+$G$55)-MAX($B$9,0.01*AG648+AG648*$G$55)&gt;1E-9,AG648*(1+$G$55)-MAX($B$9,0.01*AG648+AG648*$G$55),0),0)</f>
        <v/>
      </c>
      <c r="AH649">
        <f>AG648*$G$55</f>
        <v/>
      </c>
      <c r="AI649">
        <f>G649+K649+O649+S649+W649</f>
        <v/>
      </c>
      <c r="AJ649">
        <f>AI648+AK649-AI649</f>
        <v/>
      </c>
      <c r="AK649">
        <f>H649+L649+P649+T649+X649</f>
        <v/>
      </c>
      <c r="AL649">
        <f>TEXT(EDATE($B$5,D649-1),"mmm yyyy")</f>
        <v/>
      </c>
      <c r="AM649">
        <f>AI649</f>
        <v/>
      </c>
    </row>
    <row r="650">
      <c r="D650" t="n">
        <v>589</v>
      </c>
      <c r="E650">
        <f>IF(G649&gt;0,MAX(0,G649*(1+$G$51)-$H$51),0)</f>
        <v/>
      </c>
      <c r="F650">
        <f>$B$6+IF($D650=$B$8,$B$7,0)</f>
        <v/>
      </c>
      <c r="G650">
        <f>IF(E650-F650&gt;1E-9,E650-F650,0)</f>
        <v/>
      </c>
      <c r="H650">
        <f>G649*$G$51</f>
        <v/>
      </c>
      <c r="I650">
        <f>IF(K649&gt;0,MAX(0,K649*(1+$G$52)-$H$52),0)</f>
        <v/>
      </c>
      <c r="J650">
        <f>MAX(0,F650-E650)</f>
        <v/>
      </c>
      <c r="K650">
        <f>IF(I650-J650&gt;1E-9,I650-J650,0)</f>
        <v/>
      </c>
      <c r="L650">
        <f>K649*$G$52</f>
        <v/>
      </c>
      <c r="M650">
        <f>IF(O649&gt;0,MAX(0,O649*(1+$G$53)-$H$53),0)</f>
        <v/>
      </c>
      <c r="N650">
        <f>MAX(0,J650-I650)</f>
        <v/>
      </c>
      <c r="O650">
        <f>IF(M650-N650&gt;1E-9,M650-N650,0)</f>
        <v/>
      </c>
      <c r="P650">
        <f>O649*$G$53</f>
        <v/>
      </c>
      <c r="Q650">
        <f>IF(S649&gt;0,MAX(0,S649*(1+$G$54)-$H$54),0)</f>
        <v/>
      </c>
      <c r="R650">
        <f>MAX(0,N650-M650)</f>
        <v/>
      </c>
      <c r="S650">
        <f>IF(Q650-R650&gt;1E-9,Q650-R650,0)</f>
        <v/>
      </c>
      <c r="T650">
        <f>S649*$G$54</f>
        <v/>
      </c>
      <c r="U650">
        <f>IF(W649&gt;0,MAX(0,W649*(1+$G$55)-$H$55),0)</f>
        <v/>
      </c>
      <c r="V650">
        <f>MAX(0,R650-Q650)</f>
        <v/>
      </c>
      <c r="W650">
        <f>IF(U650-V650&gt;1E-9,U650-V650,0)</f>
        <v/>
      </c>
      <c r="X650">
        <f>W649*$G$55</f>
        <v/>
      </c>
      <c r="Y650">
        <f>IF(Y649&gt;1E-9,IF(Y649*(1+$G$51)-MAX($B$9,0.01*Y649+Y649*$G$51)&gt;1E-9,Y649*(1+$G$51)-MAX($B$9,0.01*Y649+Y649*$G$51),0),0)</f>
        <v/>
      </c>
      <c r="Z650">
        <f>Y649*$G$51</f>
        <v/>
      </c>
      <c r="AA650">
        <f>IF(AA649&gt;1E-9,IF(AA649*(1+$G$52)-MAX($B$9,0.01*AA649+AA649*$G$52)&gt;1E-9,AA649*(1+$G$52)-MAX($B$9,0.01*AA649+AA649*$G$52),0),0)</f>
        <v/>
      </c>
      <c r="AB650">
        <f>AA649*$G$52</f>
        <v/>
      </c>
      <c r="AC650">
        <f>IF(AC649&gt;1E-9,IF(AC649*(1+$G$53)-MAX($B$9,0.01*AC649+AC649*$G$53)&gt;1E-9,AC649*(1+$G$53)-MAX($B$9,0.01*AC649+AC649*$G$53),0),0)</f>
        <v/>
      </c>
      <c r="AD650">
        <f>AC649*$G$53</f>
        <v/>
      </c>
      <c r="AE650">
        <f>IF(AE649&gt;1E-9,IF(AE649*(1+$G$54)-MAX($B$9,0.01*AE649+AE649*$G$54)&gt;1E-9,AE649*(1+$G$54)-MAX($B$9,0.01*AE649+AE649*$G$54),0),0)</f>
        <v/>
      </c>
      <c r="AF650">
        <f>AE649*$G$54</f>
        <v/>
      </c>
      <c r="AG650">
        <f>IF(AG649&gt;1E-9,IF(AG649*(1+$G$55)-MAX($B$9,0.01*AG649+AG649*$G$55)&gt;1E-9,AG649*(1+$G$55)-MAX($B$9,0.01*AG649+AG649*$G$55),0),0)</f>
        <v/>
      </c>
      <c r="AH650">
        <f>AG649*$G$55</f>
        <v/>
      </c>
      <c r="AI650">
        <f>G650+K650+O650+S650+W650</f>
        <v/>
      </c>
      <c r="AJ650">
        <f>AI649+AK650-AI650</f>
        <v/>
      </c>
      <c r="AK650">
        <f>H650+L650+P650+T650+X650</f>
        <v/>
      </c>
      <c r="AL650">
        <f>TEXT(EDATE($B$5,D650-1),"mmm yyyy")</f>
        <v/>
      </c>
      <c r="AM650">
        <f>AI650</f>
        <v/>
      </c>
    </row>
    <row r="651">
      <c r="D651" t="n">
        <v>590</v>
      </c>
      <c r="E651">
        <f>IF(G650&gt;0,MAX(0,G650*(1+$G$51)-$H$51),0)</f>
        <v/>
      </c>
      <c r="F651">
        <f>$B$6+IF($D651=$B$8,$B$7,0)</f>
        <v/>
      </c>
      <c r="G651">
        <f>IF(E651-F651&gt;1E-9,E651-F651,0)</f>
        <v/>
      </c>
      <c r="H651">
        <f>G650*$G$51</f>
        <v/>
      </c>
      <c r="I651">
        <f>IF(K650&gt;0,MAX(0,K650*(1+$G$52)-$H$52),0)</f>
        <v/>
      </c>
      <c r="J651">
        <f>MAX(0,F651-E651)</f>
        <v/>
      </c>
      <c r="K651">
        <f>IF(I651-J651&gt;1E-9,I651-J651,0)</f>
        <v/>
      </c>
      <c r="L651">
        <f>K650*$G$52</f>
        <v/>
      </c>
      <c r="M651">
        <f>IF(O650&gt;0,MAX(0,O650*(1+$G$53)-$H$53),0)</f>
        <v/>
      </c>
      <c r="N651">
        <f>MAX(0,J651-I651)</f>
        <v/>
      </c>
      <c r="O651">
        <f>IF(M651-N651&gt;1E-9,M651-N651,0)</f>
        <v/>
      </c>
      <c r="P651">
        <f>O650*$G$53</f>
        <v/>
      </c>
      <c r="Q651">
        <f>IF(S650&gt;0,MAX(0,S650*(1+$G$54)-$H$54),0)</f>
        <v/>
      </c>
      <c r="R651">
        <f>MAX(0,N651-M651)</f>
        <v/>
      </c>
      <c r="S651">
        <f>IF(Q651-R651&gt;1E-9,Q651-R651,0)</f>
        <v/>
      </c>
      <c r="T651">
        <f>S650*$G$54</f>
        <v/>
      </c>
      <c r="U651">
        <f>IF(W650&gt;0,MAX(0,W650*(1+$G$55)-$H$55),0)</f>
        <v/>
      </c>
      <c r="V651">
        <f>MAX(0,R651-Q651)</f>
        <v/>
      </c>
      <c r="W651">
        <f>IF(U651-V651&gt;1E-9,U651-V651,0)</f>
        <v/>
      </c>
      <c r="X651">
        <f>W650*$G$55</f>
        <v/>
      </c>
      <c r="Y651">
        <f>IF(Y650&gt;1E-9,IF(Y650*(1+$G$51)-MAX($B$9,0.01*Y650+Y650*$G$51)&gt;1E-9,Y650*(1+$G$51)-MAX($B$9,0.01*Y650+Y650*$G$51),0),0)</f>
        <v/>
      </c>
      <c r="Z651">
        <f>Y650*$G$51</f>
        <v/>
      </c>
      <c r="AA651">
        <f>IF(AA650&gt;1E-9,IF(AA650*(1+$G$52)-MAX($B$9,0.01*AA650+AA650*$G$52)&gt;1E-9,AA650*(1+$G$52)-MAX($B$9,0.01*AA650+AA650*$G$52),0),0)</f>
        <v/>
      </c>
      <c r="AB651">
        <f>AA650*$G$52</f>
        <v/>
      </c>
      <c r="AC651">
        <f>IF(AC650&gt;1E-9,IF(AC650*(1+$G$53)-MAX($B$9,0.01*AC650+AC650*$G$53)&gt;1E-9,AC650*(1+$G$53)-MAX($B$9,0.01*AC650+AC650*$G$53),0),0)</f>
        <v/>
      </c>
      <c r="AD651">
        <f>AC650*$G$53</f>
        <v/>
      </c>
      <c r="AE651">
        <f>IF(AE650&gt;1E-9,IF(AE650*(1+$G$54)-MAX($B$9,0.01*AE650+AE650*$G$54)&gt;1E-9,AE650*(1+$G$54)-MAX($B$9,0.01*AE650+AE650*$G$54),0),0)</f>
        <v/>
      </c>
      <c r="AF651">
        <f>AE650*$G$54</f>
        <v/>
      </c>
      <c r="AG651">
        <f>IF(AG650&gt;1E-9,IF(AG650*(1+$G$55)-MAX($B$9,0.01*AG650+AG650*$G$55)&gt;1E-9,AG650*(1+$G$55)-MAX($B$9,0.01*AG650+AG650*$G$55),0),0)</f>
        <v/>
      </c>
      <c r="AH651">
        <f>AG650*$G$55</f>
        <v/>
      </c>
      <c r="AI651">
        <f>G651+K651+O651+S651+W651</f>
        <v/>
      </c>
      <c r="AJ651">
        <f>AI650+AK651-AI651</f>
        <v/>
      </c>
      <c r="AK651">
        <f>H651+L651+P651+T651+X651</f>
        <v/>
      </c>
      <c r="AL651">
        <f>TEXT(EDATE($B$5,D651-1),"mmm yyyy")</f>
        <v/>
      </c>
      <c r="AM651">
        <f>AI651</f>
        <v/>
      </c>
    </row>
    <row r="652">
      <c r="D652" t="n">
        <v>591</v>
      </c>
      <c r="E652">
        <f>IF(G651&gt;0,MAX(0,G651*(1+$G$51)-$H$51),0)</f>
        <v/>
      </c>
      <c r="F652">
        <f>$B$6+IF($D652=$B$8,$B$7,0)</f>
        <v/>
      </c>
      <c r="G652">
        <f>IF(E652-F652&gt;1E-9,E652-F652,0)</f>
        <v/>
      </c>
      <c r="H652">
        <f>G651*$G$51</f>
        <v/>
      </c>
      <c r="I652">
        <f>IF(K651&gt;0,MAX(0,K651*(1+$G$52)-$H$52),0)</f>
        <v/>
      </c>
      <c r="J652">
        <f>MAX(0,F652-E652)</f>
        <v/>
      </c>
      <c r="K652">
        <f>IF(I652-J652&gt;1E-9,I652-J652,0)</f>
        <v/>
      </c>
      <c r="L652">
        <f>K651*$G$52</f>
        <v/>
      </c>
      <c r="M652">
        <f>IF(O651&gt;0,MAX(0,O651*(1+$G$53)-$H$53),0)</f>
        <v/>
      </c>
      <c r="N652">
        <f>MAX(0,J652-I652)</f>
        <v/>
      </c>
      <c r="O652">
        <f>IF(M652-N652&gt;1E-9,M652-N652,0)</f>
        <v/>
      </c>
      <c r="P652">
        <f>O651*$G$53</f>
        <v/>
      </c>
      <c r="Q652">
        <f>IF(S651&gt;0,MAX(0,S651*(1+$G$54)-$H$54),0)</f>
        <v/>
      </c>
      <c r="R652">
        <f>MAX(0,N652-M652)</f>
        <v/>
      </c>
      <c r="S652">
        <f>IF(Q652-R652&gt;1E-9,Q652-R652,0)</f>
        <v/>
      </c>
      <c r="T652">
        <f>S651*$G$54</f>
        <v/>
      </c>
      <c r="U652">
        <f>IF(W651&gt;0,MAX(0,W651*(1+$G$55)-$H$55),0)</f>
        <v/>
      </c>
      <c r="V652">
        <f>MAX(0,R652-Q652)</f>
        <v/>
      </c>
      <c r="W652">
        <f>IF(U652-V652&gt;1E-9,U652-V652,0)</f>
        <v/>
      </c>
      <c r="X652">
        <f>W651*$G$55</f>
        <v/>
      </c>
      <c r="Y652">
        <f>IF(Y651&gt;1E-9,IF(Y651*(1+$G$51)-MAX($B$9,0.01*Y651+Y651*$G$51)&gt;1E-9,Y651*(1+$G$51)-MAX($B$9,0.01*Y651+Y651*$G$51),0),0)</f>
        <v/>
      </c>
      <c r="Z652">
        <f>Y651*$G$51</f>
        <v/>
      </c>
      <c r="AA652">
        <f>IF(AA651&gt;1E-9,IF(AA651*(1+$G$52)-MAX($B$9,0.01*AA651+AA651*$G$52)&gt;1E-9,AA651*(1+$G$52)-MAX($B$9,0.01*AA651+AA651*$G$52),0),0)</f>
        <v/>
      </c>
      <c r="AB652">
        <f>AA651*$G$52</f>
        <v/>
      </c>
      <c r="AC652">
        <f>IF(AC651&gt;1E-9,IF(AC651*(1+$G$53)-MAX($B$9,0.01*AC651+AC651*$G$53)&gt;1E-9,AC651*(1+$G$53)-MAX($B$9,0.01*AC651+AC651*$G$53),0),0)</f>
        <v/>
      </c>
      <c r="AD652">
        <f>AC651*$G$53</f>
        <v/>
      </c>
      <c r="AE652">
        <f>IF(AE651&gt;1E-9,IF(AE651*(1+$G$54)-MAX($B$9,0.01*AE651+AE651*$G$54)&gt;1E-9,AE651*(1+$G$54)-MAX($B$9,0.01*AE651+AE651*$G$54),0),0)</f>
        <v/>
      </c>
      <c r="AF652">
        <f>AE651*$G$54</f>
        <v/>
      </c>
      <c r="AG652">
        <f>IF(AG651&gt;1E-9,IF(AG651*(1+$G$55)-MAX($B$9,0.01*AG651+AG651*$G$55)&gt;1E-9,AG651*(1+$G$55)-MAX($B$9,0.01*AG651+AG651*$G$55),0),0)</f>
        <v/>
      </c>
      <c r="AH652">
        <f>AG651*$G$55</f>
        <v/>
      </c>
      <c r="AI652">
        <f>G652+K652+O652+S652+W652</f>
        <v/>
      </c>
      <c r="AJ652">
        <f>AI651+AK652-AI652</f>
        <v/>
      </c>
      <c r="AK652">
        <f>H652+L652+P652+T652+X652</f>
        <v/>
      </c>
      <c r="AL652">
        <f>TEXT(EDATE($B$5,D652-1),"mmm yyyy")</f>
        <v/>
      </c>
      <c r="AM652">
        <f>AI652</f>
        <v/>
      </c>
    </row>
    <row r="653">
      <c r="D653" t="n">
        <v>592</v>
      </c>
      <c r="E653">
        <f>IF(G652&gt;0,MAX(0,G652*(1+$G$51)-$H$51),0)</f>
        <v/>
      </c>
      <c r="F653">
        <f>$B$6+IF($D653=$B$8,$B$7,0)</f>
        <v/>
      </c>
      <c r="G653">
        <f>IF(E653-F653&gt;1E-9,E653-F653,0)</f>
        <v/>
      </c>
      <c r="H653">
        <f>G652*$G$51</f>
        <v/>
      </c>
      <c r="I653">
        <f>IF(K652&gt;0,MAX(0,K652*(1+$G$52)-$H$52),0)</f>
        <v/>
      </c>
      <c r="J653">
        <f>MAX(0,F653-E653)</f>
        <v/>
      </c>
      <c r="K653">
        <f>IF(I653-J653&gt;1E-9,I653-J653,0)</f>
        <v/>
      </c>
      <c r="L653">
        <f>K652*$G$52</f>
        <v/>
      </c>
      <c r="M653">
        <f>IF(O652&gt;0,MAX(0,O652*(1+$G$53)-$H$53),0)</f>
        <v/>
      </c>
      <c r="N653">
        <f>MAX(0,J653-I653)</f>
        <v/>
      </c>
      <c r="O653">
        <f>IF(M653-N653&gt;1E-9,M653-N653,0)</f>
        <v/>
      </c>
      <c r="P653">
        <f>O652*$G$53</f>
        <v/>
      </c>
      <c r="Q653">
        <f>IF(S652&gt;0,MAX(0,S652*(1+$G$54)-$H$54),0)</f>
        <v/>
      </c>
      <c r="R653">
        <f>MAX(0,N653-M653)</f>
        <v/>
      </c>
      <c r="S653">
        <f>IF(Q653-R653&gt;1E-9,Q653-R653,0)</f>
        <v/>
      </c>
      <c r="T653">
        <f>S652*$G$54</f>
        <v/>
      </c>
      <c r="U653">
        <f>IF(W652&gt;0,MAX(0,W652*(1+$G$55)-$H$55),0)</f>
        <v/>
      </c>
      <c r="V653">
        <f>MAX(0,R653-Q653)</f>
        <v/>
      </c>
      <c r="W653">
        <f>IF(U653-V653&gt;1E-9,U653-V653,0)</f>
        <v/>
      </c>
      <c r="X653">
        <f>W652*$G$55</f>
        <v/>
      </c>
      <c r="Y653">
        <f>IF(Y652&gt;1E-9,IF(Y652*(1+$G$51)-MAX($B$9,0.01*Y652+Y652*$G$51)&gt;1E-9,Y652*(1+$G$51)-MAX($B$9,0.01*Y652+Y652*$G$51),0),0)</f>
        <v/>
      </c>
      <c r="Z653">
        <f>Y652*$G$51</f>
        <v/>
      </c>
      <c r="AA653">
        <f>IF(AA652&gt;1E-9,IF(AA652*(1+$G$52)-MAX($B$9,0.01*AA652+AA652*$G$52)&gt;1E-9,AA652*(1+$G$52)-MAX($B$9,0.01*AA652+AA652*$G$52),0),0)</f>
        <v/>
      </c>
      <c r="AB653">
        <f>AA652*$G$52</f>
        <v/>
      </c>
      <c r="AC653">
        <f>IF(AC652&gt;1E-9,IF(AC652*(1+$G$53)-MAX($B$9,0.01*AC652+AC652*$G$53)&gt;1E-9,AC652*(1+$G$53)-MAX($B$9,0.01*AC652+AC652*$G$53),0),0)</f>
        <v/>
      </c>
      <c r="AD653">
        <f>AC652*$G$53</f>
        <v/>
      </c>
      <c r="AE653">
        <f>IF(AE652&gt;1E-9,IF(AE652*(1+$G$54)-MAX($B$9,0.01*AE652+AE652*$G$54)&gt;1E-9,AE652*(1+$G$54)-MAX($B$9,0.01*AE652+AE652*$G$54),0),0)</f>
        <v/>
      </c>
      <c r="AF653">
        <f>AE652*$G$54</f>
        <v/>
      </c>
      <c r="AG653">
        <f>IF(AG652&gt;1E-9,IF(AG652*(1+$G$55)-MAX($B$9,0.01*AG652+AG652*$G$55)&gt;1E-9,AG652*(1+$G$55)-MAX($B$9,0.01*AG652+AG652*$G$55),0),0)</f>
        <v/>
      </c>
      <c r="AH653">
        <f>AG652*$G$55</f>
        <v/>
      </c>
      <c r="AI653">
        <f>G653+K653+O653+S653+W653</f>
        <v/>
      </c>
      <c r="AJ653">
        <f>AI652+AK653-AI653</f>
        <v/>
      </c>
      <c r="AK653">
        <f>H653+L653+P653+T653+X653</f>
        <v/>
      </c>
      <c r="AL653">
        <f>TEXT(EDATE($B$5,D653-1),"mmm yyyy")</f>
        <v/>
      </c>
      <c r="AM653">
        <f>AI653</f>
        <v/>
      </c>
    </row>
    <row r="654">
      <c r="D654" t="n">
        <v>593</v>
      </c>
      <c r="E654">
        <f>IF(G653&gt;0,MAX(0,G653*(1+$G$51)-$H$51),0)</f>
        <v/>
      </c>
      <c r="F654">
        <f>$B$6+IF($D654=$B$8,$B$7,0)</f>
        <v/>
      </c>
      <c r="G654">
        <f>IF(E654-F654&gt;1E-9,E654-F654,0)</f>
        <v/>
      </c>
      <c r="H654">
        <f>G653*$G$51</f>
        <v/>
      </c>
      <c r="I654">
        <f>IF(K653&gt;0,MAX(0,K653*(1+$G$52)-$H$52),0)</f>
        <v/>
      </c>
      <c r="J654">
        <f>MAX(0,F654-E654)</f>
        <v/>
      </c>
      <c r="K654">
        <f>IF(I654-J654&gt;1E-9,I654-J654,0)</f>
        <v/>
      </c>
      <c r="L654">
        <f>K653*$G$52</f>
        <v/>
      </c>
      <c r="M654">
        <f>IF(O653&gt;0,MAX(0,O653*(1+$G$53)-$H$53),0)</f>
        <v/>
      </c>
      <c r="N654">
        <f>MAX(0,J654-I654)</f>
        <v/>
      </c>
      <c r="O654">
        <f>IF(M654-N654&gt;1E-9,M654-N654,0)</f>
        <v/>
      </c>
      <c r="P654">
        <f>O653*$G$53</f>
        <v/>
      </c>
      <c r="Q654">
        <f>IF(S653&gt;0,MAX(0,S653*(1+$G$54)-$H$54),0)</f>
        <v/>
      </c>
      <c r="R654">
        <f>MAX(0,N654-M654)</f>
        <v/>
      </c>
      <c r="S654">
        <f>IF(Q654-R654&gt;1E-9,Q654-R654,0)</f>
        <v/>
      </c>
      <c r="T654">
        <f>S653*$G$54</f>
        <v/>
      </c>
      <c r="U654">
        <f>IF(W653&gt;0,MAX(0,W653*(1+$G$55)-$H$55),0)</f>
        <v/>
      </c>
      <c r="V654">
        <f>MAX(0,R654-Q654)</f>
        <v/>
      </c>
      <c r="W654">
        <f>IF(U654-V654&gt;1E-9,U654-V654,0)</f>
        <v/>
      </c>
      <c r="X654">
        <f>W653*$G$55</f>
        <v/>
      </c>
      <c r="Y654">
        <f>IF(Y653&gt;1E-9,IF(Y653*(1+$G$51)-MAX($B$9,0.01*Y653+Y653*$G$51)&gt;1E-9,Y653*(1+$G$51)-MAX($B$9,0.01*Y653+Y653*$G$51),0),0)</f>
        <v/>
      </c>
      <c r="Z654">
        <f>Y653*$G$51</f>
        <v/>
      </c>
      <c r="AA654">
        <f>IF(AA653&gt;1E-9,IF(AA653*(1+$G$52)-MAX($B$9,0.01*AA653+AA653*$G$52)&gt;1E-9,AA653*(1+$G$52)-MAX($B$9,0.01*AA653+AA653*$G$52),0),0)</f>
        <v/>
      </c>
      <c r="AB654">
        <f>AA653*$G$52</f>
        <v/>
      </c>
      <c r="AC654">
        <f>IF(AC653&gt;1E-9,IF(AC653*(1+$G$53)-MAX($B$9,0.01*AC653+AC653*$G$53)&gt;1E-9,AC653*(1+$G$53)-MAX($B$9,0.01*AC653+AC653*$G$53),0),0)</f>
        <v/>
      </c>
      <c r="AD654">
        <f>AC653*$G$53</f>
        <v/>
      </c>
      <c r="AE654">
        <f>IF(AE653&gt;1E-9,IF(AE653*(1+$G$54)-MAX($B$9,0.01*AE653+AE653*$G$54)&gt;1E-9,AE653*(1+$G$54)-MAX($B$9,0.01*AE653+AE653*$G$54),0),0)</f>
        <v/>
      </c>
      <c r="AF654">
        <f>AE653*$G$54</f>
        <v/>
      </c>
      <c r="AG654">
        <f>IF(AG653&gt;1E-9,IF(AG653*(1+$G$55)-MAX($B$9,0.01*AG653+AG653*$G$55)&gt;1E-9,AG653*(1+$G$55)-MAX($B$9,0.01*AG653+AG653*$G$55),0),0)</f>
        <v/>
      </c>
      <c r="AH654">
        <f>AG653*$G$55</f>
        <v/>
      </c>
      <c r="AI654">
        <f>G654+K654+O654+S654+W654</f>
        <v/>
      </c>
      <c r="AJ654">
        <f>AI653+AK654-AI654</f>
        <v/>
      </c>
      <c r="AK654">
        <f>H654+L654+P654+T654+X654</f>
        <v/>
      </c>
      <c r="AL654">
        <f>TEXT(EDATE($B$5,D654-1),"mmm yyyy")</f>
        <v/>
      </c>
      <c r="AM654">
        <f>AI654</f>
        <v/>
      </c>
    </row>
    <row r="655">
      <c r="D655" t="n">
        <v>594</v>
      </c>
      <c r="E655">
        <f>IF(G654&gt;0,MAX(0,G654*(1+$G$51)-$H$51),0)</f>
        <v/>
      </c>
      <c r="F655">
        <f>$B$6+IF($D655=$B$8,$B$7,0)</f>
        <v/>
      </c>
      <c r="G655">
        <f>IF(E655-F655&gt;1E-9,E655-F655,0)</f>
        <v/>
      </c>
      <c r="H655">
        <f>G654*$G$51</f>
        <v/>
      </c>
      <c r="I655">
        <f>IF(K654&gt;0,MAX(0,K654*(1+$G$52)-$H$52),0)</f>
        <v/>
      </c>
      <c r="J655">
        <f>MAX(0,F655-E655)</f>
        <v/>
      </c>
      <c r="K655">
        <f>IF(I655-J655&gt;1E-9,I655-J655,0)</f>
        <v/>
      </c>
      <c r="L655">
        <f>K654*$G$52</f>
        <v/>
      </c>
      <c r="M655">
        <f>IF(O654&gt;0,MAX(0,O654*(1+$G$53)-$H$53),0)</f>
        <v/>
      </c>
      <c r="N655">
        <f>MAX(0,J655-I655)</f>
        <v/>
      </c>
      <c r="O655">
        <f>IF(M655-N655&gt;1E-9,M655-N655,0)</f>
        <v/>
      </c>
      <c r="P655">
        <f>O654*$G$53</f>
        <v/>
      </c>
      <c r="Q655">
        <f>IF(S654&gt;0,MAX(0,S654*(1+$G$54)-$H$54),0)</f>
        <v/>
      </c>
      <c r="R655">
        <f>MAX(0,N655-M655)</f>
        <v/>
      </c>
      <c r="S655">
        <f>IF(Q655-R655&gt;1E-9,Q655-R655,0)</f>
        <v/>
      </c>
      <c r="T655">
        <f>S654*$G$54</f>
        <v/>
      </c>
      <c r="U655">
        <f>IF(W654&gt;0,MAX(0,W654*(1+$G$55)-$H$55),0)</f>
        <v/>
      </c>
      <c r="V655">
        <f>MAX(0,R655-Q655)</f>
        <v/>
      </c>
      <c r="W655">
        <f>IF(U655-V655&gt;1E-9,U655-V655,0)</f>
        <v/>
      </c>
      <c r="X655">
        <f>W654*$G$55</f>
        <v/>
      </c>
      <c r="Y655">
        <f>IF(Y654&gt;1E-9,IF(Y654*(1+$G$51)-MAX($B$9,0.01*Y654+Y654*$G$51)&gt;1E-9,Y654*(1+$G$51)-MAX($B$9,0.01*Y654+Y654*$G$51),0),0)</f>
        <v/>
      </c>
      <c r="Z655">
        <f>Y654*$G$51</f>
        <v/>
      </c>
      <c r="AA655">
        <f>IF(AA654&gt;1E-9,IF(AA654*(1+$G$52)-MAX($B$9,0.01*AA654+AA654*$G$52)&gt;1E-9,AA654*(1+$G$52)-MAX($B$9,0.01*AA654+AA654*$G$52),0),0)</f>
        <v/>
      </c>
      <c r="AB655">
        <f>AA654*$G$52</f>
        <v/>
      </c>
      <c r="AC655">
        <f>IF(AC654&gt;1E-9,IF(AC654*(1+$G$53)-MAX($B$9,0.01*AC654+AC654*$G$53)&gt;1E-9,AC654*(1+$G$53)-MAX($B$9,0.01*AC654+AC654*$G$53),0),0)</f>
        <v/>
      </c>
      <c r="AD655">
        <f>AC654*$G$53</f>
        <v/>
      </c>
      <c r="AE655">
        <f>IF(AE654&gt;1E-9,IF(AE654*(1+$G$54)-MAX($B$9,0.01*AE654+AE654*$G$54)&gt;1E-9,AE654*(1+$G$54)-MAX($B$9,0.01*AE654+AE654*$G$54),0),0)</f>
        <v/>
      </c>
      <c r="AF655">
        <f>AE654*$G$54</f>
        <v/>
      </c>
      <c r="AG655">
        <f>IF(AG654&gt;1E-9,IF(AG654*(1+$G$55)-MAX($B$9,0.01*AG654+AG654*$G$55)&gt;1E-9,AG654*(1+$G$55)-MAX($B$9,0.01*AG654+AG654*$G$55),0),0)</f>
        <v/>
      </c>
      <c r="AH655">
        <f>AG654*$G$55</f>
        <v/>
      </c>
      <c r="AI655">
        <f>G655+K655+O655+S655+W655</f>
        <v/>
      </c>
      <c r="AJ655">
        <f>AI654+AK655-AI655</f>
        <v/>
      </c>
      <c r="AK655">
        <f>H655+L655+P655+T655+X655</f>
        <v/>
      </c>
      <c r="AL655">
        <f>TEXT(EDATE($B$5,D655-1),"mmm yyyy")</f>
        <v/>
      </c>
      <c r="AM655">
        <f>AI655</f>
        <v/>
      </c>
    </row>
    <row r="656">
      <c r="D656" t="n">
        <v>595</v>
      </c>
      <c r="E656">
        <f>IF(G655&gt;0,MAX(0,G655*(1+$G$51)-$H$51),0)</f>
        <v/>
      </c>
      <c r="F656">
        <f>$B$6+IF($D656=$B$8,$B$7,0)</f>
        <v/>
      </c>
      <c r="G656">
        <f>IF(E656-F656&gt;1E-9,E656-F656,0)</f>
        <v/>
      </c>
      <c r="H656">
        <f>G655*$G$51</f>
        <v/>
      </c>
      <c r="I656">
        <f>IF(K655&gt;0,MAX(0,K655*(1+$G$52)-$H$52),0)</f>
        <v/>
      </c>
      <c r="J656">
        <f>MAX(0,F656-E656)</f>
        <v/>
      </c>
      <c r="K656">
        <f>IF(I656-J656&gt;1E-9,I656-J656,0)</f>
        <v/>
      </c>
      <c r="L656">
        <f>K655*$G$52</f>
        <v/>
      </c>
      <c r="M656">
        <f>IF(O655&gt;0,MAX(0,O655*(1+$G$53)-$H$53),0)</f>
        <v/>
      </c>
      <c r="N656">
        <f>MAX(0,J656-I656)</f>
        <v/>
      </c>
      <c r="O656">
        <f>IF(M656-N656&gt;1E-9,M656-N656,0)</f>
        <v/>
      </c>
      <c r="P656">
        <f>O655*$G$53</f>
        <v/>
      </c>
      <c r="Q656">
        <f>IF(S655&gt;0,MAX(0,S655*(1+$G$54)-$H$54),0)</f>
        <v/>
      </c>
      <c r="R656">
        <f>MAX(0,N656-M656)</f>
        <v/>
      </c>
      <c r="S656">
        <f>IF(Q656-R656&gt;1E-9,Q656-R656,0)</f>
        <v/>
      </c>
      <c r="T656">
        <f>S655*$G$54</f>
        <v/>
      </c>
      <c r="U656">
        <f>IF(W655&gt;0,MAX(0,W655*(1+$G$55)-$H$55),0)</f>
        <v/>
      </c>
      <c r="V656">
        <f>MAX(0,R656-Q656)</f>
        <v/>
      </c>
      <c r="W656">
        <f>IF(U656-V656&gt;1E-9,U656-V656,0)</f>
        <v/>
      </c>
      <c r="X656">
        <f>W655*$G$55</f>
        <v/>
      </c>
      <c r="Y656">
        <f>IF(Y655&gt;1E-9,IF(Y655*(1+$G$51)-MAX($B$9,0.01*Y655+Y655*$G$51)&gt;1E-9,Y655*(1+$G$51)-MAX($B$9,0.01*Y655+Y655*$G$51),0),0)</f>
        <v/>
      </c>
      <c r="Z656">
        <f>Y655*$G$51</f>
        <v/>
      </c>
      <c r="AA656">
        <f>IF(AA655&gt;1E-9,IF(AA655*(1+$G$52)-MAX($B$9,0.01*AA655+AA655*$G$52)&gt;1E-9,AA655*(1+$G$52)-MAX($B$9,0.01*AA655+AA655*$G$52),0),0)</f>
        <v/>
      </c>
      <c r="AB656">
        <f>AA655*$G$52</f>
        <v/>
      </c>
      <c r="AC656">
        <f>IF(AC655&gt;1E-9,IF(AC655*(1+$G$53)-MAX($B$9,0.01*AC655+AC655*$G$53)&gt;1E-9,AC655*(1+$G$53)-MAX($B$9,0.01*AC655+AC655*$G$53),0),0)</f>
        <v/>
      </c>
      <c r="AD656">
        <f>AC655*$G$53</f>
        <v/>
      </c>
      <c r="AE656">
        <f>IF(AE655&gt;1E-9,IF(AE655*(1+$G$54)-MAX($B$9,0.01*AE655+AE655*$G$54)&gt;1E-9,AE655*(1+$G$54)-MAX($B$9,0.01*AE655+AE655*$G$54),0),0)</f>
        <v/>
      </c>
      <c r="AF656">
        <f>AE655*$G$54</f>
        <v/>
      </c>
      <c r="AG656">
        <f>IF(AG655&gt;1E-9,IF(AG655*(1+$G$55)-MAX($B$9,0.01*AG655+AG655*$G$55)&gt;1E-9,AG655*(1+$G$55)-MAX($B$9,0.01*AG655+AG655*$G$55),0),0)</f>
        <v/>
      </c>
      <c r="AH656">
        <f>AG655*$G$55</f>
        <v/>
      </c>
      <c r="AI656">
        <f>G656+K656+O656+S656+W656</f>
        <v/>
      </c>
      <c r="AJ656">
        <f>AI655+AK656-AI656</f>
        <v/>
      </c>
      <c r="AK656">
        <f>H656+L656+P656+T656+X656</f>
        <v/>
      </c>
      <c r="AL656">
        <f>TEXT(EDATE($B$5,D656-1),"mmm yyyy")</f>
        <v/>
      </c>
      <c r="AM656">
        <f>AI656</f>
        <v/>
      </c>
    </row>
    <row r="657">
      <c r="D657" t="n">
        <v>596</v>
      </c>
      <c r="E657">
        <f>IF(G656&gt;0,MAX(0,G656*(1+$G$51)-$H$51),0)</f>
        <v/>
      </c>
      <c r="F657">
        <f>$B$6+IF($D657=$B$8,$B$7,0)</f>
        <v/>
      </c>
      <c r="G657">
        <f>IF(E657-F657&gt;1E-9,E657-F657,0)</f>
        <v/>
      </c>
      <c r="H657">
        <f>G656*$G$51</f>
        <v/>
      </c>
      <c r="I657">
        <f>IF(K656&gt;0,MAX(0,K656*(1+$G$52)-$H$52),0)</f>
        <v/>
      </c>
      <c r="J657">
        <f>MAX(0,F657-E657)</f>
        <v/>
      </c>
      <c r="K657">
        <f>IF(I657-J657&gt;1E-9,I657-J657,0)</f>
        <v/>
      </c>
      <c r="L657">
        <f>K656*$G$52</f>
        <v/>
      </c>
      <c r="M657">
        <f>IF(O656&gt;0,MAX(0,O656*(1+$G$53)-$H$53),0)</f>
        <v/>
      </c>
      <c r="N657">
        <f>MAX(0,J657-I657)</f>
        <v/>
      </c>
      <c r="O657">
        <f>IF(M657-N657&gt;1E-9,M657-N657,0)</f>
        <v/>
      </c>
      <c r="P657">
        <f>O656*$G$53</f>
        <v/>
      </c>
      <c r="Q657">
        <f>IF(S656&gt;0,MAX(0,S656*(1+$G$54)-$H$54),0)</f>
        <v/>
      </c>
      <c r="R657">
        <f>MAX(0,N657-M657)</f>
        <v/>
      </c>
      <c r="S657">
        <f>IF(Q657-R657&gt;1E-9,Q657-R657,0)</f>
        <v/>
      </c>
      <c r="T657">
        <f>S656*$G$54</f>
        <v/>
      </c>
      <c r="U657">
        <f>IF(W656&gt;0,MAX(0,W656*(1+$G$55)-$H$55),0)</f>
        <v/>
      </c>
      <c r="V657">
        <f>MAX(0,R657-Q657)</f>
        <v/>
      </c>
      <c r="W657">
        <f>IF(U657-V657&gt;1E-9,U657-V657,0)</f>
        <v/>
      </c>
      <c r="X657">
        <f>W656*$G$55</f>
        <v/>
      </c>
      <c r="Y657">
        <f>IF(Y656&gt;1E-9,IF(Y656*(1+$G$51)-MAX($B$9,0.01*Y656+Y656*$G$51)&gt;1E-9,Y656*(1+$G$51)-MAX($B$9,0.01*Y656+Y656*$G$51),0),0)</f>
        <v/>
      </c>
      <c r="Z657">
        <f>Y656*$G$51</f>
        <v/>
      </c>
      <c r="AA657">
        <f>IF(AA656&gt;1E-9,IF(AA656*(1+$G$52)-MAX($B$9,0.01*AA656+AA656*$G$52)&gt;1E-9,AA656*(1+$G$52)-MAX($B$9,0.01*AA656+AA656*$G$52),0),0)</f>
        <v/>
      </c>
      <c r="AB657">
        <f>AA656*$G$52</f>
        <v/>
      </c>
      <c r="AC657">
        <f>IF(AC656&gt;1E-9,IF(AC656*(1+$G$53)-MAX($B$9,0.01*AC656+AC656*$G$53)&gt;1E-9,AC656*(1+$G$53)-MAX($B$9,0.01*AC656+AC656*$G$53),0),0)</f>
        <v/>
      </c>
      <c r="AD657">
        <f>AC656*$G$53</f>
        <v/>
      </c>
      <c r="AE657">
        <f>IF(AE656&gt;1E-9,IF(AE656*(1+$G$54)-MAX($B$9,0.01*AE656+AE656*$G$54)&gt;1E-9,AE656*(1+$G$54)-MAX($B$9,0.01*AE656+AE656*$G$54),0),0)</f>
        <v/>
      </c>
      <c r="AF657">
        <f>AE656*$G$54</f>
        <v/>
      </c>
      <c r="AG657">
        <f>IF(AG656&gt;1E-9,IF(AG656*(1+$G$55)-MAX($B$9,0.01*AG656+AG656*$G$55)&gt;1E-9,AG656*(1+$G$55)-MAX($B$9,0.01*AG656+AG656*$G$55),0),0)</f>
        <v/>
      </c>
      <c r="AH657">
        <f>AG656*$G$55</f>
        <v/>
      </c>
      <c r="AI657">
        <f>G657+K657+O657+S657+W657</f>
        <v/>
      </c>
      <c r="AJ657">
        <f>AI656+AK657-AI657</f>
        <v/>
      </c>
      <c r="AK657">
        <f>H657+L657+P657+T657+X657</f>
        <v/>
      </c>
      <c r="AL657">
        <f>TEXT(EDATE($B$5,D657-1),"mmm yyyy")</f>
        <v/>
      </c>
      <c r="AM657">
        <f>AI657</f>
        <v/>
      </c>
    </row>
    <row r="658">
      <c r="D658" t="n">
        <v>597</v>
      </c>
      <c r="E658">
        <f>IF(G657&gt;0,MAX(0,G657*(1+$G$51)-$H$51),0)</f>
        <v/>
      </c>
      <c r="F658">
        <f>$B$6+IF($D658=$B$8,$B$7,0)</f>
        <v/>
      </c>
      <c r="G658">
        <f>IF(E658-F658&gt;1E-9,E658-F658,0)</f>
        <v/>
      </c>
      <c r="H658">
        <f>G657*$G$51</f>
        <v/>
      </c>
      <c r="I658">
        <f>IF(K657&gt;0,MAX(0,K657*(1+$G$52)-$H$52),0)</f>
        <v/>
      </c>
      <c r="J658">
        <f>MAX(0,F658-E658)</f>
        <v/>
      </c>
      <c r="K658">
        <f>IF(I658-J658&gt;1E-9,I658-J658,0)</f>
        <v/>
      </c>
      <c r="L658">
        <f>K657*$G$52</f>
        <v/>
      </c>
      <c r="M658">
        <f>IF(O657&gt;0,MAX(0,O657*(1+$G$53)-$H$53),0)</f>
        <v/>
      </c>
      <c r="N658">
        <f>MAX(0,J658-I658)</f>
        <v/>
      </c>
      <c r="O658">
        <f>IF(M658-N658&gt;1E-9,M658-N658,0)</f>
        <v/>
      </c>
      <c r="P658">
        <f>O657*$G$53</f>
        <v/>
      </c>
      <c r="Q658">
        <f>IF(S657&gt;0,MAX(0,S657*(1+$G$54)-$H$54),0)</f>
        <v/>
      </c>
      <c r="R658">
        <f>MAX(0,N658-M658)</f>
        <v/>
      </c>
      <c r="S658">
        <f>IF(Q658-R658&gt;1E-9,Q658-R658,0)</f>
        <v/>
      </c>
      <c r="T658">
        <f>S657*$G$54</f>
        <v/>
      </c>
      <c r="U658">
        <f>IF(W657&gt;0,MAX(0,W657*(1+$G$55)-$H$55),0)</f>
        <v/>
      </c>
      <c r="V658">
        <f>MAX(0,R658-Q658)</f>
        <v/>
      </c>
      <c r="W658">
        <f>IF(U658-V658&gt;1E-9,U658-V658,0)</f>
        <v/>
      </c>
      <c r="X658">
        <f>W657*$G$55</f>
        <v/>
      </c>
      <c r="Y658">
        <f>IF(Y657&gt;1E-9,IF(Y657*(1+$G$51)-MAX($B$9,0.01*Y657+Y657*$G$51)&gt;1E-9,Y657*(1+$G$51)-MAX($B$9,0.01*Y657+Y657*$G$51),0),0)</f>
        <v/>
      </c>
      <c r="Z658">
        <f>Y657*$G$51</f>
        <v/>
      </c>
      <c r="AA658">
        <f>IF(AA657&gt;1E-9,IF(AA657*(1+$G$52)-MAX($B$9,0.01*AA657+AA657*$G$52)&gt;1E-9,AA657*(1+$G$52)-MAX($B$9,0.01*AA657+AA657*$G$52),0),0)</f>
        <v/>
      </c>
      <c r="AB658">
        <f>AA657*$G$52</f>
        <v/>
      </c>
      <c r="AC658">
        <f>IF(AC657&gt;1E-9,IF(AC657*(1+$G$53)-MAX($B$9,0.01*AC657+AC657*$G$53)&gt;1E-9,AC657*(1+$G$53)-MAX($B$9,0.01*AC657+AC657*$G$53),0),0)</f>
        <v/>
      </c>
      <c r="AD658">
        <f>AC657*$G$53</f>
        <v/>
      </c>
      <c r="AE658">
        <f>IF(AE657&gt;1E-9,IF(AE657*(1+$G$54)-MAX($B$9,0.01*AE657+AE657*$G$54)&gt;1E-9,AE657*(1+$G$54)-MAX($B$9,0.01*AE657+AE657*$G$54),0),0)</f>
        <v/>
      </c>
      <c r="AF658">
        <f>AE657*$G$54</f>
        <v/>
      </c>
      <c r="AG658">
        <f>IF(AG657&gt;1E-9,IF(AG657*(1+$G$55)-MAX($B$9,0.01*AG657+AG657*$G$55)&gt;1E-9,AG657*(1+$G$55)-MAX($B$9,0.01*AG657+AG657*$G$55),0),0)</f>
        <v/>
      </c>
      <c r="AH658">
        <f>AG657*$G$55</f>
        <v/>
      </c>
      <c r="AI658">
        <f>G658+K658+O658+S658+W658</f>
        <v/>
      </c>
      <c r="AJ658">
        <f>AI657+AK658-AI658</f>
        <v/>
      </c>
      <c r="AK658">
        <f>H658+L658+P658+T658+X658</f>
        <v/>
      </c>
      <c r="AL658">
        <f>TEXT(EDATE($B$5,D658-1),"mmm yyyy")</f>
        <v/>
      </c>
      <c r="AM658">
        <f>AI658</f>
        <v/>
      </c>
    </row>
    <row r="659">
      <c r="D659" t="n">
        <v>598</v>
      </c>
      <c r="E659">
        <f>IF(G658&gt;0,MAX(0,G658*(1+$G$51)-$H$51),0)</f>
        <v/>
      </c>
      <c r="F659">
        <f>$B$6+IF($D659=$B$8,$B$7,0)</f>
        <v/>
      </c>
      <c r="G659">
        <f>IF(E659-F659&gt;1E-9,E659-F659,0)</f>
        <v/>
      </c>
      <c r="H659">
        <f>G658*$G$51</f>
        <v/>
      </c>
      <c r="I659">
        <f>IF(K658&gt;0,MAX(0,K658*(1+$G$52)-$H$52),0)</f>
        <v/>
      </c>
      <c r="J659">
        <f>MAX(0,F659-E659)</f>
        <v/>
      </c>
      <c r="K659">
        <f>IF(I659-J659&gt;1E-9,I659-J659,0)</f>
        <v/>
      </c>
      <c r="L659">
        <f>K658*$G$52</f>
        <v/>
      </c>
      <c r="M659">
        <f>IF(O658&gt;0,MAX(0,O658*(1+$G$53)-$H$53),0)</f>
        <v/>
      </c>
      <c r="N659">
        <f>MAX(0,J659-I659)</f>
        <v/>
      </c>
      <c r="O659">
        <f>IF(M659-N659&gt;1E-9,M659-N659,0)</f>
        <v/>
      </c>
      <c r="P659">
        <f>O658*$G$53</f>
        <v/>
      </c>
      <c r="Q659">
        <f>IF(S658&gt;0,MAX(0,S658*(1+$G$54)-$H$54),0)</f>
        <v/>
      </c>
      <c r="R659">
        <f>MAX(0,N659-M659)</f>
        <v/>
      </c>
      <c r="S659">
        <f>IF(Q659-R659&gt;1E-9,Q659-R659,0)</f>
        <v/>
      </c>
      <c r="T659">
        <f>S658*$G$54</f>
        <v/>
      </c>
      <c r="U659">
        <f>IF(W658&gt;0,MAX(0,W658*(1+$G$55)-$H$55),0)</f>
        <v/>
      </c>
      <c r="V659">
        <f>MAX(0,R659-Q659)</f>
        <v/>
      </c>
      <c r="W659">
        <f>IF(U659-V659&gt;1E-9,U659-V659,0)</f>
        <v/>
      </c>
      <c r="X659">
        <f>W658*$G$55</f>
        <v/>
      </c>
      <c r="Y659">
        <f>IF(Y658&gt;1E-9,IF(Y658*(1+$G$51)-MAX($B$9,0.01*Y658+Y658*$G$51)&gt;1E-9,Y658*(1+$G$51)-MAX($B$9,0.01*Y658+Y658*$G$51),0),0)</f>
        <v/>
      </c>
      <c r="Z659">
        <f>Y658*$G$51</f>
        <v/>
      </c>
      <c r="AA659">
        <f>IF(AA658&gt;1E-9,IF(AA658*(1+$G$52)-MAX($B$9,0.01*AA658+AA658*$G$52)&gt;1E-9,AA658*(1+$G$52)-MAX($B$9,0.01*AA658+AA658*$G$52),0),0)</f>
        <v/>
      </c>
      <c r="AB659">
        <f>AA658*$G$52</f>
        <v/>
      </c>
      <c r="AC659">
        <f>IF(AC658&gt;1E-9,IF(AC658*(1+$G$53)-MAX($B$9,0.01*AC658+AC658*$G$53)&gt;1E-9,AC658*(1+$G$53)-MAX($B$9,0.01*AC658+AC658*$G$53),0),0)</f>
        <v/>
      </c>
      <c r="AD659">
        <f>AC658*$G$53</f>
        <v/>
      </c>
      <c r="AE659">
        <f>IF(AE658&gt;1E-9,IF(AE658*(1+$G$54)-MAX($B$9,0.01*AE658+AE658*$G$54)&gt;1E-9,AE658*(1+$G$54)-MAX($B$9,0.01*AE658+AE658*$G$54),0),0)</f>
        <v/>
      </c>
      <c r="AF659">
        <f>AE658*$G$54</f>
        <v/>
      </c>
      <c r="AG659">
        <f>IF(AG658&gt;1E-9,IF(AG658*(1+$G$55)-MAX($B$9,0.01*AG658+AG658*$G$55)&gt;1E-9,AG658*(1+$G$55)-MAX($B$9,0.01*AG658+AG658*$G$55),0),0)</f>
        <v/>
      </c>
      <c r="AH659">
        <f>AG658*$G$55</f>
        <v/>
      </c>
      <c r="AI659">
        <f>G659+K659+O659+S659+W659</f>
        <v/>
      </c>
      <c r="AJ659">
        <f>AI658+AK659-AI659</f>
        <v/>
      </c>
      <c r="AK659">
        <f>H659+L659+P659+T659+X659</f>
        <v/>
      </c>
      <c r="AL659">
        <f>TEXT(EDATE($B$5,D659-1),"mmm yyyy")</f>
        <v/>
      </c>
      <c r="AM659">
        <f>AI659</f>
        <v/>
      </c>
    </row>
    <row r="660">
      <c r="D660" t="n">
        <v>599</v>
      </c>
      <c r="E660">
        <f>IF(G659&gt;0,MAX(0,G659*(1+$G$51)-$H$51),0)</f>
        <v/>
      </c>
      <c r="F660">
        <f>$B$6+IF($D660=$B$8,$B$7,0)</f>
        <v/>
      </c>
      <c r="G660">
        <f>IF(E660-F660&gt;1E-9,E660-F660,0)</f>
        <v/>
      </c>
      <c r="H660">
        <f>G659*$G$51</f>
        <v/>
      </c>
      <c r="I660">
        <f>IF(K659&gt;0,MAX(0,K659*(1+$G$52)-$H$52),0)</f>
        <v/>
      </c>
      <c r="J660">
        <f>MAX(0,F660-E660)</f>
        <v/>
      </c>
      <c r="K660">
        <f>IF(I660-J660&gt;1E-9,I660-J660,0)</f>
        <v/>
      </c>
      <c r="L660">
        <f>K659*$G$52</f>
        <v/>
      </c>
      <c r="M660">
        <f>IF(O659&gt;0,MAX(0,O659*(1+$G$53)-$H$53),0)</f>
        <v/>
      </c>
      <c r="N660">
        <f>MAX(0,J660-I660)</f>
        <v/>
      </c>
      <c r="O660">
        <f>IF(M660-N660&gt;1E-9,M660-N660,0)</f>
        <v/>
      </c>
      <c r="P660">
        <f>O659*$G$53</f>
        <v/>
      </c>
      <c r="Q660">
        <f>IF(S659&gt;0,MAX(0,S659*(1+$G$54)-$H$54),0)</f>
        <v/>
      </c>
      <c r="R660">
        <f>MAX(0,N660-M660)</f>
        <v/>
      </c>
      <c r="S660">
        <f>IF(Q660-R660&gt;1E-9,Q660-R660,0)</f>
        <v/>
      </c>
      <c r="T660">
        <f>S659*$G$54</f>
        <v/>
      </c>
      <c r="U660">
        <f>IF(W659&gt;0,MAX(0,W659*(1+$G$55)-$H$55),0)</f>
        <v/>
      </c>
      <c r="V660">
        <f>MAX(0,R660-Q660)</f>
        <v/>
      </c>
      <c r="W660">
        <f>IF(U660-V660&gt;1E-9,U660-V660,0)</f>
        <v/>
      </c>
      <c r="X660">
        <f>W659*$G$55</f>
        <v/>
      </c>
      <c r="Y660">
        <f>IF(Y659&gt;1E-9,IF(Y659*(1+$G$51)-MAX($B$9,0.01*Y659+Y659*$G$51)&gt;1E-9,Y659*(1+$G$51)-MAX($B$9,0.01*Y659+Y659*$G$51),0),0)</f>
        <v/>
      </c>
      <c r="Z660">
        <f>Y659*$G$51</f>
        <v/>
      </c>
      <c r="AA660">
        <f>IF(AA659&gt;1E-9,IF(AA659*(1+$G$52)-MAX($B$9,0.01*AA659+AA659*$G$52)&gt;1E-9,AA659*(1+$G$52)-MAX($B$9,0.01*AA659+AA659*$G$52),0),0)</f>
        <v/>
      </c>
      <c r="AB660">
        <f>AA659*$G$52</f>
        <v/>
      </c>
      <c r="AC660">
        <f>IF(AC659&gt;1E-9,IF(AC659*(1+$G$53)-MAX($B$9,0.01*AC659+AC659*$G$53)&gt;1E-9,AC659*(1+$G$53)-MAX($B$9,0.01*AC659+AC659*$G$53),0),0)</f>
        <v/>
      </c>
      <c r="AD660">
        <f>AC659*$G$53</f>
        <v/>
      </c>
      <c r="AE660">
        <f>IF(AE659&gt;1E-9,IF(AE659*(1+$G$54)-MAX($B$9,0.01*AE659+AE659*$G$54)&gt;1E-9,AE659*(1+$G$54)-MAX($B$9,0.01*AE659+AE659*$G$54),0),0)</f>
        <v/>
      </c>
      <c r="AF660">
        <f>AE659*$G$54</f>
        <v/>
      </c>
      <c r="AG660">
        <f>IF(AG659&gt;1E-9,IF(AG659*(1+$G$55)-MAX($B$9,0.01*AG659+AG659*$G$55)&gt;1E-9,AG659*(1+$G$55)-MAX($B$9,0.01*AG659+AG659*$G$55),0),0)</f>
        <v/>
      </c>
      <c r="AH660">
        <f>AG659*$G$55</f>
        <v/>
      </c>
      <c r="AI660">
        <f>G660+K660+O660+S660+W660</f>
        <v/>
      </c>
      <c r="AJ660">
        <f>AI659+AK660-AI660</f>
        <v/>
      </c>
      <c r="AK660">
        <f>H660+L660+P660+T660+X660</f>
        <v/>
      </c>
      <c r="AL660">
        <f>TEXT(EDATE($B$5,D660-1),"mmm yyyy")</f>
        <v/>
      </c>
      <c r="AM660">
        <f>AI660</f>
        <v/>
      </c>
    </row>
    <row r="661">
      <c r="D661" t="n">
        <v>600</v>
      </c>
      <c r="E661">
        <f>IF(G660&gt;0,MAX(0,G660*(1+$G$51)-$H$51),0)</f>
        <v/>
      </c>
      <c r="F661">
        <f>$B$6+IF($D661=$B$8,$B$7,0)</f>
        <v/>
      </c>
      <c r="G661">
        <f>IF(E661-F661&gt;1E-9,E661-F661,0)</f>
        <v/>
      </c>
      <c r="H661">
        <f>G660*$G$51</f>
        <v/>
      </c>
      <c r="I661">
        <f>IF(K660&gt;0,MAX(0,K660*(1+$G$52)-$H$52),0)</f>
        <v/>
      </c>
      <c r="J661">
        <f>MAX(0,F661-E661)</f>
        <v/>
      </c>
      <c r="K661">
        <f>IF(I661-J661&gt;1E-9,I661-J661,0)</f>
        <v/>
      </c>
      <c r="L661">
        <f>K660*$G$52</f>
        <v/>
      </c>
      <c r="M661">
        <f>IF(O660&gt;0,MAX(0,O660*(1+$G$53)-$H$53),0)</f>
        <v/>
      </c>
      <c r="N661">
        <f>MAX(0,J661-I661)</f>
        <v/>
      </c>
      <c r="O661">
        <f>IF(M661-N661&gt;1E-9,M661-N661,0)</f>
        <v/>
      </c>
      <c r="P661">
        <f>O660*$G$53</f>
        <v/>
      </c>
      <c r="Q661">
        <f>IF(S660&gt;0,MAX(0,S660*(1+$G$54)-$H$54),0)</f>
        <v/>
      </c>
      <c r="R661">
        <f>MAX(0,N661-M661)</f>
        <v/>
      </c>
      <c r="S661">
        <f>IF(Q661-R661&gt;1E-9,Q661-R661,0)</f>
        <v/>
      </c>
      <c r="T661">
        <f>S660*$G$54</f>
        <v/>
      </c>
      <c r="U661">
        <f>IF(W660&gt;0,MAX(0,W660*(1+$G$55)-$H$55),0)</f>
        <v/>
      </c>
      <c r="V661">
        <f>MAX(0,R661-Q661)</f>
        <v/>
      </c>
      <c r="W661">
        <f>IF(U661-V661&gt;1E-9,U661-V661,0)</f>
        <v/>
      </c>
      <c r="X661">
        <f>W660*$G$55</f>
        <v/>
      </c>
      <c r="Y661">
        <f>IF(Y660&gt;1E-9,IF(Y660*(1+$G$51)-MAX($B$9,0.01*Y660+Y660*$G$51)&gt;1E-9,Y660*(1+$G$51)-MAX($B$9,0.01*Y660+Y660*$G$51),0),0)</f>
        <v/>
      </c>
      <c r="Z661">
        <f>Y660*$G$51</f>
        <v/>
      </c>
      <c r="AA661">
        <f>IF(AA660&gt;1E-9,IF(AA660*(1+$G$52)-MAX($B$9,0.01*AA660+AA660*$G$52)&gt;1E-9,AA660*(1+$G$52)-MAX($B$9,0.01*AA660+AA660*$G$52),0),0)</f>
        <v/>
      </c>
      <c r="AB661">
        <f>AA660*$G$52</f>
        <v/>
      </c>
      <c r="AC661">
        <f>IF(AC660&gt;1E-9,IF(AC660*(1+$G$53)-MAX($B$9,0.01*AC660+AC660*$G$53)&gt;1E-9,AC660*(1+$G$53)-MAX($B$9,0.01*AC660+AC660*$G$53),0),0)</f>
        <v/>
      </c>
      <c r="AD661">
        <f>AC660*$G$53</f>
        <v/>
      </c>
      <c r="AE661">
        <f>IF(AE660&gt;1E-9,IF(AE660*(1+$G$54)-MAX($B$9,0.01*AE660+AE660*$G$54)&gt;1E-9,AE660*(1+$G$54)-MAX($B$9,0.01*AE660+AE660*$G$54),0),0)</f>
        <v/>
      </c>
      <c r="AF661">
        <f>AE660*$G$54</f>
        <v/>
      </c>
      <c r="AG661">
        <f>IF(AG660&gt;1E-9,IF(AG660*(1+$G$55)-MAX($B$9,0.01*AG660+AG660*$G$55)&gt;1E-9,AG660*(1+$G$55)-MAX($B$9,0.01*AG660+AG660*$G$55),0),0)</f>
        <v/>
      </c>
      <c r="AH661">
        <f>AG660*$G$55</f>
        <v/>
      </c>
      <c r="AI661">
        <f>G661+K661+O661+S661+W661</f>
        <v/>
      </c>
      <c r="AJ661">
        <f>AI660+AK661-AI661</f>
        <v/>
      </c>
      <c r="AK661">
        <f>H661+L661+P661+T661+X661</f>
        <v/>
      </c>
      <c r="AL661">
        <f>TEXT(EDATE($B$5,D661-1),"mmm yyyy")</f>
        <v/>
      </c>
      <c r="AM661">
        <f>AI661</f>
        <v/>
      </c>
    </row>
    <row r="662">
      <c r="D662" t="n">
        <v>601</v>
      </c>
      <c r="E662">
        <f>IF(G661&gt;0,MAX(0,G661*(1+$G$51)-$H$51),0)</f>
        <v/>
      </c>
      <c r="F662">
        <f>$B$6+IF($D662=$B$8,$B$7,0)</f>
        <v/>
      </c>
      <c r="G662">
        <f>IF(E662-F662&gt;1E-9,E662-F662,0)</f>
        <v/>
      </c>
      <c r="H662">
        <f>G661*$G$51</f>
        <v/>
      </c>
      <c r="I662">
        <f>IF(K661&gt;0,MAX(0,K661*(1+$G$52)-$H$52),0)</f>
        <v/>
      </c>
      <c r="J662">
        <f>MAX(0,F662-E662)</f>
        <v/>
      </c>
      <c r="K662">
        <f>IF(I662-J662&gt;1E-9,I662-J662,0)</f>
        <v/>
      </c>
      <c r="L662">
        <f>K661*$G$52</f>
        <v/>
      </c>
      <c r="M662">
        <f>IF(O661&gt;0,MAX(0,O661*(1+$G$53)-$H$53),0)</f>
        <v/>
      </c>
      <c r="N662">
        <f>MAX(0,J662-I662)</f>
        <v/>
      </c>
      <c r="O662">
        <f>IF(M662-N662&gt;1E-9,M662-N662,0)</f>
        <v/>
      </c>
      <c r="P662">
        <f>O661*$G$53</f>
        <v/>
      </c>
      <c r="Q662">
        <f>IF(S661&gt;0,MAX(0,S661*(1+$G$54)-$H$54),0)</f>
        <v/>
      </c>
      <c r="R662">
        <f>MAX(0,N662-M662)</f>
        <v/>
      </c>
      <c r="S662">
        <f>IF(Q662-R662&gt;1E-9,Q662-R662,0)</f>
        <v/>
      </c>
      <c r="T662">
        <f>S661*$G$54</f>
        <v/>
      </c>
      <c r="U662">
        <f>IF(W661&gt;0,MAX(0,W661*(1+$G$55)-$H$55),0)</f>
        <v/>
      </c>
      <c r="V662">
        <f>MAX(0,R662-Q662)</f>
        <v/>
      </c>
      <c r="W662">
        <f>IF(U662-V662&gt;1E-9,U662-V662,0)</f>
        <v/>
      </c>
      <c r="X662">
        <f>W661*$G$55</f>
        <v/>
      </c>
      <c r="Y662">
        <f>IF(Y661&gt;1E-9,IF(Y661*(1+$G$51)-MAX($B$9,0.01*Y661+Y661*$G$51)&gt;1E-9,Y661*(1+$G$51)-MAX($B$9,0.01*Y661+Y661*$G$51),0),0)</f>
        <v/>
      </c>
      <c r="Z662">
        <f>Y661*$G$51</f>
        <v/>
      </c>
      <c r="AA662">
        <f>IF(AA661&gt;1E-9,IF(AA661*(1+$G$52)-MAX($B$9,0.01*AA661+AA661*$G$52)&gt;1E-9,AA661*(1+$G$52)-MAX($B$9,0.01*AA661+AA661*$G$52),0),0)</f>
        <v/>
      </c>
      <c r="AB662">
        <f>AA661*$G$52</f>
        <v/>
      </c>
      <c r="AC662">
        <f>IF(AC661&gt;1E-9,IF(AC661*(1+$G$53)-MAX($B$9,0.01*AC661+AC661*$G$53)&gt;1E-9,AC661*(1+$G$53)-MAX($B$9,0.01*AC661+AC661*$G$53),0),0)</f>
        <v/>
      </c>
      <c r="AD662">
        <f>AC661*$G$53</f>
        <v/>
      </c>
      <c r="AE662">
        <f>IF(AE661&gt;1E-9,IF(AE661*(1+$G$54)-MAX($B$9,0.01*AE661+AE661*$G$54)&gt;1E-9,AE661*(1+$G$54)-MAX($B$9,0.01*AE661+AE661*$G$54),0),0)</f>
        <v/>
      </c>
      <c r="AF662">
        <f>AE661*$G$54</f>
        <v/>
      </c>
      <c r="AG662">
        <f>IF(AG661&gt;1E-9,IF(AG661*(1+$G$55)-MAX($B$9,0.01*AG661+AG661*$G$55)&gt;1E-9,AG661*(1+$G$55)-MAX($B$9,0.01*AG661+AG661*$G$55),0),0)</f>
        <v/>
      </c>
      <c r="AH662">
        <f>AG661*$G$55</f>
        <v/>
      </c>
      <c r="AI662">
        <f>G662+K662+O662+S662+W662</f>
        <v/>
      </c>
      <c r="AJ662">
        <f>AI661+AK662-AI662</f>
        <v/>
      </c>
      <c r="AK662">
        <f>H662+L662+P662+T662+X662</f>
        <v/>
      </c>
      <c r="AL662">
        <f>TEXT(EDATE($B$5,D662-1),"mmm yyyy")</f>
        <v/>
      </c>
      <c r="AM662">
        <f>AI662</f>
        <v/>
      </c>
    </row>
    <row r="663">
      <c r="D663" t="n">
        <v>602</v>
      </c>
      <c r="E663">
        <f>IF(G662&gt;0,MAX(0,G662*(1+$G$51)-$H$51),0)</f>
        <v/>
      </c>
      <c r="F663">
        <f>$B$6+IF($D663=$B$8,$B$7,0)</f>
        <v/>
      </c>
      <c r="G663">
        <f>IF(E663-F663&gt;1E-9,E663-F663,0)</f>
        <v/>
      </c>
      <c r="H663">
        <f>G662*$G$51</f>
        <v/>
      </c>
      <c r="I663">
        <f>IF(K662&gt;0,MAX(0,K662*(1+$G$52)-$H$52),0)</f>
        <v/>
      </c>
      <c r="J663">
        <f>MAX(0,F663-E663)</f>
        <v/>
      </c>
      <c r="K663">
        <f>IF(I663-J663&gt;1E-9,I663-J663,0)</f>
        <v/>
      </c>
      <c r="L663">
        <f>K662*$G$52</f>
        <v/>
      </c>
      <c r="M663">
        <f>IF(O662&gt;0,MAX(0,O662*(1+$G$53)-$H$53),0)</f>
        <v/>
      </c>
      <c r="N663">
        <f>MAX(0,J663-I663)</f>
        <v/>
      </c>
      <c r="O663">
        <f>IF(M663-N663&gt;1E-9,M663-N663,0)</f>
        <v/>
      </c>
      <c r="P663">
        <f>O662*$G$53</f>
        <v/>
      </c>
      <c r="Q663">
        <f>IF(S662&gt;0,MAX(0,S662*(1+$G$54)-$H$54),0)</f>
        <v/>
      </c>
      <c r="R663">
        <f>MAX(0,N663-M663)</f>
        <v/>
      </c>
      <c r="S663">
        <f>IF(Q663-R663&gt;1E-9,Q663-R663,0)</f>
        <v/>
      </c>
      <c r="T663">
        <f>S662*$G$54</f>
        <v/>
      </c>
      <c r="U663">
        <f>IF(W662&gt;0,MAX(0,W662*(1+$G$55)-$H$55),0)</f>
        <v/>
      </c>
      <c r="V663">
        <f>MAX(0,R663-Q663)</f>
        <v/>
      </c>
      <c r="W663">
        <f>IF(U663-V663&gt;1E-9,U663-V663,0)</f>
        <v/>
      </c>
      <c r="X663">
        <f>W662*$G$55</f>
        <v/>
      </c>
      <c r="Y663">
        <f>IF(Y662&gt;1E-9,IF(Y662*(1+$G$51)-MAX($B$9,0.01*Y662+Y662*$G$51)&gt;1E-9,Y662*(1+$G$51)-MAX($B$9,0.01*Y662+Y662*$G$51),0),0)</f>
        <v/>
      </c>
      <c r="Z663">
        <f>Y662*$G$51</f>
        <v/>
      </c>
      <c r="AA663">
        <f>IF(AA662&gt;1E-9,IF(AA662*(1+$G$52)-MAX($B$9,0.01*AA662+AA662*$G$52)&gt;1E-9,AA662*(1+$G$52)-MAX($B$9,0.01*AA662+AA662*$G$52),0),0)</f>
        <v/>
      </c>
      <c r="AB663">
        <f>AA662*$G$52</f>
        <v/>
      </c>
      <c r="AC663">
        <f>IF(AC662&gt;1E-9,IF(AC662*(1+$G$53)-MAX($B$9,0.01*AC662+AC662*$G$53)&gt;1E-9,AC662*(1+$G$53)-MAX($B$9,0.01*AC662+AC662*$G$53),0),0)</f>
        <v/>
      </c>
      <c r="AD663">
        <f>AC662*$G$53</f>
        <v/>
      </c>
      <c r="AE663">
        <f>IF(AE662&gt;1E-9,IF(AE662*(1+$G$54)-MAX($B$9,0.01*AE662+AE662*$G$54)&gt;1E-9,AE662*(1+$G$54)-MAX($B$9,0.01*AE662+AE662*$G$54),0),0)</f>
        <v/>
      </c>
      <c r="AF663">
        <f>AE662*$G$54</f>
        <v/>
      </c>
      <c r="AG663">
        <f>IF(AG662&gt;1E-9,IF(AG662*(1+$G$55)-MAX($B$9,0.01*AG662+AG662*$G$55)&gt;1E-9,AG662*(1+$G$55)-MAX($B$9,0.01*AG662+AG662*$G$55),0),0)</f>
        <v/>
      </c>
      <c r="AH663">
        <f>AG662*$G$55</f>
        <v/>
      </c>
      <c r="AI663">
        <f>G663+K663+O663+S663+W663</f>
        <v/>
      </c>
      <c r="AJ663">
        <f>AI662+AK663-AI663</f>
        <v/>
      </c>
      <c r="AK663">
        <f>H663+L663+P663+T663+X663</f>
        <v/>
      </c>
      <c r="AL663">
        <f>TEXT(EDATE($B$5,D663-1),"mmm yyyy")</f>
        <v/>
      </c>
      <c r="AM663">
        <f>AI663</f>
        <v/>
      </c>
    </row>
    <row r="664">
      <c r="D664" t="n">
        <v>603</v>
      </c>
      <c r="E664">
        <f>IF(G663&gt;0,MAX(0,G663*(1+$G$51)-$H$51),0)</f>
        <v/>
      </c>
      <c r="F664">
        <f>$B$6+IF($D664=$B$8,$B$7,0)</f>
        <v/>
      </c>
      <c r="G664">
        <f>IF(E664-F664&gt;1E-9,E664-F664,0)</f>
        <v/>
      </c>
      <c r="H664">
        <f>G663*$G$51</f>
        <v/>
      </c>
      <c r="I664">
        <f>IF(K663&gt;0,MAX(0,K663*(1+$G$52)-$H$52),0)</f>
        <v/>
      </c>
      <c r="J664">
        <f>MAX(0,F664-E664)</f>
        <v/>
      </c>
      <c r="K664">
        <f>IF(I664-J664&gt;1E-9,I664-J664,0)</f>
        <v/>
      </c>
      <c r="L664">
        <f>K663*$G$52</f>
        <v/>
      </c>
      <c r="M664">
        <f>IF(O663&gt;0,MAX(0,O663*(1+$G$53)-$H$53),0)</f>
        <v/>
      </c>
      <c r="N664">
        <f>MAX(0,J664-I664)</f>
        <v/>
      </c>
      <c r="O664">
        <f>IF(M664-N664&gt;1E-9,M664-N664,0)</f>
        <v/>
      </c>
      <c r="P664">
        <f>O663*$G$53</f>
        <v/>
      </c>
      <c r="Q664">
        <f>IF(S663&gt;0,MAX(0,S663*(1+$G$54)-$H$54),0)</f>
        <v/>
      </c>
      <c r="R664">
        <f>MAX(0,N664-M664)</f>
        <v/>
      </c>
      <c r="S664">
        <f>IF(Q664-R664&gt;1E-9,Q664-R664,0)</f>
        <v/>
      </c>
      <c r="T664">
        <f>S663*$G$54</f>
        <v/>
      </c>
      <c r="U664">
        <f>IF(W663&gt;0,MAX(0,W663*(1+$G$55)-$H$55),0)</f>
        <v/>
      </c>
      <c r="V664">
        <f>MAX(0,R664-Q664)</f>
        <v/>
      </c>
      <c r="W664">
        <f>IF(U664-V664&gt;1E-9,U664-V664,0)</f>
        <v/>
      </c>
      <c r="X664">
        <f>W663*$G$55</f>
        <v/>
      </c>
      <c r="Y664">
        <f>IF(Y663&gt;1E-9,IF(Y663*(1+$G$51)-MAX($B$9,0.01*Y663+Y663*$G$51)&gt;1E-9,Y663*(1+$G$51)-MAX($B$9,0.01*Y663+Y663*$G$51),0),0)</f>
        <v/>
      </c>
      <c r="Z664">
        <f>Y663*$G$51</f>
        <v/>
      </c>
      <c r="AA664">
        <f>IF(AA663&gt;1E-9,IF(AA663*(1+$G$52)-MAX($B$9,0.01*AA663+AA663*$G$52)&gt;1E-9,AA663*(1+$G$52)-MAX($B$9,0.01*AA663+AA663*$G$52),0),0)</f>
        <v/>
      </c>
      <c r="AB664">
        <f>AA663*$G$52</f>
        <v/>
      </c>
      <c r="AC664">
        <f>IF(AC663&gt;1E-9,IF(AC663*(1+$G$53)-MAX($B$9,0.01*AC663+AC663*$G$53)&gt;1E-9,AC663*(1+$G$53)-MAX($B$9,0.01*AC663+AC663*$G$53),0),0)</f>
        <v/>
      </c>
      <c r="AD664">
        <f>AC663*$G$53</f>
        <v/>
      </c>
      <c r="AE664">
        <f>IF(AE663&gt;1E-9,IF(AE663*(1+$G$54)-MAX($B$9,0.01*AE663+AE663*$G$54)&gt;1E-9,AE663*(1+$G$54)-MAX($B$9,0.01*AE663+AE663*$G$54),0),0)</f>
        <v/>
      </c>
      <c r="AF664">
        <f>AE663*$G$54</f>
        <v/>
      </c>
      <c r="AG664">
        <f>IF(AG663&gt;1E-9,IF(AG663*(1+$G$55)-MAX($B$9,0.01*AG663+AG663*$G$55)&gt;1E-9,AG663*(1+$G$55)-MAX($B$9,0.01*AG663+AG663*$G$55),0),0)</f>
        <v/>
      </c>
      <c r="AH664">
        <f>AG663*$G$55</f>
        <v/>
      </c>
      <c r="AI664">
        <f>G664+K664+O664+S664+W664</f>
        <v/>
      </c>
      <c r="AJ664">
        <f>AI663+AK664-AI664</f>
        <v/>
      </c>
      <c r="AK664">
        <f>H664+L664+P664+T664+X664</f>
        <v/>
      </c>
      <c r="AL664">
        <f>TEXT(EDATE($B$5,D664-1),"mmm yyyy")</f>
        <v/>
      </c>
      <c r="AM664">
        <f>AI664</f>
        <v/>
      </c>
    </row>
    <row r="665">
      <c r="D665" t="n">
        <v>604</v>
      </c>
      <c r="E665">
        <f>IF(G664&gt;0,MAX(0,G664*(1+$G$51)-$H$51),0)</f>
        <v/>
      </c>
      <c r="F665">
        <f>$B$6+IF($D665=$B$8,$B$7,0)</f>
        <v/>
      </c>
      <c r="G665">
        <f>IF(E665-F665&gt;1E-9,E665-F665,0)</f>
        <v/>
      </c>
      <c r="H665">
        <f>G664*$G$51</f>
        <v/>
      </c>
      <c r="I665">
        <f>IF(K664&gt;0,MAX(0,K664*(1+$G$52)-$H$52),0)</f>
        <v/>
      </c>
      <c r="J665">
        <f>MAX(0,F665-E665)</f>
        <v/>
      </c>
      <c r="K665">
        <f>IF(I665-J665&gt;1E-9,I665-J665,0)</f>
        <v/>
      </c>
      <c r="L665">
        <f>K664*$G$52</f>
        <v/>
      </c>
      <c r="M665">
        <f>IF(O664&gt;0,MAX(0,O664*(1+$G$53)-$H$53),0)</f>
        <v/>
      </c>
      <c r="N665">
        <f>MAX(0,J665-I665)</f>
        <v/>
      </c>
      <c r="O665">
        <f>IF(M665-N665&gt;1E-9,M665-N665,0)</f>
        <v/>
      </c>
      <c r="P665">
        <f>O664*$G$53</f>
        <v/>
      </c>
      <c r="Q665">
        <f>IF(S664&gt;0,MAX(0,S664*(1+$G$54)-$H$54),0)</f>
        <v/>
      </c>
      <c r="R665">
        <f>MAX(0,N665-M665)</f>
        <v/>
      </c>
      <c r="S665">
        <f>IF(Q665-R665&gt;1E-9,Q665-R665,0)</f>
        <v/>
      </c>
      <c r="T665">
        <f>S664*$G$54</f>
        <v/>
      </c>
      <c r="U665">
        <f>IF(W664&gt;0,MAX(0,W664*(1+$G$55)-$H$55),0)</f>
        <v/>
      </c>
      <c r="V665">
        <f>MAX(0,R665-Q665)</f>
        <v/>
      </c>
      <c r="W665">
        <f>IF(U665-V665&gt;1E-9,U665-V665,0)</f>
        <v/>
      </c>
      <c r="X665">
        <f>W664*$G$55</f>
        <v/>
      </c>
      <c r="Y665">
        <f>IF(Y664&gt;1E-9,IF(Y664*(1+$G$51)-MAX($B$9,0.01*Y664+Y664*$G$51)&gt;1E-9,Y664*(1+$G$51)-MAX($B$9,0.01*Y664+Y664*$G$51),0),0)</f>
        <v/>
      </c>
      <c r="Z665">
        <f>Y664*$G$51</f>
        <v/>
      </c>
      <c r="AA665">
        <f>IF(AA664&gt;1E-9,IF(AA664*(1+$G$52)-MAX($B$9,0.01*AA664+AA664*$G$52)&gt;1E-9,AA664*(1+$G$52)-MAX($B$9,0.01*AA664+AA664*$G$52),0),0)</f>
        <v/>
      </c>
      <c r="AB665">
        <f>AA664*$G$52</f>
        <v/>
      </c>
      <c r="AC665">
        <f>IF(AC664&gt;1E-9,IF(AC664*(1+$G$53)-MAX($B$9,0.01*AC664+AC664*$G$53)&gt;1E-9,AC664*(1+$G$53)-MAX($B$9,0.01*AC664+AC664*$G$53),0),0)</f>
        <v/>
      </c>
      <c r="AD665">
        <f>AC664*$G$53</f>
        <v/>
      </c>
      <c r="AE665">
        <f>IF(AE664&gt;1E-9,IF(AE664*(1+$G$54)-MAX($B$9,0.01*AE664+AE664*$G$54)&gt;1E-9,AE664*(1+$G$54)-MAX($B$9,0.01*AE664+AE664*$G$54),0),0)</f>
        <v/>
      </c>
      <c r="AF665">
        <f>AE664*$G$54</f>
        <v/>
      </c>
      <c r="AG665">
        <f>IF(AG664&gt;1E-9,IF(AG664*(1+$G$55)-MAX($B$9,0.01*AG664+AG664*$G$55)&gt;1E-9,AG664*(1+$G$55)-MAX($B$9,0.01*AG664+AG664*$G$55),0),0)</f>
        <v/>
      </c>
      <c r="AH665">
        <f>AG664*$G$55</f>
        <v/>
      </c>
      <c r="AI665">
        <f>G665+K665+O665+S665+W665</f>
        <v/>
      </c>
      <c r="AJ665">
        <f>AI664+AK665-AI665</f>
        <v/>
      </c>
      <c r="AK665">
        <f>H665+L665+P665+T665+X665</f>
        <v/>
      </c>
      <c r="AL665">
        <f>TEXT(EDATE($B$5,D665-1),"mmm yyyy")</f>
        <v/>
      </c>
      <c r="AM665">
        <f>AI665</f>
        <v/>
      </c>
    </row>
    <row r="666">
      <c r="D666" t="n">
        <v>605</v>
      </c>
      <c r="E666">
        <f>IF(G665&gt;0,MAX(0,G665*(1+$G$51)-$H$51),0)</f>
        <v/>
      </c>
      <c r="F666">
        <f>$B$6+IF($D666=$B$8,$B$7,0)</f>
        <v/>
      </c>
      <c r="G666">
        <f>IF(E666-F666&gt;1E-9,E666-F666,0)</f>
        <v/>
      </c>
      <c r="H666">
        <f>G665*$G$51</f>
        <v/>
      </c>
      <c r="I666">
        <f>IF(K665&gt;0,MAX(0,K665*(1+$G$52)-$H$52),0)</f>
        <v/>
      </c>
      <c r="J666">
        <f>MAX(0,F666-E666)</f>
        <v/>
      </c>
      <c r="K666">
        <f>IF(I666-J666&gt;1E-9,I666-J666,0)</f>
        <v/>
      </c>
      <c r="L666">
        <f>K665*$G$52</f>
        <v/>
      </c>
      <c r="M666">
        <f>IF(O665&gt;0,MAX(0,O665*(1+$G$53)-$H$53),0)</f>
        <v/>
      </c>
      <c r="N666">
        <f>MAX(0,J666-I666)</f>
        <v/>
      </c>
      <c r="O666">
        <f>IF(M666-N666&gt;1E-9,M666-N666,0)</f>
        <v/>
      </c>
      <c r="P666">
        <f>O665*$G$53</f>
        <v/>
      </c>
      <c r="Q666">
        <f>IF(S665&gt;0,MAX(0,S665*(1+$G$54)-$H$54),0)</f>
        <v/>
      </c>
      <c r="R666">
        <f>MAX(0,N666-M666)</f>
        <v/>
      </c>
      <c r="S666">
        <f>IF(Q666-R666&gt;1E-9,Q666-R666,0)</f>
        <v/>
      </c>
      <c r="T666">
        <f>S665*$G$54</f>
        <v/>
      </c>
      <c r="U666">
        <f>IF(W665&gt;0,MAX(0,W665*(1+$G$55)-$H$55),0)</f>
        <v/>
      </c>
      <c r="V666">
        <f>MAX(0,R666-Q666)</f>
        <v/>
      </c>
      <c r="W666">
        <f>IF(U666-V666&gt;1E-9,U666-V666,0)</f>
        <v/>
      </c>
      <c r="X666">
        <f>W665*$G$55</f>
        <v/>
      </c>
      <c r="Y666">
        <f>IF(Y665&gt;1E-9,IF(Y665*(1+$G$51)-MAX($B$9,0.01*Y665+Y665*$G$51)&gt;1E-9,Y665*(1+$G$51)-MAX($B$9,0.01*Y665+Y665*$G$51),0),0)</f>
        <v/>
      </c>
      <c r="Z666">
        <f>Y665*$G$51</f>
        <v/>
      </c>
      <c r="AA666">
        <f>IF(AA665&gt;1E-9,IF(AA665*(1+$G$52)-MAX($B$9,0.01*AA665+AA665*$G$52)&gt;1E-9,AA665*(1+$G$52)-MAX($B$9,0.01*AA665+AA665*$G$52),0),0)</f>
        <v/>
      </c>
      <c r="AB666">
        <f>AA665*$G$52</f>
        <v/>
      </c>
      <c r="AC666">
        <f>IF(AC665&gt;1E-9,IF(AC665*(1+$G$53)-MAX($B$9,0.01*AC665+AC665*$G$53)&gt;1E-9,AC665*(1+$G$53)-MAX($B$9,0.01*AC665+AC665*$G$53),0),0)</f>
        <v/>
      </c>
      <c r="AD666">
        <f>AC665*$G$53</f>
        <v/>
      </c>
      <c r="AE666">
        <f>IF(AE665&gt;1E-9,IF(AE665*(1+$G$54)-MAX($B$9,0.01*AE665+AE665*$G$54)&gt;1E-9,AE665*(1+$G$54)-MAX($B$9,0.01*AE665+AE665*$G$54),0),0)</f>
        <v/>
      </c>
      <c r="AF666">
        <f>AE665*$G$54</f>
        <v/>
      </c>
      <c r="AG666">
        <f>IF(AG665&gt;1E-9,IF(AG665*(1+$G$55)-MAX($B$9,0.01*AG665+AG665*$G$55)&gt;1E-9,AG665*(1+$G$55)-MAX($B$9,0.01*AG665+AG665*$G$55),0),0)</f>
        <v/>
      </c>
      <c r="AH666">
        <f>AG665*$G$55</f>
        <v/>
      </c>
      <c r="AI666">
        <f>G666+K666+O666+S666+W666</f>
        <v/>
      </c>
      <c r="AJ666">
        <f>AI665+AK666-AI666</f>
        <v/>
      </c>
      <c r="AK666">
        <f>H666+L666+P666+T666+X666</f>
        <v/>
      </c>
      <c r="AL666">
        <f>TEXT(EDATE($B$5,D666-1),"mmm yyyy")</f>
        <v/>
      </c>
      <c r="AM666">
        <f>AI666</f>
        <v/>
      </c>
    </row>
    <row r="667">
      <c r="D667" t="n">
        <v>606</v>
      </c>
      <c r="E667">
        <f>IF(G666&gt;0,MAX(0,G666*(1+$G$51)-$H$51),0)</f>
        <v/>
      </c>
      <c r="F667">
        <f>$B$6+IF($D667=$B$8,$B$7,0)</f>
        <v/>
      </c>
      <c r="G667">
        <f>IF(E667-F667&gt;1E-9,E667-F667,0)</f>
        <v/>
      </c>
      <c r="H667">
        <f>G666*$G$51</f>
        <v/>
      </c>
      <c r="I667">
        <f>IF(K666&gt;0,MAX(0,K666*(1+$G$52)-$H$52),0)</f>
        <v/>
      </c>
      <c r="J667">
        <f>MAX(0,F667-E667)</f>
        <v/>
      </c>
      <c r="K667">
        <f>IF(I667-J667&gt;1E-9,I667-J667,0)</f>
        <v/>
      </c>
      <c r="L667">
        <f>K666*$G$52</f>
        <v/>
      </c>
      <c r="M667">
        <f>IF(O666&gt;0,MAX(0,O666*(1+$G$53)-$H$53),0)</f>
        <v/>
      </c>
      <c r="N667">
        <f>MAX(0,J667-I667)</f>
        <v/>
      </c>
      <c r="O667">
        <f>IF(M667-N667&gt;1E-9,M667-N667,0)</f>
        <v/>
      </c>
      <c r="P667">
        <f>O666*$G$53</f>
        <v/>
      </c>
      <c r="Q667">
        <f>IF(S666&gt;0,MAX(0,S666*(1+$G$54)-$H$54),0)</f>
        <v/>
      </c>
      <c r="R667">
        <f>MAX(0,N667-M667)</f>
        <v/>
      </c>
      <c r="S667">
        <f>IF(Q667-R667&gt;1E-9,Q667-R667,0)</f>
        <v/>
      </c>
      <c r="T667">
        <f>S666*$G$54</f>
        <v/>
      </c>
      <c r="U667">
        <f>IF(W666&gt;0,MAX(0,W666*(1+$G$55)-$H$55),0)</f>
        <v/>
      </c>
      <c r="V667">
        <f>MAX(0,R667-Q667)</f>
        <v/>
      </c>
      <c r="W667">
        <f>IF(U667-V667&gt;1E-9,U667-V667,0)</f>
        <v/>
      </c>
      <c r="X667">
        <f>W666*$G$55</f>
        <v/>
      </c>
      <c r="Y667">
        <f>IF(Y666&gt;1E-9,IF(Y666*(1+$G$51)-MAX($B$9,0.01*Y666+Y666*$G$51)&gt;1E-9,Y666*(1+$G$51)-MAX($B$9,0.01*Y666+Y666*$G$51),0),0)</f>
        <v/>
      </c>
      <c r="Z667">
        <f>Y666*$G$51</f>
        <v/>
      </c>
      <c r="AA667">
        <f>IF(AA666&gt;1E-9,IF(AA666*(1+$G$52)-MAX($B$9,0.01*AA666+AA666*$G$52)&gt;1E-9,AA666*(1+$G$52)-MAX($B$9,0.01*AA666+AA666*$G$52),0),0)</f>
        <v/>
      </c>
      <c r="AB667">
        <f>AA666*$G$52</f>
        <v/>
      </c>
      <c r="AC667">
        <f>IF(AC666&gt;1E-9,IF(AC666*(1+$G$53)-MAX($B$9,0.01*AC666+AC666*$G$53)&gt;1E-9,AC666*(1+$G$53)-MAX($B$9,0.01*AC666+AC666*$G$53),0),0)</f>
        <v/>
      </c>
      <c r="AD667">
        <f>AC666*$G$53</f>
        <v/>
      </c>
      <c r="AE667">
        <f>IF(AE666&gt;1E-9,IF(AE666*(1+$G$54)-MAX($B$9,0.01*AE666+AE666*$G$54)&gt;1E-9,AE666*(1+$G$54)-MAX($B$9,0.01*AE666+AE666*$G$54),0),0)</f>
        <v/>
      </c>
      <c r="AF667">
        <f>AE666*$G$54</f>
        <v/>
      </c>
      <c r="AG667">
        <f>IF(AG666&gt;1E-9,IF(AG666*(1+$G$55)-MAX($B$9,0.01*AG666+AG666*$G$55)&gt;1E-9,AG666*(1+$G$55)-MAX($B$9,0.01*AG666+AG666*$G$55),0),0)</f>
        <v/>
      </c>
      <c r="AH667">
        <f>AG666*$G$55</f>
        <v/>
      </c>
      <c r="AI667">
        <f>G667+K667+O667+S667+W667</f>
        <v/>
      </c>
      <c r="AJ667">
        <f>AI666+AK667-AI667</f>
        <v/>
      </c>
      <c r="AK667">
        <f>H667+L667+P667+T667+X667</f>
        <v/>
      </c>
      <c r="AL667">
        <f>TEXT(EDATE($B$5,D667-1),"mmm yyyy")</f>
        <v/>
      </c>
      <c r="AM667">
        <f>AI667</f>
        <v/>
      </c>
    </row>
    <row r="668">
      <c r="D668" t="n">
        <v>607</v>
      </c>
      <c r="E668">
        <f>IF(G667&gt;0,MAX(0,G667*(1+$G$51)-$H$51),0)</f>
        <v/>
      </c>
      <c r="F668">
        <f>$B$6+IF($D668=$B$8,$B$7,0)</f>
        <v/>
      </c>
      <c r="G668">
        <f>IF(E668-F668&gt;1E-9,E668-F668,0)</f>
        <v/>
      </c>
      <c r="H668">
        <f>G667*$G$51</f>
        <v/>
      </c>
      <c r="I668">
        <f>IF(K667&gt;0,MAX(0,K667*(1+$G$52)-$H$52),0)</f>
        <v/>
      </c>
      <c r="J668">
        <f>MAX(0,F668-E668)</f>
        <v/>
      </c>
      <c r="K668">
        <f>IF(I668-J668&gt;1E-9,I668-J668,0)</f>
        <v/>
      </c>
      <c r="L668">
        <f>K667*$G$52</f>
        <v/>
      </c>
      <c r="M668">
        <f>IF(O667&gt;0,MAX(0,O667*(1+$G$53)-$H$53),0)</f>
        <v/>
      </c>
      <c r="N668">
        <f>MAX(0,J668-I668)</f>
        <v/>
      </c>
      <c r="O668">
        <f>IF(M668-N668&gt;1E-9,M668-N668,0)</f>
        <v/>
      </c>
      <c r="P668">
        <f>O667*$G$53</f>
        <v/>
      </c>
      <c r="Q668">
        <f>IF(S667&gt;0,MAX(0,S667*(1+$G$54)-$H$54),0)</f>
        <v/>
      </c>
      <c r="R668">
        <f>MAX(0,N668-M668)</f>
        <v/>
      </c>
      <c r="S668">
        <f>IF(Q668-R668&gt;1E-9,Q668-R668,0)</f>
        <v/>
      </c>
      <c r="T668">
        <f>S667*$G$54</f>
        <v/>
      </c>
      <c r="U668">
        <f>IF(W667&gt;0,MAX(0,W667*(1+$G$55)-$H$55),0)</f>
        <v/>
      </c>
      <c r="V668">
        <f>MAX(0,R668-Q668)</f>
        <v/>
      </c>
      <c r="W668">
        <f>IF(U668-V668&gt;1E-9,U668-V668,0)</f>
        <v/>
      </c>
      <c r="X668">
        <f>W667*$G$55</f>
        <v/>
      </c>
      <c r="Y668">
        <f>IF(Y667&gt;1E-9,IF(Y667*(1+$G$51)-MAX($B$9,0.01*Y667+Y667*$G$51)&gt;1E-9,Y667*(1+$G$51)-MAX($B$9,0.01*Y667+Y667*$G$51),0),0)</f>
        <v/>
      </c>
      <c r="Z668">
        <f>Y667*$G$51</f>
        <v/>
      </c>
      <c r="AA668">
        <f>IF(AA667&gt;1E-9,IF(AA667*(1+$G$52)-MAX($B$9,0.01*AA667+AA667*$G$52)&gt;1E-9,AA667*(1+$G$52)-MAX($B$9,0.01*AA667+AA667*$G$52),0),0)</f>
        <v/>
      </c>
      <c r="AB668">
        <f>AA667*$G$52</f>
        <v/>
      </c>
      <c r="AC668">
        <f>IF(AC667&gt;1E-9,IF(AC667*(1+$G$53)-MAX($B$9,0.01*AC667+AC667*$G$53)&gt;1E-9,AC667*(1+$G$53)-MAX($B$9,0.01*AC667+AC667*$G$53),0),0)</f>
        <v/>
      </c>
      <c r="AD668">
        <f>AC667*$G$53</f>
        <v/>
      </c>
      <c r="AE668">
        <f>IF(AE667&gt;1E-9,IF(AE667*(1+$G$54)-MAX($B$9,0.01*AE667+AE667*$G$54)&gt;1E-9,AE667*(1+$G$54)-MAX($B$9,0.01*AE667+AE667*$G$54),0),0)</f>
        <v/>
      </c>
      <c r="AF668">
        <f>AE667*$G$54</f>
        <v/>
      </c>
      <c r="AG668">
        <f>IF(AG667&gt;1E-9,IF(AG667*(1+$G$55)-MAX($B$9,0.01*AG667+AG667*$G$55)&gt;1E-9,AG667*(1+$G$55)-MAX($B$9,0.01*AG667+AG667*$G$55),0),0)</f>
        <v/>
      </c>
      <c r="AH668">
        <f>AG667*$G$55</f>
        <v/>
      </c>
      <c r="AI668">
        <f>G668+K668+O668+S668+W668</f>
        <v/>
      </c>
      <c r="AJ668">
        <f>AI667+AK668-AI668</f>
        <v/>
      </c>
      <c r="AK668">
        <f>H668+L668+P668+T668+X668</f>
        <v/>
      </c>
      <c r="AL668">
        <f>TEXT(EDATE($B$5,D668-1),"mmm yyyy")</f>
        <v/>
      </c>
      <c r="AM668">
        <f>AI668</f>
        <v/>
      </c>
    </row>
    <row r="669">
      <c r="D669" t="n">
        <v>608</v>
      </c>
      <c r="E669">
        <f>IF(G668&gt;0,MAX(0,G668*(1+$G$51)-$H$51),0)</f>
        <v/>
      </c>
      <c r="F669">
        <f>$B$6+IF($D669=$B$8,$B$7,0)</f>
        <v/>
      </c>
      <c r="G669">
        <f>IF(E669-F669&gt;1E-9,E669-F669,0)</f>
        <v/>
      </c>
      <c r="H669">
        <f>G668*$G$51</f>
        <v/>
      </c>
      <c r="I669">
        <f>IF(K668&gt;0,MAX(0,K668*(1+$G$52)-$H$52),0)</f>
        <v/>
      </c>
      <c r="J669">
        <f>MAX(0,F669-E669)</f>
        <v/>
      </c>
      <c r="K669">
        <f>IF(I669-J669&gt;1E-9,I669-J669,0)</f>
        <v/>
      </c>
      <c r="L669">
        <f>K668*$G$52</f>
        <v/>
      </c>
      <c r="M669">
        <f>IF(O668&gt;0,MAX(0,O668*(1+$G$53)-$H$53),0)</f>
        <v/>
      </c>
      <c r="N669">
        <f>MAX(0,J669-I669)</f>
        <v/>
      </c>
      <c r="O669">
        <f>IF(M669-N669&gt;1E-9,M669-N669,0)</f>
        <v/>
      </c>
      <c r="P669">
        <f>O668*$G$53</f>
        <v/>
      </c>
      <c r="Q669">
        <f>IF(S668&gt;0,MAX(0,S668*(1+$G$54)-$H$54),0)</f>
        <v/>
      </c>
      <c r="R669">
        <f>MAX(0,N669-M669)</f>
        <v/>
      </c>
      <c r="S669">
        <f>IF(Q669-R669&gt;1E-9,Q669-R669,0)</f>
        <v/>
      </c>
      <c r="T669">
        <f>S668*$G$54</f>
        <v/>
      </c>
      <c r="U669">
        <f>IF(W668&gt;0,MAX(0,W668*(1+$G$55)-$H$55),0)</f>
        <v/>
      </c>
      <c r="V669">
        <f>MAX(0,R669-Q669)</f>
        <v/>
      </c>
      <c r="W669">
        <f>IF(U669-V669&gt;1E-9,U669-V669,0)</f>
        <v/>
      </c>
      <c r="X669">
        <f>W668*$G$55</f>
        <v/>
      </c>
      <c r="Y669">
        <f>IF(Y668&gt;1E-9,IF(Y668*(1+$G$51)-MAX($B$9,0.01*Y668+Y668*$G$51)&gt;1E-9,Y668*(1+$G$51)-MAX($B$9,0.01*Y668+Y668*$G$51),0),0)</f>
        <v/>
      </c>
      <c r="Z669">
        <f>Y668*$G$51</f>
        <v/>
      </c>
      <c r="AA669">
        <f>IF(AA668&gt;1E-9,IF(AA668*(1+$G$52)-MAX($B$9,0.01*AA668+AA668*$G$52)&gt;1E-9,AA668*(1+$G$52)-MAX($B$9,0.01*AA668+AA668*$G$52),0),0)</f>
        <v/>
      </c>
      <c r="AB669">
        <f>AA668*$G$52</f>
        <v/>
      </c>
      <c r="AC669">
        <f>IF(AC668&gt;1E-9,IF(AC668*(1+$G$53)-MAX($B$9,0.01*AC668+AC668*$G$53)&gt;1E-9,AC668*(1+$G$53)-MAX($B$9,0.01*AC668+AC668*$G$53),0),0)</f>
        <v/>
      </c>
      <c r="AD669">
        <f>AC668*$G$53</f>
        <v/>
      </c>
      <c r="AE669">
        <f>IF(AE668&gt;1E-9,IF(AE668*(1+$G$54)-MAX($B$9,0.01*AE668+AE668*$G$54)&gt;1E-9,AE668*(1+$G$54)-MAX($B$9,0.01*AE668+AE668*$G$54),0),0)</f>
        <v/>
      </c>
      <c r="AF669">
        <f>AE668*$G$54</f>
        <v/>
      </c>
      <c r="AG669">
        <f>IF(AG668&gt;1E-9,IF(AG668*(1+$G$55)-MAX($B$9,0.01*AG668+AG668*$G$55)&gt;1E-9,AG668*(1+$G$55)-MAX($B$9,0.01*AG668+AG668*$G$55),0),0)</f>
        <v/>
      </c>
      <c r="AH669">
        <f>AG668*$G$55</f>
        <v/>
      </c>
      <c r="AI669">
        <f>G669+K669+O669+S669+W669</f>
        <v/>
      </c>
      <c r="AJ669">
        <f>AI668+AK669-AI669</f>
        <v/>
      </c>
      <c r="AK669">
        <f>H669+L669+P669+T669+X669</f>
        <v/>
      </c>
      <c r="AL669">
        <f>TEXT(EDATE($B$5,D669-1),"mmm yyyy")</f>
        <v/>
      </c>
      <c r="AM669">
        <f>AI669</f>
        <v/>
      </c>
    </row>
    <row r="670">
      <c r="D670" t="n">
        <v>609</v>
      </c>
      <c r="E670">
        <f>IF(G669&gt;0,MAX(0,G669*(1+$G$51)-$H$51),0)</f>
        <v/>
      </c>
      <c r="F670">
        <f>$B$6+IF($D670=$B$8,$B$7,0)</f>
        <v/>
      </c>
      <c r="G670">
        <f>IF(E670-F670&gt;1E-9,E670-F670,0)</f>
        <v/>
      </c>
      <c r="H670">
        <f>G669*$G$51</f>
        <v/>
      </c>
      <c r="I670">
        <f>IF(K669&gt;0,MAX(0,K669*(1+$G$52)-$H$52),0)</f>
        <v/>
      </c>
      <c r="J670">
        <f>MAX(0,F670-E670)</f>
        <v/>
      </c>
      <c r="K670">
        <f>IF(I670-J670&gt;1E-9,I670-J670,0)</f>
        <v/>
      </c>
      <c r="L670">
        <f>K669*$G$52</f>
        <v/>
      </c>
      <c r="M670">
        <f>IF(O669&gt;0,MAX(0,O669*(1+$G$53)-$H$53),0)</f>
        <v/>
      </c>
      <c r="N670">
        <f>MAX(0,J670-I670)</f>
        <v/>
      </c>
      <c r="O670">
        <f>IF(M670-N670&gt;1E-9,M670-N670,0)</f>
        <v/>
      </c>
      <c r="P670">
        <f>O669*$G$53</f>
        <v/>
      </c>
      <c r="Q670">
        <f>IF(S669&gt;0,MAX(0,S669*(1+$G$54)-$H$54),0)</f>
        <v/>
      </c>
      <c r="R670">
        <f>MAX(0,N670-M670)</f>
        <v/>
      </c>
      <c r="S670">
        <f>IF(Q670-R670&gt;1E-9,Q670-R670,0)</f>
        <v/>
      </c>
      <c r="T670">
        <f>S669*$G$54</f>
        <v/>
      </c>
      <c r="U670">
        <f>IF(W669&gt;0,MAX(0,W669*(1+$G$55)-$H$55),0)</f>
        <v/>
      </c>
      <c r="V670">
        <f>MAX(0,R670-Q670)</f>
        <v/>
      </c>
      <c r="W670">
        <f>IF(U670-V670&gt;1E-9,U670-V670,0)</f>
        <v/>
      </c>
      <c r="X670">
        <f>W669*$G$55</f>
        <v/>
      </c>
      <c r="Y670">
        <f>IF(Y669&gt;1E-9,IF(Y669*(1+$G$51)-MAX($B$9,0.01*Y669+Y669*$G$51)&gt;1E-9,Y669*(1+$G$51)-MAX($B$9,0.01*Y669+Y669*$G$51),0),0)</f>
        <v/>
      </c>
      <c r="Z670">
        <f>Y669*$G$51</f>
        <v/>
      </c>
      <c r="AA670">
        <f>IF(AA669&gt;1E-9,IF(AA669*(1+$G$52)-MAX($B$9,0.01*AA669+AA669*$G$52)&gt;1E-9,AA669*(1+$G$52)-MAX($B$9,0.01*AA669+AA669*$G$52),0),0)</f>
        <v/>
      </c>
      <c r="AB670">
        <f>AA669*$G$52</f>
        <v/>
      </c>
      <c r="AC670">
        <f>IF(AC669&gt;1E-9,IF(AC669*(1+$G$53)-MAX($B$9,0.01*AC669+AC669*$G$53)&gt;1E-9,AC669*(1+$G$53)-MAX($B$9,0.01*AC669+AC669*$G$53),0),0)</f>
        <v/>
      </c>
      <c r="AD670">
        <f>AC669*$G$53</f>
        <v/>
      </c>
      <c r="AE670">
        <f>IF(AE669&gt;1E-9,IF(AE669*(1+$G$54)-MAX($B$9,0.01*AE669+AE669*$G$54)&gt;1E-9,AE669*(1+$G$54)-MAX($B$9,0.01*AE669+AE669*$G$54),0),0)</f>
        <v/>
      </c>
      <c r="AF670">
        <f>AE669*$G$54</f>
        <v/>
      </c>
      <c r="AG670">
        <f>IF(AG669&gt;1E-9,IF(AG669*(1+$G$55)-MAX($B$9,0.01*AG669+AG669*$G$55)&gt;1E-9,AG669*(1+$G$55)-MAX($B$9,0.01*AG669+AG669*$G$55),0),0)</f>
        <v/>
      </c>
      <c r="AH670">
        <f>AG669*$G$55</f>
        <v/>
      </c>
      <c r="AI670">
        <f>G670+K670+O670+S670+W670</f>
        <v/>
      </c>
      <c r="AJ670">
        <f>AI669+AK670-AI670</f>
        <v/>
      </c>
      <c r="AK670">
        <f>H670+L670+P670+T670+X670</f>
        <v/>
      </c>
      <c r="AL670">
        <f>TEXT(EDATE($B$5,D670-1),"mmm yyyy")</f>
        <v/>
      </c>
      <c r="AM670">
        <f>AI670</f>
        <v/>
      </c>
    </row>
    <row r="671">
      <c r="D671" t="n">
        <v>610</v>
      </c>
      <c r="E671">
        <f>IF(G670&gt;0,MAX(0,G670*(1+$G$51)-$H$51),0)</f>
        <v/>
      </c>
      <c r="F671">
        <f>$B$6+IF($D671=$B$8,$B$7,0)</f>
        <v/>
      </c>
      <c r="G671">
        <f>IF(E671-F671&gt;1E-9,E671-F671,0)</f>
        <v/>
      </c>
      <c r="H671">
        <f>G670*$G$51</f>
        <v/>
      </c>
      <c r="I671">
        <f>IF(K670&gt;0,MAX(0,K670*(1+$G$52)-$H$52),0)</f>
        <v/>
      </c>
      <c r="J671">
        <f>MAX(0,F671-E671)</f>
        <v/>
      </c>
      <c r="K671">
        <f>IF(I671-J671&gt;1E-9,I671-J671,0)</f>
        <v/>
      </c>
      <c r="L671">
        <f>K670*$G$52</f>
        <v/>
      </c>
      <c r="M671">
        <f>IF(O670&gt;0,MAX(0,O670*(1+$G$53)-$H$53),0)</f>
        <v/>
      </c>
      <c r="N671">
        <f>MAX(0,J671-I671)</f>
        <v/>
      </c>
      <c r="O671">
        <f>IF(M671-N671&gt;1E-9,M671-N671,0)</f>
        <v/>
      </c>
      <c r="P671">
        <f>O670*$G$53</f>
        <v/>
      </c>
      <c r="Q671">
        <f>IF(S670&gt;0,MAX(0,S670*(1+$G$54)-$H$54),0)</f>
        <v/>
      </c>
      <c r="R671">
        <f>MAX(0,N671-M671)</f>
        <v/>
      </c>
      <c r="S671">
        <f>IF(Q671-R671&gt;1E-9,Q671-R671,0)</f>
        <v/>
      </c>
      <c r="T671">
        <f>S670*$G$54</f>
        <v/>
      </c>
      <c r="U671">
        <f>IF(W670&gt;0,MAX(0,W670*(1+$G$55)-$H$55),0)</f>
        <v/>
      </c>
      <c r="V671">
        <f>MAX(0,R671-Q671)</f>
        <v/>
      </c>
      <c r="W671">
        <f>IF(U671-V671&gt;1E-9,U671-V671,0)</f>
        <v/>
      </c>
      <c r="X671">
        <f>W670*$G$55</f>
        <v/>
      </c>
      <c r="Y671">
        <f>IF(Y670&gt;1E-9,IF(Y670*(1+$G$51)-MAX($B$9,0.01*Y670+Y670*$G$51)&gt;1E-9,Y670*(1+$G$51)-MAX($B$9,0.01*Y670+Y670*$G$51),0),0)</f>
        <v/>
      </c>
      <c r="Z671">
        <f>Y670*$G$51</f>
        <v/>
      </c>
      <c r="AA671">
        <f>IF(AA670&gt;1E-9,IF(AA670*(1+$G$52)-MAX($B$9,0.01*AA670+AA670*$G$52)&gt;1E-9,AA670*(1+$G$52)-MAX($B$9,0.01*AA670+AA670*$G$52),0),0)</f>
        <v/>
      </c>
      <c r="AB671">
        <f>AA670*$G$52</f>
        <v/>
      </c>
      <c r="AC671">
        <f>IF(AC670&gt;1E-9,IF(AC670*(1+$G$53)-MAX($B$9,0.01*AC670+AC670*$G$53)&gt;1E-9,AC670*(1+$G$53)-MAX($B$9,0.01*AC670+AC670*$G$53),0),0)</f>
        <v/>
      </c>
      <c r="AD671">
        <f>AC670*$G$53</f>
        <v/>
      </c>
      <c r="AE671">
        <f>IF(AE670&gt;1E-9,IF(AE670*(1+$G$54)-MAX($B$9,0.01*AE670+AE670*$G$54)&gt;1E-9,AE670*(1+$G$54)-MAX($B$9,0.01*AE670+AE670*$G$54),0),0)</f>
        <v/>
      </c>
      <c r="AF671">
        <f>AE670*$G$54</f>
        <v/>
      </c>
      <c r="AG671">
        <f>IF(AG670&gt;1E-9,IF(AG670*(1+$G$55)-MAX($B$9,0.01*AG670+AG670*$G$55)&gt;1E-9,AG670*(1+$G$55)-MAX($B$9,0.01*AG670+AG670*$G$55),0),0)</f>
        <v/>
      </c>
      <c r="AH671">
        <f>AG670*$G$55</f>
        <v/>
      </c>
      <c r="AI671">
        <f>G671+K671+O671+S671+W671</f>
        <v/>
      </c>
      <c r="AJ671">
        <f>AI670+AK671-AI671</f>
        <v/>
      </c>
      <c r="AK671">
        <f>H671+L671+P671+T671+X671</f>
        <v/>
      </c>
      <c r="AL671">
        <f>TEXT(EDATE($B$5,D671-1),"mmm yyyy")</f>
        <v/>
      </c>
      <c r="AM671">
        <f>AI671</f>
        <v/>
      </c>
    </row>
    <row r="672">
      <c r="D672" t="n">
        <v>611</v>
      </c>
      <c r="E672">
        <f>IF(G671&gt;0,MAX(0,G671*(1+$G$51)-$H$51),0)</f>
        <v/>
      </c>
      <c r="F672">
        <f>$B$6+IF($D672=$B$8,$B$7,0)</f>
        <v/>
      </c>
      <c r="G672">
        <f>IF(E672-F672&gt;1E-9,E672-F672,0)</f>
        <v/>
      </c>
      <c r="H672">
        <f>G671*$G$51</f>
        <v/>
      </c>
      <c r="I672">
        <f>IF(K671&gt;0,MAX(0,K671*(1+$G$52)-$H$52),0)</f>
        <v/>
      </c>
      <c r="J672">
        <f>MAX(0,F672-E672)</f>
        <v/>
      </c>
      <c r="K672">
        <f>IF(I672-J672&gt;1E-9,I672-J672,0)</f>
        <v/>
      </c>
      <c r="L672">
        <f>K671*$G$52</f>
        <v/>
      </c>
      <c r="M672">
        <f>IF(O671&gt;0,MAX(0,O671*(1+$G$53)-$H$53),0)</f>
        <v/>
      </c>
      <c r="N672">
        <f>MAX(0,J672-I672)</f>
        <v/>
      </c>
      <c r="O672">
        <f>IF(M672-N672&gt;1E-9,M672-N672,0)</f>
        <v/>
      </c>
      <c r="P672">
        <f>O671*$G$53</f>
        <v/>
      </c>
      <c r="Q672">
        <f>IF(S671&gt;0,MAX(0,S671*(1+$G$54)-$H$54),0)</f>
        <v/>
      </c>
      <c r="R672">
        <f>MAX(0,N672-M672)</f>
        <v/>
      </c>
      <c r="S672">
        <f>IF(Q672-R672&gt;1E-9,Q672-R672,0)</f>
        <v/>
      </c>
      <c r="T672">
        <f>S671*$G$54</f>
        <v/>
      </c>
      <c r="U672">
        <f>IF(W671&gt;0,MAX(0,W671*(1+$G$55)-$H$55),0)</f>
        <v/>
      </c>
      <c r="V672">
        <f>MAX(0,R672-Q672)</f>
        <v/>
      </c>
      <c r="W672">
        <f>IF(U672-V672&gt;1E-9,U672-V672,0)</f>
        <v/>
      </c>
      <c r="X672">
        <f>W671*$G$55</f>
        <v/>
      </c>
      <c r="Y672">
        <f>IF(Y671&gt;1E-9,IF(Y671*(1+$G$51)-MAX($B$9,0.01*Y671+Y671*$G$51)&gt;1E-9,Y671*(1+$G$51)-MAX($B$9,0.01*Y671+Y671*$G$51),0),0)</f>
        <v/>
      </c>
      <c r="Z672">
        <f>Y671*$G$51</f>
        <v/>
      </c>
      <c r="AA672">
        <f>IF(AA671&gt;1E-9,IF(AA671*(1+$G$52)-MAX($B$9,0.01*AA671+AA671*$G$52)&gt;1E-9,AA671*(1+$G$52)-MAX($B$9,0.01*AA671+AA671*$G$52),0),0)</f>
        <v/>
      </c>
      <c r="AB672">
        <f>AA671*$G$52</f>
        <v/>
      </c>
      <c r="AC672">
        <f>IF(AC671&gt;1E-9,IF(AC671*(1+$G$53)-MAX($B$9,0.01*AC671+AC671*$G$53)&gt;1E-9,AC671*(1+$G$53)-MAX($B$9,0.01*AC671+AC671*$G$53),0),0)</f>
        <v/>
      </c>
      <c r="AD672">
        <f>AC671*$G$53</f>
        <v/>
      </c>
      <c r="AE672">
        <f>IF(AE671&gt;1E-9,IF(AE671*(1+$G$54)-MAX($B$9,0.01*AE671+AE671*$G$54)&gt;1E-9,AE671*(1+$G$54)-MAX($B$9,0.01*AE671+AE671*$G$54),0),0)</f>
        <v/>
      </c>
      <c r="AF672">
        <f>AE671*$G$54</f>
        <v/>
      </c>
      <c r="AG672">
        <f>IF(AG671&gt;1E-9,IF(AG671*(1+$G$55)-MAX($B$9,0.01*AG671+AG671*$G$55)&gt;1E-9,AG671*(1+$G$55)-MAX($B$9,0.01*AG671+AG671*$G$55),0),0)</f>
        <v/>
      </c>
      <c r="AH672">
        <f>AG671*$G$55</f>
        <v/>
      </c>
      <c r="AI672">
        <f>G672+K672+O672+S672+W672</f>
        <v/>
      </c>
      <c r="AJ672">
        <f>AI671+AK672-AI672</f>
        <v/>
      </c>
      <c r="AK672">
        <f>H672+L672+P672+T672+X672</f>
        <v/>
      </c>
      <c r="AL672">
        <f>TEXT(EDATE($B$5,D672-1),"mmm yyyy")</f>
        <v/>
      </c>
      <c r="AM672">
        <f>AI672</f>
        <v/>
      </c>
    </row>
    <row r="673">
      <c r="D673" t="n">
        <v>612</v>
      </c>
      <c r="E673">
        <f>IF(G672&gt;0,MAX(0,G672*(1+$G$51)-$H$51),0)</f>
        <v/>
      </c>
      <c r="F673">
        <f>$B$6+IF($D673=$B$8,$B$7,0)</f>
        <v/>
      </c>
      <c r="G673">
        <f>IF(E673-F673&gt;1E-9,E673-F673,0)</f>
        <v/>
      </c>
      <c r="H673">
        <f>G672*$G$51</f>
        <v/>
      </c>
      <c r="I673">
        <f>IF(K672&gt;0,MAX(0,K672*(1+$G$52)-$H$52),0)</f>
        <v/>
      </c>
      <c r="J673">
        <f>MAX(0,F673-E673)</f>
        <v/>
      </c>
      <c r="K673">
        <f>IF(I673-J673&gt;1E-9,I673-J673,0)</f>
        <v/>
      </c>
      <c r="L673">
        <f>K672*$G$52</f>
        <v/>
      </c>
      <c r="M673">
        <f>IF(O672&gt;0,MAX(0,O672*(1+$G$53)-$H$53),0)</f>
        <v/>
      </c>
      <c r="N673">
        <f>MAX(0,J673-I673)</f>
        <v/>
      </c>
      <c r="O673">
        <f>IF(M673-N673&gt;1E-9,M673-N673,0)</f>
        <v/>
      </c>
      <c r="P673">
        <f>O672*$G$53</f>
        <v/>
      </c>
      <c r="Q673">
        <f>IF(S672&gt;0,MAX(0,S672*(1+$G$54)-$H$54),0)</f>
        <v/>
      </c>
      <c r="R673">
        <f>MAX(0,N673-M673)</f>
        <v/>
      </c>
      <c r="S673">
        <f>IF(Q673-R673&gt;1E-9,Q673-R673,0)</f>
        <v/>
      </c>
      <c r="T673">
        <f>S672*$G$54</f>
        <v/>
      </c>
      <c r="U673">
        <f>IF(W672&gt;0,MAX(0,W672*(1+$G$55)-$H$55),0)</f>
        <v/>
      </c>
      <c r="V673">
        <f>MAX(0,R673-Q673)</f>
        <v/>
      </c>
      <c r="W673">
        <f>IF(U673-V673&gt;1E-9,U673-V673,0)</f>
        <v/>
      </c>
      <c r="X673">
        <f>W672*$G$55</f>
        <v/>
      </c>
      <c r="Y673">
        <f>IF(Y672&gt;1E-9,IF(Y672*(1+$G$51)-MAX($B$9,0.01*Y672+Y672*$G$51)&gt;1E-9,Y672*(1+$G$51)-MAX($B$9,0.01*Y672+Y672*$G$51),0),0)</f>
        <v/>
      </c>
      <c r="Z673">
        <f>Y672*$G$51</f>
        <v/>
      </c>
      <c r="AA673">
        <f>IF(AA672&gt;1E-9,IF(AA672*(1+$G$52)-MAX($B$9,0.01*AA672+AA672*$G$52)&gt;1E-9,AA672*(1+$G$52)-MAX($B$9,0.01*AA672+AA672*$G$52),0),0)</f>
        <v/>
      </c>
      <c r="AB673">
        <f>AA672*$G$52</f>
        <v/>
      </c>
      <c r="AC673">
        <f>IF(AC672&gt;1E-9,IF(AC672*(1+$G$53)-MAX($B$9,0.01*AC672+AC672*$G$53)&gt;1E-9,AC672*(1+$G$53)-MAX($B$9,0.01*AC672+AC672*$G$53),0),0)</f>
        <v/>
      </c>
      <c r="AD673">
        <f>AC672*$G$53</f>
        <v/>
      </c>
      <c r="AE673">
        <f>IF(AE672&gt;1E-9,IF(AE672*(1+$G$54)-MAX($B$9,0.01*AE672+AE672*$G$54)&gt;1E-9,AE672*(1+$G$54)-MAX($B$9,0.01*AE672+AE672*$G$54),0),0)</f>
        <v/>
      </c>
      <c r="AF673">
        <f>AE672*$G$54</f>
        <v/>
      </c>
      <c r="AG673">
        <f>IF(AG672&gt;1E-9,IF(AG672*(1+$G$55)-MAX($B$9,0.01*AG672+AG672*$G$55)&gt;1E-9,AG672*(1+$G$55)-MAX($B$9,0.01*AG672+AG672*$G$55),0),0)</f>
        <v/>
      </c>
      <c r="AH673">
        <f>AG672*$G$55</f>
        <v/>
      </c>
      <c r="AI673">
        <f>G673+K673+O673+S673+W673</f>
        <v/>
      </c>
      <c r="AJ673">
        <f>AI672+AK673-AI673</f>
        <v/>
      </c>
      <c r="AK673">
        <f>H673+L673+P673+T673+X673</f>
        <v/>
      </c>
      <c r="AL673">
        <f>TEXT(EDATE($B$5,D673-1),"mmm yyyy")</f>
        <v/>
      </c>
      <c r="AM673">
        <f>AI673</f>
        <v/>
      </c>
    </row>
    <row r="674">
      <c r="D674" t="n">
        <v>613</v>
      </c>
      <c r="E674">
        <f>IF(G673&gt;0,MAX(0,G673*(1+$G$51)-$H$51),0)</f>
        <v/>
      </c>
      <c r="F674">
        <f>$B$6+IF($D674=$B$8,$B$7,0)</f>
        <v/>
      </c>
      <c r="G674">
        <f>IF(E674-F674&gt;1E-9,E674-F674,0)</f>
        <v/>
      </c>
      <c r="H674">
        <f>G673*$G$51</f>
        <v/>
      </c>
      <c r="I674">
        <f>IF(K673&gt;0,MAX(0,K673*(1+$G$52)-$H$52),0)</f>
        <v/>
      </c>
      <c r="J674">
        <f>MAX(0,F674-E674)</f>
        <v/>
      </c>
      <c r="K674">
        <f>IF(I674-J674&gt;1E-9,I674-J674,0)</f>
        <v/>
      </c>
      <c r="L674">
        <f>K673*$G$52</f>
        <v/>
      </c>
      <c r="M674">
        <f>IF(O673&gt;0,MAX(0,O673*(1+$G$53)-$H$53),0)</f>
        <v/>
      </c>
      <c r="N674">
        <f>MAX(0,J674-I674)</f>
        <v/>
      </c>
      <c r="O674">
        <f>IF(M674-N674&gt;1E-9,M674-N674,0)</f>
        <v/>
      </c>
      <c r="P674">
        <f>O673*$G$53</f>
        <v/>
      </c>
      <c r="Q674">
        <f>IF(S673&gt;0,MAX(0,S673*(1+$G$54)-$H$54),0)</f>
        <v/>
      </c>
      <c r="R674">
        <f>MAX(0,N674-M674)</f>
        <v/>
      </c>
      <c r="S674">
        <f>IF(Q674-R674&gt;1E-9,Q674-R674,0)</f>
        <v/>
      </c>
      <c r="T674">
        <f>S673*$G$54</f>
        <v/>
      </c>
      <c r="U674">
        <f>IF(W673&gt;0,MAX(0,W673*(1+$G$55)-$H$55),0)</f>
        <v/>
      </c>
      <c r="V674">
        <f>MAX(0,R674-Q674)</f>
        <v/>
      </c>
      <c r="W674">
        <f>IF(U674-V674&gt;1E-9,U674-V674,0)</f>
        <v/>
      </c>
      <c r="X674">
        <f>W673*$G$55</f>
        <v/>
      </c>
      <c r="Y674">
        <f>IF(Y673&gt;1E-9,IF(Y673*(1+$G$51)-MAX($B$9,0.01*Y673+Y673*$G$51)&gt;1E-9,Y673*(1+$G$51)-MAX($B$9,0.01*Y673+Y673*$G$51),0),0)</f>
        <v/>
      </c>
      <c r="Z674">
        <f>Y673*$G$51</f>
        <v/>
      </c>
      <c r="AA674">
        <f>IF(AA673&gt;1E-9,IF(AA673*(1+$G$52)-MAX($B$9,0.01*AA673+AA673*$G$52)&gt;1E-9,AA673*(1+$G$52)-MAX($B$9,0.01*AA673+AA673*$G$52),0),0)</f>
        <v/>
      </c>
      <c r="AB674">
        <f>AA673*$G$52</f>
        <v/>
      </c>
      <c r="AC674">
        <f>IF(AC673&gt;1E-9,IF(AC673*(1+$G$53)-MAX($B$9,0.01*AC673+AC673*$G$53)&gt;1E-9,AC673*(1+$G$53)-MAX($B$9,0.01*AC673+AC673*$G$53),0),0)</f>
        <v/>
      </c>
      <c r="AD674">
        <f>AC673*$G$53</f>
        <v/>
      </c>
      <c r="AE674">
        <f>IF(AE673&gt;1E-9,IF(AE673*(1+$G$54)-MAX($B$9,0.01*AE673+AE673*$G$54)&gt;1E-9,AE673*(1+$G$54)-MAX($B$9,0.01*AE673+AE673*$G$54),0),0)</f>
        <v/>
      </c>
      <c r="AF674">
        <f>AE673*$G$54</f>
        <v/>
      </c>
      <c r="AG674">
        <f>IF(AG673&gt;1E-9,IF(AG673*(1+$G$55)-MAX($B$9,0.01*AG673+AG673*$G$55)&gt;1E-9,AG673*(1+$G$55)-MAX($B$9,0.01*AG673+AG673*$G$55),0),0)</f>
        <v/>
      </c>
      <c r="AH674">
        <f>AG673*$G$55</f>
        <v/>
      </c>
      <c r="AI674">
        <f>G674+K674+O674+S674+W674</f>
        <v/>
      </c>
      <c r="AJ674">
        <f>AI673+AK674-AI674</f>
        <v/>
      </c>
      <c r="AK674">
        <f>H674+L674+P674+T674+X674</f>
        <v/>
      </c>
      <c r="AL674">
        <f>TEXT(EDATE($B$5,D674-1),"mmm yyyy")</f>
        <v/>
      </c>
      <c r="AM674">
        <f>AI674</f>
        <v/>
      </c>
    </row>
    <row r="675">
      <c r="D675" t="n">
        <v>614</v>
      </c>
      <c r="E675">
        <f>IF(G674&gt;0,MAX(0,G674*(1+$G$51)-$H$51),0)</f>
        <v/>
      </c>
      <c r="F675">
        <f>$B$6+IF($D675=$B$8,$B$7,0)</f>
        <v/>
      </c>
      <c r="G675">
        <f>IF(E675-F675&gt;1E-9,E675-F675,0)</f>
        <v/>
      </c>
      <c r="H675">
        <f>G674*$G$51</f>
        <v/>
      </c>
      <c r="I675">
        <f>IF(K674&gt;0,MAX(0,K674*(1+$G$52)-$H$52),0)</f>
        <v/>
      </c>
      <c r="J675">
        <f>MAX(0,F675-E675)</f>
        <v/>
      </c>
      <c r="K675">
        <f>IF(I675-J675&gt;1E-9,I675-J675,0)</f>
        <v/>
      </c>
      <c r="L675">
        <f>K674*$G$52</f>
        <v/>
      </c>
      <c r="M675">
        <f>IF(O674&gt;0,MAX(0,O674*(1+$G$53)-$H$53),0)</f>
        <v/>
      </c>
      <c r="N675">
        <f>MAX(0,J675-I675)</f>
        <v/>
      </c>
      <c r="O675">
        <f>IF(M675-N675&gt;1E-9,M675-N675,0)</f>
        <v/>
      </c>
      <c r="P675">
        <f>O674*$G$53</f>
        <v/>
      </c>
      <c r="Q675">
        <f>IF(S674&gt;0,MAX(0,S674*(1+$G$54)-$H$54),0)</f>
        <v/>
      </c>
      <c r="R675">
        <f>MAX(0,N675-M675)</f>
        <v/>
      </c>
      <c r="S675">
        <f>IF(Q675-R675&gt;1E-9,Q675-R675,0)</f>
        <v/>
      </c>
      <c r="T675">
        <f>S674*$G$54</f>
        <v/>
      </c>
      <c r="U675">
        <f>IF(W674&gt;0,MAX(0,W674*(1+$G$55)-$H$55),0)</f>
        <v/>
      </c>
      <c r="V675">
        <f>MAX(0,R675-Q675)</f>
        <v/>
      </c>
      <c r="W675">
        <f>IF(U675-V675&gt;1E-9,U675-V675,0)</f>
        <v/>
      </c>
      <c r="X675">
        <f>W674*$G$55</f>
        <v/>
      </c>
      <c r="Y675">
        <f>IF(Y674&gt;1E-9,IF(Y674*(1+$G$51)-MAX($B$9,0.01*Y674+Y674*$G$51)&gt;1E-9,Y674*(1+$G$51)-MAX($B$9,0.01*Y674+Y674*$G$51),0),0)</f>
        <v/>
      </c>
      <c r="Z675">
        <f>Y674*$G$51</f>
        <v/>
      </c>
      <c r="AA675">
        <f>IF(AA674&gt;1E-9,IF(AA674*(1+$G$52)-MAX($B$9,0.01*AA674+AA674*$G$52)&gt;1E-9,AA674*(1+$G$52)-MAX($B$9,0.01*AA674+AA674*$G$52),0),0)</f>
        <v/>
      </c>
      <c r="AB675">
        <f>AA674*$G$52</f>
        <v/>
      </c>
      <c r="AC675">
        <f>IF(AC674&gt;1E-9,IF(AC674*(1+$G$53)-MAX($B$9,0.01*AC674+AC674*$G$53)&gt;1E-9,AC674*(1+$G$53)-MAX($B$9,0.01*AC674+AC674*$G$53),0),0)</f>
        <v/>
      </c>
      <c r="AD675">
        <f>AC674*$G$53</f>
        <v/>
      </c>
      <c r="AE675">
        <f>IF(AE674&gt;1E-9,IF(AE674*(1+$G$54)-MAX($B$9,0.01*AE674+AE674*$G$54)&gt;1E-9,AE674*(1+$G$54)-MAX($B$9,0.01*AE674+AE674*$G$54),0),0)</f>
        <v/>
      </c>
      <c r="AF675">
        <f>AE674*$G$54</f>
        <v/>
      </c>
      <c r="AG675">
        <f>IF(AG674&gt;1E-9,IF(AG674*(1+$G$55)-MAX($B$9,0.01*AG674+AG674*$G$55)&gt;1E-9,AG674*(1+$G$55)-MAX($B$9,0.01*AG674+AG674*$G$55),0),0)</f>
        <v/>
      </c>
      <c r="AH675">
        <f>AG674*$G$55</f>
        <v/>
      </c>
      <c r="AI675">
        <f>G675+K675+O675+S675+W675</f>
        <v/>
      </c>
      <c r="AJ675">
        <f>AI674+AK675-AI675</f>
        <v/>
      </c>
      <c r="AK675">
        <f>H675+L675+P675+T675+X675</f>
        <v/>
      </c>
      <c r="AL675">
        <f>TEXT(EDATE($B$5,D675-1),"mmm yyyy")</f>
        <v/>
      </c>
      <c r="AM675">
        <f>AI675</f>
        <v/>
      </c>
    </row>
    <row r="676">
      <c r="D676" t="n">
        <v>615</v>
      </c>
      <c r="E676">
        <f>IF(G675&gt;0,MAX(0,G675*(1+$G$51)-$H$51),0)</f>
        <v/>
      </c>
      <c r="F676">
        <f>$B$6+IF($D676=$B$8,$B$7,0)</f>
        <v/>
      </c>
      <c r="G676">
        <f>IF(E676-F676&gt;1E-9,E676-F676,0)</f>
        <v/>
      </c>
      <c r="H676">
        <f>G675*$G$51</f>
        <v/>
      </c>
      <c r="I676">
        <f>IF(K675&gt;0,MAX(0,K675*(1+$G$52)-$H$52),0)</f>
        <v/>
      </c>
      <c r="J676">
        <f>MAX(0,F676-E676)</f>
        <v/>
      </c>
      <c r="K676">
        <f>IF(I676-J676&gt;1E-9,I676-J676,0)</f>
        <v/>
      </c>
      <c r="L676">
        <f>K675*$G$52</f>
        <v/>
      </c>
      <c r="M676">
        <f>IF(O675&gt;0,MAX(0,O675*(1+$G$53)-$H$53),0)</f>
        <v/>
      </c>
      <c r="N676">
        <f>MAX(0,J676-I676)</f>
        <v/>
      </c>
      <c r="O676">
        <f>IF(M676-N676&gt;1E-9,M676-N676,0)</f>
        <v/>
      </c>
      <c r="P676">
        <f>O675*$G$53</f>
        <v/>
      </c>
      <c r="Q676">
        <f>IF(S675&gt;0,MAX(0,S675*(1+$G$54)-$H$54),0)</f>
        <v/>
      </c>
      <c r="R676">
        <f>MAX(0,N676-M676)</f>
        <v/>
      </c>
      <c r="S676">
        <f>IF(Q676-R676&gt;1E-9,Q676-R676,0)</f>
        <v/>
      </c>
      <c r="T676">
        <f>S675*$G$54</f>
        <v/>
      </c>
      <c r="U676">
        <f>IF(W675&gt;0,MAX(0,W675*(1+$G$55)-$H$55),0)</f>
        <v/>
      </c>
      <c r="V676">
        <f>MAX(0,R676-Q676)</f>
        <v/>
      </c>
      <c r="W676">
        <f>IF(U676-V676&gt;1E-9,U676-V676,0)</f>
        <v/>
      </c>
      <c r="X676">
        <f>W675*$G$55</f>
        <v/>
      </c>
      <c r="Y676">
        <f>IF(Y675&gt;1E-9,IF(Y675*(1+$G$51)-MAX($B$9,0.01*Y675+Y675*$G$51)&gt;1E-9,Y675*(1+$G$51)-MAX($B$9,0.01*Y675+Y675*$G$51),0),0)</f>
        <v/>
      </c>
      <c r="Z676">
        <f>Y675*$G$51</f>
        <v/>
      </c>
      <c r="AA676">
        <f>IF(AA675&gt;1E-9,IF(AA675*(1+$G$52)-MAX($B$9,0.01*AA675+AA675*$G$52)&gt;1E-9,AA675*(1+$G$52)-MAX($B$9,0.01*AA675+AA675*$G$52),0),0)</f>
        <v/>
      </c>
      <c r="AB676">
        <f>AA675*$G$52</f>
        <v/>
      </c>
      <c r="AC676">
        <f>IF(AC675&gt;1E-9,IF(AC675*(1+$G$53)-MAX($B$9,0.01*AC675+AC675*$G$53)&gt;1E-9,AC675*(1+$G$53)-MAX($B$9,0.01*AC675+AC675*$G$53),0),0)</f>
        <v/>
      </c>
      <c r="AD676">
        <f>AC675*$G$53</f>
        <v/>
      </c>
      <c r="AE676">
        <f>IF(AE675&gt;1E-9,IF(AE675*(1+$G$54)-MAX($B$9,0.01*AE675+AE675*$G$54)&gt;1E-9,AE675*(1+$G$54)-MAX($B$9,0.01*AE675+AE675*$G$54),0),0)</f>
        <v/>
      </c>
      <c r="AF676">
        <f>AE675*$G$54</f>
        <v/>
      </c>
      <c r="AG676">
        <f>IF(AG675&gt;1E-9,IF(AG675*(1+$G$55)-MAX($B$9,0.01*AG675+AG675*$G$55)&gt;1E-9,AG675*(1+$G$55)-MAX($B$9,0.01*AG675+AG675*$G$55),0),0)</f>
        <v/>
      </c>
      <c r="AH676">
        <f>AG675*$G$55</f>
        <v/>
      </c>
      <c r="AI676">
        <f>G676+K676+O676+S676+W676</f>
        <v/>
      </c>
      <c r="AJ676">
        <f>AI675+AK676-AI676</f>
        <v/>
      </c>
      <c r="AK676">
        <f>H676+L676+P676+T676+X676</f>
        <v/>
      </c>
      <c r="AL676">
        <f>TEXT(EDATE($B$5,D676-1),"mmm yyyy")</f>
        <v/>
      </c>
      <c r="AM676">
        <f>AI676</f>
        <v/>
      </c>
    </row>
    <row r="677">
      <c r="D677" t="n">
        <v>616</v>
      </c>
      <c r="E677">
        <f>IF(G676&gt;0,MAX(0,G676*(1+$G$51)-$H$51),0)</f>
        <v/>
      </c>
      <c r="F677">
        <f>$B$6+IF($D677=$B$8,$B$7,0)</f>
        <v/>
      </c>
      <c r="G677">
        <f>IF(E677-F677&gt;1E-9,E677-F677,0)</f>
        <v/>
      </c>
      <c r="H677">
        <f>G676*$G$51</f>
        <v/>
      </c>
      <c r="I677">
        <f>IF(K676&gt;0,MAX(0,K676*(1+$G$52)-$H$52),0)</f>
        <v/>
      </c>
      <c r="J677">
        <f>MAX(0,F677-E677)</f>
        <v/>
      </c>
      <c r="K677">
        <f>IF(I677-J677&gt;1E-9,I677-J677,0)</f>
        <v/>
      </c>
      <c r="L677">
        <f>K676*$G$52</f>
        <v/>
      </c>
      <c r="M677">
        <f>IF(O676&gt;0,MAX(0,O676*(1+$G$53)-$H$53),0)</f>
        <v/>
      </c>
      <c r="N677">
        <f>MAX(0,J677-I677)</f>
        <v/>
      </c>
      <c r="O677">
        <f>IF(M677-N677&gt;1E-9,M677-N677,0)</f>
        <v/>
      </c>
      <c r="P677">
        <f>O676*$G$53</f>
        <v/>
      </c>
      <c r="Q677">
        <f>IF(S676&gt;0,MAX(0,S676*(1+$G$54)-$H$54),0)</f>
        <v/>
      </c>
      <c r="R677">
        <f>MAX(0,N677-M677)</f>
        <v/>
      </c>
      <c r="S677">
        <f>IF(Q677-R677&gt;1E-9,Q677-R677,0)</f>
        <v/>
      </c>
      <c r="T677">
        <f>S676*$G$54</f>
        <v/>
      </c>
      <c r="U677">
        <f>IF(W676&gt;0,MAX(0,W676*(1+$G$55)-$H$55),0)</f>
        <v/>
      </c>
      <c r="V677">
        <f>MAX(0,R677-Q677)</f>
        <v/>
      </c>
      <c r="W677">
        <f>IF(U677-V677&gt;1E-9,U677-V677,0)</f>
        <v/>
      </c>
      <c r="X677">
        <f>W676*$G$55</f>
        <v/>
      </c>
      <c r="Y677">
        <f>IF(Y676&gt;1E-9,IF(Y676*(1+$G$51)-MAX($B$9,0.01*Y676+Y676*$G$51)&gt;1E-9,Y676*(1+$G$51)-MAX($B$9,0.01*Y676+Y676*$G$51),0),0)</f>
        <v/>
      </c>
      <c r="Z677">
        <f>Y676*$G$51</f>
        <v/>
      </c>
      <c r="AA677">
        <f>IF(AA676&gt;1E-9,IF(AA676*(1+$G$52)-MAX($B$9,0.01*AA676+AA676*$G$52)&gt;1E-9,AA676*(1+$G$52)-MAX($B$9,0.01*AA676+AA676*$G$52),0),0)</f>
        <v/>
      </c>
      <c r="AB677">
        <f>AA676*$G$52</f>
        <v/>
      </c>
      <c r="AC677">
        <f>IF(AC676&gt;1E-9,IF(AC676*(1+$G$53)-MAX($B$9,0.01*AC676+AC676*$G$53)&gt;1E-9,AC676*(1+$G$53)-MAX($B$9,0.01*AC676+AC676*$G$53),0),0)</f>
        <v/>
      </c>
      <c r="AD677">
        <f>AC676*$G$53</f>
        <v/>
      </c>
      <c r="AE677">
        <f>IF(AE676&gt;1E-9,IF(AE676*(1+$G$54)-MAX($B$9,0.01*AE676+AE676*$G$54)&gt;1E-9,AE676*(1+$G$54)-MAX($B$9,0.01*AE676+AE676*$G$54),0),0)</f>
        <v/>
      </c>
      <c r="AF677">
        <f>AE676*$G$54</f>
        <v/>
      </c>
      <c r="AG677">
        <f>IF(AG676&gt;1E-9,IF(AG676*(1+$G$55)-MAX($B$9,0.01*AG676+AG676*$G$55)&gt;1E-9,AG676*(1+$G$55)-MAX($B$9,0.01*AG676+AG676*$G$55),0),0)</f>
        <v/>
      </c>
      <c r="AH677">
        <f>AG676*$G$55</f>
        <v/>
      </c>
      <c r="AI677">
        <f>G677+K677+O677+S677+W677</f>
        <v/>
      </c>
      <c r="AJ677">
        <f>AI676+AK677-AI677</f>
        <v/>
      </c>
      <c r="AK677">
        <f>H677+L677+P677+T677+X677</f>
        <v/>
      </c>
      <c r="AL677">
        <f>TEXT(EDATE($B$5,D677-1),"mmm yyyy")</f>
        <v/>
      </c>
      <c r="AM677">
        <f>AI677</f>
        <v/>
      </c>
    </row>
    <row r="678">
      <c r="D678" t="n">
        <v>617</v>
      </c>
      <c r="E678">
        <f>IF(G677&gt;0,MAX(0,G677*(1+$G$51)-$H$51),0)</f>
        <v/>
      </c>
      <c r="F678">
        <f>$B$6+IF($D678=$B$8,$B$7,0)</f>
        <v/>
      </c>
      <c r="G678">
        <f>IF(E678-F678&gt;1E-9,E678-F678,0)</f>
        <v/>
      </c>
      <c r="H678">
        <f>G677*$G$51</f>
        <v/>
      </c>
      <c r="I678">
        <f>IF(K677&gt;0,MAX(0,K677*(1+$G$52)-$H$52),0)</f>
        <v/>
      </c>
      <c r="J678">
        <f>MAX(0,F678-E678)</f>
        <v/>
      </c>
      <c r="K678">
        <f>IF(I678-J678&gt;1E-9,I678-J678,0)</f>
        <v/>
      </c>
      <c r="L678">
        <f>K677*$G$52</f>
        <v/>
      </c>
      <c r="M678">
        <f>IF(O677&gt;0,MAX(0,O677*(1+$G$53)-$H$53),0)</f>
        <v/>
      </c>
      <c r="N678">
        <f>MAX(0,J678-I678)</f>
        <v/>
      </c>
      <c r="O678">
        <f>IF(M678-N678&gt;1E-9,M678-N678,0)</f>
        <v/>
      </c>
      <c r="P678">
        <f>O677*$G$53</f>
        <v/>
      </c>
      <c r="Q678">
        <f>IF(S677&gt;0,MAX(0,S677*(1+$G$54)-$H$54),0)</f>
        <v/>
      </c>
      <c r="R678">
        <f>MAX(0,N678-M678)</f>
        <v/>
      </c>
      <c r="S678">
        <f>IF(Q678-R678&gt;1E-9,Q678-R678,0)</f>
        <v/>
      </c>
      <c r="T678">
        <f>S677*$G$54</f>
        <v/>
      </c>
      <c r="U678">
        <f>IF(W677&gt;0,MAX(0,W677*(1+$G$55)-$H$55),0)</f>
        <v/>
      </c>
      <c r="V678">
        <f>MAX(0,R678-Q678)</f>
        <v/>
      </c>
      <c r="W678">
        <f>IF(U678-V678&gt;1E-9,U678-V678,0)</f>
        <v/>
      </c>
      <c r="X678">
        <f>W677*$G$55</f>
        <v/>
      </c>
      <c r="Y678">
        <f>IF(Y677&gt;1E-9,IF(Y677*(1+$G$51)-MAX($B$9,0.01*Y677+Y677*$G$51)&gt;1E-9,Y677*(1+$G$51)-MAX($B$9,0.01*Y677+Y677*$G$51),0),0)</f>
        <v/>
      </c>
      <c r="Z678">
        <f>Y677*$G$51</f>
        <v/>
      </c>
      <c r="AA678">
        <f>IF(AA677&gt;1E-9,IF(AA677*(1+$G$52)-MAX($B$9,0.01*AA677+AA677*$G$52)&gt;1E-9,AA677*(1+$G$52)-MAX($B$9,0.01*AA677+AA677*$G$52),0),0)</f>
        <v/>
      </c>
      <c r="AB678">
        <f>AA677*$G$52</f>
        <v/>
      </c>
      <c r="AC678">
        <f>IF(AC677&gt;1E-9,IF(AC677*(1+$G$53)-MAX($B$9,0.01*AC677+AC677*$G$53)&gt;1E-9,AC677*(1+$G$53)-MAX($B$9,0.01*AC677+AC677*$G$53),0),0)</f>
        <v/>
      </c>
      <c r="AD678">
        <f>AC677*$G$53</f>
        <v/>
      </c>
      <c r="AE678">
        <f>IF(AE677&gt;1E-9,IF(AE677*(1+$G$54)-MAX($B$9,0.01*AE677+AE677*$G$54)&gt;1E-9,AE677*(1+$G$54)-MAX($B$9,0.01*AE677+AE677*$G$54),0),0)</f>
        <v/>
      </c>
      <c r="AF678">
        <f>AE677*$G$54</f>
        <v/>
      </c>
      <c r="AG678">
        <f>IF(AG677&gt;1E-9,IF(AG677*(1+$G$55)-MAX($B$9,0.01*AG677+AG677*$G$55)&gt;1E-9,AG677*(1+$G$55)-MAX($B$9,0.01*AG677+AG677*$G$55),0),0)</f>
        <v/>
      </c>
      <c r="AH678">
        <f>AG677*$G$55</f>
        <v/>
      </c>
      <c r="AI678">
        <f>G678+K678+O678+S678+W678</f>
        <v/>
      </c>
      <c r="AJ678">
        <f>AI677+AK678-AI678</f>
        <v/>
      </c>
      <c r="AK678">
        <f>H678+L678+P678+T678+X678</f>
        <v/>
      </c>
      <c r="AL678">
        <f>TEXT(EDATE($B$5,D678-1),"mmm yyyy")</f>
        <v/>
      </c>
      <c r="AM678">
        <f>AI678</f>
        <v/>
      </c>
    </row>
    <row r="679">
      <c r="D679" t="n">
        <v>618</v>
      </c>
      <c r="E679">
        <f>IF(G678&gt;0,MAX(0,G678*(1+$G$51)-$H$51),0)</f>
        <v/>
      </c>
      <c r="F679">
        <f>$B$6+IF($D679=$B$8,$B$7,0)</f>
        <v/>
      </c>
      <c r="G679">
        <f>IF(E679-F679&gt;1E-9,E679-F679,0)</f>
        <v/>
      </c>
      <c r="H679">
        <f>G678*$G$51</f>
        <v/>
      </c>
      <c r="I679">
        <f>IF(K678&gt;0,MAX(0,K678*(1+$G$52)-$H$52),0)</f>
        <v/>
      </c>
      <c r="J679">
        <f>MAX(0,F679-E679)</f>
        <v/>
      </c>
      <c r="K679">
        <f>IF(I679-J679&gt;1E-9,I679-J679,0)</f>
        <v/>
      </c>
      <c r="L679">
        <f>K678*$G$52</f>
        <v/>
      </c>
      <c r="M679">
        <f>IF(O678&gt;0,MAX(0,O678*(1+$G$53)-$H$53),0)</f>
        <v/>
      </c>
      <c r="N679">
        <f>MAX(0,J679-I679)</f>
        <v/>
      </c>
      <c r="O679">
        <f>IF(M679-N679&gt;1E-9,M679-N679,0)</f>
        <v/>
      </c>
      <c r="P679">
        <f>O678*$G$53</f>
        <v/>
      </c>
      <c r="Q679">
        <f>IF(S678&gt;0,MAX(0,S678*(1+$G$54)-$H$54),0)</f>
        <v/>
      </c>
      <c r="R679">
        <f>MAX(0,N679-M679)</f>
        <v/>
      </c>
      <c r="S679">
        <f>IF(Q679-R679&gt;1E-9,Q679-R679,0)</f>
        <v/>
      </c>
      <c r="T679">
        <f>S678*$G$54</f>
        <v/>
      </c>
      <c r="U679">
        <f>IF(W678&gt;0,MAX(0,W678*(1+$G$55)-$H$55),0)</f>
        <v/>
      </c>
      <c r="V679">
        <f>MAX(0,R679-Q679)</f>
        <v/>
      </c>
      <c r="W679">
        <f>IF(U679-V679&gt;1E-9,U679-V679,0)</f>
        <v/>
      </c>
      <c r="X679">
        <f>W678*$G$55</f>
        <v/>
      </c>
      <c r="Y679">
        <f>IF(Y678&gt;1E-9,IF(Y678*(1+$G$51)-MAX($B$9,0.01*Y678+Y678*$G$51)&gt;1E-9,Y678*(1+$G$51)-MAX($B$9,0.01*Y678+Y678*$G$51),0),0)</f>
        <v/>
      </c>
      <c r="Z679">
        <f>Y678*$G$51</f>
        <v/>
      </c>
      <c r="AA679">
        <f>IF(AA678&gt;1E-9,IF(AA678*(1+$G$52)-MAX($B$9,0.01*AA678+AA678*$G$52)&gt;1E-9,AA678*(1+$G$52)-MAX($B$9,0.01*AA678+AA678*$G$52),0),0)</f>
        <v/>
      </c>
      <c r="AB679">
        <f>AA678*$G$52</f>
        <v/>
      </c>
      <c r="AC679">
        <f>IF(AC678&gt;1E-9,IF(AC678*(1+$G$53)-MAX($B$9,0.01*AC678+AC678*$G$53)&gt;1E-9,AC678*(1+$G$53)-MAX($B$9,0.01*AC678+AC678*$G$53),0),0)</f>
        <v/>
      </c>
      <c r="AD679">
        <f>AC678*$G$53</f>
        <v/>
      </c>
      <c r="AE679">
        <f>IF(AE678&gt;1E-9,IF(AE678*(1+$G$54)-MAX($B$9,0.01*AE678+AE678*$G$54)&gt;1E-9,AE678*(1+$G$54)-MAX($B$9,0.01*AE678+AE678*$G$54),0),0)</f>
        <v/>
      </c>
      <c r="AF679">
        <f>AE678*$G$54</f>
        <v/>
      </c>
      <c r="AG679">
        <f>IF(AG678&gt;1E-9,IF(AG678*(1+$G$55)-MAX($B$9,0.01*AG678+AG678*$G$55)&gt;1E-9,AG678*(1+$G$55)-MAX($B$9,0.01*AG678+AG678*$G$55),0),0)</f>
        <v/>
      </c>
      <c r="AH679">
        <f>AG678*$G$55</f>
        <v/>
      </c>
      <c r="AI679">
        <f>G679+K679+O679+S679+W679</f>
        <v/>
      </c>
      <c r="AJ679">
        <f>AI678+AK679-AI679</f>
        <v/>
      </c>
      <c r="AK679">
        <f>H679+L679+P679+T679+X679</f>
        <v/>
      </c>
      <c r="AL679">
        <f>TEXT(EDATE($B$5,D679-1),"mmm yyyy")</f>
        <v/>
      </c>
      <c r="AM679">
        <f>AI679</f>
        <v/>
      </c>
    </row>
    <row r="680">
      <c r="D680" t="n">
        <v>619</v>
      </c>
      <c r="E680">
        <f>IF(G679&gt;0,MAX(0,G679*(1+$G$51)-$H$51),0)</f>
        <v/>
      </c>
      <c r="F680">
        <f>$B$6+IF($D680=$B$8,$B$7,0)</f>
        <v/>
      </c>
      <c r="G680">
        <f>IF(E680-F680&gt;1E-9,E680-F680,0)</f>
        <v/>
      </c>
      <c r="H680">
        <f>G679*$G$51</f>
        <v/>
      </c>
      <c r="I680">
        <f>IF(K679&gt;0,MAX(0,K679*(1+$G$52)-$H$52),0)</f>
        <v/>
      </c>
      <c r="J680">
        <f>MAX(0,F680-E680)</f>
        <v/>
      </c>
      <c r="K680">
        <f>IF(I680-J680&gt;1E-9,I680-J680,0)</f>
        <v/>
      </c>
      <c r="L680">
        <f>K679*$G$52</f>
        <v/>
      </c>
      <c r="M680">
        <f>IF(O679&gt;0,MAX(0,O679*(1+$G$53)-$H$53),0)</f>
        <v/>
      </c>
      <c r="N680">
        <f>MAX(0,J680-I680)</f>
        <v/>
      </c>
      <c r="O680">
        <f>IF(M680-N680&gt;1E-9,M680-N680,0)</f>
        <v/>
      </c>
      <c r="P680">
        <f>O679*$G$53</f>
        <v/>
      </c>
      <c r="Q680">
        <f>IF(S679&gt;0,MAX(0,S679*(1+$G$54)-$H$54),0)</f>
        <v/>
      </c>
      <c r="R680">
        <f>MAX(0,N680-M680)</f>
        <v/>
      </c>
      <c r="S680">
        <f>IF(Q680-R680&gt;1E-9,Q680-R680,0)</f>
        <v/>
      </c>
      <c r="T680">
        <f>S679*$G$54</f>
        <v/>
      </c>
      <c r="U680">
        <f>IF(W679&gt;0,MAX(0,W679*(1+$G$55)-$H$55),0)</f>
        <v/>
      </c>
      <c r="V680">
        <f>MAX(0,R680-Q680)</f>
        <v/>
      </c>
      <c r="W680">
        <f>IF(U680-V680&gt;1E-9,U680-V680,0)</f>
        <v/>
      </c>
      <c r="X680">
        <f>W679*$G$55</f>
        <v/>
      </c>
      <c r="Y680">
        <f>IF(Y679&gt;1E-9,IF(Y679*(1+$G$51)-MAX($B$9,0.01*Y679+Y679*$G$51)&gt;1E-9,Y679*(1+$G$51)-MAX($B$9,0.01*Y679+Y679*$G$51),0),0)</f>
        <v/>
      </c>
      <c r="Z680">
        <f>Y679*$G$51</f>
        <v/>
      </c>
      <c r="AA680">
        <f>IF(AA679&gt;1E-9,IF(AA679*(1+$G$52)-MAX($B$9,0.01*AA679+AA679*$G$52)&gt;1E-9,AA679*(1+$G$52)-MAX($B$9,0.01*AA679+AA679*$G$52),0),0)</f>
        <v/>
      </c>
      <c r="AB680">
        <f>AA679*$G$52</f>
        <v/>
      </c>
      <c r="AC680">
        <f>IF(AC679&gt;1E-9,IF(AC679*(1+$G$53)-MAX($B$9,0.01*AC679+AC679*$G$53)&gt;1E-9,AC679*(1+$G$53)-MAX($B$9,0.01*AC679+AC679*$G$53),0),0)</f>
        <v/>
      </c>
      <c r="AD680">
        <f>AC679*$G$53</f>
        <v/>
      </c>
      <c r="AE680">
        <f>IF(AE679&gt;1E-9,IF(AE679*(1+$G$54)-MAX($B$9,0.01*AE679+AE679*$G$54)&gt;1E-9,AE679*(1+$G$54)-MAX($B$9,0.01*AE679+AE679*$G$54),0),0)</f>
        <v/>
      </c>
      <c r="AF680">
        <f>AE679*$G$54</f>
        <v/>
      </c>
      <c r="AG680">
        <f>IF(AG679&gt;1E-9,IF(AG679*(1+$G$55)-MAX($B$9,0.01*AG679+AG679*$G$55)&gt;1E-9,AG679*(1+$G$55)-MAX($B$9,0.01*AG679+AG679*$G$55),0),0)</f>
        <v/>
      </c>
      <c r="AH680">
        <f>AG679*$G$55</f>
        <v/>
      </c>
      <c r="AI680">
        <f>G680+K680+O680+S680+W680</f>
        <v/>
      </c>
      <c r="AJ680">
        <f>AI679+AK680-AI680</f>
        <v/>
      </c>
      <c r="AK680">
        <f>H680+L680+P680+T680+X680</f>
        <v/>
      </c>
      <c r="AL680">
        <f>TEXT(EDATE($B$5,D680-1),"mmm yyyy")</f>
        <v/>
      </c>
      <c r="AM680">
        <f>AI680</f>
        <v/>
      </c>
    </row>
    <row r="681">
      <c r="D681" t="n">
        <v>620</v>
      </c>
      <c r="E681">
        <f>IF(G680&gt;0,MAX(0,G680*(1+$G$51)-$H$51),0)</f>
        <v/>
      </c>
      <c r="F681">
        <f>$B$6+IF($D681=$B$8,$B$7,0)</f>
        <v/>
      </c>
      <c r="G681">
        <f>IF(E681-F681&gt;1E-9,E681-F681,0)</f>
        <v/>
      </c>
      <c r="H681">
        <f>G680*$G$51</f>
        <v/>
      </c>
      <c r="I681">
        <f>IF(K680&gt;0,MAX(0,K680*(1+$G$52)-$H$52),0)</f>
        <v/>
      </c>
      <c r="J681">
        <f>MAX(0,F681-E681)</f>
        <v/>
      </c>
      <c r="K681">
        <f>IF(I681-J681&gt;1E-9,I681-J681,0)</f>
        <v/>
      </c>
      <c r="L681">
        <f>K680*$G$52</f>
        <v/>
      </c>
      <c r="M681">
        <f>IF(O680&gt;0,MAX(0,O680*(1+$G$53)-$H$53),0)</f>
        <v/>
      </c>
      <c r="N681">
        <f>MAX(0,J681-I681)</f>
        <v/>
      </c>
      <c r="O681">
        <f>IF(M681-N681&gt;1E-9,M681-N681,0)</f>
        <v/>
      </c>
      <c r="P681">
        <f>O680*$G$53</f>
        <v/>
      </c>
      <c r="Q681">
        <f>IF(S680&gt;0,MAX(0,S680*(1+$G$54)-$H$54),0)</f>
        <v/>
      </c>
      <c r="R681">
        <f>MAX(0,N681-M681)</f>
        <v/>
      </c>
      <c r="S681">
        <f>IF(Q681-R681&gt;1E-9,Q681-R681,0)</f>
        <v/>
      </c>
      <c r="T681">
        <f>S680*$G$54</f>
        <v/>
      </c>
      <c r="U681">
        <f>IF(W680&gt;0,MAX(0,W680*(1+$G$55)-$H$55),0)</f>
        <v/>
      </c>
      <c r="V681">
        <f>MAX(0,R681-Q681)</f>
        <v/>
      </c>
      <c r="W681">
        <f>IF(U681-V681&gt;1E-9,U681-V681,0)</f>
        <v/>
      </c>
      <c r="X681">
        <f>W680*$G$55</f>
        <v/>
      </c>
      <c r="Y681">
        <f>IF(Y680&gt;1E-9,IF(Y680*(1+$G$51)-MAX($B$9,0.01*Y680+Y680*$G$51)&gt;1E-9,Y680*(1+$G$51)-MAX($B$9,0.01*Y680+Y680*$G$51),0),0)</f>
        <v/>
      </c>
      <c r="Z681">
        <f>Y680*$G$51</f>
        <v/>
      </c>
      <c r="AA681">
        <f>IF(AA680&gt;1E-9,IF(AA680*(1+$G$52)-MAX($B$9,0.01*AA680+AA680*$G$52)&gt;1E-9,AA680*(1+$G$52)-MAX($B$9,0.01*AA680+AA680*$G$52),0),0)</f>
        <v/>
      </c>
      <c r="AB681">
        <f>AA680*$G$52</f>
        <v/>
      </c>
      <c r="AC681">
        <f>IF(AC680&gt;1E-9,IF(AC680*(1+$G$53)-MAX($B$9,0.01*AC680+AC680*$G$53)&gt;1E-9,AC680*(1+$G$53)-MAX($B$9,0.01*AC680+AC680*$G$53),0),0)</f>
        <v/>
      </c>
      <c r="AD681">
        <f>AC680*$G$53</f>
        <v/>
      </c>
      <c r="AE681">
        <f>IF(AE680&gt;1E-9,IF(AE680*(1+$G$54)-MAX($B$9,0.01*AE680+AE680*$G$54)&gt;1E-9,AE680*(1+$G$54)-MAX($B$9,0.01*AE680+AE680*$G$54),0),0)</f>
        <v/>
      </c>
      <c r="AF681">
        <f>AE680*$G$54</f>
        <v/>
      </c>
      <c r="AG681">
        <f>IF(AG680&gt;1E-9,IF(AG680*(1+$G$55)-MAX($B$9,0.01*AG680+AG680*$G$55)&gt;1E-9,AG680*(1+$G$55)-MAX($B$9,0.01*AG680+AG680*$G$55),0),0)</f>
        <v/>
      </c>
      <c r="AH681">
        <f>AG680*$G$55</f>
        <v/>
      </c>
      <c r="AI681">
        <f>G681+K681+O681+S681+W681</f>
        <v/>
      </c>
      <c r="AJ681">
        <f>AI680+AK681-AI681</f>
        <v/>
      </c>
      <c r="AK681">
        <f>H681+L681+P681+T681+X681</f>
        <v/>
      </c>
      <c r="AL681">
        <f>TEXT(EDATE($B$5,D681-1),"mmm yyyy")</f>
        <v/>
      </c>
      <c r="AM681">
        <f>AI681</f>
        <v/>
      </c>
    </row>
    <row r="682">
      <c r="D682" t="n">
        <v>621</v>
      </c>
      <c r="E682">
        <f>IF(G681&gt;0,MAX(0,G681*(1+$G$51)-$H$51),0)</f>
        <v/>
      </c>
      <c r="F682">
        <f>$B$6+IF($D682=$B$8,$B$7,0)</f>
        <v/>
      </c>
      <c r="G682">
        <f>IF(E682-F682&gt;1E-9,E682-F682,0)</f>
        <v/>
      </c>
      <c r="H682">
        <f>G681*$G$51</f>
        <v/>
      </c>
      <c r="I682">
        <f>IF(K681&gt;0,MAX(0,K681*(1+$G$52)-$H$52),0)</f>
        <v/>
      </c>
      <c r="J682">
        <f>MAX(0,F682-E682)</f>
        <v/>
      </c>
      <c r="K682">
        <f>IF(I682-J682&gt;1E-9,I682-J682,0)</f>
        <v/>
      </c>
      <c r="L682">
        <f>K681*$G$52</f>
        <v/>
      </c>
      <c r="M682">
        <f>IF(O681&gt;0,MAX(0,O681*(1+$G$53)-$H$53),0)</f>
        <v/>
      </c>
      <c r="N682">
        <f>MAX(0,J682-I682)</f>
        <v/>
      </c>
      <c r="O682">
        <f>IF(M682-N682&gt;1E-9,M682-N682,0)</f>
        <v/>
      </c>
      <c r="P682">
        <f>O681*$G$53</f>
        <v/>
      </c>
      <c r="Q682">
        <f>IF(S681&gt;0,MAX(0,S681*(1+$G$54)-$H$54),0)</f>
        <v/>
      </c>
      <c r="R682">
        <f>MAX(0,N682-M682)</f>
        <v/>
      </c>
      <c r="S682">
        <f>IF(Q682-R682&gt;1E-9,Q682-R682,0)</f>
        <v/>
      </c>
      <c r="T682">
        <f>S681*$G$54</f>
        <v/>
      </c>
      <c r="U682">
        <f>IF(W681&gt;0,MAX(0,W681*(1+$G$55)-$H$55),0)</f>
        <v/>
      </c>
      <c r="V682">
        <f>MAX(0,R682-Q682)</f>
        <v/>
      </c>
      <c r="W682">
        <f>IF(U682-V682&gt;1E-9,U682-V682,0)</f>
        <v/>
      </c>
      <c r="X682">
        <f>W681*$G$55</f>
        <v/>
      </c>
      <c r="Y682">
        <f>IF(Y681&gt;1E-9,IF(Y681*(1+$G$51)-MAX($B$9,0.01*Y681+Y681*$G$51)&gt;1E-9,Y681*(1+$G$51)-MAX($B$9,0.01*Y681+Y681*$G$51),0),0)</f>
        <v/>
      </c>
      <c r="Z682">
        <f>Y681*$G$51</f>
        <v/>
      </c>
      <c r="AA682">
        <f>IF(AA681&gt;1E-9,IF(AA681*(1+$G$52)-MAX($B$9,0.01*AA681+AA681*$G$52)&gt;1E-9,AA681*(1+$G$52)-MAX($B$9,0.01*AA681+AA681*$G$52),0),0)</f>
        <v/>
      </c>
      <c r="AB682">
        <f>AA681*$G$52</f>
        <v/>
      </c>
      <c r="AC682">
        <f>IF(AC681&gt;1E-9,IF(AC681*(1+$G$53)-MAX($B$9,0.01*AC681+AC681*$G$53)&gt;1E-9,AC681*(1+$G$53)-MAX($B$9,0.01*AC681+AC681*$G$53),0),0)</f>
        <v/>
      </c>
      <c r="AD682">
        <f>AC681*$G$53</f>
        <v/>
      </c>
      <c r="AE682">
        <f>IF(AE681&gt;1E-9,IF(AE681*(1+$G$54)-MAX($B$9,0.01*AE681+AE681*$G$54)&gt;1E-9,AE681*(1+$G$54)-MAX($B$9,0.01*AE681+AE681*$G$54),0),0)</f>
        <v/>
      </c>
      <c r="AF682">
        <f>AE681*$G$54</f>
        <v/>
      </c>
      <c r="AG682">
        <f>IF(AG681&gt;1E-9,IF(AG681*(1+$G$55)-MAX($B$9,0.01*AG681+AG681*$G$55)&gt;1E-9,AG681*(1+$G$55)-MAX($B$9,0.01*AG681+AG681*$G$55),0),0)</f>
        <v/>
      </c>
      <c r="AH682">
        <f>AG681*$G$55</f>
        <v/>
      </c>
      <c r="AI682">
        <f>G682+K682+O682+S682+W682</f>
        <v/>
      </c>
      <c r="AJ682">
        <f>AI681+AK682-AI682</f>
        <v/>
      </c>
      <c r="AK682">
        <f>H682+L682+P682+T682+X682</f>
        <v/>
      </c>
      <c r="AL682">
        <f>TEXT(EDATE($B$5,D682-1),"mmm yyyy")</f>
        <v/>
      </c>
      <c r="AM682">
        <f>AI682</f>
        <v/>
      </c>
    </row>
    <row r="683">
      <c r="D683" t="n">
        <v>622</v>
      </c>
      <c r="E683">
        <f>IF(G682&gt;0,MAX(0,G682*(1+$G$51)-$H$51),0)</f>
        <v/>
      </c>
      <c r="F683">
        <f>$B$6+IF($D683=$B$8,$B$7,0)</f>
        <v/>
      </c>
      <c r="G683">
        <f>IF(E683-F683&gt;1E-9,E683-F683,0)</f>
        <v/>
      </c>
      <c r="H683">
        <f>G682*$G$51</f>
        <v/>
      </c>
      <c r="I683">
        <f>IF(K682&gt;0,MAX(0,K682*(1+$G$52)-$H$52),0)</f>
        <v/>
      </c>
      <c r="J683">
        <f>MAX(0,F683-E683)</f>
        <v/>
      </c>
      <c r="K683">
        <f>IF(I683-J683&gt;1E-9,I683-J683,0)</f>
        <v/>
      </c>
      <c r="L683">
        <f>K682*$G$52</f>
        <v/>
      </c>
      <c r="M683">
        <f>IF(O682&gt;0,MAX(0,O682*(1+$G$53)-$H$53),0)</f>
        <v/>
      </c>
      <c r="N683">
        <f>MAX(0,J683-I683)</f>
        <v/>
      </c>
      <c r="O683">
        <f>IF(M683-N683&gt;1E-9,M683-N683,0)</f>
        <v/>
      </c>
      <c r="P683">
        <f>O682*$G$53</f>
        <v/>
      </c>
      <c r="Q683">
        <f>IF(S682&gt;0,MAX(0,S682*(1+$G$54)-$H$54),0)</f>
        <v/>
      </c>
      <c r="R683">
        <f>MAX(0,N683-M683)</f>
        <v/>
      </c>
      <c r="S683">
        <f>IF(Q683-R683&gt;1E-9,Q683-R683,0)</f>
        <v/>
      </c>
      <c r="T683">
        <f>S682*$G$54</f>
        <v/>
      </c>
      <c r="U683">
        <f>IF(W682&gt;0,MAX(0,W682*(1+$G$55)-$H$55),0)</f>
        <v/>
      </c>
      <c r="V683">
        <f>MAX(0,R683-Q683)</f>
        <v/>
      </c>
      <c r="W683">
        <f>IF(U683-V683&gt;1E-9,U683-V683,0)</f>
        <v/>
      </c>
      <c r="X683">
        <f>W682*$G$55</f>
        <v/>
      </c>
      <c r="Y683">
        <f>IF(Y682&gt;1E-9,IF(Y682*(1+$G$51)-MAX($B$9,0.01*Y682+Y682*$G$51)&gt;1E-9,Y682*(1+$G$51)-MAX($B$9,0.01*Y682+Y682*$G$51),0),0)</f>
        <v/>
      </c>
      <c r="Z683">
        <f>Y682*$G$51</f>
        <v/>
      </c>
      <c r="AA683">
        <f>IF(AA682&gt;1E-9,IF(AA682*(1+$G$52)-MAX($B$9,0.01*AA682+AA682*$G$52)&gt;1E-9,AA682*(1+$G$52)-MAX($B$9,0.01*AA682+AA682*$G$52),0),0)</f>
        <v/>
      </c>
      <c r="AB683">
        <f>AA682*$G$52</f>
        <v/>
      </c>
      <c r="AC683">
        <f>IF(AC682&gt;1E-9,IF(AC682*(1+$G$53)-MAX($B$9,0.01*AC682+AC682*$G$53)&gt;1E-9,AC682*(1+$G$53)-MAX($B$9,0.01*AC682+AC682*$G$53),0),0)</f>
        <v/>
      </c>
      <c r="AD683">
        <f>AC682*$G$53</f>
        <v/>
      </c>
      <c r="AE683">
        <f>IF(AE682&gt;1E-9,IF(AE682*(1+$G$54)-MAX($B$9,0.01*AE682+AE682*$G$54)&gt;1E-9,AE682*(1+$G$54)-MAX($B$9,0.01*AE682+AE682*$G$54),0),0)</f>
        <v/>
      </c>
      <c r="AF683">
        <f>AE682*$G$54</f>
        <v/>
      </c>
      <c r="AG683">
        <f>IF(AG682&gt;1E-9,IF(AG682*(1+$G$55)-MAX($B$9,0.01*AG682+AG682*$G$55)&gt;1E-9,AG682*(1+$G$55)-MAX($B$9,0.01*AG682+AG682*$G$55),0),0)</f>
        <v/>
      </c>
      <c r="AH683">
        <f>AG682*$G$55</f>
        <v/>
      </c>
      <c r="AI683">
        <f>G683+K683+O683+S683+W683</f>
        <v/>
      </c>
      <c r="AJ683">
        <f>AI682+AK683-AI683</f>
        <v/>
      </c>
      <c r="AK683">
        <f>H683+L683+P683+T683+X683</f>
        <v/>
      </c>
      <c r="AL683">
        <f>TEXT(EDATE($B$5,D683-1),"mmm yyyy")</f>
        <v/>
      </c>
      <c r="AM683">
        <f>AI683</f>
        <v/>
      </c>
    </row>
    <row r="684">
      <c r="D684" t="n">
        <v>623</v>
      </c>
      <c r="E684">
        <f>IF(G683&gt;0,MAX(0,G683*(1+$G$51)-$H$51),0)</f>
        <v/>
      </c>
      <c r="F684">
        <f>$B$6+IF($D684=$B$8,$B$7,0)</f>
        <v/>
      </c>
      <c r="G684">
        <f>IF(E684-F684&gt;1E-9,E684-F684,0)</f>
        <v/>
      </c>
      <c r="H684">
        <f>G683*$G$51</f>
        <v/>
      </c>
      <c r="I684">
        <f>IF(K683&gt;0,MAX(0,K683*(1+$G$52)-$H$52),0)</f>
        <v/>
      </c>
      <c r="J684">
        <f>MAX(0,F684-E684)</f>
        <v/>
      </c>
      <c r="K684">
        <f>IF(I684-J684&gt;1E-9,I684-J684,0)</f>
        <v/>
      </c>
      <c r="L684">
        <f>K683*$G$52</f>
        <v/>
      </c>
      <c r="M684">
        <f>IF(O683&gt;0,MAX(0,O683*(1+$G$53)-$H$53),0)</f>
        <v/>
      </c>
      <c r="N684">
        <f>MAX(0,J684-I684)</f>
        <v/>
      </c>
      <c r="O684">
        <f>IF(M684-N684&gt;1E-9,M684-N684,0)</f>
        <v/>
      </c>
      <c r="P684">
        <f>O683*$G$53</f>
        <v/>
      </c>
      <c r="Q684">
        <f>IF(S683&gt;0,MAX(0,S683*(1+$G$54)-$H$54),0)</f>
        <v/>
      </c>
      <c r="R684">
        <f>MAX(0,N684-M684)</f>
        <v/>
      </c>
      <c r="S684">
        <f>IF(Q684-R684&gt;1E-9,Q684-R684,0)</f>
        <v/>
      </c>
      <c r="T684">
        <f>S683*$G$54</f>
        <v/>
      </c>
      <c r="U684">
        <f>IF(W683&gt;0,MAX(0,W683*(1+$G$55)-$H$55),0)</f>
        <v/>
      </c>
      <c r="V684">
        <f>MAX(0,R684-Q684)</f>
        <v/>
      </c>
      <c r="W684">
        <f>IF(U684-V684&gt;1E-9,U684-V684,0)</f>
        <v/>
      </c>
      <c r="X684">
        <f>W683*$G$55</f>
        <v/>
      </c>
      <c r="Y684">
        <f>IF(Y683&gt;1E-9,IF(Y683*(1+$G$51)-MAX($B$9,0.01*Y683+Y683*$G$51)&gt;1E-9,Y683*(1+$G$51)-MAX($B$9,0.01*Y683+Y683*$G$51),0),0)</f>
        <v/>
      </c>
      <c r="Z684">
        <f>Y683*$G$51</f>
        <v/>
      </c>
      <c r="AA684">
        <f>IF(AA683&gt;1E-9,IF(AA683*(1+$G$52)-MAX($B$9,0.01*AA683+AA683*$G$52)&gt;1E-9,AA683*(1+$G$52)-MAX($B$9,0.01*AA683+AA683*$G$52),0),0)</f>
        <v/>
      </c>
      <c r="AB684">
        <f>AA683*$G$52</f>
        <v/>
      </c>
      <c r="AC684">
        <f>IF(AC683&gt;1E-9,IF(AC683*(1+$G$53)-MAX($B$9,0.01*AC683+AC683*$G$53)&gt;1E-9,AC683*(1+$G$53)-MAX($B$9,0.01*AC683+AC683*$G$53),0),0)</f>
        <v/>
      </c>
      <c r="AD684">
        <f>AC683*$G$53</f>
        <v/>
      </c>
      <c r="AE684">
        <f>IF(AE683&gt;1E-9,IF(AE683*(1+$G$54)-MAX($B$9,0.01*AE683+AE683*$G$54)&gt;1E-9,AE683*(1+$G$54)-MAX($B$9,0.01*AE683+AE683*$G$54),0),0)</f>
        <v/>
      </c>
      <c r="AF684">
        <f>AE683*$G$54</f>
        <v/>
      </c>
      <c r="AG684">
        <f>IF(AG683&gt;1E-9,IF(AG683*(1+$G$55)-MAX($B$9,0.01*AG683+AG683*$G$55)&gt;1E-9,AG683*(1+$G$55)-MAX($B$9,0.01*AG683+AG683*$G$55),0),0)</f>
        <v/>
      </c>
      <c r="AH684">
        <f>AG683*$G$55</f>
        <v/>
      </c>
      <c r="AI684">
        <f>G684+K684+O684+S684+W684</f>
        <v/>
      </c>
      <c r="AJ684">
        <f>AI683+AK684-AI684</f>
        <v/>
      </c>
      <c r="AK684">
        <f>H684+L684+P684+T684+X684</f>
        <v/>
      </c>
      <c r="AL684">
        <f>TEXT(EDATE($B$5,D684-1),"mmm yyyy")</f>
        <v/>
      </c>
      <c r="AM684">
        <f>AI684</f>
        <v/>
      </c>
    </row>
    <row r="685">
      <c r="D685" t="n">
        <v>624</v>
      </c>
      <c r="E685">
        <f>IF(G684&gt;0,MAX(0,G684*(1+$G$51)-$H$51),0)</f>
        <v/>
      </c>
      <c r="F685">
        <f>$B$6+IF($D685=$B$8,$B$7,0)</f>
        <v/>
      </c>
      <c r="G685">
        <f>IF(E685-F685&gt;1E-9,E685-F685,0)</f>
        <v/>
      </c>
      <c r="H685">
        <f>G684*$G$51</f>
        <v/>
      </c>
      <c r="I685">
        <f>IF(K684&gt;0,MAX(0,K684*(1+$G$52)-$H$52),0)</f>
        <v/>
      </c>
      <c r="J685">
        <f>MAX(0,F685-E685)</f>
        <v/>
      </c>
      <c r="K685">
        <f>IF(I685-J685&gt;1E-9,I685-J685,0)</f>
        <v/>
      </c>
      <c r="L685">
        <f>K684*$G$52</f>
        <v/>
      </c>
      <c r="M685">
        <f>IF(O684&gt;0,MAX(0,O684*(1+$G$53)-$H$53),0)</f>
        <v/>
      </c>
      <c r="N685">
        <f>MAX(0,J685-I685)</f>
        <v/>
      </c>
      <c r="O685">
        <f>IF(M685-N685&gt;1E-9,M685-N685,0)</f>
        <v/>
      </c>
      <c r="P685">
        <f>O684*$G$53</f>
        <v/>
      </c>
      <c r="Q685">
        <f>IF(S684&gt;0,MAX(0,S684*(1+$G$54)-$H$54),0)</f>
        <v/>
      </c>
      <c r="R685">
        <f>MAX(0,N685-M685)</f>
        <v/>
      </c>
      <c r="S685">
        <f>IF(Q685-R685&gt;1E-9,Q685-R685,0)</f>
        <v/>
      </c>
      <c r="T685">
        <f>S684*$G$54</f>
        <v/>
      </c>
      <c r="U685">
        <f>IF(W684&gt;0,MAX(0,W684*(1+$G$55)-$H$55),0)</f>
        <v/>
      </c>
      <c r="V685">
        <f>MAX(0,R685-Q685)</f>
        <v/>
      </c>
      <c r="W685">
        <f>IF(U685-V685&gt;1E-9,U685-V685,0)</f>
        <v/>
      </c>
      <c r="X685">
        <f>W684*$G$55</f>
        <v/>
      </c>
      <c r="Y685">
        <f>IF(Y684&gt;1E-9,IF(Y684*(1+$G$51)-MAX($B$9,0.01*Y684+Y684*$G$51)&gt;1E-9,Y684*(1+$G$51)-MAX($B$9,0.01*Y684+Y684*$G$51),0),0)</f>
        <v/>
      </c>
      <c r="Z685">
        <f>Y684*$G$51</f>
        <v/>
      </c>
      <c r="AA685">
        <f>IF(AA684&gt;1E-9,IF(AA684*(1+$G$52)-MAX($B$9,0.01*AA684+AA684*$G$52)&gt;1E-9,AA684*(1+$G$52)-MAX($B$9,0.01*AA684+AA684*$G$52),0),0)</f>
        <v/>
      </c>
      <c r="AB685">
        <f>AA684*$G$52</f>
        <v/>
      </c>
      <c r="AC685">
        <f>IF(AC684&gt;1E-9,IF(AC684*(1+$G$53)-MAX($B$9,0.01*AC684+AC684*$G$53)&gt;1E-9,AC684*(1+$G$53)-MAX($B$9,0.01*AC684+AC684*$G$53),0),0)</f>
        <v/>
      </c>
      <c r="AD685">
        <f>AC684*$G$53</f>
        <v/>
      </c>
      <c r="AE685">
        <f>IF(AE684&gt;1E-9,IF(AE684*(1+$G$54)-MAX($B$9,0.01*AE684+AE684*$G$54)&gt;1E-9,AE684*(1+$G$54)-MAX($B$9,0.01*AE684+AE684*$G$54),0),0)</f>
        <v/>
      </c>
      <c r="AF685">
        <f>AE684*$G$54</f>
        <v/>
      </c>
      <c r="AG685">
        <f>IF(AG684&gt;1E-9,IF(AG684*(1+$G$55)-MAX($B$9,0.01*AG684+AG684*$G$55)&gt;1E-9,AG684*(1+$G$55)-MAX($B$9,0.01*AG684+AG684*$G$55),0),0)</f>
        <v/>
      </c>
      <c r="AH685">
        <f>AG684*$G$55</f>
        <v/>
      </c>
      <c r="AI685">
        <f>G685+K685+O685+S685+W685</f>
        <v/>
      </c>
      <c r="AJ685">
        <f>AI684+AK685-AI685</f>
        <v/>
      </c>
      <c r="AK685">
        <f>H685+L685+P685+T685+X685</f>
        <v/>
      </c>
      <c r="AL685">
        <f>TEXT(EDATE($B$5,D685-1),"mmm yyyy")</f>
        <v/>
      </c>
      <c r="AM685">
        <f>AI685</f>
        <v/>
      </c>
    </row>
    <row r="686">
      <c r="D686" t="n">
        <v>625</v>
      </c>
      <c r="E686">
        <f>IF(G685&gt;0,MAX(0,G685*(1+$G$51)-$H$51),0)</f>
        <v/>
      </c>
      <c r="F686">
        <f>$B$6+IF($D686=$B$8,$B$7,0)</f>
        <v/>
      </c>
      <c r="G686">
        <f>IF(E686-F686&gt;1E-9,E686-F686,0)</f>
        <v/>
      </c>
      <c r="H686">
        <f>G685*$G$51</f>
        <v/>
      </c>
      <c r="I686">
        <f>IF(K685&gt;0,MAX(0,K685*(1+$G$52)-$H$52),0)</f>
        <v/>
      </c>
      <c r="J686">
        <f>MAX(0,F686-E686)</f>
        <v/>
      </c>
      <c r="K686">
        <f>IF(I686-J686&gt;1E-9,I686-J686,0)</f>
        <v/>
      </c>
      <c r="L686">
        <f>K685*$G$52</f>
        <v/>
      </c>
      <c r="M686">
        <f>IF(O685&gt;0,MAX(0,O685*(1+$G$53)-$H$53),0)</f>
        <v/>
      </c>
      <c r="N686">
        <f>MAX(0,J686-I686)</f>
        <v/>
      </c>
      <c r="O686">
        <f>IF(M686-N686&gt;1E-9,M686-N686,0)</f>
        <v/>
      </c>
      <c r="P686">
        <f>O685*$G$53</f>
        <v/>
      </c>
      <c r="Q686">
        <f>IF(S685&gt;0,MAX(0,S685*(1+$G$54)-$H$54),0)</f>
        <v/>
      </c>
      <c r="R686">
        <f>MAX(0,N686-M686)</f>
        <v/>
      </c>
      <c r="S686">
        <f>IF(Q686-R686&gt;1E-9,Q686-R686,0)</f>
        <v/>
      </c>
      <c r="T686">
        <f>S685*$G$54</f>
        <v/>
      </c>
      <c r="U686">
        <f>IF(W685&gt;0,MAX(0,W685*(1+$G$55)-$H$55),0)</f>
        <v/>
      </c>
      <c r="V686">
        <f>MAX(0,R686-Q686)</f>
        <v/>
      </c>
      <c r="W686">
        <f>IF(U686-V686&gt;1E-9,U686-V686,0)</f>
        <v/>
      </c>
      <c r="X686">
        <f>W685*$G$55</f>
        <v/>
      </c>
      <c r="Y686">
        <f>IF(Y685&gt;1E-9,IF(Y685*(1+$G$51)-MAX($B$9,0.01*Y685+Y685*$G$51)&gt;1E-9,Y685*(1+$G$51)-MAX($B$9,0.01*Y685+Y685*$G$51),0),0)</f>
        <v/>
      </c>
      <c r="Z686">
        <f>Y685*$G$51</f>
        <v/>
      </c>
      <c r="AA686">
        <f>IF(AA685&gt;1E-9,IF(AA685*(1+$G$52)-MAX($B$9,0.01*AA685+AA685*$G$52)&gt;1E-9,AA685*(1+$G$52)-MAX($B$9,0.01*AA685+AA685*$G$52),0),0)</f>
        <v/>
      </c>
      <c r="AB686">
        <f>AA685*$G$52</f>
        <v/>
      </c>
      <c r="AC686">
        <f>IF(AC685&gt;1E-9,IF(AC685*(1+$G$53)-MAX($B$9,0.01*AC685+AC685*$G$53)&gt;1E-9,AC685*(1+$G$53)-MAX($B$9,0.01*AC685+AC685*$G$53),0),0)</f>
        <v/>
      </c>
      <c r="AD686">
        <f>AC685*$G$53</f>
        <v/>
      </c>
      <c r="AE686">
        <f>IF(AE685&gt;1E-9,IF(AE685*(1+$G$54)-MAX($B$9,0.01*AE685+AE685*$G$54)&gt;1E-9,AE685*(1+$G$54)-MAX($B$9,0.01*AE685+AE685*$G$54),0),0)</f>
        <v/>
      </c>
      <c r="AF686">
        <f>AE685*$G$54</f>
        <v/>
      </c>
      <c r="AG686">
        <f>IF(AG685&gt;1E-9,IF(AG685*(1+$G$55)-MAX($B$9,0.01*AG685+AG685*$G$55)&gt;1E-9,AG685*(1+$G$55)-MAX($B$9,0.01*AG685+AG685*$G$55),0),0)</f>
        <v/>
      </c>
      <c r="AH686">
        <f>AG685*$G$55</f>
        <v/>
      </c>
      <c r="AI686">
        <f>G686+K686+O686+S686+W686</f>
        <v/>
      </c>
      <c r="AJ686">
        <f>AI685+AK686-AI686</f>
        <v/>
      </c>
      <c r="AK686">
        <f>H686+L686+P686+T686+X686</f>
        <v/>
      </c>
      <c r="AL686">
        <f>TEXT(EDATE($B$5,D686-1),"mmm yyyy")</f>
        <v/>
      </c>
      <c r="AM686">
        <f>AI686</f>
        <v/>
      </c>
    </row>
    <row r="687">
      <c r="D687" t="n">
        <v>626</v>
      </c>
      <c r="E687">
        <f>IF(G686&gt;0,MAX(0,G686*(1+$G$51)-$H$51),0)</f>
        <v/>
      </c>
      <c r="F687">
        <f>$B$6+IF($D687=$B$8,$B$7,0)</f>
        <v/>
      </c>
      <c r="G687">
        <f>IF(E687-F687&gt;1E-9,E687-F687,0)</f>
        <v/>
      </c>
      <c r="H687">
        <f>G686*$G$51</f>
        <v/>
      </c>
      <c r="I687">
        <f>IF(K686&gt;0,MAX(0,K686*(1+$G$52)-$H$52),0)</f>
        <v/>
      </c>
      <c r="J687">
        <f>MAX(0,F687-E687)</f>
        <v/>
      </c>
      <c r="K687">
        <f>IF(I687-J687&gt;1E-9,I687-J687,0)</f>
        <v/>
      </c>
      <c r="L687">
        <f>K686*$G$52</f>
        <v/>
      </c>
      <c r="M687">
        <f>IF(O686&gt;0,MAX(0,O686*(1+$G$53)-$H$53),0)</f>
        <v/>
      </c>
      <c r="N687">
        <f>MAX(0,J687-I687)</f>
        <v/>
      </c>
      <c r="O687">
        <f>IF(M687-N687&gt;1E-9,M687-N687,0)</f>
        <v/>
      </c>
      <c r="P687">
        <f>O686*$G$53</f>
        <v/>
      </c>
      <c r="Q687">
        <f>IF(S686&gt;0,MAX(0,S686*(1+$G$54)-$H$54),0)</f>
        <v/>
      </c>
      <c r="R687">
        <f>MAX(0,N687-M687)</f>
        <v/>
      </c>
      <c r="S687">
        <f>IF(Q687-R687&gt;1E-9,Q687-R687,0)</f>
        <v/>
      </c>
      <c r="T687">
        <f>S686*$G$54</f>
        <v/>
      </c>
      <c r="U687">
        <f>IF(W686&gt;0,MAX(0,W686*(1+$G$55)-$H$55),0)</f>
        <v/>
      </c>
      <c r="V687">
        <f>MAX(0,R687-Q687)</f>
        <v/>
      </c>
      <c r="W687">
        <f>IF(U687-V687&gt;1E-9,U687-V687,0)</f>
        <v/>
      </c>
      <c r="X687">
        <f>W686*$G$55</f>
        <v/>
      </c>
      <c r="Y687">
        <f>IF(Y686&gt;1E-9,IF(Y686*(1+$G$51)-MAX($B$9,0.01*Y686+Y686*$G$51)&gt;1E-9,Y686*(1+$G$51)-MAX($B$9,0.01*Y686+Y686*$G$51),0),0)</f>
        <v/>
      </c>
      <c r="Z687">
        <f>Y686*$G$51</f>
        <v/>
      </c>
      <c r="AA687">
        <f>IF(AA686&gt;1E-9,IF(AA686*(1+$G$52)-MAX($B$9,0.01*AA686+AA686*$G$52)&gt;1E-9,AA686*(1+$G$52)-MAX($B$9,0.01*AA686+AA686*$G$52),0),0)</f>
        <v/>
      </c>
      <c r="AB687">
        <f>AA686*$G$52</f>
        <v/>
      </c>
      <c r="AC687">
        <f>IF(AC686&gt;1E-9,IF(AC686*(1+$G$53)-MAX($B$9,0.01*AC686+AC686*$G$53)&gt;1E-9,AC686*(1+$G$53)-MAX($B$9,0.01*AC686+AC686*$G$53),0),0)</f>
        <v/>
      </c>
      <c r="AD687">
        <f>AC686*$G$53</f>
        <v/>
      </c>
      <c r="AE687">
        <f>IF(AE686&gt;1E-9,IF(AE686*(1+$G$54)-MAX($B$9,0.01*AE686+AE686*$G$54)&gt;1E-9,AE686*(1+$G$54)-MAX($B$9,0.01*AE686+AE686*$G$54),0),0)</f>
        <v/>
      </c>
      <c r="AF687">
        <f>AE686*$G$54</f>
        <v/>
      </c>
      <c r="AG687">
        <f>IF(AG686&gt;1E-9,IF(AG686*(1+$G$55)-MAX($B$9,0.01*AG686+AG686*$G$55)&gt;1E-9,AG686*(1+$G$55)-MAX($B$9,0.01*AG686+AG686*$G$55),0),0)</f>
        <v/>
      </c>
      <c r="AH687">
        <f>AG686*$G$55</f>
        <v/>
      </c>
      <c r="AI687">
        <f>G687+K687+O687+S687+W687</f>
        <v/>
      </c>
      <c r="AJ687">
        <f>AI686+AK687-AI687</f>
        <v/>
      </c>
      <c r="AK687">
        <f>H687+L687+P687+T687+X687</f>
        <v/>
      </c>
      <c r="AL687">
        <f>TEXT(EDATE($B$5,D687-1),"mmm yyyy")</f>
        <v/>
      </c>
      <c r="AM687">
        <f>AI687</f>
        <v/>
      </c>
    </row>
    <row r="688">
      <c r="D688" t="n">
        <v>627</v>
      </c>
      <c r="E688">
        <f>IF(G687&gt;0,MAX(0,G687*(1+$G$51)-$H$51),0)</f>
        <v/>
      </c>
      <c r="F688">
        <f>$B$6+IF($D688=$B$8,$B$7,0)</f>
        <v/>
      </c>
      <c r="G688">
        <f>IF(E688-F688&gt;1E-9,E688-F688,0)</f>
        <v/>
      </c>
      <c r="H688">
        <f>G687*$G$51</f>
        <v/>
      </c>
      <c r="I688">
        <f>IF(K687&gt;0,MAX(0,K687*(1+$G$52)-$H$52),0)</f>
        <v/>
      </c>
      <c r="J688">
        <f>MAX(0,F688-E688)</f>
        <v/>
      </c>
      <c r="K688">
        <f>IF(I688-J688&gt;1E-9,I688-J688,0)</f>
        <v/>
      </c>
      <c r="L688">
        <f>K687*$G$52</f>
        <v/>
      </c>
      <c r="M688">
        <f>IF(O687&gt;0,MAX(0,O687*(1+$G$53)-$H$53),0)</f>
        <v/>
      </c>
      <c r="N688">
        <f>MAX(0,J688-I688)</f>
        <v/>
      </c>
      <c r="O688">
        <f>IF(M688-N688&gt;1E-9,M688-N688,0)</f>
        <v/>
      </c>
      <c r="P688">
        <f>O687*$G$53</f>
        <v/>
      </c>
      <c r="Q688">
        <f>IF(S687&gt;0,MAX(0,S687*(1+$G$54)-$H$54),0)</f>
        <v/>
      </c>
      <c r="R688">
        <f>MAX(0,N688-M688)</f>
        <v/>
      </c>
      <c r="S688">
        <f>IF(Q688-R688&gt;1E-9,Q688-R688,0)</f>
        <v/>
      </c>
      <c r="T688">
        <f>S687*$G$54</f>
        <v/>
      </c>
      <c r="U688">
        <f>IF(W687&gt;0,MAX(0,W687*(1+$G$55)-$H$55),0)</f>
        <v/>
      </c>
      <c r="V688">
        <f>MAX(0,R688-Q688)</f>
        <v/>
      </c>
      <c r="W688">
        <f>IF(U688-V688&gt;1E-9,U688-V688,0)</f>
        <v/>
      </c>
      <c r="X688">
        <f>W687*$G$55</f>
        <v/>
      </c>
      <c r="Y688">
        <f>IF(Y687&gt;1E-9,IF(Y687*(1+$G$51)-MAX($B$9,0.01*Y687+Y687*$G$51)&gt;1E-9,Y687*(1+$G$51)-MAX($B$9,0.01*Y687+Y687*$G$51),0),0)</f>
        <v/>
      </c>
      <c r="Z688">
        <f>Y687*$G$51</f>
        <v/>
      </c>
      <c r="AA688">
        <f>IF(AA687&gt;1E-9,IF(AA687*(1+$G$52)-MAX($B$9,0.01*AA687+AA687*$G$52)&gt;1E-9,AA687*(1+$G$52)-MAX($B$9,0.01*AA687+AA687*$G$52),0),0)</f>
        <v/>
      </c>
      <c r="AB688">
        <f>AA687*$G$52</f>
        <v/>
      </c>
      <c r="AC688">
        <f>IF(AC687&gt;1E-9,IF(AC687*(1+$G$53)-MAX($B$9,0.01*AC687+AC687*$G$53)&gt;1E-9,AC687*(1+$G$53)-MAX($B$9,0.01*AC687+AC687*$G$53),0),0)</f>
        <v/>
      </c>
      <c r="AD688">
        <f>AC687*$G$53</f>
        <v/>
      </c>
      <c r="AE688">
        <f>IF(AE687&gt;1E-9,IF(AE687*(1+$G$54)-MAX($B$9,0.01*AE687+AE687*$G$54)&gt;1E-9,AE687*(1+$G$54)-MAX($B$9,0.01*AE687+AE687*$G$54),0),0)</f>
        <v/>
      </c>
      <c r="AF688">
        <f>AE687*$G$54</f>
        <v/>
      </c>
      <c r="AG688">
        <f>IF(AG687&gt;1E-9,IF(AG687*(1+$G$55)-MAX($B$9,0.01*AG687+AG687*$G$55)&gt;1E-9,AG687*(1+$G$55)-MAX($B$9,0.01*AG687+AG687*$G$55),0),0)</f>
        <v/>
      </c>
      <c r="AH688">
        <f>AG687*$G$55</f>
        <v/>
      </c>
      <c r="AI688">
        <f>G688+K688+O688+S688+W688</f>
        <v/>
      </c>
      <c r="AJ688">
        <f>AI687+AK688-AI688</f>
        <v/>
      </c>
      <c r="AK688">
        <f>H688+L688+P688+T688+X688</f>
        <v/>
      </c>
      <c r="AL688">
        <f>TEXT(EDATE($B$5,D688-1),"mmm yyyy")</f>
        <v/>
      </c>
      <c r="AM688">
        <f>AI688</f>
        <v/>
      </c>
    </row>
    <row r="689">
      <c r="D689" t="n">
        <v>628</v>
      </c>
      <c r="E689">
        <f>IF(G688&gt;0,MAX(0,G688*(1+$G$51)-$H$51),0)</f>
        <v/>
      </c>
      <c r="F689">
        <f>$B$6+IF($D689=$B$8,$B$7,0)</f>
        <v/>
      </c>
      <c r="G689">
        <f>IF(E689-F689&gt;1E-9,E689-F689,0)</f>
        <v/>
      </c>
      <c r="H689">
        <f>G688*$G$51</f>
        <v/>
      </c>
      <c r="I689">
        <f>IF(K688&gt;0,MAX(0,K688*(1+$G$52)-$H$52),0)</f>
        <v/>
      </c>
      <c r="J689">
        <f>MAX(0,F689-E689)</f>
        <v/>
      </c>
      <c r="K689">
        <f>IF(I689-J689&gt;1E-9,I689-J689,0)</f>
        <v/>
      </c>
      <c r="L689">
        <f>K688*$G$52</f>
        <v/>
      </c>
      <c r="M689">
        <f>IF(O688&gt;0,MAX(0,O688*(1+$G$53)-$H$53),0)</f>
        <v/>
      </c>
      <c r="N689">
        <f>MAX(0,J689-I689)</f>
        <v/>
      </c>
      <c r="O689">
        <f>IF(M689-N689&gt;1E-9,M689-N689,0)</f>
        <v/>
      </c>
      <c r="P689">
        <f>O688*$G$53</f>
        <v/>
      </c>
      <c r="Q689">
        <f>IF(S688&gt;0,MAX(0,S688*(1+$G$54)-$H$54),0)</f>
        <v/>
      </c>
      <c r="R689">
        <f>MAX(0,N689-M689)</f>
        <v/>
      </c>
      <c r="S689">
        <f>IF(Q689-R689&gt;1E-9,Q689-R689,0)</f>
        <v/>
      </c>
      <c r="T689">
        <f>S688*$G$54</f>
        <v/>
      </c>
      <c r="U689">
        <f>IF(W688&gt;0,MAX(0,W688*(1+$G$55)-$H$55),0)</f>
        <v/>
      </c>
      <c r="V689">
        <f>MAX(0,R689-Q689)</f>
        <v/>
      </c>
      <c r="W689">
        <f>IF(U689-V689&gt;1E-9,U689-V689,0)</f>
        <v/>
      </c>
      <c r="X689">
        <f>W688*$G$55</f>
        <v/>
      </c>
      <c r="Y689">
        <f>IF(Y688&gt;1E-9,IF(Y688*(1+$G$51)-MAX($B$9,0.01*Y688+Y688*$G$51)&gt;1E-9,Y688*(1+$G$51)-MAX($B$9,0.01*Y688+Y688*$G$51),0),0)</f>
        <v/>
      </c>
      <c r="Z689">
        <f>Y688*$G$51</f>
        <v/>
      </c>
      <c r="AA689">
        <f>IF(AA688&gt;1E-9,IF(AA688*(1+$G$52)-MAX($B$9,0.01*AA688+AA688*$G$52)&gt;1E-9,AA688*(1+$G$52)-MAX($B$9,0.01*AA688+AA688*$G$52),0),0)</f>
        <v/>
      </c>
      <c r="AB689">
        <f>AA688*$G$52</f>
        <v/>
      </c>
      <c r="AC689">
        <f>IF(AC688&gt;1E-9,IF(AC688*(1+$G$53)-MAX($B$9,0.01*AC688+AC688*$G$53)&gt;1E-9,AC688*(1+$G$53)-MAX($B$9,0.01*AC688+AC688*$G$53),0),0)</f>
        <v/>
      </c>
      <c r="AD689">
        <f>AC688*$G$53</f>
        <v/>
      </c>
      <c r="AE689">
        <f>IF(AE688&gt;1E-9,IF(AE688*(1+$G$54)-MAX($B$9,0.01*AE688+AE688*$G$54)&gt;1E-9,AE688*(1+$G$54)-MAX($B$9,0.01*AE688+AE688*$G$54),0),0)</f>
        <v/>
      </c>
      <c r="AF689">
        <f>AE688*$G$54</f>
        <v/>
      </c>
      <c r="AG689">
        <f>IF(AG688&gt;1E-9,IF(AG688*(1+$G$55)-MAX($B$9,0.01*AG688+AG688*$G$55)&gt;1E-9,AG688*(1+$G$55)-MAX($B$9,0.01*AG688+AG688*$G$55),0),0)</f>
        <v/>
      </c>
      <c r="AH689">
        <f>AG688*$G$55</f>
        <v/>
      </c>
      <c r="AI689">
        <f>G689+K689+O689+S689+W689</f>
        <v/>
      </c>
      <c r="AJ689">
        <f>AI688+AK689-AI689</f>
        <v/>
      </c>
      <c r="AK689">
        <f>H689+L689+P689+T689+X689</f>
        <v/>
      </c>
      <c r="AL689">
        <f>TEXT(EDATE($B$5,D689-1),"mmm yyyy")</f>
        <v/>
      </c>
      <c r="AM689">
        <f>AI689</f>
        <v/>
      </c>
    </row>
    <row r="690">
      <c r="D690" t="n">
        <v>629</v>
      </c>
      <c r="E690">
        <f>IF(G689&gt;0,MAX(0,G689*(1+$G$51)-$H$51),0)</f>
        <v/>
      </c>
      <c r="F690">
        <f>$B$6+IF($D690=$B$8,$B$7,0)</f>
        <v/>
      </c>
      <c r="G690">
        <f>IF(E690-F690&gt;1E-9,E690-F690,0)</f>
        <v/>
      </c>
      <c r="H690">
        <f>G689*$G$51</f>
        <v/>
      </c>
      <c r="I690">
        <f>IF(K689&gt;0,MAX(0,K689*(1+$G$52)-$H$52),0)</f>
        <v/>
      </c>
      <c r="J690">
        <f>MAX(0,F690-E690)</f>
        <v/>
      </c>
      <c r="K690">
        <f>IF(I690-J690&gt;1E-9,I690-J690,0)</f>
        <v/>
      </c>
      <c r="L690">
        <f>K689*$G$52</f>
        <v/>
      </c>
      <c r="M690">
        <f>IF(O689&gt;0,MAX(0,O689*(1+$G$53)-$H$53),0)</f>
        <v/>
      </c>
      <c r="N690">
        <f>MAX(0,J690-I690)</f>
        <v/>
      </c>
      <c r="O690">
        <f>IF(M690-N690&gt;1E-9,M690-N690,0)</f>
        <v/>
      </c>
      <c r="P690">
        <f>O689*$G$53</f>
        <v/>
      </c>
      <c r="Q690">
        <f>IF(S689&gt;0,MAX(0,S689*(1+$G$54)-$H$54),0)</f>
        <v/>
      </c>
      <c r="R690">
        <f>MAX(0,N690-M690)</f>
        <v/>
      </c>
      <c r="S690">
        <f>IF(Q690-R690&gt;1E-9,Q690-R690,0)</f>
        <v/>
      </c>
      <c r="T690">
        <f>S689*$G$54</f>
        <v/>
      </c>
      <c r="U690">
        <f>IF(W689&gt;0,MAX(0,W689*(1+$G$55)-$H$55),0)</f>
        <v/>
      </c>
      <c r="V690">
        <f>MAX(0,R690-Q690)</f>
        <v/>
      </c>
      <c r="W690">
        <f>IF(U690-V690&gt;1E-9,U690-V690,0)</f>
        <v/>
      </c>
      <c r="X690">
        <f>W689*$G$55</f>
        <v/>
      </c>
      <c r="Y690">
        <f>IF(Y689&gt;1E-9,IF(Y689*(1+$G$51)-MAX($B$9,0.01*Y689+Y689*$G$51)&gt;1E-9,Y689*(1+$G$51)-MAX($B$9,0.01*Y689+Y689*$G$51),0),0)</f>
        <v/>
      </c>
      <c r="Z690">
        <f>Y689*$G$51</f>
        <v/>
      </c>
      <c r="AA690">
        <f>IF(AA689&gt;1E-9,IF(AA689*(1+$G$52)-MAX($B$9,0.01*AA689+AA689*$G$52)&gt;1E-9,AA689*(1+$G$52)-MAX($B$9,0.01*AA689+AA689*$G$52),0),0)</f>
        <v/>
      </c>
      <c r="AB690">
        <f>AA689*$G$52</f>
        <v/>
      </c>
      <c r="AC690">
        <f>IF(AC689&gt;1E-9,IF(AC689*(1+$G$53)-MAX($B$9,0.01*AC689+AC689*$G$53)&gt;1E-9,AC689*(1+$G$53)-MAX($B$9,0.01*AC689+AC689*$G$53),0),0)</f>
        <v/>
      </c>
      <c r="AD690">
        <f>AC689*$G$53</f>
        <v/>
      </c>
      <c r="AE690">
        <f>IF(AE689&gt;1E-9,IF(AE689*(1+$G$54)-MAX($B$9,0.01*AE689+AE689*$G$54)&gt;1E-9,AE689*(1+$G$54)-MAX($B$9,0.01*AE689+AE689*$G$54),0),0)</f>
        <v/>
      </c>
      <c r="AF690">
        <f>AE689*$G$54</f>
        <v/>
      </c>
      <c r="AG690">
        <f>IF(AG689&gt;1E-9,IF(AG689*(1+$G$55)-MAX($B$9,0.01*AG689+AG689*$G$55)&gt;1E-9,AG689*(1+$G$55)-MAX($B$9,0.01*AG689+AG689*$G$55),0),0)</f>
        <v/>
      </c>
      <c r="AH690">
        <f>AG689*$G$55</f>
        <v/>
      </c>
      <c r="AI690">
        <f>G690+K690+O690+S690+W690</f>
        <v/>
      </c>
      <c r="AJ690">
        <f>AI689+AK690-AI690</f>
        <v/>
      </c>
      <c r="AK690">
        <f>H690+L690+P690+T690+X690</f>
        <v/>
      </c>
      <c r="AL690">
        <f>TEXT(EDATE($B$5,D690-1),"mmm yyyy")</f>
        <v/>
      </c>
      <c r="AM690">
        <f>AI690</f>
        <v/>
      </c>
    </row>
    <row r="691">
      <c r="D691" t="n">
        <v>630</v>
      </c>
      <c r="E691">
        <f>IF(G690&gt;0,MAX(0,G690*(1+$G$51)-$H$51),0)</f>
        <v/>
      </c>
      <c r="F691">
        <f>$B$6+IF($D691=$B$8,$B$7,0)</f>
        <v/>
      </c>
      <c r="G691">
        <f>IF(E691-F691&gt;1E-9,E691-F691,0)</f>
        <v/>
      </c>
      <c r="H691">
        <f>G690*$G$51</f>
        <v/>
      </c>
      <c r="I691">
        <f>IF(K690&gt;0,MAX(0,K690*(1+$G$52)-$H$52),0)</f>
        <v/>
      </c>
      <c r="J691">
        <f>MAX(0,F691-E691)</f>
        <v/>
      </c>
      <c r="K691">
        <f>IF(I691-J691&gt;1E-9,I691-J691,0)</f>
        <v/>
      </c>
      <c r="L691">
        <f>K690*$G$52</f>
        <v/>
      </c>
      <c r="M691">
        <f>IF(O690&gt;0,MAX(0,O690*(1+$G$53)-$H$53),0)</f>
        <v/>
      </c>
      <c r="N691">
        <f>MAX(0,J691-I691)</f>
        <v/>
      </c>
      <c r="O691">
        <f>IF(M691-N691&gt;1E-9,M691-N691,0)</f>
        <v/>
      </c>
      <c r="P691">
        <f>O690*$G$53</f>
        <v/>
      </c>
      <c r="Q691">
        <f>IF(S690&gt;0,MAX(0,S690*(1+$G$54)-$H$54),0)</f>
        <v/>
      </c>
      <c r="R691">
        <f>MAX(0,N691-M691)</f>
        <v/>
      </c>
      <c r="S691">
        <f>IF(Q691-R691&gt;1E-9,Q691-R691,0)</f>
        <v/>
      </c>
      <c r="T691">
        <f>S690*$G$54</f>
        <v/>
      </c>
      <c r="U691">
        <f>IF(W690&gt;0,MAX(0,W690*(1+$G$55)-$H$55),0)</f>
        <v/>
      </c>
      <c r="V691">
        <f>MAX(0,R691-Q691)</f>
        <v/>
      </c>
      <c r="W691">
        <f>IF(U691-V691&gt;1E-9,U691-V691,0)</f>
        <v/>
      </c>
      <c r="X691">
        <f>W690*$G$55</f>
        <v/>
      </c>
      <c r="Y691">
        <f>IF(Y690&gt;1E-9,IF(Y690*(1+$G$51)-MAX($B$9,0.01*Y690+Y690*$G$51)&gt;1E-9,Y690*(1+$G$51)-MAX($B$9,0.01*Y690+Y690*$G$51),0),0)</f>
        <v/>
      </c>
      <c r="Z691">
        <f>Y690*$G$51</f>
        <v/>
      </c>
      <c r="AA691">
        <f>IF(AA690&gt;1E-9,IF(AA690*(1+$G$52)-MAX($B$9,0.01*AA690+AA690*$G$52)&gt;1E-9,AA690*(1+$G$52)-MAX($B$9,0.01*AA690+AA690*$G$52),0),0)</f>
        <v/>
      </c>
      <c r="AB691">
        <f>AA690*$G$52</f>
        <v/>
      </c>
      <c r="AC691">
        <f>IF(AC690&gt;1E-9,IF(AC690*(1+$G$53)-MAX($B$9,0.01*AC690+AC690*$G$53)&gt;1E-9,AC690*(1+$G$53)-MAX($B$9,0.01*AC690+AC690*$G$53),0),0)</f>
        <v/>
      </c>
      <c r="AD691">
        <f>AC690*$G$53</f>
        <v/>
      </c>
      <c r="AE691">
        <f>IF(AE690&gt;1E-9,IF(AE690*(1+$G$54)-MAX($B$9,0.01*AE690+AE690*$G$54)&gt;1E-9,AE690*(1+$G$54)-MAX($B$9,0.01*AE690+AE690*$G$54),0),0)</f>
        <v/>
      </c>
      <c r="AF691">
        <f>AE690*$G$54</f>
        <v/>
      </c>
      <c r="AG691">
        <f>IF(AG690&gt;1E-9,IF(AG690*(1+$G$55)-MAX($B$9,0.01*AG690+AG690*$G$55)&gt;1E-9,AG690*(1+$G$55)-MAX($B$9,0.01*AG690+AG690*$G$55),0),0)</f>
        <v/>
      </c>
      <c r="AH691">
        <f>AG690*$G$55</f>
        <v/>
      </c>
      <c r="AI691">
        <f>G691+K691+O691+S691+W691</f>
        <v/>
      </c>
      <c r="AJ691">
        <f>AI690+AK691-AI691</f>
        <v/>
      </c>
      <c r="AK691">
        <f>H691+L691+P691+T691+X691</f>
        <v/>
      </c>
      <c r="AL691">
        <f>TEXT(EDATE($B$5,D691-1),"mmm yyyy")</f>
        <v/>
      </c>
      <c r="AM691">
        <f>AI691</f>
        <v/>
      </c>
    </row>
    <row r="692">
      <c r="D692" t="n">
        <v>631</v>
      </c>
      <c r="E692">
        <f>IF(G691&gt;0,MAX(0,G691*(1+$G$51)-$H$51),0)</f>
        <v/>
      </c>
      <c r="F692">
        <f>$B$6+IF($D692=$B$8,$B$7,0)</f>
        <v/>
      </c>
      <c r="G692">
        <f>IF(E692-F692&gt;1E-9,E692-F692,0)</f>
        <v/>
      </c>
      <c r="H692">
        <f>G691*$G$51</f>
        <v/>
      </c>
      <c r="I692">
        <f>IF(K691&gt;0,MAX(0,K691*(1+$G$52)-$H$52),0)</f>
        <v/>
      </c>
      <c r="J692">
        <f>MAX(0,F692-E692)</f>
        <v/>
      </c>
      <c r="K692">
        <f>IF(I692-J692&gt;1E-9,I692-J692,0)</f>
        <v/>
      </c>
      <c r="L692">
        <f>K691*$G$52</f>
        <v/>
      </c>
      <c r="M692">
        <f>IF(O691&gt;0,MAX(0,O691*(1+$G$53)-$H$53),0)</f>
        <v/>
      </c>
      <c r="N692">
        <f>MAX(0,J692-I692)</f>
        <v/>
      </c>
      <c r="O692">
        <f>IF(M692-N692&gt;1E-9,M692-N692,0)</f>
        <v/>
      </c>
      <c r="P692">
        <f>O691*$G$53</f>
        <v/>
      </c>
      <c r="Q692">
        <f>IF(S691&gt;0,MAX(0,S691*(1+$G$54)-$H$54),0)</f>
        <v/>
      </c>
      <c r="R692">
        <f>MAX(0,N692-M692)</f>
        <v/>
      </c>
      <c r="S692">
        <f>IF(Q692-R692&gt;1E-9,Q692-R692,0)</f>
        <v/>
      </c>
      <c r="T692">
        <f>S691*$G$54</f>
        <v/>
      </c>
      <c r="U692">
        <f>IF(W691&gt;0,MAX(0,W691*(1+$G$55)-$H$55),0)</f>
        <v/>
      </c>
      <c r="V692">
        <f>MAX(0,R692-Q692)</f>
        <v/>
      </c>
      <c r="W692">
        <f>IF(U692-V692&gt;1E-9,U692-V692,0)</f>
        <v/>
      </c>
      <c r="X692">
        <f>W691*$G$55</f>
        <v/>
      </c>
      <c r="Y692">
        <f>IF(Y691&gt;1E-9,IF(Y691*(1+$G$51)-MAX($B$9,0.01*Y691+Y691*$G$51)&gt;1E-9,Y691*(1+$G$51)-MAX($B$9,0.01*Y691+Y691*$G$51),0),0)</f>
        <v/>
      </c>
      <c r="Z692">
        <f>Y691*$G$51</f>
        <v/>
      </c>
      <c r="AA692">
        <f>IF(AA691&gt;1E-9,IF(AA691*(1+$G$52)-MAX($B$9,0.01*AA691+AA691*$G$52)&gt;1E-9,AA691*(1+$G$52)-MAX($B$9,0.01*AA691+AA691*$G$52),0),0)</f>
        <v/>
      </c>
      <c r="AB692">
        <f>AA691*$G$52</f>
        <v/>
      </c>
      <c r="AC692">
        <f>IF(AC691&gt;1E-9,IF(AC691*(1+$G$53)-MAX($B$9,0.01*AC691+AC691*$G$53)&gt;1E-9,AC691*(1+$G$53)-MAX($B$9,0.01*AC691+AC691*$G$53),0),0)</f>
        <v/>
      </c>
      <c r="AD692">
        <f>AC691*$G$53</f>
        <v/>
      </c>
      <c r="AE692">
        <f>IF(AE691&gt;1E-9,IF(AE691*(1+$G$54)-MAX($B$9,0.01*AE691+AE691*$G$54)&gt;1E-9,AE691*(1+$G$54)-MAX($B$9,0.01*AE691+AE691*$G$54),0),0)</f>
        <v/>
      </c>
      <c r="AF692">
        <f>AE691*$G$54</f>
        <v/>
      </c>
      <c r="AG692">
        <f>IF(AG691&gt;1E-9,IF(AG691*(1+$G$55)-MAX($B$9,0.01*AG691+AG691*$G$55)&gt;1E-9,AG691*(1+$G$55)-MAX($B$9,0.01*AG691+AG691*$G$55),0),0)</f>
        <v/>
      </c>
      <c r="AH692">
        <f>AG691*$G$55</f>
        <v/>
      </c>
      <c r="AI692">
        <f>G692+K692+O692+S692+W692</f>
        <v/>
      </c>
      <c r="AJ692">
        <f>AI691+AK692-AI692</f>
        <v/>
      </c>
      <c r="AK692">
        <f>H692+L692+P692+T692+X692</f>
        <v/>
      </c>
      <c r="AL692">
        <f>TEXT(EDATE($B$5,D692-1),"mmm yyyy")</f>
        <v/>
      </c>
      <c r="AM692">
        <f>AI692</f>
        <v/>
      </c>
    </row>
    <row r="693">
      <c r="D693" t="n">
        <v>632</v>
      </c>
      <c r="E693">
        <f>IF(G692&gt;0,MAX(0,G692*(1+$G$51)-$H$51),0)</f>
        <v/>
      </c>
      <c r="F693">
        <f>$B$6+IF($D693=$B$8,$B$7,0)</f>
        <v/>
      </c>
      <c r="G693">
        <f>IF(E693-F693&gt;1E-9,E693-F693,0)</f>
        <v/>
      </c>
      <c r="H693">
        <f>G692*$G$51</f>
        <v/>
      </c>
      <c r="I693">
        <f>IF(K692&gt;0,MAX(0,K692*(1+$G$52)-$H$52),0)</f>
        <v/>
      </c>
      <c r="J693">
        <f>MAX(0,F693-E693)</f>
        <v/>
      </c>
      <c r="K693">
        <f>IF(I693-J693&gt;1E-9,I693-J693,0)</f>
        <v/>
      </c>
      <c r="L693">
        <f>K692*$G$52</f>
        <v/>
      </c>
      <c r="M693">
        <f>IF(O692&gt;0,MAX(0,O692*(1+$G$53)-$H$53),0)</f>
        <v/>
      </c>
      <c r="N693">
        <f>MAX(0,J693-I693)</f>
        <v/>
      </c>
      <c r="O693">
        <f>IF(M693-N693&gt;1E-9,M693-N693,0)</f>
        <v/>
      </c>
      <c r="P693">
        <f>O692*$G$53</f>
        <v/>
      </c>
      <c r="Q693">
        <f>IF(S692&gt;0,MAX(0,S692*(1+$G$54)-$H$54),0)</f>
        <v/>
      </c>
      <c r="R693">
        <f>MAX(0,N693-M693)</f>
        <v/>
      </c>
      <c r="S693">
        <f>IF(Q693-R693&gt;1E-9,Q693-R693,0)</f>
        <v/>
      </c>
      <c r="T693">
        <f>S692*$G$54</f>
        <v/>
      </c>
      <c r="U693">
        <f>IF(W692&gt;0,MAX(0,W692*(1+$G$55)-$H$55),0)</f>
        <v/>
      </c>
      <c r="V693">
        <f>MAX(0,R693-Q693)</f>
        <v/>
      </c>
      <c r="W693">
        <f>IF(U693-V693&gt;1E-9,U693-V693,0)</f>
        <v/>
      </c>
      <c r="X693">
        <f>W692*$G$55</f>
        <v/>
      </c>
      <c r="Y693">
        <f>IF(Y692&gt;1E-9,IF(Y692*(1+$G$51)-MAX($B$9,0.01*Y692+Y692*$G$51)&gt;1E-9,Y692*(1+$G$51)-MAX($B$9,0.01*Y692+Y692*$G$51),0),0)</f>
        <v/>
      </c>
      <c r="Z693">
        <f>Y692*$G$51</f>
        <v/>
      </c>
      <c r="AA693">
        <f>IF(AA692&gt;1E-9,IF(AA692*(1+$G$52)-MAX($B$9,0.01*AA692+AA692*$G$52)&gt;1E-9,AA692*(1+$G$52)-MAX($B$9,0.01*AA692+AA692*$G$52),0),0)</f>
        <v/>
      </c>
      <c r="AB693">
        <f>AA692*$G$52</f>
        <v/>
      </c>
      <c r="AC693">
        <f>IF(AC692&gt;1E-9,IF(AC692*(1+$G$53)-MAX($B$9,0.01*AC692+AC692*$G$53)&gt;1E-9,AC692*(1+$G$53)-MAX($B$9,0.01*AC692+AC692*$G$53),0),0)</f>
        <v/>
      </c>
      <c r="AD693">
        <f>AC692*$G$53</f>
        <v/>
      </c>
      <c r="AE693">
        <f>IF(AE692&gt;1E-9,IF(AE692*(1+$G$54)-MAX($B$9,0.01*AE692+AE692*$G$54)&gt;1E-9,AE692*(1+$G$54)-MAX($B$9,0.01*AE692+AE692*$G$54),0),0)</f>
        <v/>
      </c>
      <c r="AF693">
        <f>AE692*$G$54</f>
        <v/>
      </c>
      <c r="AG693">
        <f>IF(AG692&gt;1E-9,IF(AG692*(1+$G$55)-MAX($B$9,0.01*AG692+AG692*$G$55)&gt;1E-9,AG692*(1+$G$55)-MAX($B$9,0.01*AG692+AG692*$G$55),0),0)</f>
        <v/>
      </c>
      <c r="AH693">
        <f>AG692*$G$55</f>
        <v/>
      </c>
      <c r="AI693">
        <f>G693+K693+O693+S693+W693</f>
        <v/>
      </c>
      <c r="AJ693">
        <f>AI692+AK693-AI693</f>
        <v/>
      </c>
      <c r="AK693">
        <f>H693+L693+P693+T693+X693</f>
        <v/>
      </c>
      <c r="AL693">
        <f>TEXT(EDATE($B$5,D693-1),"mmm yyyy")</f>
        <v/>
      </c>
      <c r="AM693">
        <f>AI693</f>
        <v/>
      </c>
    </row>
    <row r="694">
      <c r="D694" t="n">
        <v>633</v>
      </c>
      <c r="E694">
        <f>IF(G693&gt;0,MAX(0,G693*(1+$G$51)-$H$51),0)</f>
        <v/>
      </c>
      <c r="F694">
        <f>$B$6+IF($D694=$B$8,$B$7,0)</f>
        <v/>
      </c>
      <c r="G694">
        <f>IF(E694-F694&gt;1E-9,E694-F694,0)</f>
        <v/>
      </c>
      <c r="H694">
        <f>G693*$G$51</f>
        <v/>
      </c>
      <c r="I694">
        <f>IF(K693&gt;0,MAX(0,K693*(1+$G$52)-$H$52),0)</f>
        <v/>
      </c>
      <c r="J694">
        <f>MAX(0,F694-E694)</f>
        <v/>
      </c>
      <c r="K694">
        <f>IF(I694-J694&gt;1E-9,I694-J694,0)</f>
        <v/>
      </c>
      <c r="L694">
        <f>K693*$G$52</f>
        <v/>
      </c>
      <c r="M694">
        <f>IF(O693&gt;0,MAX(0,O693*(1+$G$53)-$H$53),0)</f>
        <v/>
      </c>
      <c r="N694">
        <f>MAX(0,J694-I694)</f>
        <v/>
      </c>
      <c r="O694">
        <f>IF(M694-N694&gt;1E-9,M694-N694,0)</f>
        <v/>
      </c>
      <c r="P694">
        <f>O693*$G$53</f>
        <v/>
      </c>
      <c r="Q694">
        <f>IF(S693&gt;0,MAX(0,S693*(1+$G$54)-$H$54),0)</f>
        <v/>
      </c>
      <c r="R694">
        <f>MAX(0,N694-M694)</f>
        <v/>
      </c>
      <c r="S694">
        <f>IF(Q694-R694&gt;1E-9,Q694-R694,0)</f>
        <v/>
      </c>
      <c r="T694">
        <f>S693*$G$54</f>
        <v/>
      </c>
      <c r="U694">
        <f>IF(W693&gt;0,MAX(0,W693*(1+$G$55)-$H$55),0)</f>
        <v/>
      </c>
      <c r="V694">
        <f>MAX(0,R694-Q694)</f>
        <v/>
      </c>
      <c r="W694">
        <f>IF(U694-V694&gt;1E-9,U694-V694,0)</f>
        <v/>
      </c>
      <c r="X694">
        <f>W693*$G$55</f>
        <v/>
      </c>
      <c r="Y694">
        <f>IF(Y693&gt;1E-9,IF(Y693*(1+$G$51)-MAX($B$9,0.01*Y693+Y693*$G$51)&gt;1E-9,Y693*(1+$G$51)-MAX($B$9,0.01*Y693+Y693*$G$51),0),0)</f>
        <v/>
      </c>
      <c r="Z694">
        <f>Y693*$G$51</f>
        <v/>
      </c>
      <c r="AA694">
        <f>IF(AA693&gt;1E-9,IF(AA693*(1+$G$52)-MAX($B$9,0.01*AA693+AA693*$G$52)&gt;1E-9,AA693*(1+$G$52)-MAX($B$9,0.01*AA693+AA693*$G$52),0),0)</f>
        <v/>
      </c>
      <c r="AB694">
        <f>AA693*$G$52</f>
        <v/>
      </c>
      <c r="AC694">
        <f>IF(AC693&gt;1E-9,IF(AC693*(1+$G$53)-MAX($B$9,0.01*AC693+AC693*$G$53)&gt;1E-9,AC693*(1+$G$53)-MAX($B$9,0.01*AC693+AC693*$G$53),0),0)</f>
        <v/>
      </c>
      <c r="AD694">
        <f>AC693*$G$53</f>
        <v/>
      </c>
      <c r="AE694">
        <f>IF(AE693&gt;1E-9,IF(AE693*(1+$G$54)-MAX($B$9,0.01*AE693+AE693*$G$54)&gt;1E-9,AE693*(1+$G$54)-MAX($B$9,0.01*AE693+AE693*$G$54),0),0)</f>
        <v/>
      </c>
      <c r="AF694">
        <f>AE693*$G$54</f>
        <v/>
      </c>
      <c r="AG694">
        <f>IF(AG693&gt;1E-9,IF(AG693*(1+$G$55)-MAX($B$9,0.01*AG693+AG693*$G$55)&gt;1E-9,AG693*(1+$G$55)-MAX($B$9,0.01*AG693+AG693*$G$55),0),0)</f>
        <v/>
      </c>
      <c r="AH694">
        <f>AG693*$G$55</f>
        <v/>
      </c>
      <c r="AI694">
        <f>G694+K694+O694+S694+W694</f>
        <v/>
      </c>
      <c r="AJ694">
        <f>AI693+AK694-AI694</f>
        <v/>
      </c>
      <c r="AK694">
        <f>H694+L694+P694+T694+X694</f>
        <v/>
      </c>
      <c r="AL694">
        <f>TEXT(EDATE($B$5,D694-1),"mmm yyyy")</f>
        <v/>
      </c>
      <c r="AM694">
        <f>AI694</f>
        <v/>
      </c>
    </row>
    <row r="695">
      <c r="D695" t="n">
        <v>634</v>
      </c>
      <c r="E695">
        <f>IF(G694&gt;0,MAX(0,G694*(1+$G$51)-$H$51),0)</f>
        <v/>
      </c>
      <c r="F695">
        <f>$B$6+IF($D695=$B$8,$B$7,0)</f>
        <v/>
      </c>
      <c r="G695">
        <f>IF(E695-F695&gt;1E-9,E695-F695,0)</f>
        <v/>
      </c>
      <c r="H695">
        <f>G694*$G$51</f>
        <v/>
      </c>
      <c r="I695">
        <f>IF(K694&gt;0,MAX(0,K694*(1+$G$52)-$H$52),0)</f>
        <v/>
      </c>
      <c r="J695">
        <f>MAX(0,F695-E695)</f>
        <v/>
      </c>
      <c r="K695">
        <f>IF(I695-J695&gt;1E-9,I695-J695,0)</f>
        <v/>
      </c>
      <c r="L695">
        <f>K694*$G$52</f>
        <v/>
      </c>
      <c r="M695">
        <f>IF(O694&gt;0,MAX(0,O694*(1+$G$53)-$H$53),0)</f>
        <v/>
      </c>
      <c r="N695">
        <f>MAX(0,J695-I695)</f>
        <v/>
      </c>
      <c r="O695">
        <f>IF(M695-N695&gt;1E-9,M695-N695,0)</f>
        <v/>
      </c>
      <c r="P695">
        <f>O694*$G$53</f>
        <v/>
      </c>
      <c r="Q695">
        <f>IF(S694&gt;0,MAX(0,S694*(1+$G$54)-$H$54),0)</f>
        <v/>
      </c>
      <c r="R695">
        <f>MAX(0,N695-M695)</f>
        <v/>
      </c>
      <c r="S695">
        <f>IF(Q695-R695&gt;1E-9,Q695-R695,0)</f>
        <v/>
      </c>
      <c r="T695">
        <f>S694*$G$54</f>
        <v/>
      </c>
      <c r="U695">
        <f>IF(W694&gt;0,MAX(0,W694*(1+$G$55)-$H$55),0)</f>
        <v/>
      </c>
      <c r="V695">
        <f>MAX(0,R695-Q695)</f>
        <v/>
      </c>
      <c r="W695">
        <f>IF(U695-V695&gt;1E-9,U695-V695,0)</f>
        <v/>
      </c>
      <c r="X695">
        <f>W694*$G$55</f>
        <v/>
      </c>
      <c r="Y695">
        <f>IF(Y694&gt;1E-9,IF(Y694*(1+$G$51)-MAX($B$9,0.01*Y694+Y694*$G$51)&gt;1E-9,Y694*(1+$G$51)-MAX($B$9,0.01*Y694+Y694*$G$51),0),0)</f>
        <v/>
      </c>
      <c r="Z695">
        <f>Y694*$G$51</f>
        <v/>
      </c>
      <c r="AA695">
        <f>IF(AA694&gt;1E-9,IF(AA694*(1+$G$52)-MAX($B$9,0.01*AA694+AA694*$G$52)&gt;1E-9,AA694*(1+$G$52)-MAX($B$9,0.01*AA694+AA694*$G$52),0),0)</f>
        <v/>
      </c>
      <c r="AB695">
        <f>AA694*$G$52</f>
        <v/>
      </c>
      <c r="AC695">
        <f>IF(AC694&gt;1E-9,IF(AC694*(1+$G$53)-MAX($B$9,0.01*AC694+AC694*$G$53)&gt;1E-9,AC694*(1+$G$53)-MAX($B$9,0.01*AC694+AC694*$G$53),0),0)</f>
        <v/>
      </c>
      <c r="AD695">
        <f>AC694*$G$53</f>
        <v/>
      </c>
      <c r="AE695">
        <f>IF(AE694&gt;1E-9,IF(AE694*(1+$G$54)-MAX($B$9,0.01*AE694+AE694*$G$54)&gt;1E-9,AE694*(1+$G$54)-MAX($B$9,0.01*AE694+AE694*$G$54),0),0)</f>
        <v/>
      </c>
      <c r="AF695">
        <f>AE694*$G$54</f>
        <v/>
      </c>
      <c r="AG695">
        <f>IF(AG694&gt;1E-9,IF(AG694*(1+$G$55)-MAX($B$9,0.01*AG694+AG694*$G$55)&gt;1E-9,AG694*(1+$G$55)-MAX($B$9,0.01*AG694+AG694*$G$55),0),0)</f>
        <v/>
      </c>
      <c r="AH695">
        <f>AG694*$G$55</f>
        <v/>
      </c>
      <c r="AI695">
        <f>G695+K695+O695+S695+W695</f>
        <v/>
      </c>
      <c r="AJ695">
        <f>AI694+AK695-AI695</f>
        <v/>
      </c>
      <c r="AK695">
        <f>H695+L695+P695+T695+X695</f>
        <v/>
      </c>
      <c r="AL695">
        <f>TEXT(EDATE($B$5,D695-1),"mmm yyyy")</f>
        <v/>
      </c>
      <c r="AM695">
        <f>AI695</f>
        <v/>
      </c>
    </row>
    <row r="696">
      <c r="D696" t="n">
        <v>635</v>
      </c>
      <c r="E696">
        <f>IF(G695&gt;0,MAX(0,G695*(1+$G$51)-$H$51),0)</f>
        <v/>
      </c>
      <c r="F696">
        <f>$B$6+IF($D696=$B$8,$B$7,0)</f>
        <v/>
      </c>
      <c r="G696">
        <f>IF(E696-F696&gt;1E-9,E696-F696,0)</f>
        <v/>
      </c>
      <c r="H696">
        <f>G695*$G$51</f>
        <v/>
      </c>
      <c r="I696">
        <f>IF(K695&gt;0,MAX(0,K695*(1+$G$52)-$H$52),0)</f>
        <v/>
      </c>
      <c r="J696">
        <f>MAX(0,F696-E696)</f>
        <v/>
      </c>
      <c r="K696">
        <f>IF(I696-J696&gt;1E-9,I696-J696,0)</f>
        <v/>
      </c>
      <c r="L696">
        <f>K695*$G$52</f>
        <v/>
      </c>
      <c r="M696">
        <f>IF(O695&gt;0,MAX(0,O695*(1+$G$53)-$H$53),0)</f>
        <v/>
      </c>
      <c r="N696">
        <f>MAX(0,J696-I696)</f>
        <v/>
      </c>
      <c r="O696">
        <f>IF(M696-N696&gt;1E-9,M696-N696,0)</f>
        <v/>
      </c>
      <c r="P696">
        <f>O695*$G$53</f>
        <v/>
      </c>
      <c r="Q696">
        <f>IF(S695&gt;0,MAX(0,S695*(1+$G$54)-$H$54),0)</f>
        <v/>
      </c>
      <c r="R696">
        <f>MAX(0,N696-M696)</f>
        <v/>
      </c>
      <c r="S696">
        <f>IF(Q696-R696&gt;1E-9,Q696-R696,0)</f>
        <v/>
      </c>
      <c r="T696">
        <f>S695*$G$54</f>
        <v/>
      </c>
      <c r="U696">
        <f>IF(W695&gt;0,MAX(0,W695*(1+$G$55)-$H$55),0)</f>
        <v/>
      </c>
      <c r="V696">
        <f>MAX(0,R696-Q696)</f>
        <v/>
      </c>
      <c r="W696">
        <f>IF(U696-V696&gt;1E-9,U696-V696,0)</f>
        <v/>
      </c>
      <c r="X696">
        <f>W695*$G$55</f>
        <v/>
      </c>
      <c r="Y696">
        <f>IF(Y695&gt;1E-9,IF(Y695*(1+$G$51)-MAX($B$9,0.01*Y695+Y695*$G$51)&gt;1E-9,Y695*(1+$G$51)-MAX($B$9,0.01*Y695+Y695*$G$51),0),0)</f>
        <v/>
      </c>
      <c r="Z696">
        <f>Y695*$G$51</f>
        <v/>
      </c>
      <c r="AA696">
        <f>IF(AA695&gt;1E-9,IF(AA695*(1+$G$52)-MAX($B$9,0.01*AA695+AA695*$G$52)&gt;1E-9,AA695*(1+$G$52)-MAX($B$9,0.01*AA695+AA695*$G$52),0),0)</f>
        <v/>
      </c>
      <c r="AB696">
        <f>AA695*$G$52</f>
        <v/>
      </c>
      <c r="AC696">
        <f>IF(AC695&gt;1E-9,IF(AC695*(1+$G$53)-MAX($B$9,0.01*AC695+AC695*$G$53)&gt;1E-9,AC695*(1+$G$53)-MAX($B$9,0.01*AC695+AC695*$G$53),0),0)</f>
        <v/>
      </c>
      <c r="AD696">
        <f>AC695*$G$53</f>
        <v/>
      </c>
      <c r="AE696">
        <f>IF(AE695&gt;1E-9,IF(AE695*(1+$G$54)-MAX($B$9,0.01*AE695+AE695*$G$54)&gt;1E-9,AE695*(1+$G$54)-MAX($B$9,0.01*AE695+AE695*$G$54),0),0)</f>
        <v/>
      </c>
      <c r="AF696">
        <f>AE695*$G$54</f>
        <v/>
      </c>
      <c r="AG696">
        <f>IF(AG695&gt;1E-9,IF(AG695*(1+$G$55)-MAX($B$9,0.01*AG695+AG695*$G$55)&gt;1E-9,AG695*(1+$G$55)-MAX($B$9,0.01*AG695+AG695*$G$55),0),0)</f>
        <v/>
      </c>
      <c r="AH696">
        <f>AG695*$G$55</f>
        <v/>
      </c>
      <c r="AI696">
        <f>G696+K696+O696+S696+W696</f>
        <v/>
      </c>
      <c r="AJ696">
        <f>AI695+AK696-AI696</f>
        <v/>
      </c>
      <c r="AK696">
        <f>H696+L696+P696+T696+X696</f>
        <v/>
      </c>
      <c r="AL696">
        <f>TEXT(EDATE($B$5,D696-1),"mmm yyyy")</f>
        <v/>
      </c>
      <c r="AM696">
        <f>AI696</f>
        <v/>
      </c>
    </row>
    <row r="697">
      <c r="D697" t="n">
        <v>636</v>
      </c>
      <c r="E697">
        <f>IF(G696&gt;0,MAX(0,G696*(1+$G$51)-$H$51),0)</f>
        <v/>
      </c>
      <c r="F697">
        <f>$B$6+IF($D697=$B$8,$B$7,0)</f>
        <v/>
      </c>
      <c r="G697">
        <f>IF(E697-F697&gt;1E-9,E697-F697,0)</f>
        <v/>
      </c>
      <c r="H697">
        <f>G696*$G$51</f>
        <v/>
      </c>
      <c r="I697">
        <f>IF(K696&gt;0,MAX(0,K696*(1+$G$52)-$H$52),0)</f>
        <v/>
      </c>
      <c r="J697">
        <f>MAX(0,F697-E697)</f>
        <v/>
      </c>
      <c r="K697">
        <f>IF(I697-J697&gt;1E-9,I697-J697,0)</f>
        <v/>
      </c>
      <c r="L697">
        <f>K696*$G$52</f>
        <v/>
      </c>
      <c r="M697">
        <f>IF(O696&gt;0,MAX(0,O696*(1+$G$53)-$H$53),0)</f>
        <v/>
      </c>
      <c r="N697">
        <f>MAX(0,J697-I697)</f>
        <v/>
      </c>
      <c r="O697">
        <f>IF(M697-N697&gt;1E-9,M697-N697,0)</f>
        <v/>
      </c>
      <c r="P697">
        <f>O696*$G$53</f>
        <v/>
      </c>
      <c r="Q697">
        <f>IF(S696&gt;0,MAX(0,S696*(1+$G$54)-$H$54),0)</f>
        <v/>
      </c>
      <c r="R697">
        <f>MAX(0,N697-M697)</f>
        <v/>
      </c>
      <c r="S697">
        <f>IF(Q697-R697&gt;1E-9,Q697-R697,0)</f>
        <v/>
      </c>
      <c r="T697">
        <f>S696*$G$54</f>
        <v/>
      </c>
      <c r="U697">
        <f>IF(W696&gt;0,MAX(0,W696*(1+$G$55)-$H$55),0)</f>
        <v/>
      </c>
      <c r="V697">
        <f>MAX(0,R697-Q697)</f>
        <v/>
      </c>
      <c r="W697">
        <f>IF(U697-V697&gt;1E-9,U697-V697,0)</f>
        <v/>
      </c>
      <c r="X697">
        <f>W696*$G$55</f>
        <v/>
      </c>
      <c r="Y697">
        <f>IF(Y696&gt;1E-9,IF(Y696*(1+$G$51)-MAX($B$9,0.01*Y696+Y696*$G$51)&gt;1E-9,Y696*(1+$G$51)-MAX($B$9,0.01*Y696+Y696*$G$51),0),0)</f>
        <v/>
      </c>
      <c r="Z697">
        <f>Y696*$G$51</f>
        <v/>
      </c>
      <c r="AA697">
        <f>IF(AA696&gt;1E-9,IF(AA696*(1+$G$52)-MAX($B$9,0.01*AA696+AA696*$G$52)&gt;1E-9,AA696*(1+$G$52)-MAX($B$9,0.01*AA696+AA696*$G$52),0),0)</f>
        <v/>
      </c>
      <c r="AB697">
        <f>AA696*$G$52</f>
        <v/>
      </c>
      <c r="AC697">
        <f>IF(AC696&gt;1E-9,IF(AC696*(1+$G$53)-MAX($B$9,0.01*AC696+AC696*$G$53)&gt;1E-9,AC696*(1+$G$53)-MAX($B$9,0.01*AC696+AC696*$G$53),0),0)</f>
        <v/>
      </c>
      <c r="AD697">
        <f>AC696*$G$53</f>
        <v/>
      </c>
      <c r="AE697">
        <f>IF(AE696&gt;1E-9,IF(AE696*(1+$G$54)-MAX($B$9,0.01*AE696+AE696*$G$54)&gt;1E-9,AE696*(1+$G$54)-MAX($B$9,0.01*AE696+AE696*$G$54),0),0)</f>
        <v/>
      </c>
      <c r="AF697">
        <f>AE696*$G$54</f>
        <v/>
      </c>
      <c r="AG697">
        <f>IF(AG696&gt;1E-9,IF(AG696*(1+$G$55)-MAX($B$9,0.01*AG696+AG696*$G$55)&gt;1E-9,AG696*(1+$G$55)-MAX($B$9,0.01*AG696+AG696*$G$55),0),0)</f>
        <v/>
      </c>
      <c r="AH697">
        <f>AG696*$G$55</f>
        <v/>
      </c>
      <c r="AI697">
        <f>G697+K697+O697+S697+W697</f>
        <v/>
      </c>
      <c r="AJ697">
        <f>AI696+AK697-AI697</f>
        <v/>
      </c>
      <c r="AK697">
        <f>H697+L697+P697+T697+X697</f>
        <v/>
      </c>
      <c r="AL697">
        <f>TEXT(EDATE($B$5,D697-1),"mmm yyyy")</f>
        <v/>
      </c>
      <c r="AM697">
        <f>AI697</f>
        <v/>
      </c>
    </row>
    <row r="698">
      <c r="D698" t="n">
        <v>637</v>
      </c>
      <c r="E698">
        <f>IF(G697&gt;0,MAX(0,G697*(1+$G$51)-$H$51),0)</f>
        <v/>
      </c>
      <c r="F698">
        <f>$B$6+IF($D698=$B$8,$B$7,0)</f>
        <v/>
      </c>
      <c r="G698">
        <f>IF(E698-F698&gt;1E-9,E698-F698,0)</f>
        <v/>
      </c>
      <c r="H698">
        <f>G697*$G$51</f>
        <v/>
      </c>
      <c r="I698">
        <f>IF(K697&gt;0,MAX(0,K697*(1+$G$52)-$H$52),0)</f>
        <v/>
      </c>
      <c r="J698">
        <f>MAX(0,F698-E698)</f>
        <v/>
      </c>
      <c r="K698">
        <f>IF(I698-J698&gt;1E-9,I698-J698,0)</f>
        <v/>
      </c>
      <c r="L698">
        <f>K697*$G$52</f>
        <v/>
      </c>
      <c r="M698">
        <f>IF(O697&gt;0,MAX(0,O697*(1+$G$53)-$H$53),0)</f>
        <v/>
      </c>
      <c r="N698">
        <f>MAX(0,J698-I698)</f>
        <v/>
      </c>
      <c r="O698">
        <f>IF(M698-N698&gt;1E-9,M698-N698,0)</f>
        <v/>
      </c>
      <c r="P698">
        <f>O697*$G$53</f>
        <v/>
      </c>
      <c r="Q698">
        <f>IF(S697&gt;0,MAX(0,S697*(1+$G$54)-$H$54),0)</f>
        <v/>
      </c>
      <c r="R698">
        <f>MAX(0,N698-M698)</f>
        <v/>
      </c>
      <c r="S698">
        <f>IF(Q698-R698&gt;1E-9,Q698-R698,0)</f>
        <v/>
      </c>
      <c r="T698">
        <f>S697*$G$54</f>
        <v/>
      </c>
      <c r="U698">
        <f>IF(W697&gt;0,MAX(0,W697*(1+$G$55)-$H$55),0)</f>
        <v/>
      </c>
      <c r="V698">
        <f>MAX(0,R698-Q698)</f>
        <v/>
      </c>
      <c r="W698">
        <f>IF(U698-V698&gt;1E-9,U698-V698,0)</f>
        <v/>
      </c>
      <c r="X698">
        <f>W697*$G$55</f>
        <v/>
      </c>
      <c r="Y698">
        <f>IF(Y697&gt;1E-9,IF(Y697*(1+$G$51)-MAX($B$9,0.01*Y697+Y697*$G$51)&gt;1E-9,Y697*(1+$G$51)-MAX($B$9,0.01*Y697+Y697*$G$51),0),0)</f>
        <v/>
      </c>
      <c r="Z698">
        <f>Y697*$G$51</f>
        <v/>
      </c>
      <c r="AA698">
        <f>IF(AA697&gt;1E-9,IF(AA697*(1+$G$52)-MAX($B$9,0.01*AA697+AA697*$G$52)&gt;1E-9,AA697*(1+$G$52)-MAX($B$9,0.01*AA697+AA697*$G$52),0),0)</f>
        <v/>
      </c>
      <c r="AB698">
        <f>AA697*$G$52</f>
        <v/>
      </c>
      <c r="AC698">
        <f>IF(AC697&gt;1E-9,IF(AC697*(1+$G$53)-MAX($B$9,0.01*AC697+AC697*$G$53)&gt;1E-9,AC697*(1+$G$53)-MAX($B$9,0.01*AC697+AC697*$G$53),0),0)</f>
        <v/>
      </c>
      <c r="AD698">
        <f>AC697*$G$53</f>
        <v/>
      </c>
      <c r="AE698">
        <f>IF(AE697&gt;1E-9,IF(AE697*(1+$G$54)-MAX($B$9,0.01*AE697+AE697*$G$54)&gt;1E-9,AE697*(1+$G$54)-MAX($B$9,0.01*AE697+AE697*$G$54),0),0)</f>
        <v/>
      </c>
      <c r="AF698">
        <f>AE697*$G$54</f>
        <v/>
      </c>
      <c r="AG698">
        <f>IF(AG697&gt;1E-9,IF(AG697*(1+$G$55)-MAX($B$9,0.01*AG697+AG697*$G$55)&gt;1E-9,AG697*(1+$G$55)-MAX($B$9,0.01*AG697+AG697*$G$55),0),0)</f>
        <v/>
      </c>
      <c r="AH698">
        <f>AG697*$G$55</f>
        <v/>
      </c>
      <c r="AI698">
        <f>G698+K698+O698+S698+W698</f>
        <v/>
      </c>
      <c r="AJ698">
        <f>AI697+AK698-AI698</f>
        <v/>
      </c>
      <c r="AK698">
        <f>H698+L698+P698+T698+X698</f>
        <v/>
      </c>
      <c r="AL698">
        <f>TEXT(EDATE($B$5,D698-1),"mmm yyyy")</f>
        <v/>
      </c>
      <c r="AM698">
        <f>AI698</f>
        <v/>
      </c>
    </row>
    <row r="699">
      <c r="D699" t="n">
        <v>638</v>
      </c>
      <c r="E699">
        <f>IF(G698&gt;0,MAX(0,G698*(1+$G$51)-$H$51),0)</f>
        <v/>
      </c>
      <c r="F699">
        <f>$B$6+IF($D699=$B$8,$B$7,0)</f>
        <v/>
      </c>
      <c r="G699">
        <f>IF(E699-F699&gt;1E-9,E699-F699,0)</f>
        <v/>
      </c>
      <c r="H699">
        <f>G698*$G$51</f>
        <v/>
      </c>
      <c r="I699">
        <f>IF(K698&gt;0,MAX(0,K698*(1+$G$52)-$H$52),0)</f>
        <v/>
      </c>
      <c r="J699">
        <f>MAX(0,F699-E699)</f>
        <v/>
      </c>
      <c r="K699">
        <f>IF(I699-J699&gt;1E-9,I699-J699,0)</f>
        <v/>
      </c>
      <c r="L699">
        <f>K698*$G$52</f>
        <v/>
      </c>
      <c r="M699">
        <f>IF(O698&gt;0,MAX(0,O698*(1+$G$53)-$H$53),0)</f>
        <v/>
      </c>
      <c r="N699">
        <f>MAX(0,J699-I699)</f>
        <v/>
      </c>
      <c r="O699">
        <f>IF(M699-N699&gt;1E-9,M699-N699,0)</f>
        <v/>
      </c>
      <c r="P699">
        <f>O698*$G$53</f>
        <v/>
      </c>
      <c r="Q699">
        <f>IF(S698&gt;0,MAX(0,S698*(1+$G$54)-$H$54),0)</f>
        <v/>
      </c>
      <c r="R699">
        <f>MAX(0,N699-M699)</f>
        <v/>
      </c>
      <c r="S699">
        <f>IF(Q699-R699&gt;1E-9,Q699-R699,0)</f>
        <v/>
      </c>
      <c r="T699">
        <f>S698*$G$54</f>
        <v/>
      </c>
      <c r="U699">
        <f>IF(W698&gt;0,MAX(0,W698*(1+$G$55)-$H$55),0)</f>
        <v/>
      </c>
      <c r="V699">
        <f>MAX(0,R699-Q699)</f>
        <v/>
      </c>
      <c r="W699">
        <f>IF(U699-V699&gt;1E-9,U699-V699,0)</f>
        <v/>
      </c>
      <c r="X699">
        <f>W698*$G$55</f>
        <v/>
      </c>
      <c r="Y699">
        <f>IF(Y698&gt;1E-9,IF(Y698*(1+$G$51)-MAX($B$9,0.01*Y698+Y698*$G$51)&gt;1E-9,Y698*(1+$G$51)-MAX($B$9,0.01*Y698+Y698*$G$51),0),0)</f>
        <v/>
      </c>
      <c r="Z699">
        <f>Y698*$G$51</f>
        <v/>
      </c>
      <c r="AA699">
        <f>IF(AA698&gt;1E-9,IF(AA698*(1+$G$52)-MAX($B$9,0.01*AA698+AA698*$G$52)&gt;1E-9,AA698*(1+$G$52)-MAX($B$9,0.01*AA698+AA698*$G$52),0),0)</f>
        <v/>
      </c>
      <c r="AB699">
        <f>AA698*$G$52</f>
        <v/>
      </c>
      <c r="AC699">
        <f>IF(AC698&gt;1E-9,IF(AC698*(1+$G$53)-MAX($B$9,0.01*AC698+AC698*$G$53)&gt;1E-9,AC698*(1+$G$53)-MAX($B$9,0.01*AC698+AC698*$G$53),0),0)</f>
        <v/>
      </c>
      <c r="AD699">
        <f>AC698*$G$53</f>
        <v/>
      </c>
      <c r="AE699">
        <f>IF(AE698&gt;1E-9,IF(AE698*(1+$G$54)-MAX($B$9,0.01*AE698+AE698*$G$54)&gt;1E-9,AE698*(1+$G$54)-MAX($B$9,0.01*AE698+AE698*$G$54),0),0)</f>
        <v/>
      </c>
      <c r="AF699">
        <f>AE698*$G$54</f>
        <v/>
      </c>
      <c r="AG699">
        <f>IF(AG698&gt;1E-9,IF(AG698*(1+$G$55)-MAX($B$9,0.01*AG698+AG698*$G$55)&gt;1E-9,AG698*(1+$G$55)-MAX($B$9,0.01*AG698+AG698*$G$55),0),0)</f>
        <v/>
      </c>
      <c r="AH699">
        <f>AG698*$G$55</f>
        <v/>
      </c>
      <c r="AI699">
        <f>G699+K699+O699+S699+W699</f>
        <v/>
      </c>
      <c r="AJ699">
        <f>AI698+AK699-AI699</f>
        <v/>
      </c>
      <c r="AK699">
        <f>H699+L699+P699+T699+X699</f>
        <v/>
      </c>
      <c r="AL699">
        <f>TEXT(EDATE($B$5,D699-1),"mmm yyyy")</f>
        <v/>
      </c>
      <c r="AM699">
        <f>AI699</f>
        <v/>
      </c>
    </row>
    <row r="700">
      <c r="D700" t="n">
        <v>639</v>
      </c>
      <c r="E700">
        <f>IF(G699&gt;0,MAX(0,G699*(1+$G$51)-$H$51),0)</f>
        <v/>
      </c>
      <c r="F700">
        <f>$B$6+IF($D700=$B$8,$B$7,0)</f>
        <v/>
      </c>
      <c r="G700">
        <f>IF(E700-F700&gt;1E-9,E700-F700,0)</f>
        <v/>
      </c>
      <c r="H700">
        <f>G699*$G$51</f>
        <v/>
      </c>
      <c r="I700">
        <f>IF(K699&gt;0,MAX(0,K699*(1+$G$52)-$H$52),0)</f>
        <v/>
      </c>
      <c r="J700">
        <f>MAX(0,F700-E700)</f>
        <v/>
      </c>
      <c r="K700">
        <f>IF(I700-J700&gt;1E-9,I700-J700,0)</f>
        <v/>
      </c>
      <c r="L700">
        <f>K699*$G$52</f>
        <v/>
      </c>
      <c r="M700">
        <f>IF(O699&gt;0,MAX(0,O699*(1+$G$53)-$H$53),0)</f>
        <v/>
      </c>
      <c r="N700">
        <f>MAX(0,J700-I700)</f>
        <v/>
      </c>
      <c r="O700">
        <f>IF(M700-N700&gt;1E-9,M700-N700,0)</f>
        <v/>
      </c>
      <c r="P700">
        <f>O699*$G$53</f>
        <v/>
      </c>
      <c r="Q700">
        <f>IF(S699&gt;0,MAX(0,S699*(1+$G$54)-$H$54),0)</f>
        <v/>
      </c>
      <c r="R700">
        <f>MAX(0,N700-M700)</f>
        <v/>
      </c>
      <c r="S700">
        <f>IF(Q700-R700&gt;1E-9,Q700-R700,0)</f>
        <v/>
      </c>
      <c r="T700">
        <f>S699*$G$54</f>
        <v/>
      </c>
      <c r="U700">
        <f>IF(W699&gt;0,MAX(0,W699*(1+$G$55)-$H$55),0)</f>
        <v/>
      </c>
      <c r="V700">
        <f>MAX(0,R700-Q700)</f>
        <v/>
      </c>
      <c r="W700">
        <f>IF(U700-V700&gt;1E-9,U700-V700,0)</f>
        <v/>
      </c>
      <c r="X700">
        <f>W699*$G$55</f>
        <v/>
      </c>
      <c r="Y700">
        <f>IF(Y699&gt;1E-9,IF(Y699*(1+$G$51)-MAX($B$9,0.01*Y699+Y699*$G$51)&gt;1E-9,Y699*(1+$G$51)-MAX($B$9,0.01*Y699+Y699*$G$51),0),0)</f>
        <v/>
      </c>
      <c r="Z700">
        <f>Y699*$G$51</f>
        <v/>
      </c>
      <c r="AA700">
        <f>IF(AA699&gt;1E-9,IF(AA699*(1+$G$52)-MAX($B$9,0.01*AA699+AA699*$G$52)&gt;1E-9,AA699*(1+$G$52)-MAX($B$9,0.01*AA699+AA699*$G$52),0),0)</f>
        <v/>
      </c>
      <c r="AB700">
        <f>AA699*$G$52</f>
        <v/>
      </c>
      <c r="AC700">
        <f>IF(AC699&gt;1E-9,IF(AC699*(1+$G$53)-MAX($B$9,0.01*AC699+AC699*$G$53)&gt;1E-9,AC699*(1+$G$53)-MAX($B$9,0.01*AC699+AC699*$G$53),0),0)</f>
        <v/>
      </c>
      <c r="AD700">
        <f>AC699*$G$53</f>
        <v/>
      </c>
      <c r="AE700">
        <f>IF(AE699&gt;1E-9,IF(AE699*(1+$G$54)-MAX($B$9,0.01*AE699+AE699*$G$54)&gt;1E-9,AE699*(1+$G$54)-MAX($B$9,0.01*AE699+AE699*$G$54),0),0)</f>
        <v/>
      </c>
      <c r="AF700">
        <f>AE699*$G$54</f>
        <v/>
      </c>
      <c r="AG700">
        <f>IF(AG699&gt;1E-9,IF(AG699*(1+$G$55)-MAX($B$9,0.01*AG699+AG699*$G$55)&gt;1E-9,AG699*(1+$G$55)-MAX($B$9,0.01*AG699+AG699*$G$55),0),0)</f>
        <v/>
      </c>
      <c r="AH700">
        <f>AG699*$G$55</f>
        <v/>
      </c>
      <c r="AI700">
        <f>G700+K700+O700+S700+W700</f>
        <v/>
      </c>
      <c r="AJ700">
        <f>AI699+AK700-AI700</f>
        <v/>
      </c>
      <c r="AK700">
        <f>H700+L700+P700+T700+X700</f>
        <v/>
      </c>
      <c r="AL700">
        <f>TEXT(EDATE($B$5,D700-1),"mmm yyyy")</f>
        <v/>
      </c>
      <c r="AM700">
        <f>AI700</f>
        <v/>
      </c>
    </row>
    <row r="701">
      <c r="D701" t="n">
        <v>640</v>
      </c>
      <c r="E701">
        <f>IF(G700&gt;0,MAX(0,G700*(1+$G$51)-$H$51),0)</f>
        <v/>
      </c>
      <c r="F701">
        <f>$B$6+IF($D701=$B$8,$B$7,0)</f>
        <v/>
      </c>
      <c r="G701">
        <f>IF(E701-F701&gt;1E-9,E701-F701,0)</f>
        <v/>
      </c>
      <c r="H701">
        <f>G700*$G$51</f>
        <v/>
      </c>
      <c r="I701">
        <f>IF(K700&gt;0,MAX(0,K700*(1+$G$52)-$H$52),0)</f>
        <v/>
      </c>
      <c r="J701">
        <f>MAX(0,F701-E701)</f>
        <v/>
      </c>
      <c r="K701">
        <f>IF(I701-J701&gt;1E-9,I701-J701,0)</f>
        <v/>
      </c>
      <c r="L701">
        <f>K700*$G$52</f>
        <v/>
      </c>
      <c r="M701">
        <f>IF(O700&gt;0,MAX(0,O700*(1+$G$53)-$H$53),0)</f>
        <v/>
      </c>
      <c r="N701">
        <f>MAX(0,J701-I701)</f>
        <v/>
      </c>
      <c r="O701">
        <f>IF(M701-N701&gt;1E-9,M701-N701,0)</f>
        <v/>
      </c>
      <c r="P701">
        <f>O700*$G$53</f>
        <v/>
      </c>
      <c r="Q701">
        <f>IF(S700&gt;0,MAX(0,S700*(1+$G$54)-$H$54),0)</f>
        <v/>
      </c>
      <c r="R701">
        <f>MAX(0,N701-M701)</f>
        <v/>
      </c>
      <c r="S701">
        <f>IF(Q701-R701&gt;1E-9,Q701-R701,0)</f>
        <v/>
      </c>
      <c r="T701">
        <f>S700*$G$54</f>
        <v/>
      </c>
      <c r="U701">
        <f>IF(W700&gt;0,MAX(0,W700*(1+$G$55)-$H$55),0)</f>
        <v/>
      </c>
      <c r="V701">
        <f>MAX(0,R701-Q701)</f>
        <v/>
      </c>
      <c r="W701">
        <f>IF(U701-V701&gt;1E-9,U701-V701,0)</f>
        <v/>
      </c>
      <c r="X701">
        <f>W700*$G$55</f>
        <v/>
      </c>
      <c r="Y701">
        <f>IF(Y700&gt;1E-9,IF(Y700*(1+$G$51)-MAX($B$9,0.01*Y700+Y700*$G$51)&gt;1E-9,Y700*(1+$G$51)-MAX($B$9,0.01*Y700+Y700*$G$51),0),0)</f>
        <v/>
      </c>
      <c r="Z701">
        <f>Y700*$G$51</f>
        <v/>
      </c>
      <c r="AA701">
        <f>IF(AA700&gt;1E-9,IF(AA700*(1+$G$52)-MAX($B$9,0.01*AA700+AA700*$G$52)&gt;1E-9,AA700*(1+$G$52)-MAX($B$9,0.01*AA700+AA700*$G$52),0),0)</f>
        <v/>
      </c>
      <c r="AB701">
        <f>AA700*$G$52</f>
        <v/>
      </c>
      <c r="AC701">
        <f>IF(AC700&gt;1E-9,IF(AC700*(1+$G$53)-MAX($B$9,0.01*AC700+AC700*$G$53)&gt;1E-9,AC700*(1+$G$53)-MAX($B$9,0.01*AC700+AC700*$G$53),0),0)</f>
        <v/>
      </c>
      <c r="AD701">
        <f>AC700*$G$53</f>
        <v/>
      </c>
      <c r="AE701">
        <f>IF(AE700&gt;1E-9,IF(AE700*(1+$G$54)-MAX($B$9,0.01*AE700+AE700*$G$54)&gt;1E-9,AE700*(1+$G$54)-MAX($B$9,0.01*AE700+AE700*$G$54),0),0)</f>
        <v/>
      </c>
      <c r="AF701">
        <f>AE700*$G$54</f>
        <v/>
      </c>
      <c r="AG701">
        <f>IF(AG700&gt;1E-9,IF(AG700*(1+$G$55)-MAX($B$9,0.01*AG700+AG700*$G$55)&gt;1E-9,AG700*(1+$G$55)-MAX($B$9,0.01*AG700+AG700*$G$55),0),0)</f>
        <v/>
      </c>
      <c r="AH701">
        <f>AG700*$G$55</f>
        <v/>
      </c>
      <c r="AI701">
        <f>G701+K701+O701+S701+W701</f>
        <v/>
      </c>
      <c r="AJ701">
        <f>AI700+AK701-AI701</f>
        <v/>
      </c>
      <c r="AK701">
        <f>H701+L701+P701+T701+X701</f>
        <v/>
      </c>
      <c r="AL701">
        <f>TEXT(EDATE($B$5,D701-1),"mmm yyyy")</f>
        <v/>
      </c>
      <c r="AM701">
        <f>AI701</f>
        <v/>
      </c>
    </row>
    <row r="702">
      <c r="D702" t="n">
        <v>641</v>
      </c>
      <c r="E702">
        <f>IF(G701&gt;0,MAX(0,G701*(1+$G$51)-$H$51),0)</f>
        <v/>
      </c>
      <c r="F702">
        <f>$B$6+IF($D702=$B$8,$B$7,0)</f>
        <v/>
      </c>
      <c r="G702">
        <f>IF(E702-F702&gt;1E-9,E702-F702,0)</f>
        <v/>
      </c>
      <c r="H702">
        <f>G701*$G$51</f>
        <v/>
      </c>
      <c r="I702">
        <f>IF(K701&gt;0,MAX(0,K701*(1+$G$52)-$H$52),0)</f>
        <v/>
      </c>
      <c r="J702">
        <f>MAX(0,F702-E702)</f>
        <v/>
      </c>
      <c r="K702">
        <f>IF(I702-J702&gt;1E-9,I702-J702,0)</f>
        <v/>
      </c>
      <c r="L702">
        <f>K701*$G$52</f>
        <v/>
      </c>
      <c r="M702">
        <f>IF(O701&gt;0,MAX(0,O701*(1+$G$53)-$H$53),0)</f>
        <v/>
      </c>
      <c r="N702">
        <f>MAX(0,J702-I702)</f>
        <v/>
      </c>
      <c r="O702">
        <f>IF(M702-N702&gt;1E-9,M702-N702,0)</f>
        <v/>
      </c>
      <c r="P702">
        <f>O701*$G$53</f>
        <v/>
      </c>
      <c r="Q702">
        <f>IF(S701&gt;0,MAX(0,S701*(1+$G$54)-$H$54),0)</f>
        <v/>
      </c>
      <c r="R702">
        <f>MAX(0,N702-M702)</f>
        <v/>
      </c>
      <c r="S702">
        <f>IF(Q702-R702&gt;1E-9,Q702-R702,0)</f>
        <v/>
      </c>
      <c r="T702">
        <f>S701*$G$54</f>
        <v/>
      </c>
      <c r="U702">
        <f>IF(W701&gt;0,MAX(0,W701*(1+$G$55)-$H$55),0)</f>
        <v/>
      </c>
      <c r="V702">
        <f>MAX(0,R702-Q702)</f>
        <v/>
      </c>
      <c r="W702">
        <f>IF(U702-V702&gt;1E-9,U702-V702,0)</f>
        <v/>
      </c>
      <c r="X702">
        <f>W701*$G$55</f>
        <v/>
      </c>
      <c r="Y702">
        <f>IF(Y701&gt;1E-9,IF(Y701*(1+$G$51)-MAX($B$9,0.01*Y701+Y701*$G$51)&gt;1E-9,Y701*(1+$G$51)-MAX($B$9,0.01*Y701+Y701*$G$51),0),0)</f>
        <v/>
      </c>
      <c r="Z702">
        <f>Y701*$G$51</f>
        <v/>
      </c>
      <c r="AA702">
        <f>IF(AA701&gt;1E-9,IF(AA701*(1+$G$52)-MAX($B$9,0.01*AA701+AA701*$G$52)&gt;1E-9,AA701*(1+$G$52)-MAX($B$9,0.01*AA701+AA701*$G$52),0),0)</f>
        <v/>
      </c>
      <c r="AB702">
        <f>AA701*$G$52</f>
        <v/>
      </c>
      <c r="AC702">
        <f>IF(AC701&gt;1E-9,IF(AC701*(1+$G$53)-MAX($B$9,0.01*AC701+AC701*$G$53)&gt;1E-9,AC701*(1+$G$53)-MAX($B$9,0.01*AC701+AC701*$G$53),0),0)</f>
        <v/>
      </c>
      <c r="AD702">
        <f>AC701*$G$53</f>
        <v/>
      </c>
      <c r="AE702">
        <f>IF(AE701&gt;1E-9,IF(AE701*(1+$G$54)-MAX($B$9,0.01*AE701+AE701*$G$54)&gt;1E-9,AE701*(1+$G$54)-MAX($B$9,0.01*AE701+AE701*$G$54),0),0)</f>
        <v/>
      </c>
      <c r="AF702">
        <f>AE701*$G$54</f>
        <v/>
      </c>
      <c r="AG702">
        <f>IF(AG701&gt;1E-9,IF(AG701*(1+$G$55)-MAX($B$9,0.01*AG701+AG701*$G$55)&gt;1E-9,AG701*(1+$G$55)-MAX($B$9,0.01*AG701+AG701*$G$55),0),0)</f>
        <v/>
      </c>
      <c r="AH702">
        <f>AG701*$G$55</f>
        <v/>
      </c>
      <c r="AI702">
        <f>G702+K702+O702+S702+W702</f>
        <v/>
      </c>
      <c r="AJ702">
        <f>AI701+AK702-AI702</f>
        <v/>
      </c>
      <c r="AK702">
        <f>H702+L702+P702+T702+X702</f>
        <v/>
      </c>
      <c r="AL702">
        <f>TEXT(EDATE($B$5,D702-1),"mmm yyyy")</f>
        <v/>
      </c>
      <c r="AM702">
        <f>AI702</f>
        <v/>
      </c>
    </row>
    <row r="703">
      <c r="D703" t="n">
        <v>642</v>
      </c>
      <c r="E703">
        <f>IF(G702&gt;0,MAX(0,G702*(1+$G$51)-$H$51),0)</f>
        <v/>
      </c>
      <c r="F703">
        <f>$B$6+IF($D703=$B$8,$B$7,0)</f>
        <v/>
      </c>
      <c r="G703">
        <f>IF(E703-F703&gt;1E-9,E703-F703,0)</f>
        <v/>
      </c>
      <c r="H703">
        <f>G702*$G$51</f>
        <v/>
      </c>
      <c r="I703">
        <f>IF(K702&gt;0,MAX(0,K702*(1+$G$52)-$H$52),0)</f>
        <v/>
      </c>
      <c r="J703">
        <f>MAX(0,F703-E703)</f>
        <v/>
      </c>
      <c r="K703">
        <f>IF(I703-J703&gt;1E-9,I703-J703,0)</f>
        <v/>
      </c>
      <c r="L703">
        <f>K702*$G$52</f>
        <v/>
      </c>
      <c r="M703">
        <f>IF(O702&gt;0,MAX(0,O702*(1+$G$53)-$H$53),0)</f>
        <v/>
      </c>
      <c r="N703">
        <f>MAX(0,J703-I703)</f>
        <v/>
      </c>
      <c r="O703">
        <f>IF(M703-N703&gt;1E-9,M703-N703,0)</f>
        <v/>
      </c>
      <c r="P703">
        <f>O702*$G$53</f>
        <v/>
      </c>
      <c r="Q703">
        <f>IF(S702&gt;0,MAX(0,S702*(1+$G$54)-$H$54),0)</f>
        <v/>
      </c>
      <c r="R703">
        <f>MAX(0,N703-M703)</f>
        <v/>
      </c>
      <c r="S703">
        <f>IF(Q703-R703&gt;1E-9,Q703-R703,0)</f>
        <v/>
      </c>
      <c r="T703">
        <f>S702*$G$54</f>
        <v/>
      </c>
      <c r="U703">
        <f>IF(W702&gt;0,MAX(0,W702*(1+$G$55)-$H$55),0)</f>
        <v/>
      </c>
      <c r="V703">
        <f>MAX(0,R703-Q703)</f>
        <v/>
      </c>
      <c r="W703">
        <f>IF(U703-V703&gt;1E-9,U703-V703,0)</f>
        <v/>
      </c>
      <c r="X703">
        <f>W702*$G$55</f>
        <v/>
      </c>
      <c r="Y703">
        <f>IF(Y702&gt;1E-9,IF(Y702*(1+$G$51)-MAX($B$9,0.01*Y702+Y702*$G$51)&gt;1E-9,Y702*(1+$G$51)-MAX($B$9,0.01*Y702+Y702*$G$51),0),0)</f>
        <v/>
      </c>
      <c r="Z703">
        <f>Y702*$G$51</f>
        <v/>
      </c>
      <c r="AA703">
        <f>IF(AA702&gt;1E-9,IF(AA702*(1+$G$52)-MAX($B$9,0.01*AA702+AA702*$G$52)&gt;1E-9,AA702*(1+$G$52)-MAX($B$9,0.01*AA702+AA702*$G$52),0),0)</f>
        <v/>
      </c>
      <c r="AB703">
        <f>AA702*$G$52</f>
        <v/>
      </c>
      <c r="AC703">
        <f>IF(AC702&gt;1E-9,IF(AC702*(1+$G$53)-MAX($B$9,0.01*AC702+AC702*$G$53)&gt;1E-9,AC702*(1+$G$53)-MAX($B$9,0.01*AC702+AC702*$G$53),0),0)</f>
        <v/>
      </c>
      <c r="AD703">
        <f>AC702*$G$53</f>
        <v/>
      </c>
      <c r="AE703">
        <f>IF(AE702&gt;1E-9,IF(AE702*(1+$G$54)-MAX($B$9,0.01*AE702+AE702*$G$54)&gt;1E-9,AE702*(1+$G$54)-MAX($B$9,0.01*AE702+AE702*$G$54),0),0)</f>
        <v/>
      </c>
      <c r="AF703">
        <f>AE702*$G$54</f>
        <v/>
      </c>
      <c r="AG703">
        <f>IF(AG702&gt;1E-9,IF(AG702*(1+$G$55)-MAX($B$9,0.01*AG702+AG702*$G$55)&gt;1E-9,AG702*(1+$G$55)-MAX($B$9,0.01*AG702+AG702*$G$55),0),0)</f>
        <v/>
      </c>
      <c r="AH703">
        <f>AG702*$G$55</f>
        <v/>
      </c>
      <c r="AI703">
        <f>G703+K703+O703+S703+W703</f>
        <v/>
      </c>
      <c r="AJ703">
        <f>AI702+AK703-AI703</f>
        <v/>
      </c>
      <c r="AK703">
        <f>H703+L703+P703+T703+X703</f>
        <v/>
      </c>
      <c r="AL703">
        <f>TEXT(EDATE($B$5,D703-1),"mmm yyyy")</f>
        <v/>
      </c>
      <c r="AM703">
        <f>AI703</f>
        <v/>
      </c>
    </row>
    <row r="704">
      <c r="D704" t="n">
        <v>643</v>
      </c>
      <c r="E704">
        <f>IF(G703&gt;0,MAX(0,G703*(1+$G$51)-$H$51),0)</f>
        <v/>
      </c>
      <c r="F704">
        <f>$B$6+IF($D704=$B$8,$B$7,0)</f>
        <v/>
      </c>
      <c r="G704">
        <f>IF(E704-F704&gt;1E-9,E704-F704,0)</f>
        <v/>
      </c>
      <c r="H704">
        <f>G703*$G$51</f>
        <v/>
      </c>
      <c r="I704">
        <f>IF(K703&gt;0,MAX(0,K703*(1+$G$52)-$H$52),0)</f>
        <v/>
      </c>
      <c r="J704">
        <f>MAX(0,F704-E704)</f>
        <v/>
      </c>
      <c r="K704">
        <f>IF(I704-J704&gt;1E-9,I704-J704,0)</f>
        <v/>
      </c>
      <c r="L704">
        <f>K703*$G$52</f>
        <v/>
      </c>
      <c r="M704">
        <f>IF(O703&gt;0,MAX(0,O703*(1+$G$53)-$H$53),0)</f>
        <v/>
      </c>
      <c r="N704">
        <f>MAX(0,J704-I704)</f>
        <v/>
      </c>
      <c r="O704">
        <f>IF(M704-N704&gt;1E-9,M704-N704,0)</f>
        <v/>
      </c>
      <c r="P704">
        <f>O703*$G$53</f>
        <v/>
      </c>
      <c r="Q704">
        <f>IF(S703&gt;0,MAX(0,S703*(1+$G$54)-$H$54),0)</f>
        <v/>
      </c>
      <c r="R704">
        <f>MAX(0,N704-M704)</f>
        <v/>
      </c>
      <c r="S704">
        <f>IF(Q704-R704&gt;1E-9,Q704-R704,0)</f>
        <v/>
      </c>
      <c r="T704">
        <f>S703*$G$54</f>
        <v/>
      </c>
      <c r="U704">
        <f>IF(W703&gt;0,MAX(0,W703*(1+$G$55)-$H$55),0)</f>
        <v/>
      </c>
      <c r="V704">
        <f>MAX(0,R704-Q704)</f>
        <v/>
      </c>
      <c r="W704">
        <f>IF(U704-V704&gt;1E-9,U704-V704,0)</f>
        <v/>
      </c>
      <c r="X704">
        <f>W703*$G$55</f>
        <v/>
      </c>
      <c r="Y704">
        <f>IF(Y703&gt;1E-9,IF(Y703*(1+$G$51)-MAX($B$9,0.01*Y703+Y703*$G$51)&gt;1E-9,Y703*(1+$G$51)-MAX($B$9,0.01*Y703+Y703*$G$51),0),0)</f>
        <v/>
      </c>
      <c r="Z704">
        <f>Y703*$G$51</f>
        <v/>
      </c>
      <c r="AA704">
        <f>IF(AA703&gt;1E-9,IF(AA703*(1+$G$52)-MAX($B$9,0.01*AA703+AA703*$G$52)&gt;1E-9,AA703*(1+$G$52)-MAX($B$9,0.01*AA703+AA703*$G$52),0),0)</f>
        <v/>
      </c>
      <c r="AB704">
        <f>AA703*$G$52</f>
        <v/>
      </c>
      <c r="AC704">
        <f>IF(AC703&gt;1E-9,IF(AC703*(1+$G$53)-MAX($B$9,0.01*AC703+AC703*$G$53)&gt;1E-9,AC703*(1+$G$53)-MAX($B$9,0.01*AC703+AC703*$G$53),0),0)</f>
        <v/>
      </c>
      <c r="AD704">
        <f>AC703*$G$53</f>
        <v/>
      </c>
      <c r="AE704">
        <f>IF(AE703&gt;1E-9,IF(AE703*(1+$G$54)-MAX($B$9,0.01*AE703+AE703*$G$54)&gt;1E-9,AE703*(1+$G$54)-MAX($B$9,0.01*AE703+AE703*$G$54),0),0)</f>
        <v/>
      </c>
      <c r="AF704">
        <f>AE703*$G$54</f>
        <v/>
      </c>
      <c r="AG704">
        <f>IF(AG703&gt;1E-9,IF(AG703*(1+$G$55)-MAX($B$9,0.01*AG703+AG703*$G$55)&gt;1E-9,AG703*(1+$G$55)-MAX($B$9,0.01*AG703+AG703*$G$55),0),0)</f>
        <v/>
      </c>
      <c r="AH704">
        <f>AG703*$G$55</f>
        <v/>
      </c>
      <c r="AI704">
        <f>G704+K704+O704+S704+W704</f>
        <v/>
      </c>
      <c r="AJ704">
        <f>AI703+AK704-AI704</f>
        <v/>
      </c>
      <c r="AK704">
        <f>H704+L704+P704+T704+X704</f>
        <v/>
      </c>
      <c r="AL704">
        <f>TEXT(EDATE($B$5,D704-1),"mmm yyyy")</f>
        <v/>
      </c>
      <c r="AM704">
        <f>AI704</f>
        <v/>
      </c>
    </row>
    <row r="705">
      <c r="D705" t="n">
        <v>644</v>
      </c>
      <c r="E705">
        <f>IF(G704&gt;0,MAX(0,G704*(1+$G$51)-$H$51),0)</f>
        <v/>
      </c>
      <c r="F705">
        <f>$B$6+IF($D705=$B$8,$B$7,0)</f>
        <v/>
      </c>
      <c r="G705">
        <f>IF(E705-F705&gt;1E-9,E705-F705,0)</f>
        <v/>
      </c>
      <c r="H705">
        <f>G704*$G$51</f>
        <v/>
      </c>
      <c r="I705">
        <f>IF(K704&gt;0,MAX(0,K704*(1+$G$52)-$H$52),0)</f>
        <v/>
      </c>
      <c r="J705">
        <f>MAX(0,F705-E705)</f>
        <v/>
      </c>
      <c r="K705">
        <f>IF(I705-J705&gt;1E-9,I705-J705,0)</f>
        <v/>
      </c>
      <c r="L705">
        <f>K704*$G$52</f>
        <v/>
      </c>
      <c r="M705">
        <f>IF(O704&gt;0,MAX(0,O704*(1+$G$53)-$H$53),0)</f>
        <v/>
      </c>
      <c r="N705">
        <f>MAX(0,J705-I705)</f>
        <v/>
      </c>
      <c r="O705">
        <f>IF(M705-N705&gt;1E-9,M705-N705,0)</f>
        <v/>
      </c>
      <c r="P705">
        <f>O704*$G$53</f>
        <v/>
      </c>
      <c r="Q705">
        <f>IF(S704&gt;0,MAX(0,S704*(1+$G$54)-$H$54),0)</f>
        <v/>
      </c>
      <c r="R705">
        <f>MAX(0,N705-M705)</f>
        <v/>
      </c>
      <c r="S705">
        <f>IF(Q705-R705&gt;1E-9,Q705-R705,0)</f>
        <v/>
      </c>
      <c r="T705">
        <f>S704*$G$54</f>
        <v/>
      </c>
      <c r="U705">
        <f>IF(W704&gt;0,MAX(0,W704*(1+$G$55)-$H$55),0)</f>
        <v/>
      </c>
      <c r="V705">
        <f>MAX(0,R705-Q705)</f>
        <v/>
      </c>
      <c r="W705">
        <f>IF(U705-V705&gt;1E-9,U705-V705,0)</f>
        <v/>
      </c>
      <c r="X705">
        <f>W704*$G$55</f>
        <v/>
      </c>
      <c r="Y705">
        <f>IF(Y704&gt;1E-9,IF(Y704*(1+$G$51)-MAX($B$9,0.01*Y704+Y704*$G$51)&gt;1E-9,Y704*(1+$G$51)-MAX($B$9,0.01*Y704+Y704*$G$51),0),0)</f>
        <v/>
      </c>
      <c r="Z705">
        <f>Y704*$G$51</f>
        <v/>
      </c>
      <c r="AA705">
        <f>IF(AA704&gt;1E-9,IF(AA704*(1+$G$52)-MAX($B$9,0.01*AA704+AA704*$G$52)&gt;1E-9,AA704*(1+$G$52)-MAX($B$9,0.01*AA704+AA704*$G$52),0),0)</f>
        <v/>
      </c>
      <c r="AB705">
        <f>AA704*$G$52</f>
        <v/>
      </c>
      <c r="AC705">
        <f>IF(AC704&gt;1E-9,IF(AC704*(1+$G$53)-MAX($B$9,0.01*AC704+AC704*$G$53)&gt;1E-9,AC704*(1+$G$53)-MAX($B$9,0.01*AC704+AC704*$G$53),0),0)</f>
        <v/>
      </c>
      <c r="AD705">
        <f>AC704*$G$53</f>
        <v/>
      </c>
      <c r="AE705">
        <f>IF(AE704&gt;1E-9,IF(AE704*(1+$G$54)-MAX($B$9,0.01*AE704+AE704*$G$54)&gt;1E-9,AE704*(1+$G$54)-MAX($B$9,0.01*AE704+AE704*$G$54),0),0)</f>
        <v/>
      </c>
      <c r="AF705">
        <f>AE704*$G$54</f>
        <v/>
      </c>
      <c r="AG705">
        <f>IF(AG704&gt;1E-9,IF(AG704*(1+$G$55)-MAX($B$9,0.01*AG704+AG704*$G$55)&gt;1E-9,AG704*(1+$G$55)-MAX($B$9,0.01*AG704+AG704*$G$55),0),0)</f>
        <v/>
      </c>
      <c r="AH705">
        <f>AG704*$G$55</f>
        <v/>
      </c>
      <c r="AI705">
        <f>G705+K705+O705+S705+W705</f>
        <v/>
      </c>
      <c r="AJ705">
        <f>AI704+AK705-AI705</f>
        <v/>
      </c>
      <c r="AK705">
        <f>H705+L705+P705+T705+X705</f>
        <v/>
      </c>
      <c r="AL705">
        <f>TEXT(EDATE($B$5,D705-1),"mmm yyyy")</f>
        <v/>
      </c>
      <c r="AM705">
        <f>AI705</f>
        <v/>
      </c>
    </row>
    <row r="706">
      <c r="D706" t="n">
        <v>645</v>
      </c>
      <c r="E706">
        <f>IF(G705&gt;0,MAX(0,G705*(1+$G$51)-$H$51),0)</f>
        <v/>
      </c>
      <c r="F706">
        <f>$B$6+IF($D706=$B$8,$B$7,0)</f>
        <v/>
      </c>
      <c r="G706">
        <f>IF(E706-F706&gt;1E-9,E706-F706,0)</f>
        <v/>
      </c>
      <c r="H706">
        <f>G705*$G$51</f>
        <v/>
      </c>
      <c r="I706">
        <f>IF(K705&gt;0,MAX(0,K705*(1+$G$52)-$H$52),0)</f>
        <v/>
      </c>
      <c r="J706">
        <f>MAX(0,F706-E706)</f>
        <v/>
      </c>
      <c r="K706">
        <f>IF(I706-J706&gt;1E-9,I706-J706,0)</f>
        <v/>
      </c>
      <c r="L706">
        <f>K705*$G$52</f>
        <v/>
      </c>
      <c r="M706">
        <f>IF(O705&gt;0,MAX(0,O705*(1+$G$53)-$H$53),0)</f>
        <v/>
      </c>
      <c r="N706">
        <f>MAX(0,J706-I706)</f>
        <v/>
      </c>
      <c r="O706">
        <f>IF(M706-N706&gt;1E-9,M706-N706,0)</f>
        <v/>
      </c>
      <c r="P706">
        <f>O705*$G$53</f>
        <v/>
      </c>
      <c r="Q706">
        <f>IF(S705&gt;0,MAX(0,S705*(1+$G$54)-$H$54),0)</f>
        <v/>
      </c>
      <c r="R706">
        <f>MAX(0,N706-M706)</f>
        <v/>
      </c>
      <c r="S706">
        <f>IF(Q706-R706&gt;1E-9,Q706-R706,0)</f>
        <v/>
      </c>
      <c r="T706">
        <f>S705*$G$54</f>
        <v/>
      </c>
      <c r="U706">
        <f>IF(W705&gt;0,MAX(0,W705*(1+$G$55)-$H$55),0)</f>
        <v/>
      </c>
      <c r="V706">
        <f>MAX(0,R706-Q706)</f>
        <v/>
      </c>
      <c r="W706">
        <f>IF(U706-V706&gt;1E-9,U706-V706,0)</f>
        <v/>
      </c>
      <c r="X706">
        <f>W705*$G$55</f>
        <v/>
      </c>
      <c r="Y706">
        <f>IF(Y705&gt;1E-9,IF(Y705*(1+$G$51)-MAX($B$9,0.01*Y705+Y705*$G$51)&gt;1E-9,Y705*(1+$G$51)-MAX($B$9,0.01*Y705+Y705*$G$51),0),0)</f>
        <v/>
      </c>
      <c r="Z706">
        <f>Y705*$G$51</f>
        <v/>
      </c>
      <c r="AA706">
        <f>IF(AA705&gt;1E-9,IF(AA705*(1+$G$52)-MAX($B$9,0.01*AA705+AA705*$G$52)&gt;1E-9,AA705*(1+$G$52)-MAX($B$9,0.01*AA705+AA705*$G$52),0),0)</f>
        <v/>
      </c>
      <c r="AB706">
        <f>AA705*$G$52</f>
        <v/>
      </c>
      <c r="AC706">
        <f>IF(AC705&gt;1E-9,IF(AC705*(1+$G$53)-MAX($B$9,0.01*AC705+AC705*$G$53)&gt;1E-9,AC705*(1+$G$53)-MAX($B$9,0.01*AC705+AC705*$G$53),0),0)</f>
        <v/>
      </c>
      <c r="AD706">
        <f>AC705*$G$53</f>
        <v/>
      </c>
      <c r="AE706">
        <f>IF(AE705&gt;1E-9,IF(AE705*(1+$G$54)-MAX($B$9,0.01*AE705+AE705*$G$54)&gt;1E-9,AE705*(1+$G$54)-MAX($B$9,0.01*AE705+AE705*$G$54),0),0)</f>
        <v/>
      </c>
      <c r="AF706">
        <f>AE705*$G$54</f>
        <v/>
      </c>
      <c r="AG706">
        <f>IF(AG705&gt;1E-9,IF(AG705*(1+$G$55)-MAX($B$9,0.01*AG705+AG705*$G$55)&gt;1E-9,AG705*(1+$G$55)-MAX($B$9,0.01*AG705+AG705*$G$55),0),0)</f>
        <v/>
      </c>
      <c r="AH706">
        <f>AG705*$G$55</f>
        <v/>
      </c>
      <c r="AI706">
        <f>G706+K706+O706+S706+W706</f>
        <v/>
      </c>
      <c r="AJ706">
        <f>AI705+AK706-AI706</f>
        <v/>
      </c>
      <c r="AK706">
        <f>H706+L706+P706+T706+X706</f>
        <v/>
      </c>
      <c r="AL706">
        <f>TEXT(EDATE($B$5,D706-1),"mmm yyyy")</f>
        <v/>
      </c>
      <c r="AM706">
        <f>AI706</f>
        <v/>
      </c>
    </row>
    <row r="707">
      <c r="D707" t="n">
        <v>646</v>
      </c>
      <c r="E707">
        <f>IF(G706&gt;0,MAX(0,G706*(1+$G$51)-$H$51),0)</f>
        <v/>
      </c>
      <c r="F707">
        <f>$B$6+IF($D707=$B$8,$B$7,0)</f>
        <v/>
      </c>
      <c r="G707">
        <f>IF(E707-F707&gt;1E-9,E707-F707,0)</f>
        <v/>
      </c>
      <c r="H707">
        <f>G706*$G$51</f>
        <v/>
      </c>
      <c r="I707">
        <f>IF(K706&gt;0,MAX(0,K706*(1+$G$52)-$H$52),0)</f>
        <v/>
      </c>
      <c r="J707">
        <f>MAX(0,F707-E707)</f>
        <v/>
      </c>
      <c r="K707">
        <f>IF(I707-J707&gt;1E-9,I707-J707,0)</f>
        <v/>
      </c>
      <c r="L707">
        <f>K706*$G$52</f>
        <v/>
      </c>
      <c r="M707">
        <f>IF(O706&gt;0,MAX(0,O706*(1+$G$53)-$H$53),0)</f>
        <v/>
      </c>
      <c r="N707">
        <f>MAX(0,J707-I707)</f>
        <v/>
      </c>
      <c r="O707">
        <f>IF(M707-N707&gt;1E-9,M707-N707,0)</f>
        <v/>
      </c>
      <c r="P707">
        <f>O706*$G$53</f>
        <v/>
      </c>
      <c r="Q707">
        <f>IF(S706&gt;0,MAX(0,S706*(1+$G$54)-$H$54),0)</f>
        <v/>
      </c>
      <c r="R707">
        <f>MAX(0,N707-M707)</f>
        <v/>
      </c>
      <c r="S707">
        <f>IF(Q707-R707&gt;1E-9,Q707-R707,0)</f>
        <v/>
      </c>
      <c r="T707">
        <f>S706*$G$54</f>
        <v/>
      </c>
      <c r="U707">
        <f>IF(W706&gt;0,MAX(0,W706*(1+$G$55)-$H$55),0)</f>
        <v/>
      </c>
      <c r="V707">
        <f>MAX(0,R707-Q707)</f>
        <v/>
      </c>
      <c r="W707">
        <f>IF(U707-V707&gt;1E-9,U707-V707,0)</f>
        <v/>
      </c>
      <c r="X707">
        <f>W706*$G$55</f>
        <v/>
      </c>
      <c r="Y707">
        <f>IF(Y706&gt;1E-9,IF(Y706*(1+$G$51)-MAX($B$9,0.01*Y706+Y706*$G$51)&gt;1E-9,Y706*(1+$G$51)-MAX($B$9,0.01*Y706+Y706*$G$51),0),0)</f>
        <v/>
      </c>
      <c r="Z707">
        <f>Y706*$G$51</f>
        <v/>
      </c>
      <c r="AA707">
        <f>IF(AA706&gt;1E-9,IF(AA706*(1+$G$52)-MAX($B$9,0.01*AA706+AA706*$G$52)&gt;1E-9,AA706*(1+$G$52)-MAX($B$9,0.01*AA706+AA706*$G$52),0),0)</f>
        <v/>
      </c>
      <c r="AB707">
        <f>AA706*$G$52</f>
        <v/>
      </c>
      <c r="AC707">
        <f>IF(AC706&gt;1E-9,IF(AC706*(1+$G$53)-MAX($B$9,0.01*AC706+AC706*$G$53)&gt;1E-9,AC706*(1+$G$53)-MAX($B$9,0.01*AC706+AC706*$G$53),0),0)</f>
        <v/>
      </c>
      <c r="AD707">
        <f>AC706*$G$53</f>
        <v/>
      </c>
      <c r="AE707">
        <f>IF(AE706&gt;1E-9,IF(AE706*(1+$G$54)-MAX($B$9,0.01*AE706+AE706*$G$54)&gt;1E-9,AE706*(1+$G$54)-MAX($B$9,0.01*AE706+AE706*$G$54),0),0)</f>
        <v/>
      </c>
      <c r="AF707">
        <f>AE706*$G$54</f>
        <v/>
      </c>
      <c r="AG707">
        <f>IF(AG706&gt;1E-9,IF(AG706*(1+$G$55)-MAX($B$9,0.01*AG706+AG706*$G$55)&gt;1E-9,AG706*(1+$G$55)-MAX($B$9,0.01*AG706+AG706*$G$55),0),0)</f>
        <v/>
      </c>
      <c r="AH707">
        <f>AG706*$G$55</f>
        <v/>
      </c>
      <c r="AI707">
        <f>G707+K707+O707+S707+W707</f>
        <v/>
      </c>
      <c r="AJ707">
        <f>AI706+AK707-AI707</f>
        <v/>
      </c>
      <c r="AK707">
        <f>H707+L707+P707+T707+X707</f>
        <v/>
      </c>
      <c r="AL707">
        <f>TEXT(EDATE($B$5,D707-1),"mmm yyyy")</f>
        <v/>
      </c>
      <c r="AM707">
        <f>AI707</f>
        <v/>
      </c>
    </row>
    <row r="708">
      <c r="D708" t="n">
        <v>647</v>
      </c>
      <c r="E708">
        <f>IF(G707&gt;0,MAX(0,G707*(1+$G$51)-$H$51),0)</f>
        <v/>
      </c>
      <c r="F708">
        <f>$B$6+IF($D708=$B$8,$B$7,0)</f>
        <v/>
      </c>
      <c r="G708">
        <f>IF(E708-F708&gt;1E-9,E708-F708,0)</f>
        <v/>
      </c>
      <c r="H708">
        <f>G707*$G$51</f>
        <v/>
      </c>
      <c r="I708">
        <f>IF(K707&gt;0,MAX(0,K707*(1+$G$52)-$H$52),0)</f>
        <v/>
      </c>
      <c r="J708">
        <f>MAX(0,F708-E708)</f>
        <v/>
      </c>
      <c r="K708">
        <f>IF(I708-J708&gt;1E-9,I708-J708,0)</f>
        <v/>
      </c>
      <c r="L708">
        <f>K707*$G$52</f>
        <v/>
      </c>
      <c r="M708">
        <f>IF(O707&gt;0,MAX(0,O707*(1+$G$53)-$H$53),0)</f>
        <v/>
      </c>
      <c r="N708">
        <f>MAX(0,J708-I708)</f>
        <v/>
      </c>
      <c r="O708">
        <f>IF(M708-N708&gt;1E-9,M708-N708,0)</f>
        <v/>
      </c>
      <c r="P708">
        <f>O707*$G$53</f>
        <v/>
      </c>
      <c r="Q708">
        <f>IF(S707&gt;0,MAX(0,S707*(1+$G$54)-$H$54),0)</f>
        <v/>
      </c>
      <c r="R708">
        <f>MAX(0,N708-M708)</f>
        <v/>
      </c>
      <c r="S708">
        <f>IF(Q708-R708&gt;1E-9,Q708-R708,0)</f>
        <v/>
      </c>
      <c r="T708">
        <f>S707*$G$54</f>
        <v/>
      </c>
      <c r="U708">
        <f>IF(W707&gt;0,MAX(0,W707*(1+$G$55)-$H$55),0)</f>
        <v/>
      </c>
      <c r="V708">
        <f>MAX(0,R708-Q708)</f>
        <v/>
      </c>
      <c r="W708">
        <f>IF(U708-V708&gt;1E-9,U708-V708,0)</f>
        <v/>
      </c>
      <c r="X708">
        <f>W707*$G$55</f>
        <v/>
      </c>
      <c r="Y708">
        <f>IF(Y707&gt;1E-9,IF(Y707*(1+$G$51)-MAX($B$9,0.01*Y707+Y707*$G$51)&gt;1E-9,Y707*(1+$G$51)-MAX($B$9,0.01*Y707+Y707*$G$51),0),0)</f>
        <v/>
      </c>
      <c r="Z708">
        <f>Y707*$G$51</f>
        <v/>
      </c>
      <c r="AA708">
        <f>IF(AA707&gt;1E-9,IF(AA707*(1+$G$52)-MAX($B$9,0.01*AA707+AA707*$G$52)&gt;1E-9,AA707*(1+$G$52)-MAX($B$9,0.01*AA707+AA707*$G$52),0),0)</f>
        <v/>
      </c>
      <c r="AB708">
        <f>AA707*$G$52</f>
        <v/>
      </c>
      <c r="AC708">
        <f>IF(AC707&gt;1E-9,IF(AC707*(1+$G$53)-MAX($B$9,0.01*AC707+AC707*$G$53)&gt;1E-9,AC707*(1+$G$53)-MAX($B$9,0.01*AC707+AC707*$G$53),0),0)</f>
        <v/>
      </c>
      <c r="AD708">
        <f>AC707*$G$53</f>
        <v/>
      </c>
      <c r="AE708">
        <f>IF(AE707&gt;1E-9,IF(AE707*(1+$G$54)-MAX($B$9,0.01*AE707+AE707*$G$54)&gt;1E-9,AE707*(1+$G$54)-MAX($B$9,0.01*AE707+AE707*$G$54),0),0)</f>
        <v/>
      </c>
      <c r="AF708">
        <f>AE707*$G$54</f>
        <v/>
      </c>
      <c r="AG708">
        <f>IF(AG707&gt;1E-9,IF(AG707*(1+$G$55)-MAX($B$9,0.01*AG707+AG707*$G$55)&gt;1E-9,AG707*(1+$G$55)-MAX($B$9,0.01*AG707+AG707*$G$55),0),0)</f>
        <v/>
      </c>
      <c r="AH708">
        <f>AG707*$G$55</f>
        <v/>
      </c>
      <c r="AI708">
        <f>G708+K708+O708+S708+W708</f>
        <v/>
      </c>
      <c r="AJ708">
        <f>AI707+AK708-AI708</f>
        <v/>
      </c>
      <c r="AK708">
        <f>H708+L708+P708+T708+X708</f>
        <v/>
      </c>
      <c r="AL708">
        <f>TEXT(EDATE($B$5,D708-1),"mmm yyyy")</f>
        <v/>
      </c>
      <c r="AM708">
        <f>AI708</f>
        <v/>
      </c>
    </row>
    <row r="709">
      <c r="D709" t="n">
        <v>648</v>
      </c>
      <c r="E709">
        <f>IF(G708&gt;0,MAX(0,G708*(1+$G$51)-$H$51),0)</f>
        <v/>
      </c>
      <c r="F709">
        <f>$B$6+IF($D709=$B$8,$B$7,0)</f>
        <v/>
      </c>
      <c r="G709">
        <f>IF(E709-F709&gt;1E-9,E709-F709,0)</f>
        <v/>
      </c>
      <c r="H709">
        <f>G708*$G$51</f>
        <v/>
      </c>
      <c r="I709">
        <f>IF(K708&gt;0,MAX(0,K708*(1+$G$52)-$H$52),0)</f>
        <v/>
      </c>
      <c r="J709">
        <f>MAX(0,F709-E709)</f>
        <v/>
      </c>
      <c r="K709">
        <f>IF(I709-J709&gt;1E-9,I709-J709,0)</f>
        <v/>
      </c>
      <c r="L709">
        <f>K708*$G$52</f>
        <v/>
      </c>
      <c r="M709">
        <f>IF(O708&gt;0,MAX(0,O708*(1+$G$53)-$H$53),0)</f>
        <v/>
      </c>
      <c r="N709">
        <f>MAX(0,J709-I709)</f>
        <v/>
      </c>
      <c r="O709">
        <f>IF(M709-N709&gt;1E-9,M709-N709,0)</f>
        <v/>
      </c>
      <c r="P709">
        <f>O708*$G$53</f>
        <v/>
      </c>
      <c r="Q709">
        <f>IF(S708&gt;0,MAX(0,S708*(1+$G$54)-$H$54),0)</f>
        <v/>
      </c>
      <c r="R709">
        <f>MAX(0,N709-M709)</f>
        <v/>
      </c>
      <c r="S709">
        <f>IF(Q709-R709&gt;1E-9,Q709-R709,0)</f>
        <v/>
      </c>
      <c r="T709">
        <f>S708*$G$54</f>
        <v/>
      </c>
      <c r="U709">
        <f>IF(W708&gt;0,MAX(0,W708*(1+$G$55)-$H$55),0)</f>
        <v/>
      </c>
      <c r="V709">
        <f>MAX(0,R709-Q709)</f>
        <v/>
      </c>
      <c r="W709">
        <f>IF(U709-V709&gt;1E-9,U709-V709,0)</f>
        <v/>
      </c>
      <c r="X709">
        <f>W708*$G$55</f>
        <v/>
      </c>
      <c r="Y709">
        <f>IF(Y708&gt;1E-9,IF(Y708*(1+$G$51)-MAX($B$9,0.01*Y708+Y708*$G$51)&gt;1E-9,Y708*(1+$G$51)-MAX($B$9,0.01*Y708+Y708*$G$51),0),0)</f>
        <v/>
      </c>
      <c r="Z709">
        <f>Y708*$G$51</f>
        <v/>
      </c>
      <c r="AA709">
        <f>IF(AA708&gt;1E-9,IF(AA708*(1+$G$52)-MAX($B$9,0.01*AA708+AA708*$G$52)&gt;1E-9,AA708*(1+$G$52)-MAX($B$9,0.01*AA708+AA708*$G$52),0),0)</f>
        <v/>
      </c>
      <c r="AB709">
        <f>AA708*$G$52</f>
        <v/>
      </c>
      <c r="AC709">
        <f>IF(AC708&gt;1E-9,IF(AC708*(1+$G$53)-MAX($B$9,0.01*AC708+AC708*$G$53)&gt;1E-9,AC708*(1+$G$53)-MAX($B$9,0.01*AC708+AC708*$G$53),0),0)</f>
        <v/>
      </c>
      <c r="AD709">
        <f>AC708*$G$53</f>
        <v/>
      </c>
      <c r="AE709">
        <f>IF(AE708&gt;1E-9,IF(AE708*(1+$G$54)-MAX($B$9,0.01*AE708+AE708*$G$54)&gt;1E-9,AE708*(1+$G$54)-MAX($B$9,0.01*AE708+AE708*$G$54),0),0)</f>
        <v/>
      </c>
      <c r="AF709">
        <f>AE708*$G$54</f>
        <v/>
      </c>
      <c r="AG709">
        <f>IF(AG708&gt;1E-9,IF(AG708*(1+$G$55)-MAX($B$9,0.01*AG708+AG708*$G$55)&gt;1E-9,AG708*(1+$G$55)-MAX($B$9,0.01*AG708+AG708*$G$55),0),0)</f>
        <v/>
      </c>
      <c r="AH709">
        <f>AG708*$G$55</f>
        <v/>
      </c>
      <c r="AI709">
        <f>G709+K709+O709+S709+W709</f>
        <v/>
      </c>
      <c r="AJ709">
        <f>AI708+AK709-AI709</f>
        <v/>
      </c>
      <c r="AK709">
        <f>H709+L709+P709+T709+X709</f>
        <v/>
      </c>
      <c r="AL709">
        <f>TEXT(EDATE($B$5,D709-1),"mmm yyyy")</f>
        <v/>
      </c>
      <c r="AM709">
        <f>AI709</f>
        <v/>
      </c>
    </row>
    <row r="710">
      <c r="D710" t="n">
        <v>649</v>
      </c>
      <c r="E710">
        <f>IF(G709&gt;0,MAX(0,G709*(1+$G$51)-$H$51),0)</f>
        <v/>
      </c>
      <c r="F710">
        <f>$B$6+IF($D710=$B$8,$B$7,0)</f>
        <v/>
      </c>
      <c r="G710">
        <f>IF(E710-F710&gt;1E-9,E710-F710,0)</f>
        <v/>
      </c>
      <c r="H710">
        <f>G709*$G$51</f>
        <v/>
      </c>
      <c r="I710">
        <f>IF(K709&gt;0,MAX(0,K709*(1+$G$52)-$H$52),0)</f>
        <v/>
      </c>
      <c r="J710">
        <f>MAX(0,F710-E710)</f>
        <v/>
      </c>
      <c r="K710">
        <f>IF(I710-J710&gt;1E-9,I710-J710,0)</f>
        <v/>
      </c>
      <c r="L710">
        <f>K709*$G$52</f>
        <v/>
      </c>
      <c r="M710">
        <f>IF(O709&gt;0,MAX(0,O709*(1+$G$53)-$H$53),0)</f>
        <v/>
      </c>
      <c r="N710">
        <f>MAX(0,J710-I710)</f>
        <v/>
      </c>
      <c r="O710">
        <f>IF(M710-N710&gt;1E-9,M710-N710,0)</f>
        <v/>
      </c>
      <c r="P710">
        <f>O709*$G$53</f>
        <v/>
      </c>
      <c r="Q710">
        <f>IF(S709&gt;0,MAX(0,S709*(1+$G$54)-$H$54),0)</f>
        <v/>
      </c>
      <c r="R710">
        <f>MAX(0,N710-M710)</f>
        <v/>
      </c>
      <c r="S710">
        <f>IF(Q710-R710&gt;1E-9,Q710-R710,0)</f>
        <v/>
      </c>
      <c r="T710">
        <f>S709*$G$54</f>
        <v/>
      </c>
      <c r="U710">
        <f>IF(W709&gt;0,MAX(0,W709*(1+$G$55)-$H$55),0)</f>
        <v/>
      </c>
      <c r="V710">
        <f>MAX(0,R710-Q710)</f>
        <v/>
      </c>
      <c r="W710">
        <f>IF(U710-V710&gt;1E-9,U710-V710,0)</f>
        <v/>
      </c>
      <c r="X710">
        <f>W709*$G$55</f>
        <v/>
      </c>
      <c r="Y710">
        <f>IF(Y709&gt;1E-9,IF(Y709*(1+$G$51)-MAX($B$9,0.01*Y709+Y709*$G$51)&gt;1E-9,Y709*(1+$G$51)-MAX($B$9,0.01*Y709+Y709*$G$51),0),0)</f>
        <v/>
      </c>
      <c r="Z710">
        <f>Y709*$G$51</f>
        <v/>
      </c>
      <c r="AA710">
        <f>IF(AA709&gt;1E-9,IF(AA709*(1+$G$52)-MAX($B$9,0.01*AA709+AA709*$G$52)&gt;1E-9,AA709*(1+$G$52)-MAX($B$9,0.01*AA709+AA709*$G$52),0),0)</f>
        <v/>
      </c>
      <c r="AB710">
        <f>AA709*$G$52</f>
        <v/>
      </c>
      <c r="AC710">
        <f>IF(AC709&gt;1E-9,IF(AC709*(1+$G$53)-MAX($B$9,0.01*AC709+AC709*$G$53)&gt;1E-9,AC709*(1+$G$53)-MAX($B$9,0.01*AC709+AC709*$G$53),0),0)</f>
        <v/>
      </c>
      <c r="AD710">
        <f>AC709*$G$53</f>
        <v/>
      </c>
      <c r="AE710">
        <f>IF(AE709&gt;1E-9,IF(AE709*(1+$G$54)-MAX($B$9,0.01*AE709+AE709*$G$54)&gt;1E-9,AE709*(1+$G$54)-MAX($B$9,0.01*AE709+AE709*$G$54),0),0)</f>
        <v/>
      </c>
      <c r="AF710">
        <f>AE709*$G$54</f>
        <v/>
      </c>
      <c r="AG710">
        <f>IF(AG709&gt;1E-9,IF(AG709*(1+$G$55)-MAX($B$9,0.01*AG709+AG709*$G$55)&gt;1E-9,AG709*(1+$G$55)-MAX($B$9,0.01*AG709+AG709*$G$55),0),0)</f>
        <v/>
      </c>
      <c r="AH710">
        <f>AG709*$G$55</f>
        <v/>
      </c>
      <c r="AI710">
        <f>G710+K710+O710+S710+W710</f>
        <v/>
      </c>
      <c r="AJ710">
        <f>AI709+AK710-AI710</f>
        <v/>
      </c>
      <c r="AK710">
        <f>H710+L710+P710+T710+X710</f>
        <v/>
      </c>
      <c r="AL710">
        <f>TEXT(EDATE($B$5,D710-1),"mmm yyyy")</f>
        <v/>
      </c>
      <c r="AM710">
        <f>AI710</f>
        <v/>
      </c>
    </row>
    <row r="711">
      <c r="D711" t="n">
        <v>650</v>
      </c>
      <c r="E711">
        <f>IF(G710&gt;0,MAX(0,G710*(1+$G$51)-$H$51),0)</f>
        <v/>
      </c>
      <c r="F711">
        <f>$B$6+IF($D711=$B$8,$B$7,0)</f>
        <v/>
      </c>
      <c r="G711">
        <f>IF(E711-F711&gt;1E-9,E711-F711,0)</f>
        <v/>
      </c>
      <c r="H711">
        <f>G710*$G$51</f>
        <v/>
      </c>
      <c r="I711">
        <f>IF(K710&gt;0,MAX(0,K710*(1+$G$52)-$H$52),0)</f>
        <v/>
      </c>
      <c r="J711">
        <f>MAX(0,F711-E711)</f>
        <v/>
      </c>
      <c r="K711">
        <f>IF(I711-J711&gt;1E-9,I711-J711,0)</f>
        <v/>
      </c>
      <c r="L711">
        <f>K710*$G$52</f>
        <v/>
      </c>
      <c r="M711">
        <f>IF(O710&gt;0,MAX(0,O710*(1+$G$53)-$H$53),0)</f>
        <v/>
      </c>
      <c r="N711">
        <f>MAX(0,J711-I711)</f>
        <v/>
      </c>
      <c r="O711">
        <f>IF(M711-N711&gt;1E-9,M711-N711,0)</f>
        <v/>
      </c>
      <c r="P711">
        <f>O710*$G$53</f>
        <v/>
      </c>
      <c r="Q711">
        <f>IF(S710&gt;0,MAX(0,S710*(1+$G$54)-$H$54),0)</f>
        <v/>
      </c>
      <c r="R711">
        <f>MAX(0,N711-M711)</f>
        <v/>
      </c>
      <c r="S711">
        <f>IF(Q711-R711&gt;1E-9,Q711-R711,0)</f>
        <v/>
      </c>
      <c r="T711">
        <f>S710*$G$54</f>
        <v/>
      </c>
      <c r="U711">
        <f>IF(W710&gt;0,MAX(0,W710*(1+$G$55)-$H$55),0)</f>
        <v/>
      </c>
      <c r="V711">
        <f>MAX(0,R711-Q711)</f>
        <v/>
      </c>
      <c r="W711">
        <f>IF(U711-V711&gt;1E-9,U711-V711,0)</f>
        <v/>
      </c>
      <c r="X711">
        <f>W710*$G$55</f>
        <v/>
      </c>
      <c r="Y711">
        <f>IF(Y710&gt;1E-9,IF(Y710*(1+$G$51)-MAX($B$9,0.01*Y710+Y710*$G$51)&gt;1E-9,Y710*(1+$G$51)-MAX($B$9,0.01*Y710+Y710*$G$51),0),0)</f>
        <v/>
      </c>
      <c r="Z711">
        <f>Y710*$G$51</f>
        <v/>
      </c>
      <c r="AA711">
        <f>IF(AA710&gt;1E-9,IF(AA710*(1+$G$52)-MAX($B$9,0.01*AA710+AA710*$G$52)&gt;1E-9,AA710*(1+$G$52)-MAX($B$9,0.01*AA710+AA710*$G$52),0),0)</f>
        <v/>
      </c>
      <c r="AB711">
        <f>AA710*$G$52</f>
        <v/>
      </c>
      <c r="AC711">
        <f>IF(AC710&gt;1E-9,IF(AC710*(1+$G$53)-MAX($B$9,0.01*AC710+AC710*$G$53)&gt;1E-9,AC710*(1+$G$53)-MAX($B$9,0.01*AC710+AC710*$G$53),0),0)</f>
        <v/>
      </c>
      <c r="AD711">
        <f>AC710*$G$53</f>
        <v/>
      </c>
      <c r="AE711">
        <f>IF(AE710&gt;1E-9,IF(AE710*(1+$G$54)-MAX($B$9,0.01*AE710+AE710*$G$54)&gt;1E-9,AE710*(1+$G$54)-MAX($B$9,0.01*AE710+AE710*$G$54),0),0)</f>
        <v/>
      </c>
      <c r="AF711">
        <f>AE710*$G$54</f>
        <v/>
      </c>
      <c r="AG711">
        <f>IF(AG710&gt;1E-9,IF(AG710*(1+$G$55)-MAX($B$9,0.01*AG710+AG710*$G$55)&gt;1E-9,AG710*(1+$G$55)-MAX($B$9,0.01*AG710+AG710*$G$55),0),0)</f>
        <v/>
      </c>
      <c r="AH711">
        <f>AG710*$G$55</f>
        <v/>
      </c>
      <c r="AI711">
        <f>G711+K711+O711+S711+W711</f>
        <v/>
      </c>
      <c r="AJ711">
        <f>AI710+AK711-AI711</f>
        <v/>
      </c>
      <c r="AK711">
        <f>H711+L711+P711+T711+X711</f>
        <v/>
      </c>
      <c r="AL711">
        <f>TEXT(EDATE($B$5,D711-1),"mmm yyyy")</f>
        <v/>
      </c>
      <c r="AM711">
        <f>AI711</f>
        <v/>
      </c>
    </row>
    <row r="712">
      <c r="D712" t="n">
        <v>651</v>
      </c>
      <c r="E712">
        <f>IF(G711&gt;0,MAX(0,G711*(1+$G$51)-$H$51),0)</f>
        <v/>
      </c>
      <c r="F712">
        <f>$B$6+IF($D712=$B$8,$B$7,0)</f>
        <v/>
      </c>
      <c r="G712">
        <f>IF(E712-F712&gt;1E-9,E712-F712,0)</f>
        <v/>
      </c>
      <c r="H712">
        <f>G711*$G$51</f>
        <v/>
      </c>
      <c r="I712">
        <f>IF(K711&gt;0,MAX(0,K711*(1+$G$52)-$H$52),0)</f>
        <v/>
      </c>
      <c r="J712">
        <f>MAX(0,F712-E712)</f>
        <v/>
      </c>
      <c r="K712">
        <f>IF(I712-J712&gt;1E-9,I712-J712,0)</f>
        <v/>
      </c>
      <c r="L712">
        <f>K711*$G$52</f>
        <v/>
      </c>
      <c r="M712">
        <f>IF(O711&gt;0,MAX(0,O711*(1+$G$53)-$H$53),0)</f>
        <v/>
      </c>
      <c r="N712">
        <f>MAX(0,J712-I712)</f>
        <v/>
      </c>
      <c r="O712">
        <f>IF(M712-N712&gt;1E-9,M712-N712,0)</f>
        <v/>
      </c>
      <c r="P712">
        <f>O711*$G$53</f>
        <v/>
      </c>
      <c r="Q712">
        <f>IF(S711&gt;0,MAX(0,S711*(1+$G$54)-$H$54),0)</f>
        <v/>
      </c>
      <c r="R712">
        <f>MAX(0,N712-M712)</f>
        <v/>
      </c>
      <c r="S712">
        <f>IF(Q712-R712&gt;1E-9,Q712-R712,0)</f>
        <v/>
      </c>
      <c r="T712">
        <f>S711*$G$54</f>
        <v/>
      </c>
      <c r="U712">
        <f>IF(W711&gt;0,MAX(0,W711*(1+$G$55)-$H$55),0)</f>
        <v/>
      </c>
      <c r="V712">
        <f>MAX(0,R712-Q712)</f>
        <v/>
      </c>
      <c r="W712">
        <f>IF(U712-V712&gt;1E-9,U712-V712,0)</f>
        <v/>
      </c>
      <c r="X712">
        <f>W711*$G$55</f>
        <v/>
      </c>
      <c r="Y712">
        <f>IF(Y711&gt;1E-9,IF(Y711*(1+$G$51)-MAX($B$9,0.01*Y711+Y711*$G$51)&gt;1E-9,Y711*(1+$G$51)-MAX($B$9,0.01*Y711+Y711*$G$51),0),0)</f>
        <v/>
      </c>
      <c r="Z712">
        <f>Y711*$G$51</f>
        <v/>
      </c>
      <c r="AA712">
        <f>IF(AA711&gt;1E-9,IF(AA711*(1+$G$52)-MAX($B$9,0.01*AA711+AA711*$G$52)&gt;1E-9,AA711*(1+$G$52)-MAX($B$9,0.01*AA711+AA711*$G$52),0),0)</f>
        <v/>
      </c>
      <c r="AB712">
        <f>AA711*$G$52</f>
        <v/>
      </c>
      <c r="AC712">
        <f>IF(AC711&gt;1E-9,IF(AC711*(1+$G$53)-MAX($B$9,0.01*AC711+AC711*$G$53)&gt;1E-9,AC711*(1+$G$53)-MAX($B$9,0.01*AC711+AC711*$G$53),0),0)</f>
        <v/>
      </c>
      <c r="AD712">
        <f>AC711*$G$53</f>
        <v/>
      </c>
      <c r="AE712">
        <f>IF(AE711&gt;1E-9,IF(AE711*(1+$G$54)-MAX($B$9,0.01*AE711+AE711*$G$54)&gt;1E-9,AE711*(1+$G$54)-MAX($B$9,0.01*AE711+AE711*$G$54),0),0)</f>
        <v/>
      </c>
      <c r="AF712">
        <f>AE711*$G$54</f>
        <v/>
      </c>
      <c r="AG712">
        <f>IF(AG711&gt;1E-9,IF(AG711*(1+$G$55)-MAX($B$9,0.01*AG711+AG711*$G$55)&gt;1E-9,AG711*(1+$G$55)-MAX($B$9,0.01*AG711+AG711*$G$55),0),0)</f>
        <v/>
      </c>
      <c r="AH712">
        <f>AG711*$G$55</f>
        <v/>
      </c>
      <c r="AI712">
        <f>G712+K712+O712+S712+W712</f>
        <v/>
      </c>
      <c r="AJ712">
        <f>AI711+AK712-AI712</f>
        <v/>
      </c>
      <c r="AK712">
        <f>H712+L712+P712+T712+X712</f>
        <v/>
      </c>
      <c r="AL712">
        <f>TEXT(EDATE($B$5,D712-1),"mmm yyyy")</f>
        <v/>
      </c>
      <c r="AM712">
        <f>AI712</f>
        <v/>
      </c>
    </row>
    <row r="713">
      <c r="D713" t="n">
        <v>652</v>
      </c>
      <c r="E713">
        <f>IF(G712&gt;0,MAX(0,G712*(1+$G$51)-$H$51),0)</f>
        <v/>
      </c>
      <c r="F713">
        <f>$B$6+IF($D713=$B$8,$B$7,0)</f>
        <v/>
      </c>
      <c r="G713">
        <f>IF(E713-F713&gt;1E-9,E713-F713,0)</f>
        <v/>
      </c>
      <c r="H713">
        <f>G712*$G$51</f>
        <v/>
      </c>
      <c r="I713">
        <f>IF(K712&gt;0,MAX(0,K712*(1+$G$52)-$H$52),0)</f>
        <v/>
      </c>
      <c r="J713">
        <f>MAX(0,F713-E713)</f>
        <v/>
      </c>
      <c r="K713">
        <f>IF(I713-J713&gt;1E-9,I713-J713,0)</f>
        <v/>
      </c>
      <c r="L713">
        <f>K712*$G$52</f>
        <v/>
      </c>
      <c r="M713">
        <f>IF(O712&gt;0,MAX(0,O712*(1+$G$53)-$H$53),0)</f>
        <v/>
      </c>
      <c r="N713">
        <f>MAX(0,J713-I713)</f>
        <v/>
      </c>
      <c r="O713">
        <f>IF(M713-N713&gt;1E-9,M713-N713,0)</f>
        <v/>
      </c>
      <c r="P713">
        <f>O712*$G$53</f>
        <v/>
      </c>
      <c r="Q713">
        <f>IF(S712&gt;0,MAX(0,S712*(1+$G$54)-$H$54),0)</f>
        <v/>
      </c>
      <c r="R713">
        <f>MAX(0,N713-M713)</f>
        <v/>
      </c>
      <c r="S713">
        <f>IF(Q713-R713&gt;1E-9,Q713-R713,0)</f>
        <v/>
      </c>
      <c r="T713">
        <f>S712*$G$54</f>
        <v/>
      </c>
      <c r="U713">
        <f>IF(W712&gt;0,MAX(0,W712*(1+$G$55)-$H$55),0)</f>
        <v/>
      </c>
      <c r="V713">
        <f>MAX(0,R713-Q713)</f>
        <v/>
      </c>
      <c r="W713">
        <f>IF(U713-V713&gt;1E-9,U713-V713,0)</f>
        <v/>
      </c>
      <c r="X713">
        <f>W712*$G$55</f>
        <v/>
      </c>
      <c r="Y713">
        <f>IF(Y712&gt;1E-9,IF(Y712*(1+$G$51)-MAX($B$9,0.01*Y712+Y712*$G$51)&gt;1E-9,Y712*(1+$G$51)-MAX($B$9,0.01*Y712+Y712*$G$51),0),0)</f>
        <v/>
      </c>
      <c r="Z713">
        <f>Y712*$G$51</f>
        <v/>
      </c>
      <c r="AA713">
        <f>IF(AA712&gt;1E-9,IF(AA712*(1+$G$52)-MAX($B$9,0.01*AA712+AA712*$G$52)&gt;1E-9,AA712*(1+$G$52)-MAX($B$9,0.01*AA712+AA712*$G$52),0),0)</f>
        <v/>
      </c>
      <c r="AB713">
        <f>AA712*$G$52</f>
        <v/>
      </c>
      <c r="AC713">
        <f>IF(AC712&gt;1E-9,IF(AC712*(1+$G$53)-MAX($B$9,0.01*AC712+AC712*$G$53)&gt;1E-9,AC712*(1+$G$53)-MAX($B$9,0.01*AC712+AC712*$G$53),0),0)</f>
        <v/>
      </c>
      <c r="AD713">
        <f>AC712*$G$53</f>
        <v/>
      </c>
      <c r="AE713">
        <f>IF(AE712&gt;1E-9,IF(AE712*(1+$G$54)-MAX($B$9,0.01*AE712+AE712*$G$54)&gt;1E-9,AE712*(1+$G$54)-MAX($B$9,0.01*AE712+AE712*$G$54),0),0)</f>
        <v/>
      </c>
      <c r="AF713">
        <f>AE712*$G$54</f>
        <v/>
      </c>
      <c r="AG713">
        <f>IF(AG712&gt;1E-9,IF(AG712*(1+$G$55)-MAX($B$9,0.01*AG712+AG712*$G$55)&gt;1E-9,AG712*(1+$G$55)-MAX($B$9,0.01*AG712+AG712*$G$55),0),0)</f>
        <v/>
      </c>
      <c r="AH713">
        <f>AG712*$G$55</f>
        <v/>
      </c>
      <c r="AI713">
        <f>G713+K713+O713+S713+W713</f>
        <v/>
      </c>
      <c r="AJ713">
        <f>AI712+AK713-AI713</f>
        <v/>
      </c>
      <c r="AK713">
        <f>H713+L713+P713+T713+X713</f>
        <v/>
      </c>
      <c r="AL713">
        <f>TEXT(EDATE($B$5,D713-1),"mmm yyyy")</f>
        <v/>
      </c>
      <c r="AM713">
        <f>AI713</f>
        <v/>
      </c>
    </row>
    <row r="714">
      <c r="D714" t="n">
        <v>653</v>
      </c>
      <c r="E714">
        <f>IF(G713&gt;0,MAX(0,G713*(1+$G$51)-$H$51),0)</f>
        <v/>
      </c>
      <c r="F714">
        <f>$B$6+IF($D714=$B$8,$B$7,0)</f>
        <v/>
      </c>
      <c r="G714">
        <f>IF(E714-F714&gt;1E-9,E714-F714,0)</f>
        <v/>
      </c>
      <c r="H714">
        <f>G713*$G$51</f>
        <v/>
      </c>
      <c r="I714">
        <f>IF(K713&gt;0,MAX(0,K713*(1+$G$52)-$H$52),0)</f>
        <v/>
      </c>
      <c r="J714">
        <f>MAX(0,F714-E714)</f>
        <v/>
      </c>
      <c r="K714">
        <f>IF(I714-J714&gt;1E-9,I714-J714,0)</f>
        <v/>
      </c>
      <c r="L714">
        <f>K713*$G$52</f>
        <v/>
      </c>
      <c r="M714">
        <f>IF(O713&gt;0,MAX(0,O713*(1+$G$53)-$H$53),0)</f>
        <v/>
      </c>
      <c r="N714">
        <f>MAX(0,J714-I714)</f>
        <v/>
      </c>
      <c r="O714">
        <f>IF(M714-N714&gt;1E-9,M714-N714,0)</f>
        <v/>
      </c>
      <c r="P714">
        <f>O713*$G$53</f>
        <v/>
      </c>
      <c r="Q714">
        <f>IF(S713&gt;0,MAX(0,S713*(1+$G$54)-$H$54),0)</f>
        <v/>
      </c>
      <c r="R714">
        <f>MAX(0,N714-M714)</f>
        <v/>
      </c>
      <c r="S714">
        <f>IF(Q714-R714&gt;1E-9,Q714-R714,0)</f>
        <v/>
      </c>
      <c r="T714">
        <f>S713*$G$54</f>
        <v/>
      </c>
      <c r="U714">
        <f>IF(W713&gt;0,MAX(0,W713*(1+$G$55)-$H$55),0)</f>
        <v/>
      </c>
      <c r="V714">
        <f>MAX(0,R714-Q714)</f>
        <v/>
      </c>
      <c r="W714">
        <f>IF(U714-V714&gt;1E-9,U714-V714,0)</f>
        <v/>
      </c>
      <c r="X714">
        <f>W713*$G$55</f>
        <v/>
      </c>
      <c r="Y714">
        <f>IF(Y713&gt;1E-9,IF(Y713*(1+$G$51)-MAX($B$9,0.01*Y713+Y713*$G$51)&gt;1E-9,Y713*(1+$G$51)-MAX($B$9,0.01*Y713+Y713*$G$51),0),0)</f>
        <v/>
      </c>
      <c r="Z714">
        <f>Y713*$G$51</f>
        <v/>
      </c>
      <c r="AA714">
        <f>IF(AA713&gt;1E-9,IF(AA713*(1+$G$52)-MAX($B$9,0.01*AA713+AA713*$G$52)&gt;1E-9,AA713*(1+$G$52)-MAX($B$9,0.01*AA713+AA713*$G$52),0),0)</f>
        <v/>
      </c>
      <c r="AB714">
        <f>AA713*$G$52</f>
        <v/>
      </c>
      <c r="AC714">
        <f>IF(AC713&gt;1E-9,IF(AC713*(1+$G$53)-MAX($B$9,0.01*AC713+AC713*$G$53)&gt;1E-9,AC713*(1+$G$53)-MAX($B$9,0.01*AC713+AC713*$G$53),0),0)</f>
        <v/>
      </c>
      <c r="AD714">
        <f>AC713*$G$53</f>
        <v/>
      </c>
      <c r="AE714">
        <f>IF(AE713&gt;1E-9,IF(AE713*(1+$G$54)-MAX($B$9,0.01*AE713+AE713*$G$54)&gt;1E-9,AE713*(1+$G$54)-MAX($B$9,0.01*AE713+AE713*$G$54),0),0)</f>
        <v/>
      </c>
      <c r="AF714">
        <f>AE713*$G$54</f>
        <v/>
      </c>
      <c r="AG714">
        <f>IF(AG713&gt;1E-9,IF(AG713*(1+$G$55)-MAX($B$9,0.01*AG713+AG713*$G$55)&gt;1E-9,AG713*(1+$G$55)-MAX($B$9,0.01*AG713+AG713*$G$55),0),0)</f>
        <v/>
      </c>
      <c r="AH714">
        <f>AG713*$G$55</f>
        <v/>
      </c>
      <c r="AI714">
        <f>G714+K714+O714+S714+W714</f>
        <v/>
      </c>
      <c r="AJ714">
        <f>AI713+AK714-AI714</f>
        <v/>
      </c>
      <c r="AK714">
        <f>H714+L714+P714+T714+X714</f>
        <v/>
      </c>
      <c r="AL714">
        <f>TEXT(EDATE($B$5,D714-1),"mmm yyyy")</f>
        <v/>
      </c>
      <c r="AM714">
        <f>AI714</f>
        <v/>
      </c>
    </row>
    <row r="715">
      <c r="D715" t="n">
        <v>654</v>
      </c>
      <c r="E715">
        <f>IF(G714&gt;0,MAX(0,G714*(1+$G$51)-$H$51),0)</f>
        <v/>
      </c>
      <c r="F715">
        <f>$B$6+IF($D715=$B$8,$B$7,0)</f>
        <v/>
      </c>
      <c r="G715">
        <f>IF(E715-F715&gt;1E-9,E715-F715,0)</f>
        <v/>
      </c>
      <c r="H715">
        <f>G714*$G$51</f>
        <v/>
      </c>
      <c r="I715">
        <f>IF(K714&gt;0,MAX(0,K714*(1+$G$52)-$H$52),0)</f>
        <v/>
      </c>
      <c r="J715">
        <f>MAX(0,F715-E715)</f>
        <v/>
      </c>
      <c r="K715">
        <f>IF(I715-J715&gt;1E-9,I715-J715,0)</f>
        <v/>
      </c>
      <c r="L715">
        <f>K714*$G$52</f>
        <v/>
      </c>
      <c r="M715">
        <f>IF(O714&gt;0,MAX(0,O714*(1+$G$53)-$H$53),0)</f>
        <v/>
      </c>
      <c r="N715">
        <f>MAX(0,J715-I715)</f>
        <v/>
      </c>
      <c r="O715">
        <f>IF(M715-N715&gt;1E-9,M715-N715,0)</f>
        <v/>
      </c>
      <c r="P715">
        <f>O714*$G$53</f>
        <v/>
      </c>
      <c r="Q715">
        <f>IF(S714&gt;0,MAX(0,S714*(1+$G$54)-$H$54),0)</f>
        <v/>
      </c>
      <c r="R715">
        <f>MAX(0,N715-M715)</f>
        <v/>
      </c>
      <c r="S715">
        <f>IF(Q715-R715&gt;1E-9,Q715-R715,0)</f>
        <v/>
      </c>
      <c r="T715">
        <f>S714*$G$54</f>
        <v/>
      </c>
      <c r="U715">
        <f>IF(W714&gt;0,MAX(0,W714*(1+$G$55)-$H$55),0)</f>
        <v/>
      </c>
      <c r="V715">
        <f>MAX(0,R715-Q715)</f>
        <v/>
      </c>
      <c r="W715">
        <f>IF(U715-V715&gt;1E-9,U715-V715,0)</f>
        <v/>
      </c>
      <c r="X715">
        <f>W714*$G$55</f>
        <v/>
      </c>
      <c r="Y715">
        <f>IF(Y714&gt;1E-9,IF(Y714*(1+$G$51)-MAX($B$9,0.01*Y714+Y714*$G$51)&gt;1E-9,Y714*(1+$G$51)-MAX($B$9,0.01*Y714+Y714*$G$51),0),0)</f>
        <v/>
      </c>
      <c r="Z715">
        <f>Y714*$G$51</f>
        <v/>
      </c>
      <c r="AA715">
        <f>IF(AA714&gt;1E-9,IF(AA714*(1+$G$52)-MAX($B$9,0.01*AA714+AA714*$G$52)&gt;1E-9,AA714*(1+$G$52)-MAX($B$9,0.01*AA714+AA714*$G$52),0),0)</f>
        <v/>
      </c>
      <c r="AB715">
        <f>AA714*$G$52</f>
        <v/>
      </c>
      <c r="AC715">
        <f>IF(AC714&gt;1E-9,IF(AC714*(1+$G$53)-MAX($B$9,0.01*AC714+AC714*$G$53)&gt;1E-9,AC714*(1+$G$53)-MAX($B$9,0.01*AC714+AC714*$G$53),0),0)</f>
        <v/>
      </c>
      <c r="AD715">
        <f>AC714*$G$53</f>
        <v/>
      </c>
      <c r="AE715">
        <f>IF(AE714&gt;1E-9,IF(AE714*(1+$G$54)-MAX($B$9,0.01*AE714+AE714*$G$54)&gt;1E-9,AE714*(1+$G$54)-MAX($B$9,0.01*AE714+AE714*$G$54),0),0)</f>
        <v/>
      </c>
      <c r="AF715">
        <f>AE714*$G$54</f>
        <v/>
      </c>
      <c r="AG715">
        <f>IF(AG714&gt;1E-9,IF(AG714*(1+$G$55)-MAX($B$9,0.01*AG714+AG714*$G$55)&gt;1E-9,AG714*(1+$G$55)-MAX($B$9,0.01*AG714+AG714*$G$55),0),0)</f>
        <v/>
      </c>
      <c r="AH715">
        <f>AG714*$G$55</f>
        <v/>
      </c>
      <c r="AI715">
        <f>G715+K715+O715+S715+W715</f>
        <v/>
      </c>
      <c r="AJ715">
        <f>AI714+AK715-AI715</f>
        <v/>
      </c>
      <c r="AK715">
        <f>H715+L715+P715+T715+X715</f>
        <v/>
      </c>
      <c r="AL715">
        <f>TEXT(EDATE($B$5,D715-1),"mmm yyyy")</f>
        <v/>
      </c>
      <c r="AM715">
        <f>AI715</f>
        <v/>
      </c>
    </row>
    <row r="716">
      <c r="D716" t="n">
        <v>655</v>
      </c>
      <c r="E716">
        <f>IF(G715&gt;0,MAX(0,G715*(1+$G$51)-$H$51),0)</f>
        <v/>
      </c>
      <c r="F716">
        <f>$B$6+IF($D716=$B$8,$B$7,0)</f>
        <v/>
      </c>
      <c r="G716">
        <f>IF(E716-F716&gt;1E-9,E716-F716,0)</f>
        <v/>
      </c>
      <c r="H716">
        <f>G715*$G$51</f>
        <v/>
      </c>
      <c r="I716">
        <f>IF(K715&gt;0,MAX(0,K715*(1+$G$52)-$H$52),0)</f>
        <v/>
      </c>
      <c r="J716">
        <f>MAX(0,F716-E716)</f>
        <v/>
      </c>
      <c r="K716">
        <f>IF(I716-J716&gt;1E-9,I716-J716,0)</f>
        <v/>
      </c>
      <c r="L716">
        <f>K715*$G$52</f>
        <v/>
      </c>
      <c r="M716">
        <f>IF(O715&gt;0,MAX(0,O715*(1+$G$53)-$H$53),0)</f>
        <v/>
      </c>
      <c r="N716">
        <f>MAX(0,J716-I716)</f>
        <v/>
      </c>
      <c r="O716">
        <f>IF(M716-N716&gt;1E-9,M716-N716,0)</f>
        <v/>
      </c>
      <c r="P716">
        <f>O715*$G$53</f>
        <v/>
      </c>
      <c r="Q716">
        <f>IF(S715&gt;0,MAX(0,S715*(1+$G$54)-$H$54),0)</f>
        <v/>
      </c>
      <c r="R716">
        <f>MAX(0,N716-M716)</f>
        <v/>
      </c>
      <c r="S716">
        <f>IF(Q716-R716&gt;1E-9,Q716-R716,0)</f>
        <v/>
      </c>
      <c r="T716">
        <f>S715*$G$54</f>
        <v/>
      </c>
      <c r="U716">
        <f>IF(W715&gt;0,MAX(0,W715*(1+$G$55)-$H$55),0)</f>
        <v/>
      </c>
      <c r="V716">
        <f>MAX(0,R716-Q716)</f>
        <v/>
      </c>
      <c r="W716">
        <f>IF(U716-V716&gt;1E-9,U716-V716,0)</f>
        <v/>
      </c>
      <c r="X716">
        <f>W715*$G$55</f>
        <v/>
      </c>
      <c r="Y716">
        <f>IF(Y715&gt;1E-9,IF(Y715*(1+$G$51)-MAX($B$9,0.01*Y715+Y715*$G$51)&gt;1E-9,Y715*(1+$G$51)-MAX($B$9,0.01*Y715+Y715*$G$51),0),0)</f>
        <v/>
      </c>
      <c r="Z716">
        <f>Y715*$G$51</f>
        <v/>
      </c>
      <c r="AA716">
        <f>IF(AA715&gt;1E-9,IF(AA715*(1+$G$52)-MAX($B$9,0.01*AA715+AA715*$G$52)&gt;1E-9,AA715*(1+$G$52)-MAX($B$9,0.01*AA715+AA715*$G$52),0),0)</f>
        <v/>
      </c>
      <c r="AB716">
        <f>AA715*$G$52</f>
        <v/>
      </c>
      <c r="AC716">
        <f>IF(AC715&gt;1E-9,IF(AC715*(1+$G$53)-MAX($B$9,0.01*AC715+AC715*$G$53)&gt;1E-9,AC715*(1+$G$53)-MAX($B$9,0.01*AC715+AC715*$G$53),0),0)</f>
        <v/>
      </c>
      <c r="AD716">
        <f>AC715*$G$53</f>
        <v/>
      </c>
      <c r="AE716">
        <f>IF(AE715&gt;1E-9,IF(AE715*(1+$G$54)-MAX($B$9,0.01*AE715+AE715*$G$54)&gt;1E-9,AE715*(1+$G$54)-MAX($B$9,0.01*AE715+AE715*$G$54),0),0)</f>
        <v/>
      </c>
      <c r="AF716">
        <f>AE715*$G$54</f>
        <v/>
      </c>
      <c r="AG716">
        <f>IF(AG715&gt;1E-9,IF(AG715*(1+$G$55)-MAX($B$9,0.01*AG715+AG715*$G$55)&gt;1E-9,AG715*(1+$G$55)-MAX($B$9,0.01*AG715+AG715*$G$55),0),0)</f>
        <v/>
      </c>
      <c r="AH716">
        <f>AG715*$G$55</f>
        <v/>
      </c>
      <c r="AI716">
        <f>G716+K716+O716+S716+W716</f>
        <v/>
      </c>
      <c r="AJ716">
        <f>AI715+AK716-AI716</f>
        <v/>
      </c>
      <c r="AK716">
        <f>H716+L716+P716+T716+X716</f>
        <v/>
      </c>
      <c r="AL716">
        <f>TEXT(EDATE($B$5,D716-1),"mmm yyyy")</f>
        <v/>
      </c>
      <c r="AM716">
        <f>AI716</f>
        <v/>
      </c>
    </row>
    <row r="717">
      <c r="D717" t="n">
        <v>656</v>
      </c>
      <c r="E717">
        <f>IF(G716&gt;0,MAX(0,G716*(1+$G$51)-$H$51),0)</f>
        <v/>
      </c>
      <c r="F717">
        <f>$B$6+IF($D717=$B$8,$B$7,0)</f>
        <v/>
      </c>
      <c r="G717">
        <f>IF(E717-F717&gt;1E-9,E717-F717,0)</f>
        <v/>
      </c>
      <c r="H717">
        <f>G716*$G$51</f>
        <v/>
      </c>
      <c r="I717">
        <f>IF(K716&gt;0,MAX(0,K716*(1+$G$52)-$H$52),0)</f>
        <v/>
      </c>
      <c r="J717">
        <f>MAX(0,F717-E717)</f>
        <v/>
      </c>
      <c r="K717">
        <f>IF(I717-J717&gt;1E-9,I717-J717,0)</f>
        <v/>
      </c>
      <c r="L717">
        <f>K716*$G$52</f>
        <v/>
      </c>
      <c r="M717">
        <f>IF(O716&gt;0,MAX(0,O716*(1+$G$53)-$H$53),0)</f>
        <v/>
      </c>
      <c r="N717">
        <f>MAX(0,J717-I717)</f>
        <v/>
      </c>
      <c r="O717">
        <f>IF(M717-N717&gt;1E-9,M717-N717,0)</f>
        <v/>
      </c>
      <c r="P717">
        <f>O716*$G$53</f>
        <v/>
      </c>
      <c r="Q717">
        <f>IF(S716&gt;0,MAX(0,S716*(1+$G$54)-$H$54),0)</f>
        <v/>
      </c>
      <c r="R717">
        <f>MAX(0,N717-M717)</f>
        <v/>
      </c>
      <c r="S717">
        <f>IF(Q717-R717&gt;1E-9,Q717-R717,0)</f>
        <v/>
      </c>
      <c r="T717">
        <f>S716*$G$54</f>
        <v/>
      </c>
      <c r="U717">
        <f>IF(W716&gt;0,MAX(0,W716*(1+$G$55)-$H$55),0)</f>
        <v/>
      </c>
      <c r="V717">
        <f>MAX(0,R717-Q717)</f>
        <v/>
      </c>
      <c r="W717">
        <f>IF(U717-V717&gt;1E-9,U717-V717,0)</f>
        <v/>
      </c>
      <c r="X717">
        <f>W716*$G$55</f>
        <v/>
      </c>
      <c r="Y717">
        <f>IF(Y716&gt;1E-9,IF(Y716*(1+$G$51)-MAX($B$9,0.01*Y716+Y716*$G$51)&gt;1E-9,Y716*(1+$G$51)-MAX($B$9,0.01*Y716+Y716*$G$51),0),0)</f>
        <v/>
      </c>
      <c r="Z717">
        <f>Y716*$G$51</f>
        <v/>
      </c>
      <c r="AA717">
        <f>IF(AA716&gt;1E-9,IF(AA716*(1+$G$52)-MAX($B$9,0.01*AA716+AA716*$G$52)&gt;1E-9,AA716*(1+$G$52)-MAX($B$9,0.01*AA716+AA716*$G$52),0),0)</f>
        <v/>
      </c>
      <c r="AB717">
        <f>AA716*$G$52</f>
        <v/>
      </c>
      <c r="AC717">
        <f>IF(AC716&gt;1E-9,IF(AC716*(1+$G$53)-MAX($B$9,0.01*AC716+AC716*$G$53)&gt;1E-9,AC716*(1+$G$53)-MAX($B$9,0.01*AC716+AC716*$G$53),0),0)</f>
        <v/>
      </c>
      <c r="AD717">
        <f>AC716*$G$53</f>
        <v/>
      </c>
      <c r="AE717">
        <f>IF(AE716&gt;1E-9,IF(AE716*(1+$G$54)-MAX($B$9,0.01*AE716+AE716*$G$54)&gt;1E-9,AE716*(1+$G$54)-MAX($B$9,0.01*AE716+AE716*$G$54),0),0)</f>
        <v/>
      </c>
      <c r="AF717">
        <f>AE716*$G$54</f>
        <v/>
      </c>
      <c r="AG717">
        <f>IF(AG716&gt;1E-9,IF(AG716*(1+$G$55)-MAX($B$9,0.01*AG716+AG716*$G$55)&gt;1E-9,AG716*(1+$G$55)-MAX($B$9,0.01*AG716+AG716*$G$55),0),0)</f>
        <v/>
      </c>
      <c r="AH717">
        <f>AG716*$G$55</f>
        <v/>
      </c>
      <c r="AI717">
        <f>G717+K717+O717+S717+W717</f>
        <v/>
      </c>
      <c r="AJ717">
        <f>AI716+AK717-AI717</f>
        <v/>
      </c>
      <c r="AK717">
        <f>H717+L717+P717+T717+X717</f>
        <v/>
      </c>
      <c r="AL717">
        <f>TEXT(EDATE($B$5,D717-1),"mmm yyyy")</f>
        <v/>
      </c>
      <c r="AM717">
        <f>AI717</f>
        <v/>
      </c>
    </row>
    <row r="718">
      <c r="D718" t="n">
        <v>657</v>
      </c>
      <c r="E718">
        <f>IF(G717&gt;0,MAX(0,G717*(1+$G$51)-$H$51),0)</f>
        <v/>
      </c>
      <c r="F718">
        <f>$B$6+IF($D718=$B$8,$B$7,0)</f>
        <v/>
      </c>
      <c r="G718">
        <f>IF(E718-F718&gt;1E-9,E718-F718,0)</f>
        <v/>
      </c>
      <c r="H718">
        <f>G717*$G$51</f>
        <v/>
      </c>
      <c r="I718">
        <f>IF(K717&gt;0,MAX(0,K717*(1+$G$52)-$H$52),0)</f>
        <v/>
      </c>
      <c r="J718">
        <f>MAX(0,F718-E718)</f>
        <v/>
      </c>
      <c r="K718">
        <f>IF(I718-J718&gt;1E-9,I718-J718,0)</f>
        <v/>
      </c>
      <c r="L718">
        <f>K717*$G$52</f>
        <v/>
      </c>
      <c r="M718">
        <f>IF(O717&gt;0,MAX(0,O717*(1+$G$53)-$H$53),0)</f>
        <v/>
      </c>
      <c r="N718">
        <f>MAX(0,J718-I718)</f>
        <v/>
      </c>
      <c r="O718">
        <f>IF(M718-N718&gt;1E-9,M718-N718,0)</f>
        <v/>
      </c>
      <c r="P718">
        <f>O717*$G$53</f>
        <v/>
      </c>
      <c r="Q718">
        <f>IF(S717&gt;0,MAX(0,S717*(1+$G$54)-$H$54),0)</f>
        <v/>
      </c>
      <c r="R718">
        <f>MAX(0,N718-M718)</f>
        <v/>
      </c>
      <c r="S718">
        <f>IF(Q718-R718&gt;1E-9,Q718-R718,0)</f>
        <v/>
      </c>
      <c r="T718">
        <f>S717*$G$54</f>
        <v/>
      </c>
      <c r="U718">
        <f>IF(W717&gt;0,MAX(0,W717*(1+$G$55)-$H$55),0)</f>
        <v/>
      </c>
      <c r="V718">
        <f>MAX(0,R718-Q718)</f>
        <v/>
      </c>
      <c r="W718">
        <f>IF(U718-V718&gt;1E-9,U718-V718,0)</f>
        <v/>
      </c>
      <c r="X718">
        <f>W717*$G$55</f>
        <v/>
      </c>
      <c r="Y718">
        <f>IF(Y717&gt;1E-9,IF(Y717*(1+$G$51)-MAX($B$9,0.01*Y717+Y717*$G$51)&gt;1E-9,Y717*(1+$G$51)-MAX($B$9,0.01*Y717+Y717*$G$51),0),0)</f>
        <v/>
      </c>
      <c r="Z718">
        <f>Y717*$G$51</f>
        <v/>
      </c>
      <c r="AA718">
        <f>IF(AA717&gt;1E-9,IF(AA717*(1+$G$52)-MAX($B$9,0.01*AA717+AA717*$G$52)&gt;1E-9,AA717*(1+$G$52)-MAX($B$9,0.01*AA717+AA717*$G$52),0),0)</f>
        <v/>
      </c>
      <c r="AB718">
        <f>AA717*$G$52</f>
        <v/>
      </c>
      <c r="AC718">
        <f>IF(AC717&gt;1E-9,IF(AC717*(1+$G$53)-MAX($B$9,0.01*AC717+AC717*$G$53)&gt;1E-9,AC717*(1+$G$53)-MAX($B$9,0.01*AC717+AC717*$G$53),0),0)</f>
        <v/>
      </c>
      <c r="AD718">
        <f>AC717*$G$53</f>
        <v/>
      </c>
      <c r="AE718">
        <f>IF(AE717&gt;1E-9,IF(AE717*(1+$G$54)-MAX($B$9,0.01*AE717+AE717*$G$54)&gt;1E-9,AE717*(1+$G$54)-MAX($B$9,0.01*AE717+AE717*$G$54),0),0)</f>
        <v/>
      </c>
      <c r="AF718">
        <f>AE717*$G$54</f>
        <v/>
      </c>
      <c r="AG718">
        <f>IF(AG717&gt;1E-9,IF(AG717*(1+$G$55)-MAX($B$9,0.01*AG717+AG717*$G$55)&gt;1E-9,AG717*(1+$G$55)-MAX($B$9,0.01*AG717+AG717*$G$55),0),0)</f>
        <v/>
      </c>
      <c r="AH718">
        <f>AG717*$G$55</f>
        <v/>
      </c>
      <c r="AI718">
        <f>G718+K718+O718+S718+W718</f>
        <v/>
      </c>
      <c r="AJ718">
        <f>AI717+AK718-AI718</f>
        <v/>
      </c>
      <c r="AK718">
        <f>H718+L718+P718+T718+X718</f>
        <v/>
      </c>
      <c r="AL718">
        <f>TEXT(EDATE($B$5,D718-1),"mmm yyyy")</f>
        <v/>
      </c>
      <c r="AM718">
        <f>AI718</f>
        <v/>
      </c>
    </row>
    <row r="719">
      <c r="D719" t="n">
        <v>658</v>
      </c>
      <c r="E719">
        <f>IF(G718&gt;0,MAX(0,G718*(1+$G$51)-$H$51),0)</f>
        <v/>
      </c>
      <c r="F719">
        <f>$B$6+IF($D719=$B$8,$B$7,0)</f>
        <v/>
      </c>
      <c r="G719">
        <f>IF(E719-F719&gt;1E-9,E719-F719,0)</f>
        <v/>
      </c>
      <c r="H719">
        <f>G718*$G$51</f>
        <v/>
      </c>
      <c r="I719">
        <f>IF(K718&gt;0,MAX(0,K718*(1+$G$52)-$H$52),0)</f>
        <v/>
      </c>
      <c r="J719">
        <f>MAX(0,F719-E719)</f>
        <v/>
      </c>
      <c r="K719">
        <f>IF(I719-J719&gt;1E-9,I719-J719,0)</f>
        <v/>
      </c>
      <c r="L719">
        <f>K718*$G$52</f>
        <v/>
      </c>
      <c r="M719">
        <f>IF(O718&gt;0,MAX(0,O718*(1+$G$53)-$H$53),0)</f>
        <v/>
      </c>
      <c r="N719">
        <f>MAX(0,J719-I719)</f>
        <v/>
      </c>
      <c r="O719">
        <f>IF(M719-N719&gt;1E-9,M719-N719,0)</f>
        <v/>
      </c>
      <c r="P719">
        <f>O718*$G$53</f>
        <v/>
      </c>
      <c r="Q719">
        <f>IF(S718&gt;0,MAX(0,S718*(1+$G$54)-$H$54),0)</f>
        <v/>
      </c>
      <c r="R719">
        <f>MAX(0,N719-M719)</f>
        <v/>
      </c>
      <c r="S719">
        <f>IF(Q719-R719&gt;1E-9,Q719-R719,0)</f>
        <v/>
      </c>
      <c r="T719">
        <f>S718*$G$54</f>
        <v/>
      </c>
      <c r="U719">
        <f>IF(W718&gt;0,MAX(0,W718*(1+$G$55)-$H$55),0)</f>
        <v/>
      </c>
      <c r="V719">
        <f>MAX(0,R719-Q719)</f>
        <v/>
      </c>
      <c r="W719">
        <f>IF(U719-V719&gt;1E-9,U719-V719,0)</f>
        <v/>
      </c>
      <c r="X719">
        <f>W718*$G$55</f>
        <v/>
      </c>
      <c r="Y719">
        <f>IF(Y718&gt;1E-9,IF(Y718*(1+$G$51)-MAX($B$9,0.01*Y718+Y718*$G$51)&gt;1E-9,Y718*(1+$G$51)-MAX($B$9,0.01*Y718+Y718*$G$51),0),0)</f>
        <v/>
      </c>
      <c r="Z719">
        <f>Y718*$G$51</f>
        <v/>
      </c>
      <c r="AA719">
        <f>IF(AA718&gt;1E-9,IF(AA718*(1+$G$52)-MAX($B$9,0.01*AA718+AA718*$G$52)&gt;1E-9,AA718*(1+$G$52)-MAX($B$9,0.01*AA718+AA718*$G$52),0),0)</f>
        <v/>
      </c>
      <c r="AB719">
        <f>AA718*$G$52</f>
        <v/>
      </c>
      <c r="AC719">
        <f>IF(AC718&gt;1E-9,IF(AC718*(1+$G$53)-MAX($B$9,0.01*AC718+AC718*$G$53)&gt;1E-9,AC718*(1+$G$53)-MAX($B$9,0.01*AC718+AC718*$G$53),0),0)</f>
        <v/>
      </c>
      <c r="AD719">
        <f>AC718*$G$53</f>
        <v/>
      </c>
      <c r="AE719">
        <f>IF(AE718&gt;1E-9,IF(AE718*(1+$G$54)-MAX($B$9,0.01*AE718+AE718*$G$54)&gt;1E-9,AE718*(1+$G$54)-MAX($B$9,0.01*AE718+AE718*$G$54),0),0)</f>
        <v/>
      </c>
      <c r="AF719">
        <f>AE718*$G$54</f>
        <v/>
      </c>
      <c r="AG719">
        <f>IF(AG718&gt;1E-9,IF(AG718*(1+$G$55)-MAX($B$9,0.01*AG718+AG718*$G$55)&gt;1E-9,AG718*(1+$G$55)-MAX($B$9,0.01*AG718+AG718*$G$55),0),0)</f>
        <v/>
      </c>
      <c r="AH719">
        <f>AG718*$G$55</f>
        <v/>
      </c>
      <c r="AI719">
        <f>G719+K719+O719+S719+W719</f>
        <v/>
      </c>
      <c r="AJ719">
        <f>AI718+AK719-AI719</f>
        <v/>
      </c>
      <c r="AK719">
        <f>H719+L719+P719+T719+X719</f>
        <v/>
      </c>
      <c r="AL719">
        <f>TEXT(EDATE($B$5,D719-1),"mmm yyyy")</f>
        <v/>
      </c>
      <c r="AM719">
        <f>AI719</f>
        <v/>
      </c>
    </row>
    <row r="720">
      <c r="D720" t="n">
        <v>659</v>
      </c>
      <c r="E720">
        <f>IF(G719&gt;0,MAX(0,G719*(1+$G$51)-$H$51),0)</f>
        <v/>
      </c>
      <c r="F720">
        <f>$B$6+IF($D720=$B$8,$B$7,0)</f>
        <v/>
      </c>
      <c r="G720">
        <f>IF(E720-F720&gt;1E-9,E720-F720,0)</f>
        <v/>
      </c>
      <c r="H720">
        <f>G719*$G$51</f>
        <v/>
      </c>
      <c r="I720">
        <f>IF(K719&gt;0,MAX(0,K719*(1+$G$52)-$H$52),0)</f>
        <v/>
      </c>
      <c r="J720">
        <f>MAX(0,F720-E720)</f>
        <v/>
      </c>
      <c r="K720">
        <f>IF(I720-J720&gt;1E-9,I720-J720,0)</f>
        <v/>
      </c>
      <c r="L720">
        <f>K719*$G$52</f>
        <v/>
      </c>
      <c r="M720">
        <f>IF(O719&gt;0,MAX(0,O719*(1+$G$53)-$H$53),0)</f>
        <v/>
      </c>
      <c r="N720">
        <f>MAX(0,J720-I720)</f>
        <v/>
      </c>
      <c r="O720">
        <f>IF(M720-N720&gt;1E-9,M720-N720,0)</f>
        <v/>
      </c>
      <c r="P720">
        <f>O719*$G$53</f>
        <v/>
      </c>
      <c r="Q720">
        <f>IF(S719&gt;0,MAX(0,S719*(1+$G$54)-$H$54),0)</f>
        <v/>
      </c>
      <c r="R720">
        <f>MAX(0,N720-M720)</f>
        <v/>
      </c>
      <c r="S720">
        <f>IF(Q720-R720&gt;1E-9,Q720-R720,0)</f>
        <v/>
      </c>
      <c r="T720">
        <f>S719*$G$54</f>
        <v/>
      </c>
      <c r="U720">
        <f>IF(W719&gt;0,MAX(0,W719*(1+$G$55)-$H$55),0)</f>
        <v/>
      </c>
      <c r="V720">
        <f>MAX(0,R720-Q720)</f>
        <v/>
      </c>
      <c r="W720">
        <f>IF(U720-V720&gt;1E-9,U720-V720,0)</f>
        <v/>
      </c>
      <c r="X720">
        <f>W719*$G$55</f>
        <v/>
      </c>
      <c r="Y720">
        <f>IF(Y719&gt;1E-9,IF(Y719*(1+$G$51)-MAX($B$9,0.01*Y719+Y719*$G$51)&gt;1E-9,Y719*(1+$G$51)-MAX($B$9,0.01*Y719+Y719*$G$51),0),0)</f>
        <v/>
      </c>
      <c r="Z720">
        <f>Y719*$G$51</f>
        <v/>
      </c>
      <c r="AA720">
        <f>IF(AA719&gt;1E-9,IF(AA719*(1+$G$52)-MAX($B$9,0.01*AA719+AA719*$G$52)&gt;1E-9,AA719*(1+$G$52)-MAX($B$9,0.01*AA719+AA719*$G$52),0),0)</f>
        <v/>
      </c>
      <c r="AB720">
        <f>AA719*$G$52</f>
        <v/>
      </c>
      <c r="AC720">
        <f>IF(AC719&gt;1E-9,IF(AC719*(1+$G$53)-MAX($B$9,0.01*AC719+AC719*$G$53)&gt;1E-9,AC719*(1+$G$53)-MAX($B$9,0.01*AC719+AC719*$G$53),0),0)</f>
        <v/>
      </c>
      <c r="AD720">
        <f>AC719*$G$53</f>
        <v/>
      </c>
      <c r="AE720">
        <f>IF(AE719&gt;1E-9,IF(AE719*(1+$G$54)-MAX($B$9,0.01*AE719+AE719*$G$54)&gt;1E-9,AE719*(1+$G$54)-MAX($B$9,0.01*AE719+AE719*$G$54),0),0)</f>
        <v/>
      </c>
      <c r="AF720">
        <f>AE719*$G$54</f>
        <v/>
      </c>
      <c r="AG720">
        <f>IF(AG719&gt;1E-9,IF(AG719*(1+$G$55)-MAX($B$9,0.01*AG719+AG719*$G$55)&gt;1E-9,AG719*(1+$G$55)-MAX($B$9,0.01*AG719+AG719*$G$55),0),0)</f>
        <v/>
      </c>
      <c r="AH720">
        <f>AG719*$G$55</f>
        <v/>
      </c>
      <c r="AI720">
        <f>G720+K720+O720+S720+W720</f>
        <v/>
      </c>
      <c r="AJ720">
        <f>AI719+AK720-AI720</f>
        <v/>
      </c>
      <c r="AK720">
        <f>H720+L720+P720+T720+X720</f>
        <v/>
      </c>
      <c r="AL720">
        <f>TEXT(EDATE($B$5,D720-1),"mmm yyyy")</f>
        <v/>
      </c>
      <c r="AM720">
        <f>AI720</f>
        <v/>
      </c>
    </row>
    <row r="721">
      <c r="D721" t="n">
        <v>660</v>
      </c>
      <c r="E721">
        <f>IF(G720&gt;0,MAX(0,G720*(1+$G$51)-$H$51),0)</f>
        <v/>
      </c>
      <c r="F721">
        <f>$B$6+IF($D721=$B$8,$B$7,0)</f>
        <v/>
      </c>
      <c r="G721">
        <f>IF(E721-F721&gt;1E-9,E721-F721,0)</f>
        <v/>
      </c>
      <c r="H721">
        <f>G720*$G$51</f>
        <v/>
      </c>
      <c r="I721">
        <f>IF(K720&gt;0,MAX(0,K720*(1+$G$52)-$H$52),0)</f>
        <v/>
      </c>
      <c r="J721">
        <f>MAX(0,F721-E721)</f>
        <v/>
      </c>
      <c r="K721">
        <f>IF(I721-J721&gt;1E-9,I721-J721,0)</f>
        <v/>
      </c>
      <c r="L721">
        <f>K720*$G$52</f>
        <v/>
      </c>
      <c r="M721">
        <f>IF(O720&gt;0,MAX(0,O720*(1+$G$53)-$H$53),0)</f>
        <v/>
      </c>
      <c r="N721">
        <f>MAX(0,J721-I721)</f>
        <v/>
      </c>
      <c r="O721">
        <f>IF(M721-N721&gt;1E-9,M721-N721,0)</f>
        <v/>
      </c>
      <c r="P721">
        <f>O720*$G$53</f>
        <v/>
      </c>
      <c r="Q721">
        <f>IF(S720&gt;0,MAX(0,S720*(1+$G$54)-$H$54),0)</f>
        <v/>
      </c>
      <c r="R721">
        <f>MAX(0,N721-M721)</f>
        <v/>
      </c>
      <c r="S721">
        <f>IF(Q721-R721&gt;1E-9,Q721-R721,0)</f>
        <v/>
      </c>
      <c r="T721">
        <f>S720*$G$54</f>
        <v/>
      </c>
      <c r="U721">
        <f>IF(W720&gt;0,MAX(0,W720*(1+$G$55)-$H$55),0)</f>
        <v/>
      </c>
      <c r="V721">
        <f>MAX(0,R721-Q721)</f>
        <v/>
      </c>
      <c r="W721">
        <f>IF(U721-V721&gt;1E-9,U721-V721,0)</f>
        <v/>
      </c>
      <c r="X721">
        <f>W720*$G$55</f>
        <v/>
      </c>
      <c r="Y721">
        <f>IF(Y720&gt;1E-9,IF(Y720*(1+$G$51)-MAX($B$9,0.01*Y720+Y720*$G$51)&gt;1E-9,Y720*(1+$G$51)-MAX($B$9,0.01*Y720+Y720*$G$51),0),0)</f>
        <v/>
      </c>
      <c r="Z721">
        <f>Y720*$G$51</f>
        <v/>
      </c>
      <c r="AA721">
        <f>IF(AA720&gt;1E-9,IF(AA720*(1+$G$52)-MAX($B$9,0.01*AA720+AA720*$G$52)&gt;1E-9,AA720*(1+$G$52)-MAX($B$9,0.01*AA720+AA720*$G$52),0),0)</f>
        <v/>
      </c>
      <c r="AB721">
        <f>AA720*$G$52</f>
        <v/>
      </c>
      <c r="AC721">
        <f>IF(AC720&gt;1E-9,IF(AC720*(1+$G$53)-MAX($B$9,0.01*AC720+AC720*$G$53)&gt;1E-9,AC720*(1+$G$53)-MAX($B$9,0.01*AC720+AC720*$G$53),0),0)</f>
        <v/>
      </c>
      <c r="AD721">
        <f>AC720*$G$53</f>
        <v/>
      </c>
      <c r="AE721">
        <f>IF(AE720&gt;1E-9,IF(AE720*(1+$G$54)-MAX($B$9,0.01*AE720+AE720*$G$54)&gt;1E-9,AE720*(1+$G$54)-MAX($B$9,0.01*AE720+AE720*$G$54),0),0)</f>
        <v/>
      </c>
      <c r="AF721">
        <f>AE720*$G$54</f>
        <v/>
      </c>
      <c r="AG721">
        <f>IF(AG720&gt;1E-9,IF(AG720*(1+$G$55)-MAX($B$9,0.01*AG720+AG720*$G$55)&gt;1E-9,AG720*(1+$G$55)-MAX($B$9,0.01*AG720+AG720*$G$55),0),0)</f>
        <v/>
      </c>
      <c r="AH721">
        <f>AG720*$G$55</f>
        <v/>
      </c>
      <c r="AI721">
        <f>G721+K721+O721+S721+W721</f>
        <v/>
      </c>
      <c r="AJ721">
        <f>AI720+AK721-AI721</f>
        <v/>
      </c>
      <c r="AK721">
        <f>H721+L721+P721+T721+X721</f>
        <v/>
      </c>
      <c r="AL721">
        <f>TEXT(EDATE($B$5,D721-1),"mmm yyyy")</f>
        <v/>
      </c>
      <c r="AM721">
        <f>AI721</f>
        <v/>
      </c>
    </row>
    <row r="722">
      <c r="D722" t="n">
        <v>661</v>
      </c>
      <c r="E722">
        <f>IF(G721&gt;0,MAX(0,G721*(1+$G$51)-$H$51),0)</f>
        <v/>
      </c>
      <c r="F722">
        <f>$B$6+IF($D722=$B$8,$B$7,0)</f>
        <v/>
      </c>
      <c r="G722">
        <f>IF(E722-F722&gt;1E-9,E722-F722,0)</f>
        <v/>
      </c>
      <c r="H722">
        <f>G721*$G$51</f>
        <v/>
      </c>
      <c r="I722">
        <f>IF(K721&gt;0,MAX(0,K721*(1+$G$52)-$H$52),0)</f>
        <v/>
      </c>
      <c r="J722">
        <f>MAX(0,F722-E722)</f>
        <v/>
      </c>
      <c r="K722">
        <f>IF(I722-J722&gt;1E-9,I722-J722,0)</f>
        <v/>
      </c>
      <c r="L722">
        <f>K721*$G$52</f>
        <v/>
      </c>
      <c r="M722">
        <f>IF(O721&gt;0,MAX(0,O721*(1+$G$53)-$H$53),0)</f>
        <v/>
      </c>
      <c r="N722">
        <f>MAX(0,J722-I722)</f>
        <v/>
      </c>
      <c r="O722">
        <f>IF(M722-N722&gt;1E-9,M722-N722,0)</f>
        <v/>
      </c>
      <c r="P722">
        <f>O721*$G$53</f>
        <v/>
      </c>
      <c r="Q722">
        <f>IF(S721&gt;0,MAX(0,S721*(1+$G$54)-$H$54),0)</f>
        <v/>
      </c>
      <c r="R722">
        <f>MAX(0,N722-M722)</f>
        <v/>
      </c>
      <c r="S722">
        <f>IF(Q722-R722&gt;1E-9,Q722-R722,0)</f>
        <v/>
      </c>
      <c r="T722">
        <f>S721*$G$54</f>
        <v/>
      </c>
      <c r="U722">
        <f>IF(W721&gt;0,MAX(0,W721*(1+$G$55)-$H$55),0)</f>
        <v/>
      </c>
      <c r="V722">
        <f>MAX(0,R722-Q722)</f>
        <v/>
      </c>
      <c r="W722">
        <f>IF(U722-V722&gt;1E-9,U722-V722,0)</f>
        <v/>
      </c>
      <c r="X722">
        <f>W721*$G$55</f>
        <v/>
      </c>
      <c r="Y722">
        <f>IF(Y721&gt;1E-9,IF(Y721*(1+$G$51)-MAX($B$9,0.01*Y721+Y721*$G$51)&gt;1E-9,Y721*(1+$G$51)-MAX($B$9,0.01*Y721+Y721*$G$51),0),0)</f>
        <v/>
      </c>
      <c r="Z722">
        <f>Y721*$G$51</f>
        <v/>
      </c>
      <c r="AA722">
        <f>IF(AA721&gt;1E-9,IF(AA721*(1+$G$52)-MAX($B$9,0.01*AA721+AA721*$G$52)&gt;1E-9,AA721*(1+$G$52)-MAX($B$9,0.01*AA721+AA721*$G$52),0),0)</f>
        <v/>
      </c>
      <c r="AB722">
        <f>AA721*$G$52</f>
        <v/>
      </c>
      <c r="AC722">
        <f>IF(AC721&gt;1E-9,IF(AC721*(1+$G$53)-MAX($B$9,0.01*AC721+AC721*$G$53)&gt;1E-9,AC721*(1+$G$53)-MAX($B$9,0.01*AC721+AC721*$G$53),0),0)</f>
        <v/>
      </c>
      <c r="AD722">
        <f>AC721*$G$53</f>
        <v/>
      </c>
      <c r="AE722">
        <f>IF(AE721&gt;1E-9,IF(AE721*(1+$G$54)-MAX($B$9,0.01*AE721+AE721*$G$54)&gt;1E-9,AE721*(1+$G$54)-MAX($B$9,0.01*AE721+AE721*$G$54),0),0)</f>
        <v/>
      </c>
      <c r="AF722">
        <f>AE721*$G$54</f>
        <v/>
      </c>
      <c r="AG722">
        <f>IF(AG721&gt;1E-9,IF(AG721*(1+$G$55)-MAX($B$9,0.01*AG721+AG721*$G$55)&gt;1E-9,AG721*(1+$G$55)-MAX($B$9,0.01*AG721+AG721*$G$55),0),0)</f>
        <v/>
      </c>
      <c r="AH722">
        <f>AG721*$G$55</f>
        <v/>
      </c>
      <c r="AI722">
        <f>G722+K722+O722+S722+W722</f>
        <v/>
      </c>
      <c r="AJ722">
        <f>AI721+AK722-AI722</f>
        <v/>
      </c>
      <c r="AK722">
        <f>H722+L722+P722+T722+X722</f>
        <v/>
      </c>
      <c r="AL722">
        <f>TEXT(EDATE($B$5,D722-1),"mmm yyyy")</f>
        <v/>
      </c>
      <c r="AM722">
        <f>AI722</f>
        <v/>
      </c>
    </row>
    <row r="723">
      <c r="D723" t="n">
        <v>662</v>
      </c>
      <c r="E723">
        <f>IF(G722&gt;0,MAX(0,G722*(1+$G$51)-$H$51),0)</f>
        <v/>
      </c>
      <c r="F723">
        <f>$B$6+IF($D723=$B$8,$B$7,0)</f>
        <v/>
      </c>
      <c r="G723">
        <f>IF(E723-F723&gt;1E-9,E723-F723,0)</f>
        <v/>
      </c>
      <c r="H723">
        <f>G722*$G$51</f>
        <v/>
      </c>
      <c r="I723">
        <f>IF(K722&gt;0,MAX(0,K722*(1+$G$52)-$H$52),0)</f>
        <v/>
      </c>
      <c r="J723">
        <f>MAX(0,F723-E723)</f>
        <v/>
      </c>
      <c r="K723">
        <f>IF(I723-J723&gt;1E-9,I723-J723,0)</f>
        <v/>
      </c>
      <c r="L723">
        <f>K722*$G$52</f>
        <v/>
      </c>
      <c r="M723">
        <f>IF(O722&gt;0,MAX(0,O722*(1+$G$53)-$H$53),0)</f>
        <v/>
      </c>
      <c r="N723">
        <f>MAX(0,J723-I723)</f>
        <v/>
      </c>
      <c r="O723">
        <f>IF(M723-N723&gt;1E-9,M723-N723,0)</f>
        <v/>
      </c>
      <c r="P723">
        <f>O722*$G$53</f>
        <v/>
      </c>
      <c r="Q723">
        <f>IF(S722&gt;0,MAX(0,S722*(1+$G$54)-$H$54),0)</f>
        <v/>
      </c>
      <c r="R723">
        <f>MAX(0,N723-M723)</f>
        <v/>
      </c>
      <c r="S723">
        <f>IF(Q723-R723&gt;1E-9,Q723-R723,0)</f>
        <v/>
      </c>
      <c r="T723">
        <f>S722*$G$54</f>
        <v/>
      </c>
      <c r="U723">
        <f>IF(W722&gt;0,MAX(0,W722*(1+$G$55)-$H$55),0)</f>
        <v/>
      </c>
      <c r="V723">
        <f>MAX(0,R723-Q723)</f>
        <v/>
      </c>
      <c r="W723">
        <f>IF(U723-V723&gt;1E-9,U723-V723,0)</f>
        <v/>
      </c>
      <c r="X723">
        <f>W722*$G$55</f>
        <v/>
      </c>
      <c r="Y723">
        <f>IF(Y722&gt;1E-9,IF(Y722*(1+$G$51)-MAX($B$9,0.01*Y722+Y722*$G$51)&gt;1E-9,Y722*(1+$G$51)-MAX($B$9,0.01*Y722+Y722*$G$51),0),0)</f>
        <v/>
      </c>
      <c r="Z723">
        <f>Y722*$G$51</f>
        <v/>
      </c>
      <c r="AA723">
        <f>IF(AA722&gt;1E-9,IF(AA722*(1+$G$52)-MAX($B$9,0.01*AA722+AA722*$G$52)&gt;1E-9,AA722*(1+$G$52)-MAX($B$9,0.01*AA722+AA722*$G$52),0),0)</f>
        <v/>
      </c>
      <c r="AB723">
        <f>AA722*$G$52</f>
        <v/>
      </c>
      <c r="AC723">
        <f>IF(AC722&gt;1E-9,IF(AC722*(1+$G$53)-MAX($B$9,0.01*AC722+AC722*$G$53)&gt;1E-9,AC722*(1+$G$53)-MAX($B$9,0.01*AC722+AC722*$G$53),0),0)</f>
        <v/>
      </c>
      <c r="AD723">
        <f>AC722*$G$53</f>
        <v/>
      </c>
      <c r="AE723">
        <f>IF(AE722&gt;1E-9,IF(AE722*(1+$G$54)-MAX($B$9,0.01*AE722+AE722*$G$54)&gt;1E-9,AE722*(1+$G$54)-MAX($B$9,0.01*AE722+AE722*$G$54),0),0)</f>
        <v/>
      </c>
      <c r="AF723">
        <f>AE722*$G$54</f>
        <v/>
      </c>
      <c r="AG723">
        <f>IF(AG722&gt;1E-9,IF(AG722*(1+$G$55)-MAX($B$9,0.01*AG722+AG722*$G$55)&gt;1E-9,AG722*(1+$G$55)-MAX($B$9,0.01*AG722+AG722*$G$55),0),0)</f>
        <v/>
      </c>
      <c r="AH723">
        <f>AG722*$G$55</f>
        <v/>
      </c>
      <c r="AI723">
        <f>G723+K723+O723+S723+W723</f>
        <v/>
      </c>
      <c r="AJ723">
        <f>AI722+AK723-AI723</f>
        <v/>
      </c>
      <c r="AK723">
        <f>H723+L723+P723+T723+X723</f>
        <v/>
      </c>
      <c r="AL723">
        <f>TEXT(EDATE($B$5,D723-1),"mmm yyyy")</f>
        <v/>
      </c>
      <c r="AM723">
        <f>AI723</f>
        <v/>
      </c>
    </row>
    <row r="724">
      <c r="D724" t="n">
        <v>663</v>
      </c>
      <c r="E724">
        <f>IF(G723&gt;0,MAX(0,G723*(1+$G$51)-$H$51),0)</f>
        <v/>
      </c>
      <c r="F724">
        <f>$B$6+IF($D724=$B$8,$B$7,0)</f>
        <v/>
      </c>
      <c r="G724">
        <f>IF(E724-F724&gt;1E-9,E724-F724,0)</f>
        <v/>
      </c>
      <c r="H724">
        <f>G723*$G$51</f>
        <v/>
      </c>
      <c r="I724">
        <f>IF(K723&gt;0,MAX(0,K723*(1+$G$52)-$H$52),0)</f>
        <v/>
      </c>
      <c r="J724">
        <f>MAX(0,F724-E724)</f>
        <v/>
      </c>
      <c r="K724">
        <f>IF(I724-J724&gt;1E-9,I724-J724,0)</f>
        <v/>
      </c>
      <c r="L724">
        <f>K723*$G$52</f>
        <v/>
      </c>
      <c r="M724">
        <f>IF(O723&gt;0,MAX(0,O723*(1+$G$53)-$H$53),0)</f>
        <v/>
      </c>
      <c r="N724">
        <f>MAX(0,J724-I724)</f>
        <v/>
      </c>
      <c r="O724">
        <f>IF(M724-N724&gt;1E-9,M724-N724,0)</f>
        <v/>
      </c>
      <c r="P724">
        <f>O723*$G$53</f>
        <v/>
      </c>
      <c r="Q724">
        <f>IF(S723&gt;0,MAX(0,S723*(1+$G$54)-$H$54),0)</f>
        <v/>
      </c>
      <c r="R724">
        <f>MAX(0,N724-M724)</f>
        <v/>
      </c>
      <c r="S724">
        <f>IF(Q724-R724&gt;1E-9,Q724-R724,0)</f>
        <v/>
      </c>
      <c r="T724">
        <f>S723*$G$54</f>
        <v/>
      </c>
      <c r="U724">
        <f>IF(W723&gt;0,MAX(0,W723*(1+$G$55)-$H$55),0)</f>
        <v/>
      </c>
      <c r="V724">
        <f>MAX(0,R724-Q724)</f>
        <v/>
      </c>
      <c r="W724">
        <f>IF(U724-V724&gt;1E-9,U724-V724,0)</f>
        <v/>
      </c>
      <c r="X724">
        <f>W723*$G$55</f>
        <v/>
      </c>
      <c r="Y724">
        <f>IF(Y723&gt;1E-9,IF(Y723*(1+$G$51)-MAX($B$9,0.01*Y723+Y723*$G$51)&gt;1E-9,Y723*(1+$G$51)-MAX($B$9,0.01*Y723+Y723*$G$51),0),0)</f>
        <v/>
      </c>
      <c r="Z724">
        <f>Y723*$G$51</f>
        <v/>
      </c>
      <c r="AA724">
        <f>IF(AA723&gt;1E-9,IF(AA723*(1+$G$52)-MAX($B$9,0.01*AA723+AA723*$G$52)&gt;1E-9,AA723*(1+$G$52)-MAX($B$9,0.01*AA723+AA723*$G$52),0),0)</f>
        <v/>
      </c>
      <c r="AB724">
        <f>AA723*$G$52</f>
        <v/>
      </c>
      <c r="AC724">
        <f>IF(AC723&gt;1E-9,IF(AC723*(1+$G$53)-MAX($B$9,0.01*AC723+AC723*$G$53)&gt;1E-9,AC723*(1+$G$53)-MAX($B$9,0.01*AC723+AC723*$G$53),0),0)</f>
        <v/>
      </c>
      <c r="AD724">
        <f>AC723*$G$53</f>
        <v/>
      </c>
      <c r="AE724">
        <f>IF(AE723&gt;1E-9,IF(AE723*(1+$G$54)-MAX($B$9,0.01*AE723+AE723*$G$54)&gt;1E-9,AE723*(1+$G$54)-MAX($B$9,0.01*AE723+AE723*$G$54),0),0)</f>
        <v/>
      </c>
      <c r="AF724">
        <f>AE723*$G$54</f>
        <v/>
      </c>
      <c r="AG724">
        <f>IF(AG723&gt;1E-9,IF(AG723*(1+$G$55)-MAX($B$9,0.01*AG723+AG723*$G$55)&gt;1E-9,AG723*(1+$G$55)-MAX($B$9,0.01*AG723+AG723*$G$55),0),0)</f>
        <v/>
      </c>
      <c r="AH724">
        <f>AG723*$G$55</f>
        <v/>
      </c>
      <c r="AI724">
        <f>G724+K724+O724+S724+W724</f>
        <v/>
      </c>
      <c r="AJ724">
        <f>AI723+AK724-AI724</f>
        <v/>
      </c>
      <c r="AK724">
        <f>H724+L724+P724+T724+X724</f>
        <v/>
      </c>
      <c r="AL724">
        <f>TEXT(EDATE($B$5,D724-1),"mmm yyyy")</f>
        <v/>
      </c>
      <c r="AM724">
        <f>AI724</f>
        <v/>
      </c>
    </row>
    <row r="725">
      <c r="D725" t="n">
        <v>664</v>
      </c>
      <c r="E725">
        <f>IF(G724&gt;0,MAX(0,G724*(1+$G$51)-$H$51),0)</f>
        <v/>
      </c>
      <c r="F725">
        <f>$B$6+IF($D725=$B$8,$B$7,0)</f>
        <v/>
      </c>
      <c r="G725">
        <f>IF(E725-F725&gt;1E-9,E725-F725,0)</f>
        <v/>
      </c>
      <c r="H725">
        <f>G724*$G$51</f>
        <v/>
      </c>
      <c r="I725">
        <f>IF(K724&gt;0,MAX(0,K724*(1+$G$52)-$H$52),0)</f>
        <v/>
      </c>
      <c r="J725">
        <f>MAX(0,F725-E725)</f>
        <v/>
      </c>
      <c r="K725">
        <f>IF(I725-J725&gt;1E-9,I725-J725,0)</f>
        <v/>
      </c>
      <c r="L725">
        <f>K724*$G$52</f>
        <v/>
      </c>
      <c r="M725">
        <f>IF(O724&gt;0,MAX(0,O724*(1+$G$53)-$H$53),0)</f>
        <v/>
      </c>
      <c r="N725">
        <f>MAX(0,J725-I725)</f>
        <v/>
      </c>
      <c r="O725">
        <f>IF(M725-N725&gt;1E-9,M725-N725,0)</f>
        <v/>
      </c>
      <c r="P725">
        <f>O724*$G$53</f>
        <v/>
      </c>
      <c r="Q725">
        <f>IF(S724&gt;0,MAX(0,S724*(1+$G$54)-$H$54),0)</f>
        <v/>
      </c>
      <c r="R725">
        <f>MAX(0,N725-M725)</f>
        <v/>
      </c>
      <c r="S725">
        <f>IF(Q725-R725&gt;1E-9,Q725-R725,0)</f>
        <v/>
      </c>
      <c r="T725">
        <f>S724*$G$54</f>
        <v/>
      </c>
      <c r="U725">
        <f>IF(W724&gt;0,MAX(0,W724*(1+$G$55)-$H$55),0)</f>
        <v/>
      </c>
      <c r="V725">
        <f>MAX(0,R725-Q725)</f>
        <v/>
      </c>
      <c r="W725">
        <f>IF(U725-V725&gt;1E-9,U725-V725,0)</f>
        <v/>
      </c>
      <c r="X725">
        <f>W724*$G$55</f>
        <v/>
      </c>
      <c r="Y725">
        <f>IF(Y724&gt;1E-9,IF(Y724*(1+$G$51)-MAX($B$9,0.01*Y724+Y724*$G$51)&gt;1E-9,Y724*(1+$G$51)-MAX($B$9,0.01*Y724+Y724*$G$51),0),0)</f>
        <v/>
      </c>
      <c r="Z725">
        <f>Y724*$G$51</f>
        <v/>
      </c>
      <c r="AA725">
        <f>IF(AA724&gt;1E-9,IF(AA724*(1+$G$52)-MAX($B$9,0.01*AA724+AA724*$G$52)&gt;1E-9,AA724*(1+$G$52)-MAX($B$9,0.01*AA724+AA724*$G$52),0),0)</f>
        <v/>
      </c>
      <c r="AB725">
        <f>AA724*$G$52</f>
        <v/>
      </c>
      <c r="AC725">
        <f>IF(AC724&gt;1E-9,IF(AC724*(1+$G$53)-MAX($B$9,0.01*AC724+AC724*$G$53)&gt;1E-9,AC724*(1+$G$53)-MAX($B$9,0.01*AC724+AC724*$G$53),0),0)</f>
        <v/>
      </c>
      <c r="AD725">
        <f>AC724*$G$53</f>
        <v/>
      </c>
      <c r="AE725">
        <f>IF(AE724&gt;1E-9,IF(AE724*(1+$G$54)-MAX($B$9,0.01*AE724+AE724*$G$54)&gt;1E-9,AE724*(1+$G$54)-MAX($B$9,0.01*AE724+AE724*$G$54),0),0)</f>
        <v/>
      </c>
      <c r="AF725">
        <f>AE724*$G$54</f>
        <v/>
      </c>
      <c r="AG725">
        <f>IF(AG724&gt;1E-9,IF(AG724*(1+$G$55)-MAX($B$9,0.01*AG724+AG724*$G$55)&gt;1E-9,AG724*(1+$G$55)-MAX($B$9,0.01*AG724+AG724*$G$55),0),0)</f>
        <v/>
      </c>
      <c r="AH725">
        <f>AG724*$G$55</f>
        <v/>
      </c>
      <c r="AI725">
        <f>G725+K725+O725+S725+W725</f>
        <v/>
      </c>
      <c r="AJ725">
        <f>AI724+AK725-AI725</f>
        <v/>
      </c>
      <c r="AK725">
        <f>H725+L725+P725+T725+X725</f>
        <v/>
      </c>
      <c r="AL725">
        <f>TEXT(EDATE($B$5,D725-1),"mmm yyyy")</f>
        <v/>
      </c>
      <c r="AM725">
        <f>AI725</f>
        <v/>
      </c>
    </row>
    <row r="726">
      <c r="D726" t="n">
        <v>665</v>
      </c>
      <c r="E726">
        <f>IF(G725&gt;0,MAX(0,G725*(1+$G$51)-$H$51),0)</f>
        <v/>
      </c>
      <c r="F726">
        <f>$B$6+IF($D726=$B$8,$B$7,0)</f>
        <v/>
      </c>
      <c r="G726">
        <f>IF(E726-F726&gt;1E-9,E726-F726,0)</f>
        <v/>
      </c>
      <c r="H726">
        <f>G725*$G$51</f>
        <v/>
      </c>
      <c r="I726">
        <f>IF(K725&gt;0,MAX(0,K725*(1+$G$52)-$H$52),0)</f>
        <v/>
      </c>
      <c r="J726">
        <f>MAX(0,F726-E726)</f>
        <v/>
      </c>
      <c r="K726">
        <f>IF(I726-J726&gt;1E-9,I726-J726,0)</f>
        <v/>
      </c>
      <c r="L726">
        <f>K725*$G$52</f>
        <v/>
      </c>
      <c r="M726">
        <f>IF(O725&gt;0,MAX(0,O725*(1+$G$53)-$H$53),0)</f>
        <v/>
      </c>
      <c r="N726">
        <f>MAX(0,J726-I726)</f>
        <v/>
      </c>
      <c r="O726">
        <f>IF(M726-N726&gt;1E-9,M726-N726,0)</f>
        <v/>
      </c>
      <c r="P726">
        <f>O725*$G$53</f>
        <v/>
      </c>
      <c r="Q726">
        <f>IF(S725&gt;0,MAX(0,S725*(1+$G$54)-$H$54),0)</f>
        <v/>
      </c>
      <c r="R726">
        <f>MAX(0,N726-M726)</f>
        <v/>
      </c>
      <c r="S726">
        <f>IF(Q726-R726&gt;1E-9,Q726-R726,0)</f>
        <v/>
      </c>
      <c r="T726">
        <f>S725*$G$54</f>
        <v/>
      </c>
      <c r="U726">
        <f>IF(W725&gt;0,MAX(0,W725*(1+$G$55)-$H$55),0)</f>
        <v/>
      </c>
      <c r="V726">
        <f>MAX(0,R726-Q726)</f>
        <v/>
      </c>
      <c r="W726">
        <f>IF(U726-V726&gt;1E-9,U726-V726,0)</f>
        <v/>
      </c>
      <c r="X726">
        <f>W725*$G$55</f>
        <v/>
      </c>
      <c r="Y726">
        <f>IF(Y725&gt;1E-9,IF(Y725*(1+$G$51)-MAX($B$9,0.01*Y725+Y725*$G$51)&gt;1E-9,Y725*(1+$G$51)-MAX($B$9,0.01*Y725+Y725*$G$51),0),0)</f>
        <v/>
      </c>
      <c r="Z726">
        <f>Y725*$G$51</f>
        <v/>
      </c>
      <c r="AA726">
        <f>IF(AA725&gt;1E-9,IF(AA725*(1+$G$52)-MAX($B$9,0.01*AA725+AA725*$G$52)&gt;1E-9,AA725*(1+$G$52)-MAX($B$9,0.01*AA725+AA725*$G$52),0),0)</f>
        <v/>
      </c>
      <c r="AB726">
        <f>AA725*$G$52</f>
        <v/>
      </c>
      <c r="AC726">
        <f>IF(AC725&gt;1E-9,IF(AC725*(1+$G$53)-MAX($B$9,0.01*AC725+AC725*$G$53)&gt;1E-9,AC725*(1+$G$53)-MAX($B$9,0.01*AC725+AC725*$G$53),0),0)</f>
        <v/>
      </c>
      <c r="AD726">
        <f>AC725*$G$53</f>
        <v/>
      </c>
      <c r="AE726">
        <f>IF(AE725&gt;1E-9,IF(AE725*(1+$G$54)-MAX($B$9,0.01*AE725+AE725*$G$54)&gt;1E-9,AE725*(1+$G$54)-MAX($B$9,0.01*AE725+AE725*$G$54),0),0)</f>
        <v/>
      </c>
      <c r="AF726">
        <f>AE725*$G$54</f>
        <v/>
      </c>
      <c r="AG726">
        <f>IF(AG725&gt;1E-9,IF(AG725*(1+$G$55)-MAX($B$9,0.01*AG725+AG725*$G$55)&gt;1E-9,AG725*(1+$G$55)-MAX($B$9,0.01*AG725+AG725*$G$55),0),0)</f>
        <v/>
      </c>
      <c r="AH726">
        <f>AG725*$G$55</f>
        <v/>
      </c>
      <c r="AI726">
        <f>G726+K726+O726+S726+W726</f>
        <v/>
      </c>
      <c r="AJ726">
        <f>AI725+AK726-AI726</f>
        <v/>
      </c>
      <c r="AK726">
        <f>H726+L726+P726+T726+X726</f>
        <v/>
      </c>
      <c r="AL726">
        <f>TEXT(EDATE($B$5,D726-1),"mmm yyyy")</f>
        <v/>
      </c>
      <c r="AM726">
        <f>AI726</f>
        <v/>
      </c>
    </row>
    <row r="727">
      <c r="D727" t="n">
        <v>666</v>
      </c>
      <c r="E727">
        <f>IF(G726&gt;0,MAX(0,G726*(1+$G$51)-$H$51),0)</f>
        <v/>
      </c>
      <c r="F727">
        <f>$B$6+IF($D727=$B$8,$B$7,0)</f>
        <v/>
      </c>
      <c r="G727">
        <f>IF(E727-F727&gt;1E-9,E727-F727,0)</f>
        <v/>
      </c>
      <c r="H727">
        <f>G726*$G$51</f>
        <v/>
      </c>
      <c r="I727">
        <f>IF(K726&gt;0,MAX(0,K726*(1+$G$52)-$H$52),0)</f>
        <v/>
      </c>
      <c r="J727">
        <f>MAX(0,F727-E727)</f>
        <v/>
      </c>
      <c r="K727">
        <f>IF(I727-J727&gt;1E-9,I727-J727,0)</f>
        <v/>
      </c>
      <c r="L727">
        <f>K726*$G$52</f>
        <v/>
      </c>
      <c r="M727">
        <f>IF(O726&gt;0,MAX(0,O726*(1+$G$53)-$H$53),0)</f>
        <v/>
      </c>
      <c r="N727">
        <f>MAX(0,J727-I727)</f>
        <v/>
      </c>
      <c r="O727">
        <f>IF(M727-N727&gt;1E-9,M727-N727,0)</f>
        <v/>
      </c>
      <c r="P727">
        <f>O726*$G$53</f>
        <v/>
      </c>
      <c r="Q727">
        <f>IF(S726&gt;0,MAX(0,S726*(1+$G$54)-$H$54),0)</f>
        <v/>
      </c>
      <c r="R727">
        <f>MAX(0,N727-M727)</f>
        <v/>
      </c>
      <c r="S727">
        <f>IF(Q727-R727&gt;1E-9,Q727-R727,0)</f>
        <v/>
      </c>
      <c r="T727">
        <f>S726*$G$54</f>
        <v/>
      </c>
      <c r="U727">
        <f>IF(W726&gt;0,MAX(0,W726*(1+$G$55)-$H$55),0)</f>
        <v/>
      </c>
      <c r="V727">
        <f>MAX(0,R727-Q727)</f>
        <v/>
      </c>
      <c r="W727">
        <f>IF(U727-V727&gt;1E-9,U727-V727,0)</f>
        <v/>
      </c>
      <c r="X727">
        <f>W726*$G$55</f>
        <v/>
      </c>
      <c r="Y727">
        <f>IF(Y726&gt;1E-9,IF(Y726*(1+$G$51)-MAX($B$9,0.01*Y726+Y726*$G$51)&gt;1E-9,Y726*(1+$G$51)-MAX($B$9,0.01*Y726+Y726*$G$51),0),0)</f>
        <v/>
      </c>
      <c r="Z727">
        <f>Y726*$G$51</f>
        <v/>
      </c>
      <c r="AA727">
        <f>IF(AA726&gt;1E-9,IF(AA726*(1+$G$52)-MAX($B$9,0.01*AA726+AA726*$G$52)&gt;1E-9,AA726*(1+$G$52)-MAX($B$9,0.01*AA726+AA726*$G$52),0),0)</f>
        <v/>
      </c>
      <c r="AB727">
        <f>AA726*$G$52</f>
        <v/>
      </c>
      <c r="AC727">
        <f>IF(AC726&gt;1E-9,IF(AC726*(1+$G$53)-MAX($B$9,0.01*AC726+AC726*$G$53)&gt;1E-9,AC726*(1+$G$53)-MAX($B$9,0.01*AC726+AC726*$G$53),0),0)</f>
        <v/>
      </c>
      <c r="AD727">
        <f>AC726*$G$53</f>
        <v/>
      </c>
      <c r="AE727">
        <f>IF(AE726&gt;1E-9,IF(AE726*(1+$G$54)-MAX($B$9,0.01*AE726+AE726*$G$54)&gt;1E-9,AE726*(1+$G$54)-MAX($B$9,0.01*AE726+AE726*$G$54),0),0)</f>
        <v/>
      </c>
      <c r="AF727">
        <f>AE726*$G$54</f>
        <v/>
      </c>
      <c r="AG727">
        <f>IF(AG726&gt;1E-9,IF(AG726*(1+$G$55)-MAX($B$9,0.01*AG726+AG726*$G$55)&gt;1E-9,AG726*(1+$G$55)-MAX($B$9,0.01*AG726+AG726*$G$55),0),0)</f>
        <v/>
      </c>
      <c r="AH727">
        <f>AG726*$G$55</f>
        <v/>
      </c>
      <c r="AI727">
        <f>G727+K727+O727+S727+W727</f>
        <v/>
      </c>
      <c r="AJ727">
        <f>AI726+AK727-AI727</f>
        <v/>
      </c>
      <c r="AK727">
        <f>H727+L727+P727+T727+X727</f>
        <v/>
      </c>
      <c r="AL727">
        <f>TEXT(EDATE($B$5,D727-1),"mmm yyyy")</f>
        <v/>
      </c>
      <c r="AM727">
        <f>AI727</f>
        <v/>
      </c>
    </row>
    <row r="728">
      <c r="D728" t="n">
        <v>667</v>
      </c>
      <c r="E728">
        <f>IF(G727&gt;0,MAX(0,G727*(1+$G$51)-$H$51),0)</f>
        <v/>
      </c>
      <c r="F728">
        <f>$B$6+IF($D728=$B$8,$B$7,0)</f>
        <v/>
      </c>
      <c r="G728">
        <f>IF(E728-F728&gt;1E-9,E728-F728,0)</f>
        <v/>
      </c>
      <c r="H728">
        <f>G727*$G$51</f>
        <v/>
      </c>
      <c r="I728">
        <f>IF(K727&gt;0,MAX(0,K727*(1+$G$52)-$H$52),0)</f>
        <v/>
      </c>
      <c r="J728">
        <f>MAX(0,F728-E728)</f>
        <v/>
      </c>
      <c r="K728">
        <f>IF(I728-J728&gt;1E-9,I728-J728,0)</f>
        <v/>
      </c>
      <c r="L728">
        <f>K727*$G$52</f>
        <v/>
      </c>
      <c r="M728">
        <f>IF(O727&gt;0,MAX(0,O727*(1+$G$53)-$H$53),0)</f>
        <v/>
      </c>
      <c r="N728">
        <f>MAX(0,J728-I728)</f>
        <v/>
      </c>
      <c r="O728">
        <f>IF(M728-N728&gt;1E-9,M728-N728,0)</f>
        <v/>
      </c>
      <c r="P728">
        <f>O727*$G$53</f>
        <v/>
      </c>
      <c r="Q728">
        <f>IF(S727&gt;0,MAX(0,S727*(1+$G$54)-$H$54),0)</f>
        <v/>
      </c>
      <c r="R728">
        <f>MAX(0,N728-M728)</f>
        <v/>
      </c>
      <c r="S728">
        <f>IF(Q728-R728&gt;1E-9,Q728-R728,0)</f>
        <v/>
      </c>
      <c r="T728">
        <f>S727*$G$54</f>
        <v/>
      </c>
      <c r="U728">
        <f>IF(W727&gt;0,MAX(0,W727*(1+$G$55)-$H$55),0)</f>
        <v/>
      </c>
      <c r="V728">
        <f>MAX(0,R728-Q728)</f>
        <v/>
      </c>
      <c r="W728">
        <f>IF(U728-V728&gt;1E-9,U728-V728,0)</f>
        <v/>
      </c>
      <c r="X728">
        <f>W727*$G$55</f>
        <v/>
      </c>
      <c r="Y728">
        <f>IF(Y727&gt;1E-9,IF(Y727*(1+$G$51)-MAX($B$9,0.01*Y727+Y727*$G$51)&gt;1E-9,Y727*(1+$G$51)-MAX($B$9,0.01*Y727+Y727*$G$51),0),0)</f>
        <v/>
      </c>
      <c r="Z728">
        <f>Y727*$G$51</f>
        <v/>
      </c>
      <c r="AA728">
        <f>IF(AA727&gt;1E-9,IF(AA727*(1+$G$52)-MAX($B$9,0.01*AA727+AA727*$G$52)&gt;1E-9,AA727*(1+$G$52)-MAX($B$9,0.01*AA727+AA727*$G$52),0),0)</f>
        <v/>
      </c>
      <c r="AB728">
        <f>AA727*$G$52</f>
        <v/>
      </c>
      <c r="AC728">
        <f>IF(AC727&gt;1E-9,IF(AC727*(1+$G$53)-MAX($B$9,0.01*AC727+AC727*$G$53)&gt;1E-9,AC727*(1+$G$53)-MAX($B$9,0.01*AC727+AC727*$G$53),0),0)</f>
        <v/>
      </c>
      <c r="AD728">
        <f>AC727*$G$53</f>
        <v/>
      </c>
      <c r="AE728">
        <f>IF(AE727&gt;1E-9,IF(AE727*(1+$G$54)-MAX($B$9,0.01*AE727+AE727*$G$54)&gt;1E-9,AE727*(1+$G$54)-MAX($B$9,0.01*AE727+AE727*$G$54),0),0)</f>
        <v/>
      </c>
      <c r="AF728">
        <f>AE727*$G$54</f>
        <v/>
      </c>
      <c r="AG728">
        <f>IF(AG727&gt;1E-9,IF(AG727*(1+$G$55)-MAX($B$9,0.01*AG727+AG727*$G$55)&gt;1E-9,AG727*(1+$G$55)-MAX($B$9,0.01*AG727+AG727*$G$55),0),0)</f>
        <v/>
      </c>
      <c r="AH728">
        <f>AG727*$G$55</f>
        <v/>
      </c>
      <c r="AI728">
        <f>G728+K728+O728+S728+W728</f>
        <v/>
      </c>
      <c r="AJ728">
        <f>AI727+AK728-AI728</f>
        <v/>
      </c>
      <c r="AK728">
        <f>H728+L728+P728+T728+X728</f>
        <v/>
      </c>
      <c r="AL728">
        <f>TEXT(EDATE($B$5,D728-1),"mmm yyyy")</f>
        <v/>
      </c>
      <c r="AM728">
        <f>AI728</f>
        <v/>
      </c>
    </row>
    <row r="729">
      <c r="D729" t="n">
        <v>668</v>
      </c>
      <c r="E729">
        <f>IF(G728&gt;0,MAX(0,G728*(1+$G$51)-$H$51),0)</f>
        <v/>
      </c>
      <c r="F729">
        <f>$B$6+IF($D729=$B$8,$B$7,0)</f>
        <v/>
      </c>
      <c r="G729">
        <f>IF(E729-F729&gt;1E-9,E729-F729,0)</f>
        <v/>
      </c>
      <c r="H729">
        <f>G728*$G$51</f>
        <v/>
      </c>
      <c r="I729">
        <f>IF(K728&gt;0,MAX(0,K728*(1+$G$52)-$H$52),0)</f>
        <v/>
      </c>
      <c r="J729">
        <f>MAX(0,F729-E729)</f>
        <v/>
      </c>
      <c r="K729">
        <f>IF(I729-J729&gt;1E-9,I729-J729,0)</f>
        <v/>
      </c>
      <c r="L729">
        <f>K728*$G$52</f>
        <v/>
      </c>
      <c r="M729">
        <f>IF(O728&gt;0,MAX(0,O728*(1+$G$53)-$H$53),0)</f>
        <v/>
      </c>
      <c r="N729">
        <f>MAX(0,J729-I729)</f>
        <v/>
      </c>
      <c r="O729">
        <f>IF(M729-N729&gt;1E-9,M729-N729,0)</f>
        <v/>
      </c>
      <c r="P729">
        <f>O728*$G$53</f>
        <v/>
      </c>
      <c r="Q729">
        <f>IF(S728&gt;0,MAX(0,S728*(1+$G$54)-$H$54),0)</f>
        <v/>
      </c>
      <c r="R729">
        <f>MAX(0,N729-M729)</f>
        <v/>
      </c>
      <c r="S729">
        <f>IF(Q729-R729&gt;1E-9,Q729-R729,0)</f>
        <v/>
      </c>
      <c r="T729">
        <f>S728*$G$54</f>
        <v/>
      </c>
      <c r="U729">
        <f>IF(W728&gt;0,MAX(0,W728*(1+$G$55)-$H$55),0)</f>
        <v/>
      </c>
      <c r="V729">
        <f>MAX(0,R729-Q729)</f>
        <v/>
      </c>
      <c r="W729">
        <f>IF(U729-V729&gt;1E-9,U729-V729,0)</f>
        <v/>
      </c>
      <c r="X729">
        <f>W728*$G$55</f>
        <v/>
      </c>
      <c r="Y729">
        <f>IF(Y728&gt;1E-9,IF(Y728*(1+$G$51)-MAX($B$9,0.01*Y728+Y728*$G$51)&gt;1E-9,Y728*(1+$G$51)-MAX($B$9,0.01*Y728+Y728*$G$51),0),0)</f>
        <v/>
      </c>
      <c r="Z729">
        <f>Y728*$G$51</f>
        <v/>
      </c>
      <c r="AA729">
        <f>IF(AA728&gt;1E-9,IF(AA728*(1+$G$52)-MAX($B$9,0.01*AA728+AA728*$G$52)&gt;1E-9,AA728*(1+$G$52)-MAX($B$9,0.01*AA728+AA728*$G$52),0),0)</f>
        <v/>
      </c>
      <c r="AB729">
        <f>AA728*$G$52</f>
        <v/>
      </c>
      <c r="AC729">
        <f>IF(AC728&gt;1E-9,IF(AC728*(1+$G$53)-MAX($B$9,0.01*AC728+AC728*$G$53)&gt;1E-9,AC728*(1+$G$53)-MAX($B$9,0.01*AC728+AC728*$G$53),0),0)</f>
        <v/>
      </c>
      <c r="AD729">
        <f>AC728*$G$53</f>
        <v/>
      </c>
      <c r="AE729">
        <f>IF(AE728&gt;1E-9,IF(AE728*(1+$G$54)-MAX($B$9,0.01*AE728+AE728*$G$54)&gt;1E-9,AE728*(1+$G$54)-MAX($B$9,0.01*AE728+AE728*$G$54),0),0)</f>
        <v/>
      </c>
      <c r="AF729">
        <f>AE728*$G$54</f>
        <v/>
      </c>
      <c r="AG729">
        <f>IF(AG728&gt;1E-9,IF(AG728*(1+$G$55)-MAX($B$9,0.01*AG728+AG728*$G$55)&gt;1E-9,AG728*(1+$G$55)-MAX($B$9,0.01*AG728+AG728*$G$55),0),0)</f>
        <v/>
      </c>
      <c r="AH729">
        <f>AG728*$G$55</f>
        <v/>
      </c>
      <c r="AI729">
        <f>G729+K729+O729+S729+W729</f>
        <v/>
      </c>
      <c r="AJ729">
        <f>AI728+AK729-AI729</f>
        <v/>
      </c>
      <c r="AK729">
        <f>H729+L729+P729+T729+X729</f>
        <v/>
      </c>
      <c r="AL729">
        <f>TEXT(EDATE($B$5,D729-1),"mmm yyyy")</f>
        <v/>
      </c>
      <c r="AM729">
        <f>AI729</f>
        <v/>
      </c>
    </row>
    <row r="730">
      <c r="D730" t="n">
        <v>669</v>
      </c>
      <c r="E730">
        <f>IF(G729&gt;0,MAX(0,G729*(1+$G$51)-$H$51),0)</f>
        <v/>
      </c>
      <c r="F730">
        <f>$B$6+IF($D730=$B$8,$B$7,0)</f>
        <v/>
      </c>
      <c r="G730">
        <f>IF(E730-F730&gt;1E-9,E730-F730,0)</f>
        <v/>
      </c>
      <c r="H730">
        <f>G729*$G$51</f>
        <v/>
      </c>
      <c r="I730">
        <f>IF(K729&gt;0,MAX(0,K729*(1+$G$52)-$H$52),0)</f>
        <v/>
      </c>
      <c r="J730">
        <f>MAX(0,F730-E730)</f>
        <v/>
      </c>
      <c r="K730">
        <f>IF(I730-J730&gt;1E-9,I730-J730,0)</f>
        <v/>
      </c>
      <c r="L730">
        <f>K729*$G$52</f>
        <v/>
      </c>
      <c r="M730">
        <f>IF(O729&gt;0,MAX(0,O729*(1+$G$53)-$H$53),0)</f>
        <v/>
      </c>
      <c r="N730">
        <f>MAX(0,J730-I730)</f>
        <v/>
      </c>
      <c r="O730">
        <f>IF(M730-N730&gt;1E-9,M730-N730,0)</f>
        <v/>
      </c>
      <c r="P730">
        <f>O729*$G$53</f>
        <v/>
      </c>
      <c r="Q730">
        <f>IF(S729&gt;0,MAX(0,S729*(1+$G$54)-$H$54),0)</f>
        <v/>
      </c>
      <c r="R730">
        <f>MAX(0,N730-M730)</f>
        <v/>
      </c>
      <c r="S730">
        <f>IF(Q730-R730&gt;1E-9,Q730-R730,0)</f>
        <v/>
      </c>
      <c r="T730">
        <f>S729*$G$54</f>
        <v/>
      </c>
      <c r="U730">
        <f>IF(W729&gt;0,MAX(0,W729*(1+$G$55)-$H$55),0)</f>
        <v/>
      </c>
      <c r="V730">
        <f>MAX(0,R730-Q730)</f>
        <v/>
      </c>
      <c r="W730">
        <f>IF(U730-V730&gt;1E-9,U730-V730,0)</f>
        <v/>
      </c>
      <c r="X730">
        <f>W729*$G$55</f>
        <v/>
      </c>
      <c r="Y730">
        <f>IF(Y729&gt;1E-9,IF(Y729*(1+$G$51)-MAX($B$9,0.01*Y729+Y729*$G$51)&gt;1E-9,Y729*(1+$G$51)-MAX($B$9,0.01*Y729+Y729*$G$51),0),0)</f>
        <v/>
      </c>
      <c r="Z730">
        <f>Y729*$G$51</f>
        <v/>
      </c>
      <c r="AA730">
        <f>IF(AA729&gt;1E-9,IF(AA729*(1+$G$52)-MAX($B$9,0.01*AA729+AA729*$G$52)&gt;1E-9,AA729*(1+$G$52)-MAX($B$9,0.01*AA729+AA729*$G$52),0),0)</f>
        <v/>
      </c>
      <c r="AB730">
        <f>AA729*$G$52</f>
        <v/>
      </c>
      <c r="AC730">
        <f>IF(AC729&gt;1E-9,IF(AC729*(1+$G$53)-MAX($B$9,0.01*AC729+AC729*$G$53)&gt;1E-9,AC729*(1+$G$53)-MAX($B$9,0.01*AC729+AC729*$G$53),0),0)</f>
        <v/>
      </c>
      <c r="AD730">
        <f>AC729*$G$53</f>
        <v/>
      </c>
      <c r="AE730">
        <f>IF(AE729&gt;1E-9,IF(AE729*(1+$G$54)-MAX($B$9,0.01*AE729+AE729*$G$54)&gt;1E-9,AE729*(1+$G$54)-MAX($B$9,0.01*AE729+AE729*$G$54),0),0)</f>
        <v/>
      </c>
      <c r="AF730">
        <f>AE729*$G$54</f>
        <v/>
      </c>
      <c r="AG730">
        <f>IF(AG729&gt;1E-9,IF(AG729*(1+$G$55)-MAX($B$9,0.01*AG729+AG729*$G$55)&gt;1E-9,AG729*(1+$G$55)-MAX($B$9,0.01*AG729+AG729*$G$55),0),0)</f>
        <v/>
      </c>
      <c r="AH730">
        <f>AG729*$G$55</f>
        <v/>
      </c>
      <c r="AI730">
        <f>G730+K730+O730+S730+W730</f>
        <v/>
      </c>
      <c r="AJ730">
        <f>AI729+AK730-AI730</f>
        <v/>
      </c>
      <c r="AK730">
        <f>H730+L730+P730+T730+X730</f>
        <v/>
      </c>
      <c r="AL730">
        <f>TEXT(EDATE($B$5,D730-1),"mmm yyyy")</f>
        <v/>
      </c>
      <c r="AM730">
        <f>AI730</f>
        <v/>
      </c>
    </row>
    <row r="731">
      <c r="D731" t="n">
        <v>670</v>
      </c>
      <c r="E731">
        <f>IF(G730&gt;0,MAX(0,G730*(1+$G$51)-$H$51),0)</f>
        <v/>
      </c>
      <c r="F731">
        <f>$B$6+IF($D731=$B$8,$B$7,0)</f>
        <v/>
      </c>
      <c r="G731">
        <f>IF(E731-F731&gt;1E-9,E731-F731,0)</f>
        <v/>
      </c>
      <c r="H731">
        <f>G730*$G$51</f>
        <v/>
      </c>
      <c r="I731">
        <f>IF(K730&gt;0,MAX(0,K730*(1+$G$52)-$H$52),0)</f>
        <v/>
      </c>
      <c r="J731">
        <f>MAX(0,F731-E731)</f>
        <v/>
      </c>
      <c r="K731">
        <f>IF(I731-J731&gt;1E-9,I731-J731,0)</f>
        <v/>
      </c>
      <c r="L731">
        <f>K730*$G$52</f>
        <v/>
      </c>
      <c r="M731">
        <f>IF(O730&gt;0,MAX(0,O730*(1+$G$53)-$H$53),0)</f>
        <v/>
      </c>
      <c r="N731">
        <f>MAX(0,J731-I731)</f>
        <v/>
      </c>
      <c r="O731">
        <f>IF(M731-N731&gt;1E-9,M731-N731,0)</f>
        <v/>
      </c>
      <c r="P731">
        <f>O730*$G$53</f>
        <v/>
      </c>
      <c r="Q731">
        <f>IF(S730&gt;0,MAX(0,S730*(1+$G$54)-$H$54),0)</f>
        <v/>
      </c>
      <c r="R731">
        <f>MAX(0,N731-M731)</f>
        <v/>
      </c>
      <c r="S731">
        <f>IF(Q731-R731&gt;1E-9,Q731-R731,0)</f>
        <v/>
      </c>
      <c r="T731">
        <f>S730*$G$54</f>
        <v/>
      </c>
      <c r="U731">
        <f>IF(W730&gt;0,MAX(0,W730*(1+$G$55)-$H$55),0)</f>
        <v/>
      </c>
      <c r="V731">
        <f>MAX(0,R731-Q731)</f>
        <v/>
      </c>
      <c r="W731">
        <f>IF(U731-V731&gt;1E-9,U731-V731,0)</f>
        <v/>
      </c>
      <c r="X731">
        <f>W730*$G$55</f>
        <v/>
      </c>
      <c r="Y731">
        <f>IF(Y730&gt;1E-9,IF(Y730*(1+$G$51)-MAX($B$9,0.01*Y730+Y730*$G$51)&gt;1E-9,Y730*(1+$G$51)-MAX($B$9,0.01*Y730+Y730*$G$51),0),0)</f>
        <v/>
      </c>
      <c r="Z731">
        <f>Y730*$G$51</f>
        <v/>
      </c>
      <c r="AA731">
        <f>IF(AA730&gt;1E-9,IF(AA730*(1+$G$52)-MAX($B$9,0.01*AA730+AA730*$G$52)&gt;1E-9,AA730*(1+$G$52)-MAX($B$9,0.01*AA730+AA730*$G$52),0),0)</f>
        <v/>
      </c>
      <c r="AB731">
        <f>AA730*$G$52</f>
        <v/>
      </c>
      <c r="AC731">
        <f>IF(AC730&gt;1E-9,IF(AC730*(1+$G$53)-MAX($B$9,0.01*AC730+AC730*$G$53)&gt;1E-9,AC730*(1+$G$53)-MAX($B$9,0.01*AC730+AC730*$G$53),0),0)</f>
        <v/>
      </c>
      <c r="AD731">
        <f>AC730*$G$53</f>
        <v/>
      </c>
      <c r="AE731">
        <f>IF(AE730&gt;1E-9,IF(AE730*(1+$G$54)-MAX($B$9,0.01*AE730+AE730*$G$54)&gt;1E-9,AE730*(1+$G$54)-MAX($B$9,0.01*AE730+AE730*$G$54),0),0)</f>
        <v/>
      </c>
      <c r="AF731">
        <f>AE730*$G$54</f>
        <v/>
      </c>
      <c r="AG731">
        <f>IF(AG730&gt;1E-9,IF(AG730*(1+$G$55)-MAX($B$9,0.01*AG730+AG730*$G$55)&gt;1E-9,AG730*(1+$G$55)-MAX($B$9,0.01*AG730+AG730*$G$55),0),0)</f>
        <v/>
      </c>
      <c r="AH731">
        <f>AG730*$G$55</f>
        <v/>
      </c>
      <c r="AI731">
        <f>G731+K731+O731+S731+W731</f>
        <v/>
      </c>
      <c r="AJ731">
        <f>AI730+AK731-AI731</f>
        <v/>
      </c>
      <c r="AK731">
        <f>H731+L731+P731+T731+X731</f>
        <v/>
      </c>
      <c r="AL731">
        <f>TEXT(EDATE($B$5,D731-1),"mmm yyyy")</f>
        <v/>
      </c>
      <c r="AM731">
        <f>AI731</f>
        <v/>
      </c>
    </row>
    <row r="732">
      <c r="D732" t="n">
        <v>671</v>
      </c>
      <c r="E732">
        <f>IF(G731&gt;0,MAX(0,G731*(1+$G$51)-$H$51),0)</f>
        <v/>
      </c>
      <c r="F732">
        <f>$B$6+IF($D732=$B$8,$B$7,0)</f>
        <v/>
      </c>
      <c r="G732">
        <f>IF(E732-F732&gt;1E-9,E732-F732,0)</f>
        <v/>
      </c>
      <c r="H732">
        <f>G731*$G$51</f>
        <v/>
      </c>
      <c r="I732">
        <f>IF(K731&gt;0,MAX(0,K731*(1+$G$52)-$H$52),0)</f>
        <v/>
      </c>
      <c r="J732">
        <f>MAX(0,F732-E732)</f>
        <v/>
      </c>
      <c r="K732">
        <f>IF(I732-J732&gt;1E-9,I732-J732,0)</f>
        <v/>
      </c>
      <c r="L732">
        <f>K731*$G$52</f>
        <v/>
      </c>
      <c r="M732">
        <f>IF(O731&gt;0,MAX(0,O731*(1+$G$53)-$H$53),0)</f>
        <v/>
      </c>
      <c r="N732">
        <f>MAX(0,J732-I732)</f>
        <v/>
      </c>
      <c r="O732">
        <f>IF(M732-N732&gt;1E-9,M732-N732,0)</f>
        <v/>
      </c>
      <c r="P732">
        <f>O731*$G$53</f>
        <v/>
      </c>
      <c r="Q732">
        <f>IF(S731&gt;0,MAX(0,S731*(1+$G$54)-$H$54),0)</f>
        <v/>
      </c>
      <c r="R732">
        <f>MAX(0,N732-M732)</f>
        <v/>
      </c>
      <c r="S732">
        <f>IF(Q732-R732&gt;1E-9,Q732-R732,0)</f>
        <v/>
      </c>
      <c r="T732">
        <f>S731*$G$54</f>
        <v/>
      </c>
      <c r="U732">
        <f>IF(W731&gt;0,MAX(0,W731*(1+$G$55)-$H$55),0)</f>
        <v/>
      </c>
      <c r="V732">
        <f>MAX(0,R732-Q732)</f>
        <v/>
      </c>
      <c r="W732">
        <f>IF(U732-V732&gt;1E-9,U732-V732,0)</f>
        <v/>
      </c>
      <c r="X732">
        <f>W731*$G$55</f>
        <v/>
      </c>
      <c r="Y732">
        <f>IF(Y731&gt;1E-9,IF(Y731*(1+$G$51)-MAX($B$9,0.01*Y731+Y731*$G$51)&gt;1E-9,Y731*(1+$G$51)-MAX($B$9,0.01*Y731+Y731*$G$51),0),0)</f>
        <v/>
      </c>
      <c r="Z732">
        <f>Y731*$G$51</f>
        <v/>
      </c>
      <c r="AA732">
        <f>IF(AA731&gt;1E-9,IF(AA731*(1+$G$52)-MAX($B$9,0.01*AA731+AA731*$G$52)&gt;1E-9,AA731*(1+$G$52)-MAX($B$9,0.01*AA731+AA731*$G$52),0),0)</f>
        <v/>
      </c>
      <c r="AB732">
        <f>AA731*$G$52</f>
        <v/>
      </c>
      <c r="AC732">
        <f>IF(AC731&gt;1E-9,IF(AC731*(1+$G$53)-MAX($B$9,0.01*AC731+AC731*$G$53)&gt;1E-9,AC731*(1+$G$53)-MAX($B$9,0.01*AC731+AC731*$G$53),0),0)</f>
        <v/>
      </c>
      <c r="AD732">
        <f>AC731*$G$53</f>
        <v/>
      </c>
      <c r="AE732">
        <f>IF(AE731&gt;1E-9,IF(AE731*(1+$G$54)-MAX($B$9,0.01*AE731+AE731*$G$54)&gt;1E-9,AE731*(1+$G$54)-MAX($B$9,0.01*AE731+AE731*$G$54),0),0)</f>
        <v/>
      </c>
      <c r="AF732">
        <f>AE731*$G$54</f>
        <v/>
      </c>
      <c r="AG732">
        <f>IF(AG731&gt;1E-9,IF(AG731*(1+$G$55)-MAX($B$9,0.01*AG731+AG731*$G$55)&gt;1E-9,AG731*(1+$G$55)-MAX($B$9,0.01*AG731+AG731*$G$55),0),0)</f>
        <v/>
      </c>
      <c r="AH732">
        <f>AG731*$G$55</f>
        <v/>
      </c>
      <c r="AI732">
        <f>G732+K732+O732+S732+W732</f>
        <v/>
      </c>
      <c r="AJ732">
        <f>AI731+AK732-AI732</f>
        <v/>
      </c>
      <c r="AK732">
        <f>H732+L732+P732+T732+X732</f>
        <v/>
      </c>
      <c r="AL732">
        <f>TEXT(EDATE($B$5,D732-1),"mmm yyyy")</f>
        <v/>
      </c>
      <c r="AM732">
        <f>AI732</f>
        <v/>
      </c>
    </row>
    <row r="733">
      <c r="D733" t="n">
        <v>672</v>
      </c>
      <c r="E733">
        <f>IF(G732&gt;0,MAX(0,G732*(1+$G$51)-$H$51),0)</f>
        <v/>
      </c>
      <c r="F733">
        <f>$B$6+IF($D733=$B$8,$B$7,0)</f>
        <v/>
      </c>
      <c r="G733">
        <f>IF(E733-F733&gt;1E-9,E733-F733,0)</f>
        <v/>
      </c>
      <c r="H733">
        <f>G732*$G$51</f>
        <v/>
      </c>
      <c r="I733">
        <f>IF(K732&gt;0,MAX(0,K732*(1+$G$52)-$H$52),0)</f>
        <v/>
      </c>
      <c r="J733">
        <f>MAX(0,F733-E733)</f>
        <v/>
      </c>
      <c r="K733">
        <f>IF(I733-J733&gt;1E-9,I733-J733,0)</f>
        <v/>
      </c>
      <c r="L733">
        <f>K732*$G$52</f>
        <v/>
      </c>
      <c r="M733">
        <f>IF(O732&gt;0,MAX(0,O732*(1+$G$53)-$H$53),0)</f>
        <v/>
      </c>
      <c r="N733">
        <f>MAX(0,J733-I733)</f>
        <v/>
      </c>
      <c r="O733">
        <f>IF(M733-N733&gt;1E-9,M733-N733,0)</f>
        <v/>
      </c>
      <c r="P733">
        <f>O732*$G$53</f>
        <v/>
      </c>
      <c r="Q733">
        <f>IF(S732&gt;0,MAX(0,S732*(1+$G$54)-$H$54),0)</f>
        <v/>
      </c>
      <c r="R733">
        <f>MAX(0,N733-M733)</f>
        <v/>
      </c>
      <c r="S733">
        <f>IF(Q733-R733&gt;1E-9,Q733-R733,0)</f>
        <v/>
      </c>
      <c r="T733">
        <f>S732*$G$54</f>
        <v/>
      </c>
      <c r="U733">
        <f>IF(W732&gt;0,MAX(0,W732*(1+$G$55)-$H$55),0)</f>
        <v/>
      </c>
      <c r="V733">
        <f>MAX(0,R733-Q733)</f>
        <v/>
      </c>
      <c r="W733">
        <f>IF(U733-V733&gt;1E-9,U733-V733,0)</f>
        <v/>
      </c>
      <c r="X733">
        <f>W732*$G$55</f>
        <v/>
      </c>
      <c r="Y733">
        <f>IF(Y732&gt;1E-9,IF(Y732*(1+$G$51)-MAX($B$9,0.01*Y732+Y732*$G$51)&gt;1E-9,Y732*(1+$G$51)-MAX($B$9,0.01*Y732+Y732*$G$51),0),0)</f>
        <v/>
      </c>
      <c r="Z733">
        <f>Y732*$G$51</f>
        <v/>
      </c>
      <c r="AA733">
        <f>IF(AA732&gt;1E-9,IF(AA732*(1+$G$52)-MAX($B$9,0.01*AA732+AA732*$G$52)&gt;1E-9,AA732*(1+$G$52)-MAX($B$9,0.01*AA732+AA732*$G$52),0),0)</f>
        <v/>
      </c>
      <c r="AB733">
        <f>AA732*$G$52</f>
        <v/>
      </c>
      <c r="AC733">
        <f>IF(AC732&gt;1E-9,IF(AC732*(1+$G$53)-MAX($B$9,0.01*AC732+AC732*$G$53)&gt;1E-9,AC732*(1+$G$53)-MAX($B$9,0.01*AC732+AC732*$G$53),0),0)</f>
        <v/>
      </c>
      <c r="AD733">
        <f>AC732*$G$53</f>
        <v/>
      </c>
      <c r="AE733">
        <f>IF(AE732&gt;1E-9,IF(AE732*(1+$G$54)-MAX($B$9,0.01*AE732+AE732*$G$54)&gt;1E-9,AE732*(1+$G$54)-MAX($B$9,0.01*AE732+AE732*$G$54),0),0)</f>
        <v/>
      </c>
      <c r="AF733">
        <f>AE732*$G$54</f>
        <v/>
      </c>
      <c r="AG733">
        <f>IF(AG732&gt;1E-9,IF(AG732*(1+$G$55)-MAX($B$9,0.01*AG732+AG732*$G$55)&gt;1E-9,AG732*(1+$G$55)-MAX($B$9,0.01*AG732+AG732*$G$55),0),0)</f>
        <v/>
      </c>
      <c r="AH733">
        <f>AG732*$G$55</f>
        <v/>
      </c>
      <c r="AI733">
        <f>G733+K733+O733+S733+W733</f>
        <v/>
      </c>
      <c r="AJ733">
        <f>AI732+AK733-AI733</f>
        <v/>
      </c>
      <c r="AK733">
        <f>H733+L733+P733+T733+X733</f>
        <v/>
      </c>
      <c r="AL733">
        <f>TEXT(EDATE($B$5,D733-1),"mmm yyyy")</f>
        <v/>
      </c>
      <c r="AM733">
        <f>AI733</f>
        <v/>
      </c>
    </row>
    <row r="734">
      <c r="D734" t="n">
        <v>673</v>
      </c>
      <c r="E734">
        <f>IF(G733&gt;0,MAX(0,G733*(1+$G$51)-$H$51),0)</f>
        <v/>
      </c>
      <c r="F734">
        <f>$B$6+IF($D734=$B$8,$B$7,0)</f>
        <v/>
      </c>
      <c r="G734">
        <f>IF(E734-F734&gt;1E-9,E734-F734,0)</f>
        <v/>
      </c>
      <c r="H734">
        <f>G733*$G$51</f>
        <v/>
      </c>
      <c r="I734">
        <f>IF(K733&gt;0,MAX(0,K733*(1+$G$52)-$H$52),0)</f>
        <v/>
      </c>
      <c r="J734">
        <f>MAX(0,F734-E734)</f>
        <v/>
      </c>
      <c r="K734">
        <f>IF(I734-J734&gt;1E-9,I734-J734,0)</f>
        <v/>
      </c>
      <c r="L734">
        <f>K733*$G$52</f>
        <v/>
      </c>
      <c r="M734">
        <f>IF(O733&gt;0,MAX(0,O733*(1+$G$53)-$H$53),0)</f>
        <v/>
      </c>
      <c r="N734">
        <f>MAX(0,J734-I734)</f>
        <v/>
      </c>
      <c r="O734">
        <f>IF(M734-N734&gt;1E-9,M734-N734,0)</f>
        <v/>
      </c>
      <c r="P734">
        <f>O733*$G$53</f>
        <v/>
      </c>
      <c r="Q734">
        <f>IF(S733&gt;0,MAX(0,S733*(1+$G$54)-$H$54),0)</f>
        <v/>
      </c>
      <c r="R734">
        <f>MAX(0,N734-M734)</f>
        <v/>
      </c>
      <c r="S734">
        <f>IF(Q734-R734&gt;1E-9,Q734-R734,0)</f>
        <v/>
      </c>
      <c r="T734">
        <f>S733*$G$54</f>
        <v/>
      </c>
      <c r="U734">
        <f>IF(W733&gt;0,MAX(0,W733*(1+$G$55)-$H$55),0)</f>
        <v/>
      </c>
      <c r="V734">
        <f>MAX(0,R734-Q734)</f>
        <v/>
      </c>
      <c r="W734">
        <f>IF(U734-V734&gt;1E-9,U734-V734,0)</f>
        <v/>
      </c>
      <c r="X734">
        <f>W733*$G$55</f>
        <v/>
      </c>
      <c r="Y734">
        <f>IF(Y733&gt;1E-9,IF(Y733*(1+$G$51)-MAX($B$9,0.01*Y733+Y733*$G$51)&gt;1E-9,Y733*(1+$G$51)-MAX($B$9,0.01*Y733+Y733*$G$51),0),0)</f>
        <v/>
      </c>
      <c r="Z734">
        <f>Y733*$G$51</f>
        <v/>
      </c>
      <c r="AA734">
        <f>IF(AA733&gt;1E-9,IF(AA733*(1+$G$52)-MAX($B$9,0.01*AA733+AA733*$G$52)&gt;1E-9,AA733*(1+$G$52)-MAX($B$9,0.01*AA733+AA733*$G$52),0),0)</f>
        <v/>
      </c>
      <c r="AB734">
        <f>AA733*$G$52</f>
        <v/>
      </c>
      <c r="AC734">
        <f>IF(AC733&gt;1E-9,IF(AC733*(1+$G$53)-MAX($B$9,0.01*AC733+AC733*$G$53)&gt;1E-9,AC733*(1+$G$53)-MAX($B$9,0.01*AC733+AC733*$G$53),0),0)</f>
        <v/>
      </c>
      <c r="AD734">
        <f>AC733*$G$53</f>
        <v/>
      </c>
      <c r="AE734">
        <f>IF(AE733&gt;1E-9,IF(AE733*(1+$G$54)-MAX($B$9,0.01*AE733+AE733*$G$54)&gt;1E-9,AE733*(1+$G$54)-MAX($B$9,0.01*AE733+AE733*$G$54),0),0)</f>
        <v/>
      </c>
      <c r="AF734">
        <f>AE733*$G$54</f>
        <v/>
      </c>
      <c r="AG734">
        <f>IF(AG733&gt;1E-9,IF(AG733*(1+$G$55)-MAX($B$9,0.01*AG733+AG733*$G$55)&gt;1E-9,AG733*(1+$G$55)-MAX($B$9,0.01*AG733+AG733*$G$55),0),0)</f>
        <v/>
      </c>
      <c r="AH734">
        <f>AG733*$G$55</f>
        <v/>
      </c>
      <c r="AI734">
        <f>G734+K734+O734+S734+W734</f>
        <v/>
      </c>
      <c r="AJ734">
        <f>AI733+AK734-AI734</f>
        <v/>
      </c>
      <c r="AK734">
        <f>H734+L734+P734+T734+X734</f>
        <v/>
      </c>
      <c r="AL734">
        <f>TEXT(EDATE($B$5,D734-1),"mmm yyyy")</f>
        <v/>
      </c>
      <c r="AM734">
        <f>AI734</f>
        <v/>
      </c>
    </row>
    <row r="735">
      <c r="D735" t="n">
        <v>674</v>
      </c>
      <c r="E735">
        <f>IF(G734&gt;0,MAX(0,G734*(1+$G$51)-$H$51),0)</f>
        <v/>
      </c>
      <c r="F735">
        <f>$B$6+IF($D735=$B$8,$B$7,0)</f>
        <v/>
      </c>
      <c r="G735">
        <f>IF(E735-F735&gt;1E-9,E735-F735,0)</f>
        <v/>
      </c>
      <c r="H735">
        <f>G734*$G$51</f>
        <v/>
      </c>
      <c r="I735">
        <f>IF(K734&gt;0,MAX(0,K734*(1+$G$52)-$H$52),0)</f>
        <v/>
      </c>
      <c r="J735">
        <f>MAX(0,F735-E735)</f>
        <v/>
      </c>
      <c r="K735">
        <f>IF(I735-J735&gt;1E-9,I735-J735,0)</f>
        <v/>
      </c>
      <c r="L735">
        <f>K734*$G$52</f>
        <v/>
      </c>
      <c r="M735">
        <f>IF(O734&gt;0,MAX(0,O734*(1+$G$53)-$H$53),0)</f>
        <v/>
      </c>
      <c r="N735">
        <f>MAX(0,J735-I735)</f>
        <v/>
      </c>
      <c r="O735">
        <f>IF(M735-N735&gt;1E-9,M735-N735,0)</f>
        <v/>
      </c>
      <c r="P735">
        <f>O734*$G$53</f>
        <v/>
      </c>
      <c r="Q735">
        <f>IF(S734&gt;0,MAX(0,S734*(1+$G$54)-$H$54),0)</f>
        <v/>
      </c>
      <c r="R735">
        <f>MAX(0,N735-M735)</f>
        <v/>
      </c>
      <c r="S735">
        <f>IF(Q735-R735&gt;1E-9,Q735-R735,0)</f>
        <v/>
      </c>
      <c r="T735">
        <f>S734*$G$54</f>
        <v/>
      </c>
      <c r="U735">
        <f>IF(W734&gt;0,MAX(0,W734*(1+$G$55)-$H$55),0)</f>
        <v/>
      </c>
      <c r="V735">
        <f>MAX(0,R735-Q735)</f>
        <v/>
      </c>
      <c r="W735">
        <f>IF(U735-V735&gt;1E-9,U735-V735,0)</f>
        <v/>
      </c>
      <c r="X735">
        <f>W734*$G$55</f>
        <v/>
      </c>
      <c r="Y735">
        <f>IF(Y734&gt;1E-9,IF(Y734*(1+$G$51)-MAX($B$9,0.01*Y734+Y734*$G$51)&gt;1E-9,Y734*(1+$G$51)-MAX($B$9,0.01*Y734+Y734*$G$51),0),0)</f>
        <v/>
      </c>
      <c r="Z735">
        <f>Y734*$G$51</f>
        <v/>
      </c>
      <c r="AA735">
        <f>IF(AA734&gt;1E-9,IF(AA734*(1+$G$52)-MAX($B$9,0.01*AA734+AA734*$G$52)&gt;1E-9,AA734*(1+$G$52)-MAX($B$9,0.01*AA734+AA734*$G$52),0),0)</f>
        <v/>
      </c>
      <c r="AB735">
        <f>AA734*$G$52</f>
        <v/>
      </c>
      <c r="AC735">
        <f>IF(AC734&gt;1E-9,IF(AC734*(1+$G$53)-MAX($B$9,0.01*AC734+AC734*$G$53)&gt;1E-9,AC734*(1+$G$53)-MAX($B$9,0.01*AC734+AC734*$G$53),0),0)</f>
        <v/>
      </c>
      <c r="AD735">
        <f>AC734*$G$53</f>
        <v/>
      </c>
      <c r="AE735">
        <f>IF(AE734&gt;1E-9,IF(AE734*(1+$G$54)-MAX($B$9,0.01*AE734+AE734*$G$54)&gt;1E-9,AE734*(1+$G$54)-MAX($B$9,0.01*AE734+AE734*$G$54),0),0)</f>
        <v/>
      </c>
      <c r="AF735">
        <f>AE734*$G$54</f>
        <v/>
      </c>
      <c r="AG735">
        <f>IF(AG734&gt;1E-9,IF(AG734*(1+$G$55)-MAX($B$9,0.01*AG734+AG734*$G$55)&gt;1E-9,AG734*(1+$G$55)-MAX($B$9,0.01*AG734+AG734*$G$55),0),0)</f>
        <v/>
      </c>
      <c r="AH735">
        <f>AG734*$G$55</f>
        <v/>
      </c>
      <c r="AI735">
        <f>G735+K735+O735+S735+W735</f>
        <v/>
      </c>
      <c r="AJ735">
        <f>AI734+AK735-AI735</f>
        <v/>
      </c>
      <c r="AK735">
        <f>H735+L735+P735+T735+X735</f>
        <v/>
      </c>
      <c r="AL735">
        <f>TEXT(EDATE($B$5,D735-1),"mmm yyyy")</f>
        <v/>
      </c>
      <c r="AM735">
        <f>AI735</f>
        <v/>
      </c>
    </row>
    <row r="736">
      <c r="D736" t="n">
        <v>675</v>
      </c>
      <c r="E736">
        <f>IF(G735&gt;0,MAX(0,G735*(1+$G$51)-$H$51),0)</f>
        <v/>
      </c>
      <c r="F736">
        <f>$B$6+IF($D736=$B$8,$B$7,0)</f>
        <v/>
      </c>
      <c r="G736">
        <f>IF(E736-F736&gt;1E-9,E736-F736,0)</f>
        <v/>
      </c>
      <c r="H736">
        <f>G735*$G$51</f>
        <v/>
      </c>
      <c r="I736">
        <f>IF(K735&gt;0,MAX(0,K735*(1+$G$52)-$H$52),0)</f>
        <v/>
      </c>
      <c r="J736">
        <f>MAX(0,F736-E736)</f>
        <v/>
      </c>
      <c r="K736">
        <f>IF(I736-J736&gt;1E-9,I736-J736,0)</f>
        <v/>
      </c>
      <c r="L736">
        <f>K735*$G$52</f>
        <v/>
      </c>
      <c r="M736">
        <f>IF(O735&gt;0,MAX(0,O735*(1+$G$53)-$H$53),0)</f>
        <v/>
      </c>
      <c r="N736">
        <f>MAX(0,J736-I736)</f>
        <v/>
      </c>
      <c r="O736">
        <f>IF(M736-N736&gt;1E-9,M736-N736,0)</f>
        <v/>
      </c>
      <c r="P736">
        <f>O735*$G$53</f>
        <v/>
      </c>
      <c r="Q736">
        <f>IF(S735&gt;0,MAX(0,S735*(1+$G$54)-$H$54),0)</f>
        <v/>
      </c>
      <c r="R736">
        <f>MAX(0,N736-M736)</f>
        <v/>
      </c>
      <c r="S736">
        <f>IF(Q736-R736&gt;1E-9,Q736-R736,0)</f>
        <v/>
      </c>
      <c r="T736">
        <f>S735*$G$54</f>
        <v/>
      </c>
      <c r="U736">
        <f>IF(W735&gt;0,MAX(0,W735*(1+$G$55)-$H$55),0)</f>
        <v/>
      </c>
      <c r="V736">
        <f>MAX(0,R736-Q736)</f>
        <v/>
      </c>
      <c r="W736">
        <f>IF(U736-V736&gt;1E-9,U736-V736,0)</f>
        <v/>
      </c>
      <c r="X736">
        <f>W735*$G$55</f>
        <v/>
      </c>
      <c r="Y736">
        <f>IF(Y735&gt;1E-9,IF(Y735*(1+$G$51)-MAX($B$9,0.01*Y735+Y735*$G$51)&gt;1E-9,Y735*(1+$G$51)-MAX($B$9,0.01*Y735+Y735*$G$51),0),0)</f>
        <v/>
      </c>
      <c r="Z736">
        <f>Y735*$G$51</f>
        <v/>
      </c>
      <c r="AA736">
        <f>IF(AA735&gt;1E-9,IF(AA735*(1+$G$52)-MAX($B$9,0.01*AA735+AA735*$G$52)&gt;1E-9,AA735*(1+$G$52)-MAX($B$9,0.01*AA735+AA735*$G$52),0),0)</f>
        <v/>
      </c>
      <c r="AB736">
        <f>AA735*$G$52</f>
        <v/>
      </c>
      <c r="AC736">
        <f>IF(AC735&gt;1E-9,IF(AC735*(1+$G$53)-MAX($B$9,0.01*AC735+AC735*$G$53)&gt;1E-9,AC735*(1+$G$53)-MAX($B$9,0.01*AC735+AC735*$G$53),0),0)</f>
        <v/>
      </c>
      <c r="AD736">
        <f>AC735*$G$53</f>
        <v/>
      </c>
      <c r="AE736">
        <f>IF(AE735&gt;1E-9,IF(AE735*(1+$G$54)-MAX($B$9,0.01*AE735+AE735*$G$54)&gt;1E-9,AE735*(1+$G$54)-MAX($B$9,0.01*AE735+AE735*$G$54),0),0)</f>
        <v/>
      </c>
      <c r="AF736">
        <f>AE735*$G$54</f>
        <v/>
      </c>
      <c r="AG736">
        <f>IF(AG735&gt;1E-9,IF(AG735*(1+$G$55)-MAX($B$9,0.01*AG735+AG735*$G$55)&gt;1E-9,AG735*(1+$G$55)-MAX($B$9,0.01*AG735+AG735*$G$55),0),0)</f>
        <v/>
      </c>
      <c r="AH736">
        <f>AG735*$G$55</f>
        <v/>
      </c>
      <c r="AI736">
        <f>G736+K736+O736+S736+W736</f>
        <v/>
      </c>
      <c r="AJ736">
        <f>AI735+AK736-AI736</f>
        <v/>
      </c>
      <c r="AK736">
        <f>H736+L736+P736+T736+X736</f>
        <v/>
      </c>
      <c r="AL736">
        <f>TEXT(EDATE($B$5,D736-1),"mmm yyyy")</f>
        <v/>
      </c>
      <c r="AM736">
        <f>AI736</f>
        <v/>
      </c>
    </row>
    <row r="737">
      <c r="D737" t="n">
        <v>676</v>
      </c>
      <c r="E737">
        <f>IF(G736&gt;0,MAX(0,G736*(1+$G$51)-$H$51),0)</f>
        <v/>
      </c>
      <c r="F737">
        <f>$B$6+IF($D737=$B$8,$B$7,0)</f>
        <v/>
      </c>
      <c r="G737">
        <f>IF(E737-F737&gt;1E-9,E737-F737,0)</f>
        <v/>
      </c>
      <c r="H737">
        <f>G736*$G$51</f>
        <v/>
      </c>
      <c r="I737">
        <f>IF(K736&gt;0,MAX(0,K736*(1+$G$52)-$H$52),0)</f>
        <v/>
      </c>
      <c r="J737">
        <f>MAX(0,F737-E737)</f>
        <v/>
      </c>
      <c r="K737">
        <f>IF(I737-J737&gt;1E-9,I737-J737,0)</f>
        <v/>
      </c>
      <c r="L737">
        <f>K736*$G$52</f>
        <v/>
      </c>
      <c r="M737">
        <f>IF(O736&gt;0,MAX(0,O736*(1+$G$53)-$H$53),0)</f>
        <v/>
      </c>
      <c r="N737">
        <f>MAX(0,J737-I737)</f>
        <v/>
      </c>
      <c r="O737">
        <f>IF(M737-N737&gt;1E-9,M737-N737,0)</f>
        <v/>
      </c>
      <c r="P737">
        <f>O736*$G$53</f>
        <v/>
      </c>
      <c r="Q737">
        <f>IF(S736&gt;0,MAX(0,S736*(1+$G$54)-$H$54),0)</f>
        <v/>
      </c>
      <c r="R737">
        <f>MAX(0,N737-M737)</f>
        <v/>
      </c>
      <c r="S737">
        <f>IF(Q737-R737&gt;1E-9,Q737-R737,0)</f>
        <v/>
      </c>
      <c r="T737">
        <f>S736*$G$54</f>
        <v/>
      </c>
      <c r="U737">
        <f>IF(W736&gt;0,MAX(0,W736*(1+$G$55)-$H$55),0)</f>
        <v/>
      </c>
      <c r="V737">
        <f>MAX(0,R737-Q737)</f>
        <v/>
      </c>
      <c r="W737">
        <f>IF(U737-V737&gt;1E-9,U737-V737,0)</f>
        <v/>
      </c>
      <c r="X737">
        <f>W736*$G$55</f>
        <v/>
      </c>
      <c r="Y737">
        <f>IF(Y736&gt;1E-9,IF(Y736*(1+$G$51)-MAX($B$9,0.01*Y736+Y736*$G$51)&gt;1E-9,Y736*(1+$G$51)-MAX($B$9,0.01*Y736+Y736*$G$51),0),0)</f>
        <v/>
      </c>
      <c r="Z737">
        <f>Y736*$G$51</f>
        <v/>
      </c>
      <c r="AA737">
        <f>IF(AA736&gt;1E-9,IF(AA736*(1+$G$52)-MAX($B$9,0.01*AA736+AA736*$G$52)&gt;1E-9,AA736*(1+$G$52)-MAX($B$9,0.01*AA736+AA736*$G$52),0),0)</f>
        <v/>
      </c>
      <c r="AB737">
        <f>AA736*$G$52</f>
        <v/>
      </c>
      <c r="AC737">
        <f>IF(AC736&gt;1E-9,IF(AC736*(1+$G$53)-MAX($B$9,0.01*AC736+AC736*$G$53)&gt;1E-9,AC736*(1+$G$53)-MAX($B$9,0.01*AC736+AC736*$G$53),0),0)</f>
        <v/>
      </c>
      <c r="AD737">
        <f>AC736*$G$53</f>
        <v/>
      </c>
      <c r="AE737">
        <f>IF(AE736&gt;1E-9,IF(AE736*(1+$G$54)-MAX($B$9,0.01*AE736+AE736*$G$54)&gt;1E-9,AE736*(1+$G$54)-MAX($B$9,0.01*AE736+AE736*$G$54),0),0)</f>
        <v/>
      </c>
      <c r="AF737">
        <f>AE736*$G$54</f>
        <v/>
      </c>
      <c r="AG737">
        <f>IF(AG736&gt;1E-9,IF(AG736*(1+$G$55)-MAX($B$9,0.01*AG736+AG736*$G$55)&gt;1E-9,AG736*(1+$G$55)-MAX($B$9,0.01*AG736+AG736*$G$55),0),0)</f>
        <v/>
      </c>
      <c r="AH737">
        <f>AG736*$G$55</f>
        <v/>
      </c>
      <c r="AI737">
        <f>G737+K737+O737+S737+W737</f>
        <v/>
      </c>
      <c r="AJ737">
        <f>AI736+AK737-AI737</f>
        <v/>
      </c>
      <c r="AK737">
        <f>H737+L737+P737+T737+X737</f>
        <v/>
      </c>
      <c r="AL737">
        <f>TEXT(EDATE($B$5,D737-1),"mmm yyyy")</f>
        <v/>
      </c>
      <c r="AM737">
        <f>AI737</f>
        <v/>
      </c>
    </row>
    <row r="738">
      <c r="D738" t="n">
        <v>677</v>
      </c>
      <c r="E738">
        <f>IF(G737&gt;0,MAX(0,G737*(1+$G$51)-$H$51),0)</f>
        <v/>
      </c>
      <c r="F738">
        <f>$B$6+IF($D738=$B$8,$B$7,0)</f>
        <v/>
      </c>
      <c r="G738">
        <f>IF(E738-F738&gt;1E-9,E738-F738,0)</f>
        <v/>
      </c>
      <c r="H738">
        <f>G737*$G$51</f>
        <v/>
      </c>
      <c r="I738">
        <f>IF(K737&gt;0,MAX(0,K737*(1+$G$52)-$H$52),0)</f>
        <v/>
      </c>
      <c r="J738">
        <f>MAX(0,F738-E738)</f>
        <v/>
      </c>
      <c r="K738">
        <f>IF(I738-J738&gt;1E-9,I738-J738,0)</f>
        <v/>
      </c>
      <c r="L738">
        <f>K737*$G$52</f>
        <v/>
      </c>
      <c r="M738">
        <f>IF(O737&gt;0,MAX(0,O737*(1+$G$53)-$H$53),0)</f>
        <v/>
      </c>
      <c r="N738">
        <f>MAX(0,J738-I738)</f>
        <v/>
      </c>
      <c r="O738">
        <f>IF(M738-N738&gt;1E-9,M738-N738,0)</f>
        <v/>
      </c>
      <c r="P738">
        <f>O737*$G$53</f>
        <v/>
      </c>
      <c r="Q738">
        <f>IF(S737&gt;0,MAX(0,S737*(1+$G$54)-$H$54),0)</f>
        <v/>
      </c>
      <c r="R738">
        <f>MAX(0,N738-M738)</f>
        <v/>
      </c>
      <c r="S738">
        <f>IF(Q738-R738&gt;1E-9,Q738-R738,0)</f>
        <v/>
      </c>
      <c r="T738">
        <f>S737*$G$54</f>
        <v/>
      </c>
      <c r="U738">
        <f>IF(W737&gt;0,MAX(0,W737*(1+$G$55)-$H$55),0)</f>
        <v/>
      </c>
      <c r="V738">
        <f>MAX(0,R738-Q738)</f>
        <v/>
      </c>
      <c r="W738">
        <f>IF(U738-V738&gt;1E-9,U738-V738,0)</f>
        <v/>
      </c>
      <c r="X738">
        <f>W737*$G$55</f>
        <v/>
      </c>
      <c r="Y738">
        <f>IF(Y737&gt;1E-9,IF(Y737*(1+$G$51)-MAX($B$9,0.01*Y737+Y737*$G$51)&gt;1E-9,Y737*(1+$G$51)-MAX($B$9,0.01*Y737+Y737*$G$51),0),0)</f>
        <v/>
      </c>
      <c r="Z738">
        <f>Y737*$G$51</f>
        <v/>
      </c>
      <c r="AA738">
        <f>IF(AA737&gt;1E-9,IF(AA737*(1+$G$52)-MAX($B$9,0.01*AA737+AA737*$G$52)&gt;1E-9,AA737*(1+$G$52)-MAX($B$9,0.01*AA737+AA737*$G$52),0),0)</f>
        <v/>
      </c>
      <c r="AB738">
        <f>AA737*$G$52</f>
        <v/>
      </c>
      <c r="AC738">
        <f>IF(AC737&gt;1E-9,IF(AC737*(1+$G$53)-MAX($B$9,0.01*AC737+AC737*$G$53)&gt;1E-9,AC737*(1+$G$53)-MAX($B$9,0.01*AC737+AC737*$G$53),0),0)</f>
        <v/>
      </c>
      <c r="AD738">
        <f>AC737*$G$53</f>
        <v/>
      </c>
      <c r="AE738">
        <f>IF(AE737&gt;1E-9,IF(AE737*(1+$G$54)-MAX($B$9,0.01*AE737+AE737*$G$54)&gt;1E-9,AE737*(1+$G$54)-MAX($B$9,0.01*AE737+AE737*$G$54),0),0)</f>
        <v/>
      </c>
      <c r="AF738">
        <f>AE737*$G$54</f>
        <v/>
      </c>
      <c r="AG738">
        <f>IF(AG737&gt;1E-9,IF(AG737*(1+$G$55)-MAX($B$9,0.01*AG737+AG737*$G$55)&gt;1E-9,AG737*(1+$G$55)-MAX($B$9,0.01*AG737+AG737*$G$55),0),0)</f>
        <v/>
      </c>
      <c r="AH738">
        <f>AG737*$G$55</f>
        <v/>
      </c>
      <c r="AI738">
        <f>G738+K738+O738+S738+W738</f>
        <v/>
      </c>
      <c r="AJ738">
        <f>AI737+AK738-AI738</f>
        <v/>
      </c>
      <c r="AK738">
        <f>H738+L738+P738+T738+X738</f>
        <v/>
      </c>
      <c r="AL738">
        <f>TEXT(EDATE($B$5,D738-1),"mmm yyyy")</f>
        <v/>
      </c>
      <c r="AM738">
        <f>AI738</f>
        <v/>
      </c>
    </row>
    <row r="739">
      <c r="D739" t="n">
        <v>678</v>
      </c>
      <c r="E739">
        <f>IF(G738&gt;0,MAX(0,G738*(1+$G$51)-$H$51),0)</f>
        <v/>
      </c>
      <c r="F739">
        <f>$B$6+IF($D739=$B$8,$B$7,0)</f>
        <v/>
      </c>
      <c r="G739">
        <f>IF(E739-F739&gt;1E-9,E739-F739,0)</f>
        <v/>
      </c>
      <c r="H739">
        <f>G738*$G$51</f>
        <v/>
      </c>
      <c r="I739">
        <f>IF(K738&gt;0,MAX(0,K738*(1+$G$52)-$H$52),0)</f>
        <v/>
      </c>
      <c r="J739">
        <f>MAX(0,F739-E739)</f>
        <v/>
      </c>
      <c r="K739">
        <f>IF(I739-J739&gt;1E-9,I739-J739,0)</f>
        <v/>
      </c>
      <c r="L739">
        <f>K738*$G$52</f>
        <v/>
      </c>
      <c r="M739">
        <f>IF(O738&gt;0,MAX(0,O738*(1+$G$53)-$H$53),0)</f>
        <v/>
      </c>
      <c r="N739">
        <f>MAX(0,J739-I739)</f>
        <v/>
      </c>
      <c r="O739">
        <f>IF(M739-N739&gt;1E-9,M739-N739,0)</f>
        <v/>
      </c>
      <c r="P739">
        <f>O738*$G$53</f>
        <v/>
      </c>
      <c r="Q739">
        <f>IF(S738&gt;0,MAX(0,S738*(1+$G$54)-$H$54),0)</f>
        <v/>
      </c>
      <c r="R739">
        <f>MAX(0,N739-M739)</f>
        <v/>
      </c>
      <c r="S739">
        <f>IF(Q739-R739&gt;1E-9,Q739-R739,0)</f>
        <v/>
      </c>
      <c r="T739">
        <f>S738*$G$54</f>
        <v/>
      </c>
      <c r="U739">
        <f>IF(W738&gt;0,MAX(0,W738*(1+$G$55)-$H$55),0)</f>
        <v/>
      </c>
      <c r="V739">
        <f>MAX(0,R739-Q739)</f>
        <v/>
      </c>
      <c r="W739">
        <f>IF(U739-V739&gt;1E-9,U739-V739,0)</f>
        <v/>
      </c>
      <c r="X739">
        <f>W738*$G$55</f>
        <v/>
      </c>
      <c r="Y739">
        <f>IF(Y738&gt;1E-9,IF(Y738*(1+$G$51)-MAX($B$9,0.01*Y738+Y738*$G$51)&gt;1E-9,Y738*(1+$G$51)-MAX($B$9,0.01*Y738+Y738*$G$51),0),0)</f>
        <v/>
      </c>
      <c r="Z739">
        <f>Y738*$G$51</f>
        <v/>
      </c>
      <c r="AA739">
        <f>IF(AA738&gt;1E-9,IF(AA738*(1+$G$52)-MAX($B$9,0.01*AA738+AA738*$G$52)&gt;1E-9,AA738*(1+$G$52)-MAX($B$9,0.01*AA738+AA738*$G$52),0),0)</f>
        <v/>
      </c>
      <c r="AB739">
        <f>AA738*$G$52</f>
        <v/>
      </c>
      <c r="AC739">
        <f>IF(AC738&gt;1E-9,IF(AC738*(1+$G$53)-MAX($B$9,0.01*AC738+AC738*$G$53)&gt;1E-9,AC738*(1+$G$53)-MAX($B$9,0.01*AC738+AC738*$G$53),0),0)</f>
        <v/>
      </c>
      <c r="AD739">
        <f>AC738*$G$53</f>
        <v/>
      </c>
      <c r="AE739">
        <f>IF(AE738&gt;1E-9,IF(AE738*(1+$G$54)-MAX($B$9,0.01*AE738+AE738*$G$54)&gt;1E-9,AE738*(1+$G$54)-MAX($B$9,0.01*AE738+AE738*$G$54),0),0)</f>
        <v/>
      </c>
      <c r="AF739">
        <f>AE738*$G$54</f>
        <v/>
      </c>
      <c r="AG739">
        <f>IF(AG738&gt;1E-9,IF(AG738*(1+$G$55)-MAX($B$9,0.01*AG738+AG738*$G$55)&gt;1E-9,AG738*(1+$G$55)-MAX($B$9,0.01*AG738+AG738*$G$55),0),0)</f>
        <v/>
      </c>
      <c r="AH739">
        <f>AG738*$G$55</f>
        <v/>
      </c>
      <c r="AI739">
        <f>G739+K739+O739+S739+W739</f>
        <v/>
      </c>
      <c r="AJ739">
        <f>AI738+AK739-AI739</f>
        <v/>
      </c>
      <c r="AK739">
        <f>H739+L739+P739+T739+X739</f>
        <v/>
      </c>
      <c r="AL739">
        <f>TEXT(EDATE($B$5,D739-1),"mmm yyyy")</f>
        <v/>
      </c>
      <c r="AM739">
        <f>AI739</f>
        <v/>
      </c>
    </row>
    <row r="740">
      <c r="D740" t="n">
        <v>679</v>
      </c>
      <c r="E740">
        <f>IF(G739&gt;0,MAX(0,G739*(1+$G$51)-$H$51),0)</f>
        <v/>
      </c>
      <c r="F740">
        <f>$B$6+IF($D740=$B$8,$B$7,0)</f>
        <v/>
      </c>
      <c r="G740">
        <f>IF(E740-F740&gt;1E-9,E740-F740,0)</f>
        <v/>
      </c>
      <c r="H740">
        <f>G739*$G$51</f>
        <v/>
      </c>
      <c r="I740">
        <f>IF(K739&gt;0,MAX(0,K739*(1+$G$52)-$H$52),0)</f>
        <v/>
      </c>
      <c r="J740">
        <f>MAX(0,F740-E740)</f>
        <v/>
      </c>
      <c r="K740">
        <f>IF(I740-J740&gt;1E-9,I740-J740,0)</f>
        <v/>
      </c>
      <c r="L740">
        <f>K739*$G$52</f>
        <v/>
      </c>
      <c r="M740">
        <f>IF(O739&gt;0,MAX(0,O739*(1+$G$53)-$H$53),0)</f>
        <v/>
      </c>
      <c r="N740">
        <f>MAX(0,J740-I740)</f>
        <v/>
      </c>
      <c r="O740">
        <f>IF(M740-N740&gt;1E-9,M740-N740,0)</f>
        <v/>
      </c>
      <c r="P740">
        <f>O739*$G$53</f>
        <v/>
      </c>
      <c r="Q740">
        <f>IF(S739&gt;0,MAX(0,S739*(1+$G$54)-$H$54),0)</f>
        <v/>
      </c>
      <c r="R740">
        <f>MAX(0,N740-M740)</f>
        <v/>
      </c>
      <c r="S740">
        <f>IF(Q740-R740&gt;1E-9,Q740-R740,0)</f>
        <v/>
      </c>
      <c r="T740">
        <f>S739*$G$54</f>
        <v/>
      </c>
      <c r="U740">
        <f>IF(W739&gt;0,MAX(0,W739*(1+$G$55)-$H$55),0)</f>
        <v/>
      </c>
      <c r="V740">
        <f>MAX(0,R740-Q740)</f>
        <v/>
      </c>
      <c r="W740">
        <f>IF(U740-V740&gt;1E-9,U740-V740,0)</f>
        <v/>
      </c>
      <c r="X740">
        <f>W739*$G$55</f>
        <v/>
      </c>
      <c r="Y740">
        <f>IF(Y739&gt;1E-9,IF(Y739*(1+$G$51)-MAX($B$9,0.01*Y739+Y739*$G$51)&gt;1E-9,Y739*(1+$G$51)-MAX($B$9,0.01*Y739+Y739*$G$51),0),0)</f>
        <v/>
      </c>
      <c r="Z740">
        <f>Y739*$G$51</f>
        <v/>
      </c>
      <c r="AA740">
        <f>IF(AA739&gt;1E-9,IF(AA739*(1+$G$52)-MAX($B$9,0.01*AA739+AA739*$G$52)&gt;1E-9,AA739*(1+$G$52)-MAX($B$9,0.01*AA739+AA739*$G$52),0),0)</f>
        <v/>
      </c>
      <c r="AB740">
        <f>AA739*$G$52</f>
        <v/>
      </c>
      <c r="AC740">
        <f>IF(AC739&gt;1E-9,IF(AC739*(1+$G$53)-MAX($B$9,0.01*AC739+AC739*$G$53)&gt;1E-9,AC739*(1+$G$53)-MAX($B$9,0.01*AC739+AC739*$G$53),0),0)</f>
        <v/>
      </c>
      <c r="AD740">
        <f>AC739*$G$53</f>
        <v/>
      </c>
      <c r="AE740">
        <f>IF(AE739&gt;1E-9,IF(AE739*(1+$G$54)-MAX($B$9,0.01*AE739+AE739*$G$54)&gt;1E-9,AE739*(1+$G$54)-MAX($B$9,0.01*AE739+AE739*$G$54),0),0)</f>
        <v/>
      </c>
      <c r="AF740">
        <f>AE739*$G$54</f>
        <v/>
      </c>
      <c r="AG740">
        <f>IF(AG739&gt;1E-9,IF(AG739*(1+$G$55)-MAX($B$9,0.01*AG739+AG739*$G$55)&gt;1E-9,AG739*(1+$G$55)-MAX($B$9,0.01*AG739+AG739*$G$55),0),0)</f>
        <v/>
      </c>
      <c r="AH740">
        <f>AG739*$G$55</f>
        <v/>
      </c>
      <c r="AI740">
        <f>G740+K740+O740+S740+W740</f>
        <v/>
      </c>
      <c r="AJ740">
        <f>AI739+AK740-AI740</f>
        <v/>
      </c>
      <c r="AK740">
        <f>H740+L740+P740+T740+X740</f>
        <v/>
      </c>
      <c r="AL740">
        <f>TEXT(EDATE($B$5,D740-1),"mmm yyyy")</f>
        <v/>
      </c>
      <c r="AM740">
        <f>AI740</f>
        <v/>
      </c>
    </row>
    <row r="741">
      <c r="D741" t="n">
        <v>680</v>
      </c>
      <c r="E741">
        <f>IF(G740&gt;0,MAX(0,G740*(1+$G$51)-$H$51),0)</f>
        <v/>
      </c>
      <c r="F741">
        <f>$B$6+IF($D741=$B$8,$B$7,0)</f>
        <v/>
      </c>
      <c r="G741">
        <f>IF(E741-F741&gt;1E-9,E741-F741,0)</f>
        <v/>
      </c>
      <c r="H741">
        <f>G740*$G$51</f>
        <v/>
      </c>
      <c r="I741">
        <f>IF(K740&gt;0,MAX(0,K740*(1+$G$52)-$H$52),0)</f>
        <v/>
      </c>
      <c r="J741">
        <f>MAX(0,F741-E741)</f>
        <v/>
      </c>
      <c r="K741">
        <f>IF(I741-J741&gt;1E-9,I741-J741,0)</f>
        <v/>
      </c>
      <c r="L741">
        <f>K740*$G$52</f>
        <v/>
      </c>
      <c r="M741">
        <f>IF(O740&gt;0,MAX(0,O740*(1+$G$53)-$H$53),0)</f>
        <v/>
      </c>
      <c r="N741">
        <f>MAX(0,J741-I741)</f>
        <v/>
      </c>
      <c r="O741">
        <f>IF(M741-N741&gt;1E-9,M741-N741,0)</f>
        <v/>
      </c>
      <c r="P741">
        <f>O740*$G$53</f>
        <v/>
      </c>
      <c r="Q741">
        <f>IF(S740&gt;0,MAX(0,S740*(1+$G$54)-$H$54),0)</f>
        <v/>
      </c>
      <c r="R741">
        <f>MAX(0,N741-M741)</f>
        <v/>
      </c>
      <c r="S741">
        <f>IF(Q741-R741&gt;1E-9,Q741-R741,0)</f>
        <v/>
      </c>
      <c r="T741">
        <f>S740*$G$54</f>
        <v/>
      </c>
      <c r="U741">
        <f>IF(W740&gt;0,MAX(0,W740*(1+$G$55)-$H$55),0)</f>
        <v/>
      </c>
      <c r="V741">
        <f>MAX(0,R741-Q741)</f>
        <v/>
      </c>
      <c r="W741">
        <f>IF(U741-V741&gt;1E-9,U741-V741,0)</f>
        <v/>
      </c>
      <c r="X741">
        <f>W740*$G$55</f>
        <v/>
      </c>
      <c r="Y741">
        <f>IF(Y740&gt;1E-9,IF(Y740*(1+$G$51)-MAX($B$9,0.01*Y740+Y740*$G$51)&gt;1E-9,Y740*(1+$G$51)-MAX($B$9,0.01*Y740+Y740*$G$51),0),0)</f>
        <v/>
      </c>
      <c r="Z741">
        <f>Y740*$G$51</f>
        <v/>
      </c>
      <c r="AA741">
        <f>IF(AA740&gt;1E-9,IF(AA740*(1+$G$52)-MAX($B$9,0.01*AA740+AA740*$G$52)&gt;1E-9,AA740*(1+$G$52)-MAX($B$9,0.01*AA740+AA740*$G$52),0),0)</f>
        <v/>
      </c>
      <c r="AB741">
        <f>AA740*$G$52</f>
        <v/>
      </c>
      <c r="AC741">
        <f>IF(AC740&gt;1E-9,IF(AC740*(1+$G$53)-MAX($B$9,0.01*AC740+AC740*$G$53)&gt;1E-9,AC740*(1+$G$53)-MAX($B$9,0.01*AC740+AC740*$G$53),0),0)</f>
        <v/>
      </c>
      <c r="AD741">
        <f>AC740*$G$53</f>
        <v/>
      </c>
      <c r="AE741">
        <f>IF(AE740&gt;1E-9,IF(AE740*(1+$G$54)-MAX($B$9,0.01*AE740+AE740*$G$54)&gt;1E-9,AE740*(1+$G$54)-MAX($B$9,0.01*AE740+AE740*$G$54),0),0)</f>
        <v/>
      </c>
      <c r="AF741">
        <f>AE740*$G$54</f>
        <v/>
      </c>
      <c r="AG741">
        <f>IF(AG740&gt;1E-9,IF(AG740*(1+$G$55)-MAX($B$9,0.01*AG740+AG740*$G$55)&gt;1E-9,AG740*(1+$G$55)-MAX($B$9,0.01*AG740+AG740*$G$55),0),0)</f>
        <v/>
      </c>
      <c r="AH741">
        <f>AG740*$G$55</f>
        <v/>
      </c>
      <c r="AI741">
        <f>G741+K741+O741+S741+W741</f>
        <v/>
      </c>
      <c r="AJ741">
        <f>AI740+AK741-AI741</f>
        <v/>
      </c>
      <c r="AK741">
        <f>H741+L741+P741+T741+X741</f>
        <v/>
      </c>
      <c r="AL741">
        <f>TEXT(EDATE($B$5,D741-1),"mmm yyyy")</f>
        <v/>
      </c>
      <c r="AM741">
        <f>AI741</f>
        <v/>
      </c>
    </row>
    <row r="742">
      <c r="D742" t="n">
        <v>681</v>
      </c>
      <c r="E742">
        <f>IF(G741&gt;0,MAX(0,G741*(1+$G$51)-$H$51),0)</f>
        <v/>
      </c>
      <c r="F742">
        <f>$B$6+IF($D742=$B$8,$B$7,0)</f>
        <v/>
      </c>
      <c r="G742">
        <f>IF(E742-F742&gt;1E-9,E742-F742,0)</f>
        <v/>
      </c>
      <c r="H742">
        <f>G741*$G$51</f>
        <v/>
      </c>
      <c r="I742">
        <f>IF(K741&gt;0,MAX(0,K741*(1+$G$52)-$H$52),0)</f>
        <v/>
      </c>
      <c r="J742">
        <f>MAX(0,F742-E742)</f>
        <v/>
      </c>
      <c r="K742">
        <f>IF(I742-J742&gt;1E-9,I742-J742,0)</f>
        <v/>
      </c>
      <c r="L742">
        <f>K741*$G$52</f>
        <v/>
      </c>
      <c r="M742">
        <f>IF(O741&gt;0,MAX(0,O741*(1+$G$53)-$H$53),0)</f>
        <v/>
      </c>
      <c r="N742">
        <f>MAX(0,J742-I742)</f>
        <v/>
      </c>
      <c r="O742">
        <f>IF(M742-N742&gt;1E-9,M742-N742,0)</f>
        <v/>
      </c>
      <c r="P742">
        <f>O741*$G$53</f>
        <v/>
      </c>
      <c r="Q742">
        <f>IF(S741&gt;0,MAX(0,S741*(1+$G$54)-$H$54),0)</f>
        <v/>
      </c>
      <c r="R742">
        <f>MAX(0,N742-M742)</f>
        <v/>
      </c>
      <c r="S742">
        <f>IF(Q742-R742&gt;1E-9,Q742-R742,0)</f>
        <v/>
      </c>
      <c r="T742">
        <f>S741*$G$54</f>
        <v/>
      </c>
      <c r="U742">
        <f>IF(W741&gt;0,MAX(0,W741*(1+$G$55)-$H$55),0)</f>
        <v/>
      </c>
      <c r="V742">
        <f>MAX(0,R742-Q742)</f>
        <v/>
      </c>
      <c r="W742">
        <f>IF(U742-V742&gt;1E-9,U742-V742,0)</f>
        <v/>
      </c>
      <c r="X742">
        <f>W741*$G$55</f>
        <v/>
      </c>
      <c r="Y742">
        <f>IF(Y741&gt;1E-9,IF(Y741*(1+$G$51)-MAX($B$9,0.01*Y741+Y741*$G$51)&gt;1E-9,Y741*(1+$G$51)-MAX($B$9,0.01*Y741+Y741*$G$51),0),0)</f>
        <v/>
      </c>
      <c r="Z742">
        <f>Y741*$G$51</f>
        <v/>
      </c>
      <c r="AA742">
        <f>IF(AA741&gt;1E-9,IF(AA741*(1+$G$52)-MAX($B$9,0.01*AA741+AA741*$G$52)&gt;1E-9,AA741*(1+$G$52)-MAX($B$9,0.01*AA741+AA741*$G$52),0),0)</f>
        <v/>
      </c>
      <c r="AB742">
        <f>AA741*$G$52</f>
        <v/>
      </c>
      <c r="AC742">
        <f>IF(AC741&gt;1E-9,IF(AC741*(1+$G$53)-MAX($B$9,0.01*AC741+AC741*$G$53)&gt;1E-9,AC741*(1+$G$53)-MAX($B$9,0.01*AC741+AC741*$G$53),0),0)</f>
        <v/>
      </c>
      <c r="AD742">
        <f>AC741*$G$53</f>
        <v/>
      </c>
      <c r="AE742">
        <f>IF(AE741&gt;1E-9,IF(AE741*(1+$G$54)-MAX($B$9,0.01*AE741+AE741*$G$54)&gt;1E-9,AE741*(1+$G$54)-MAX($B$9,0.01*AE741+AE741*$G$54),0),0)</f>
        <v/>
      </c>
      <c r="AF742">
        <f>AE741*$G$54</f>
        <v/>
      </c>
      <c r="AG742">
        <f>IF(AG741&gt;1E-9,IF(AG741*(1+$G$55)-MAX($B$9,0.01*AG741+AG741*$G$55)&gt;1E-9,AG741*(1+$G$55)-MAX($B$9,0.01*AG741+AG741*$G$55),0),0)</f>
        <v/>
      </c>
      <c r="AH742">
        <f>AG741*$G$55</f>
        <v/>
      </c>
      <c r="AI742">
        <f>G742+K742+O742+S742+W742</f>
        <v/>
      </c>
      <c r="AJ742">
        <f>AI741+AK742-AI742</f>
        <v/>
      </c>
      <c r="AK742">
        <f>H742+L742+P742+T742+X742</f>
        <v/>
      </c>
      <c r="AL742">
        <f>TEXT(EDATE($B$5,D742-1),"mmm yyyy")</f>
        <v/>
      </c>
      <c r="AM742">
        <f>AI742</f>
        <v/>
      </c>
    </row>
    <row r="743">
      <c r="D743" t="n">
        <v>682</v>
      </c>
      <c r="E743">
        <f>IF(G742&gt;0,MAX(0,G742*(1+$G$51)-$H$51),0)</f>
        <v/>
      </c>
      <c r="F743">
        <f>$B$6+IF($D743=$B$8,$B$7,0)</f>
        <v/>
      </c>
      <c r="G743">
        <f>IF(E743-F743&gt;1E-9,E743-F743,0)</f>
        <v/>
      </c>
      <c r="H743">
        <f>G742*$G$51</f>
        <v/>
      </c>
      <c r="I743">
        <f>IF(K742&gt;0,MAX(0,K742*(1+$G$52)-$H$52),0)</f>
        <v/>
      </c>
      <c r="J743">
        <f>MAX(0,F743-E743)</f>
        <v/>
      </c>
      <c r="K743">
        <f>IF(I743-J743&gt;1E-9,I743-J743,0)</f>
        <v/>
      </c>
      <c r="L743">
        <f>K742*$G$52</f>
        <v/>
      </c>
      <c r="M743">
        <f>IF(O742&gt;0,MAX(0,O742*(1+$G$53)-$H$53),0)</f>
        <v/>
      </c>
      <c r="N743">
        <f>MAX(0,J743-I743)</f>
        <v/>
      </c>
      <c r="O743">
        <f>IF(M743-N743&gt;1E-9,M743-N743,0)</f>
        <v/>
      </c>
      <c r="P743">
        <f>O742*$G$53</f>
        <v/>
      </c>
      <c r="Q743">
        <f>IF(S742&gt;0,MAX(0,S742*(1+$G$54)-$H$54),0)</f>
        <v/>
      </c>
      <c r="R743">
        <f>MAX(0,N743-M743)</f>
        <v/>
      </c>
      <c r="S743">
        <f>IF(Q743-R743&gt;1E-9,Q743-R743,0)</f>
        <v/>
      </c>
      <c r="T743">
        <f>S742*$G$54</f>
        <v/>
      </c>
      <c r="U743">
        <f>IF(W742&gt;0,MAX(0,W742*(1+$G$55)-$H$55),0)</f>
        <v/>
      </c>
      <c r="V743">
        <f>MAX(0,R743-Q743)</f>
        <v/>
      </c>
      <c r="W743">
        <f>IF(U743-V743&gt;1E-9,U743-V743,0)</f>
        <v/>
      </c>
      <c r="X743">
        <f>W742*$G$55</f>
        <v/>
      </c>
      <c r="Y743">
        <f>IF(Y742&gt;1E-9,IF(Y742*(1+$G$51)-MAX($B$9,0.01*Y742+Y742*$G$51)&gt;1E-9,Y742*(1+$G$51)-MAX($B$9,0.01*Y742+Y742*$G$51),0),0)</f>
        <v/>
      </c>
      <c r="Z743">
        <f>Y742*$G$51</f>
        <v/>
      </c>
      <c r="AA743">
        <f>IF(AA742&gt;1E-9,IF(AA742*(1+$G$52)-MAX($B$9,0.01*AA742+AA742*$G$52)&gt;1E-9,AA742*(1+$G$52)-MAX($B$9,0.01*AA742+AA742*$G$52),0),0)</f>
        <v/>
      </c>
      <c r="AB743">
        <f>AA742*$G$52</f>
        <v/>
      </c>
      <c r="AC743">
        <f>IF(AC742&gt;1E-9,IF(AC742*(1+$G$53)-MAX($B$9,0.01*AC742+AC742*$G$53)&gt;1E-9,AC742*(1+$G$53)-MAX($B$9,0.01*AC742+AC742*$G$53),0),0)</f>
        <v/>
      </c>
      <c r="AD743">
        <f>AC742*$G$53</f>
        <v/>
      </c>
      <c r="AE743">
        <f>IF(AE742&gt;1E-9,IF(AE742*(1+$G$54)-MAX($B$9,0.01*AE742+AE742*$G$54)&gt;1E-9,AE742*(1+$G$54)-MAX($B$9,0.01*AE742+AE742*$G$54),0),0)</f>
        <v/>
      </c>
      <c r="AF743">
        <f>AE742*$G$54</f>
        <v/>
      </c>
      <c r="AG743">
        <f>IF(AG742&gt;1E-9,IF(AG742*(1+$G$55)-MAX($B$9,0.01*AG742+AG742*$G$55)&gt;1E-9,AG742*(1+$G$55)-MAX($B$9,0.01*AG742+AG742*$G$55),0),0)</f>
        <v/>
      </c>
      <c r="AH743">
        <f>AG742*$G$55</f>
        <v/>
      </c>
      <c r="AI743">
        <f>G743+K743+O743+S743+W743</f>
        <v/>
      </c>
      <c r="AJ743">
        <f>AI742+AK743-AI743</f>
        <v/>
      </c>
      <c r="AK743">
        <f>H743+L743+P743+T743+X743</f>
        <v/>
      </c>
      <c r="AL743">
        <f>TEXT(EDATE($B$5,D743-1),"mmm yyyy")</f>
        <v/>
      </c>
      <c r="AM743">
        <f>AI743</f>
        <v/>
      </c>
    </row>
    <row r="744">
      <c r="D744" t="n">
        <v>683</v>
      </c>
      <c r="E744">
        <f>IF(G743&gt;0,MAX(0,G743*(1+$G$51)-$H$51),0)</f>
        <v/>
      </c>
      <c r="F744">
        <f>$B$6+IF($D744=$B$8,$B$7,0)</f>
        <v/>
      </c>
      <c r="G744">
        <f>IF(E744-F744&gt;1E-9,E744-F744,0)</f>
        <v/>
      </c>
      <c r="H744">
        <f>G743*$G$51</f>
        <v/>
      </c>
      <c r="I744">
        <f>IF(K743&gt;0,MAX(0,K743*(1+$G$52)-$H$52),0)</f>
        <v/>
      </c>
      <c r="J744">
        <f>MAX(0,F744-E744)</f>
        <v/>
      </c>
      <c r="K744">
        <f>IF(I744-J744&gt;1E-9,I744-J744,0)</f>
        <v/>
      </c>
      <c r="L744">
        <f>K743*$G$52</f>
        <v/>
      </c>
      <c r="M744">
        <f>IF(O743&gt;0,MAX(0,O743*(1+$G$53)-$H$53),0)</f>
        <v/>
      </c>
      <c r="N744">
        <f>MAX(0,J744-I744)</f>
        <v/>
      </c>
      <c r="O744">
        <f>IF(M744-N744&gt;1E-9,M744-N744,0)</f>
        <v/>
      </c>
      <c r="P744">
        <f>O743*$G$53</f>
        <v/>
      </c>
      <c r="Q744">
        <f>IF(S743&gt;0,MAX(0,S743*(1+$G$54)-$H$54),0)</f>
        <v/>
      </c>
      <c r="R744">
        <f>MAX(0,N744-M744)</f>
        <v/>
      </c>
      <c r="S744">
        <f>IF(Q744-R744&gt;1E-9,Q744-R744,0)</f>
        <v/>
      </c>
      <c r="T744">
        <f>S743*$G$54</f>
        <v/>
      </c>
      <c r="U744">
        <f>IF(W743&gt;0,MAX(0,W743*(1+$G$55)-$H$55),0)</f>
        <v/>
      </c>
      <c r="V744">
        <f>MAX(0,R744-Q744)</f>
        <v/>
      </c>
      <c r="W744">
        <f>IF(U744-V744&gt;1E-9,U744-V744,0)</f>
        <v/>
      </c>
      <c r="X744">
        <f>W743*$G$55</f>
        <v/>
      </c>
      <c r="Y744">
        <f>IF(Y743&gt;1E-9,IF(Y743*(1+$G$51)-MAX($B$9,0.01*Y743+Y743*$G$51)&gt;1E-9,Y743*(1+$G$51)-MAX($B$9,0.01*Y743+Y743*$G$51),0),0)</f>
        <v/>
      </c>
      <c r="Z744">
        <f>Y743*$G$51</f>
        <v/>
      </c>
      <c r="AA744">
        <f>IF(AA743&gt;1E-9,IF(AA743*(1+$G$52)-MAX($B$9,0.01*AA743+AA743*$G$52)&gt;1E-9,AA743*(1+$G$52)-MAX($B$9,0.01*AA743+AA743*$G$52),0),0)</f>
        <v/>
      </c>
      <c r="AB744">
        <f>AA743*$G$52</f>
        <v/>
      </c>
      <c r="AC744">
        <f>IF(AC743&gt;1E-9,IF(AC743*(1+$G$53)-MAX($B$9,0.01*AC743+AC743*$G$53)&gt;1E-9,AC743*(1+$G$53)-MAX($B$9,0.01*AC743+AC743*$G$53),0),0)</f>
        <v/>
      </c>
      <c r="AD744">
        <f>AC743*$G$53</f>
        <v/>
      </c>
      <c r="AE744">
        <f>IF(AE743&gt;1E-9,IF(AE743*(1+$G$54)-MAX($B$9,0.01*AE743+AE743*$G$54)&gt;1E-9,AE743*(1+$G$54)-MAX($B$9,0.01*AE743+AE743*$G$54),0),0)</f>
        <v/>
      </c>
      <c r="AF744">
        <f>AE743*$G$54</f>
        <v/>
      </c>
      <c r="AG744">
        <f>IF(AG743&gt;1E-9,IF(AG743*(1+$G$55)-MAX($B$9,0.01*AG743+AG743*$G$55)&gt;1E-9,AG743*(1+$G$55)-MAX($B$9,0.01*AG743+AG743*$G$55),0),0)</f>
        <v/>
      </c>
      <c r="AH744">
        <f>AG743*$G$55</f>
        <v/>
      </c>
      <c r="AI744">
        <f>G744+K744+O744+S744+W744</f>
        <v/>
      </c>
      <c r="AJ744">
        <f>AI743+AK744-AI744</f>
        <v/>
      </c>
      <c r="AK744">
        <f>H744+L744+P744+T744+X744</f>
        <v/>
      </c>
      <c r="AL744">
        <f>TEXT(EDATE($B$5,D744-1),"mmm yyyy")</f>
        <v/>
      </c>
      <c r="AM744">
        <f>AI744</f>
        <v/>
      </c>
    </row>
    <row r="745">
      <c r="D745" t="n">
        <v>684</v>
      </c>
      <c r="E745">
        <f>IF(G744&gt;0,MAX(0,G744*(1+$G$51)-$H$51),0)</f>
        <v/>
      </c>
      <c r="F745">
        <f>$B$6+IF($D745=$B$8,$B$7,0)</f>
        <v/>
      </c>
      <c r="G745">
        <f>IF(E745-F745&gt;1E-9,E745-F745,0)</f>
        <v/>
      </c>
      <c r="H745">
        <f>G744*$G$51</f>
        <v/>
      </c>
      <c r="I745">
        <f>IF(K744&gt;0,MAX(0,K744*(1+$G$52)-$H$52),0)</f>
        <v/>
      </c>
      <c r="J745">
        <f>MAX(0,F745-E745)</f>
        <v/>
      </c>
      <c r="K745">
        <f>IF(I745-J745&gt;1E-9,I745-J745,0)</f>
        <v/>
      </c>
      <c r="L745">
        <f>K744*$G$52</f>
        <v/>
      </c>
      <c r="M745">
        <f>IF(O744&gt;0,MAX(0,O744*(1+$G$53)-$H$53),0)</f>
        <v/>
      </c>
      <c r="N745">
        <f>MAX(0,J745-I745)</f>
        <v/>
      </c>
      <c r="O745">
        <f>IF(M745-N745&gt;1E-9,M745-N745,0)</f>
        <v/>
      </c>
      <c r="P745">
        <f>O744*$G$53</f>
        <v/>
      </c>
      <c r="Q745">
        <f>IF(S744&gt;0,MAX(0,S744*(1+$G$54)-$H$54),0)</f>
        <v/>
      </c>
      <c r="R745">
        <f>MAX(0,N745-M745)</f>
        <v/>
      </c>
      <c r="S745">
        <f>IF(Q745-R745&gt;1E-9,Q745-R745,0)</f>
        <v/>
      </c>
      <c r="T745">
        <f>S744*$G$54</f>
        <v/>
      </c>
      <c r="U745">
        <f>IF(W744&gt;0,MAX(0,W744*(1+$G$55)-$H$55),0)</f>
        <v/>
      </c>
      <c r="V745">
        <f>MAX(0,R745-Q745)</f>
        <v/>
      </c>
      <c r="W745">
        <f>IF(U745-V745&gt;1E-9,U745-V745,0)</f>
        <v/>
      </c>
      <c r="X745">
        <f>W744*$G$55</f>
        <v/>
      </c>
      <c r="Y745">
        <f>IF(Y744&gt;1E-9,IF(Y744*(1+$G$51)-MAX($B$9,0.01*Y744+Y744*$G$51)&gt;1E-9,Y744*(1+$G$51)-MAX($B$9,0.01*Y744+Y744*$G$51),0),0)</f>
        <v/>
      </c>
      <c r="Z745">
        <f>Y744*$G$51</f>
        <v/>
      </c>
      <c r="AA745">
        <f>IF(AA744&gt;1E-9,IF(AA744*(1+$G$52)-MAX($B$9,0.01*AA744+AA744*$G$52)&gt;1E-9,AA744*(1+$G$52)-MAX($B$9,0.01*AA744+AA744*$G$52),0),0)</f>
        <v/>
      </c>
      <c r="AB745">
        <f>AA744*$G$52</f>
        <v/>
      </c>
      <c r="AC745">
        <f>IF(AC744&gt;1E-9,IF(AC744*(1+$G$53)-MAX($B$9,0.01*AC744+AC744*$G$53)&gt;1E-9,AC744*(1+$G$53)-MAX($B$9,0.01*AC744+AC744*$G$53),0),0)</f>
        <v/>
      </c>
      <c r="AD745">
        <f>AC744*$G$53</f>
        <v/>
      </c>
      <c r="AE745">
        <f>IF(AE744&gt;1E-9,IF(AE744*(1+$G$54)-MAX($B$9,0.01*AE744+AE744*$G$54)&gt;1E-9,AE744*(1+$G$54)-MAX($B$9,0.01*AE744+AE744*$G$54),0),0)</f>
        <v/>
      </c>
      <c r="AF745">
        <f>AE744*$G$54</f>
        <v/>
      </c>
      <c r="AG745">
        <f>IF(AG744&gt;1E-9,IF(AG744*(1+$G$55)-MAX($B$9,0.01*AG744+AG744*$G$55)&gt;1E-9,AG744*(1+$G$55)-MAX($B$9,0.01*AG744+AG744*$G$55),0),0)</f>
        <v/>
      </c>
      <c r="AH745">
        <f>AG744*$G$55</f>
        <v/>
      </c>
      <c r="AI745">
        <f>G745+K745+O745+S745+W745</f>
        <v/>
      </c>
      <c r="AJ745">
        <f>AI744+AK745-AI745</f>
        <v/>
      </c>
      <c r="AK745">
        <f>H745+L745+P745+T745+X745</f>
        <v/>
      </c>
      <c r="AL745">
        <f>TEXT(EDATE($B$5,D745-1),"mmm yyyy")</f>
        <v/>
      </c>
      <c r="AM745">
        <f>AI745</f>
        <v/>
      </c>
    </row>
    <row r="746">
      <c r="D746" t="n">
        <v>685</v>
      </c>
      <c r="E746">
        <f>IF(G745&gt;0,MAX(0,G745*(1+$G$51)-$H$51),0)</f>
        <v/>
      </c>
      <c r="F746">
        <f>$B$6+IF($D746=$B$8,$B$7,0)</f>
        <v/>
      </c>
      <c r="G746">
        <f>IF(E746-F746&gt;1E-9,E746-F746,0)</f>
        <v/>
      </c>
      <c r="H746">
        <f>G745*$G$51</f>
        <v/>
      </c>
      <c r="I746">
        <f>IF(K745&gt;0,MAX(0,K745*(1+$G$52)-$H$52),0)</f>
        <v/>
      </c>
      <c r="J746">
        <f>MAX(0,F746-E746)</f>
        <v/>
      </c>
      <c r="K746">
        <f>IF(I746-J746&gt;1E-9,I746-J746,0)</f>
        <v/>
      </c>
      <c r="L746">
        <f>K745*$G$52</f>
        <v/>
      </c>
      <c r="M746">
        <f>IF(O745&gt;0,MAX(0,O745*(1+$G$53)-$H$53),0)</f>
        <v/>
      </c>
      <c r="N746">
        <f>MAX(0,J746-I746)</f>
        <v/>
      </c>
      <c r="O746">
        <f>IF(M746-N746&gt;1E-9,M746-N746,0)</f>
        <v/>
      </c>
      <c r="P746">
        <f>O745*$G$53</f>
        <v/>
      </c>
      <c r="Q746">
        <f>IF(S745&gt;0,MAX(0,S745*(1+$G$54)-$H$54),0)</f>
        <v/>
      </c>
      <c r="R746">
        <f>MAX(0,N746-M746)</f>
        <v/>
      </c>
      <c r="S746">
        <f>IF(Q746-R746&gt;1E-9,Q746-R746,0)</f>
        <v/>
      </c>
      <c r="T746">
        <f>S745*$G$54</f>
        <v/>
      </c>
      <c r="U746">
        <f>IF(W745&gt;0,MAX(0,W745*(1+$G$55)-$H$55),0)</f>
        <v/>
      </c>
      <c r="V746">
        <f>MAX(0,R746-Q746)</f>
        <v/>
      </c>
      <c r="W746">
        <f>IF(U746-V746&gt;1E-9,U746-V746,0)</f>
        <v/>
      </c>
      <c r="X746">
        <f>W745*$G$55</f>
        <v/>
      </c>
      <c r="Y746">
        <f>IF(Y745&gt;1E-9,IF(Y745*(1+$G$51)-MAX($B$9,0.01*Y745+Y745*$G$51)&gt;1E-9,Y745*(1+$G$51)-MAX($B$9,0.01*Y745+Y745*$G$51),0),0)</f>
        <v/>
      </c>
      <c r="Z746">
        <f>Y745*$G$51</f>
        <v/>
      </c>
      <c r="AA746">
        <f>IF(AA745&gt;1E-9,IF(AA745*(1+$G$52)-MAX($B$9,0.01*AA745+AA745*$G$52)&gt;1E-9,AA745*(1+$G$52)-MAX($B$9,0.01*AA745+AA745*$G$52),0),0)</f>
        <v/>
      </c>
      <c r="AB746">
        <f>AA745*$G$52</f>
        <v/>
      </c>
      <c r="AC746">
        <f>IF(AC745&gt;1E-9,IF(AC745*(1+$G$53)-MAX($B$9,0.01*AC745+AC745*$G$53)&gt;1E-9,AC745*(1+$G$53)-MAX($B$9,0.01*AC745+AC745*$G$53),0),0)</f>
        <v/>
      </c>
      <c r="AD746">
        <f>AC745*$G$53</f>
        <v/>
      </c>
      <c r="AE746">
        <f>IF(AE745&gt;1E-9,IF(AE745*(1+$G$54)-MAX($B$9,0.01*AE745+AE745*$G$54)&gt;1E-9,AE745*(1+$G$54)-MAX($B$9,0.01*AE745+AE745*$G$54),0),0)</f>
        <v/>
      </c>
      <c r="AF746">
        <f>AE745*$G$54</f>
        <v/>
      </c>
      <c r="AG746">
        <f>IF(AG745&gt;1E-9,IF(AG745*(1+$G$55)-MAX($B$9,0.01*AG745+AG745*$G$55)&gt;1E-9,AG745*(1+$G$55)-MAX($B$9,0.01*AG745+AG745*$G$55),0),0)</f>
        <v/>
      </c>
      <c r="AH746">
        <f>AG745*$G$55</f>
        <v/>
      </c>
      <c r="AI746">
        <f>G746+K746+O746+S746+W746</f>
        <v/>
      </c>
      <c r="AJ746">
        <f>AI745+AK746-AI746</f>
        <v/>
      </c>
      <c r="AK746">
        <f>H746+L746+P746+T746+X746</f>
        <v/>
      </c>
      <c r="AL746">
        <f>TEXT(EDATE($B$5,D746-1),"mmm yyyy")</f>
        <v/>
      </c>
      <c r="AM746">
        <f>AI746</f>
        <v/>
      </c>
    </row>
    <row r="747">
      <c r="D747" t="n">
        <v>686</v>
      </c>
      <c r="E747">
        <f>IF(G746&gt;0,MAX(0,G746*(1+$G$51)-$H$51),0)</f>
        <v/>
      </c>
      <c r="F747">
        <f>$B$6+IF($D747=$B$8,$B$7,0)</f>
        <v/>
      </c>
      <c r="G747">
        <f>IF(E747-F747&gt;1E-9,E747-F747,0)</f>
        <v/>
      </c>
      <c r="H747">
        <f>G746*$G$51</f>
        <v/>
      </c>
      <c r="I747">
        <f>IF(K746&gt;0,MAX(0,K746*(1+$G$52)-$H$52),0)</f>
        <v/>
      </c>
      <c r="J747">
        <f>MAX(0,F747-E747)</f>
        <v/>
      </c>
      <c r="K747">
        <f>IF(I747-J747&gt;1E-9,I747-J747,0)</f>
        <v/>
      </c>
      <c r="L747">
        <f>K746*$G$52</f>
        <v/>
      </c>
      <c r="M747">
        <f>IF(O746&gt;0,MAX(0,O746*(1+$G$53)-$H$53),0)</f>
        <v/>
      </c>
      <c r="N747">
        <f>MAX(0,J747-I747)</f>
        <v/>
      </c>
      <c r="O747">
        <f>IF(M747-N747&gt;1E-9,M747-N747,0)</f>
        <v/>
      </c>
      <c r="P747">
        <f>O746*$G$53</f>
        <v/>
      </c>
      <c r="Q747">
        <f>IF(S746&gt;0,MAX(0,S746*(1+$G$54)-$H$54),0)</f>
        <v/>
      </c>
      <c r="R747">
        <f>MAX(0,N747-M747)</f>
        <v/>
      </c>
      <c r="S747">
        <f>IF(Q747-R747&gt;1E-9,Q747-R747,0)</f>
        <v/>
      </c>
      <c r="T747">
        <f>S746*$G$54</f>
        <v/>
      </c>
      <c r="U747">
        <f>IF(W746&gt;0,MAX(0,W746*(1+$G$55)-$H$55),0)</f>
        <v/>
      </c>
      <c r="V747">
        <f>MAX(0,R747-Q747)</f>
        <v/>
      </c>
      <c r="W747">
        <f>IF(U747-V747&gt;1E-9,U747-V747,0)</f>
        <v/>
      </c>
      <c r="X747">
        <f>W746*$G$55</f>
        <v/>
      </c>
      <c r="Y747">
        <f>IF(Y746&gt;1E-9,IF(Y746*(1+$G$51)-MAX($B$9,0.01*Y746+Y746*$G$51)&gt;1E-9,Y746*(1+$G$51)-MAX($B$9,0.01*Y746+Y746*$G$51),0),0)</f>
        <v/>
      </c>
      <c r="Z747">
        <f>Y746*$G$51</f>
        <v/>
      </c>
      <c r="AA747">
        <f>IF(AA746&gt;1E-9,IF(AA746*(1+$G$52)-MAX($B$9,0.01*AA746+AA746*$G$52)&gt;1E-9,AA746*(1+$G$52)-MAX($B$9,0.01*AA746+AA746*$G$52),0),0)</f>
        <v/>
      </c>
      <c r="AB747">
        <f>AA746*$G$52</f>
        <v/>
      </c>
      <c r="AC747">
        <f>IF(AC746&gt;1E-9,IF(AC746*(1+$G$53)-MAX($B$9,0.01*AC746+AC746*$G$53)&gt;1E-9,AC746*(1+$G$53)-MAX($B$9,0.01*AC746+AC746*$G$53),0),0)</f>
        <v/>
      </c>
      <c r="AD747">
        <f>AC746*$G$53</f>
        <v/>
      </c>
      <c r="AE747">
        <f>IF(AE746&gt;1E-9,IF(AE746*(1+$G$54)-MAX($B$9,0.01*AE746+AE746*$G$54)&gt;1E-9,AE746*(1+$G$54)-MAX($B$9,0.01*AE746+AE746*$G$54),0),0)</f>
        <v/>
      </c>
      <c r="AF747">
        <f>AE746*$G$54</f>
        <v/>
      </c>
      <c r="AG747">
        <f>IF(AG746&gt;1E-9,IF(AG746*(1+$G$55)-MAX($B$9,0.01*AG746+AG746*$G$55)&gt;1E-9,AG746*(1+$G$55)-MAX($B$9,0.01*AG746+AG746*$G$55),0),0)</f>
        <v/>
      </c>
      <c r="AH747">
        <f>AG746*$G$55</f>
        <v/>
      </c>
      <c r="AI747">
        <f>G747+K747+O747+S747+W747</f>
        <v/>
      </c>
      <c r="AJ747">
        <f>AI746+AK747-AI747</f>
        <v/>
      </c>
      <c r="AK747">
        <f>H747+L747+P747+T747+X747</f>
        <v/>
      </c>
      <c r="AL747">
        <f>TEXT(EDATE($B$5,D747-1),"mmm yyyy")</f>
        <v/>
      </c>
      <c r="AM747">
        <f>AI747</f>
        <v/>
      </c>
    </row>
    <row r="748">
      <c r="D748" t="n">
        <v>687</v>
      </c>
      <c r="E748">
        <f>IF(G747&gt;0,MAX(0,G747*(1+$G$51)-$H$51),0)</f>
        <v/>
      </c>
      <c r="F748">
        <f>$B$6+IF($D748=$B$8,$B$7,0)</f>
        <v/>
      </c>
      <c r="G748">
        <f>IF(E748-F748&gt;1E-9,E748-F748,0)</f>
        <v/>
      </c>
      <c r="H748">
        <f>G747*$G$51</f>
        <v/>
      </c>
      <c r="I748">
        <f>IF(K747&gt;0,MAX(0,K747*(1+$G$52)-$H$52),0)</f>
        <v/>
      </c>
      <c r="J748">
        <f>MAX(0,F748-E748)</f>
        <v/>
      </c>
      <c r="K748">
        <f>IF(I748-J748&gt;1E-9,I748-J748,0)</f>
        <v/>
      </c>
      <c r="L748">
        <f>K747*$G$52</f>
        <v/>
      </c>
      <c r="M748">
        <f>IF(O747&gt;0,MAX(0,O747*(1+$G$53)-$H$53),0)</f>
        <v/>
      </c>
      <c r="N748">
        <f>MAX(0,J748-I748)</f>
        <v/>
      </c>
      <c r="O748">
        <f>IF(M748-N748&gt;1E-9,M748-N748,0)</f>
        <v/>
      </c>
      <c r="P748">
        <f>O747*$G$53</f>
        <v/>
      </c>
      <c r="Q748">
        <f>IF(S747&gt;0,MAX(0,S747*(1+$G$54)-$H$54),0)</f>
        <v/>
      </c>
      <c r="R748">
        <f>MAX(0,N748-M748)</f>
        <v/>
      </c>
      <c r="S748">
        <f>IF(Q748-R748&gt;1E-9,Q748-R748,0)</f>
        <v/>
      </c>
      <c r="T748">
        <f>S747*$G$54</f>
        <v/>
      </c>
      <c r="U748">
        <f>IF(W747&gt;0,MAX(0,W747*(1+$G$55)-$H$55),0)</f>
        <v/>
      </c>
      <c r="V748">
        <f>MAX(0,R748-Q748)</f>
        <v/>
      </c>
      <c r="W748">
        <f>IF(U748-V748&gt;1E-9,U748-V748,0)</f>
        <v/>
      </c>
      <c r="X748">
        <f>W747*$G$55</f>
        <v/>
      </c>
      <c r="Y748">
        <f>IF(Y747&gt;1E-9,IF(Y747*(1+$G$51)-MAX($B$9,0.01*Y747+Y747*$G$51)&gt;1E-9,Y747*(1+$G$51)-MAX($B$9,0.01*Y747+Y747*$G$51),0),0)</f>
        <v/>
      </c>
      <c r="Z748">
        <f>Y747*$G$51</f>
        <v/>
      </c>
      <c r="AA748">
        <f>IF(AA747&gt;1E-9,IF(AA747*(1+$G$52)-MAX($B$9,0.01*AA747+AA747*$G$52)&gt;1E-9,AA747*(1+$G$52)-MAX($B$9,0.01*AA747+AA747*$G$52),0),0)</f>
        <v/>
      </c>
      <c r="AB748">
        <f>AA747*$G$52</f>
        <v/>
      </c>
      <c r="AC748">
        <f>IF(AC747&gt;1E-9,IF(AC747*(1+$G$53)-MAX($B$9,0.01*AC747+AC747*$G$53)&gt;1E-9,AC747*(1+$G$53)-MAX($B$9,0.01*AC747+AC747*$G$53),0),0)</f>
        <v/>
      </c>
      <c r="AD748">
        <f>AC747*$G$53</f>
        <v/>
      </c>
      <c r="AE748">
        <f>IF(AE747&gt;1E-9,IF(AE747*(1+$G$54)-MAX($B$9,0.01*AE747+AE747*$G$54)&gt;1E-9,AE747*(1+$G$54)-MAX($B$9,0.01*AE747+AE747*$G$54),0),0)</f>
        <v/>
      </c>
      <c r="AF748">
        <f>AE747*$G$54</f>
        <v/>
      </c>
      <c r="AG748">
        <f>IF(AG747&gt;1E-9,IF(AG747*(1+$G$55)-MAX($B$9,0.01*AG747+AG747*$G$55)&gt;1E-9,AG747*(1+$G$55)-MAX($B$9,0.01*AG747+AG747*$G$55),0),0)</f>
        <v/>
      </c>
      <c r="AH748">
        <f>AG747*$G$55</f>
        <v/>
      </c>
      <c r="AI748">
        <f>G748+K748+O748+S748+W748</f>
        <v/>
      </c>
      <c r="AJ748">
        <f>AI747+AK748-AI748</f>
        <v/>
      </c>
      <c r="AK748">
        <f>H748+L748+P748+T748+X748</f>
        <v/>
      </c>
      <c r="AL748">
        <f>TEXT(EDATE($B$5,D748-1),"mmm yyyy")</f>
        <v/>
      </c>
      <c r="AM748">
        <f>AI748</f>
        <v/>
      </c>
    </row>
    <row r="749">
      <c r="D749" t="n">
        <v>688</v>
      </c>
      <c r="E749">
        <f>IF(G748&gt;0,MAX(0,G748*(1+$G$51)-$H$51),0)</f>
        <v/>
      </c>
      <c r="F749">
        <f>$B$6+IF($D749=$B$8,$B$7,0)</f>
        <v/>
      </c>
      <c r="G749">
        <f>IF(E749-F749&gt;1E-9,E749-F749,0)</f>
        <v/>
      </c>
      <c r="H749">
        <f>G748*$G$51</f>
        <v/>
      </c>
      <c r="I749">
        <f>IF(K748&gt;0,MAX(0,K748*(1+$G$52)-$H$52),0)</f>
        <v/>
      </c>
      <c r="J749">
        <f>MAX(0,F749-E749)</f>
        <v/>
      </c>
      <c r="K749">
        <f>IF(I749-J749&gt;1E-9,I749-J749,0)</f>
        <v/>
      </c>
      <c r="L749">
        <f>K748*$G$52</f>
        <v/>
      </c>
      <c r="M749">
        <f>IF(O748&gt;0,MAX(0,O748*(1+$G$53)-$H$53),0)</f>
        <v/>
      </c>
      <c r="N749">
        <f>MAX(0,J749-I749)</f>
        <v/>
      </c>
      <c r="O749">
        <f>IF(M749-N749&gt;1E-9,M749-N749,0)</f>
        <v/>
      </c>
      <c r="P749">
        <f>O748*$G$53</f>
        <v/>
      </c>
      <c r="Q749">
        <f>IF(S748&gt;0,MAX(0,S748*(1+$G$54)-$H$54),0)</f>
        <v/>
      </c>
      <c r="R749">
        <f>MAX(0,N749-M749)</f>
        <v/>
      </c>
      <c r="S749">
        <f>IF(Q749-R749&gt;1E-9,Q749-R749,0)</f>
        <v/>
      </c>
      <c r="T749">
        <f>S748*$G$54</f>
        <v/>
      </c>
      <c r="U749">
        <f>IF(W748&gt;0,MAX(0,W748*(1+$G$55)-$H$55),0)</f>
        <v/>
      </c>
      <c r="V749">
        <f>MAX(0,R749-Q749)</f>
        <v/>
      </c>
      <c r="W749">
        <f>IF(U749-V749&gt;1E-9,U749-V749,0)</f>
        <v/>
      </c>
      <c r="X749">
        <f>W748*$G$55</f>
        <v/>
      </c>
      <c r="Y749">
        <f>IF(Y748&gt;1E-9,IF(Y748*(1+$G$51)-MAX($B$9,0.01*Y748+Y748*$G$51)&gt;1E-9,Y748*(1+$G$51)-MAX($B$9,0.01*Y748+Y748*$G$51),0),0)</f>
        <v/>
      </c>
      <c r="Z749">
        <f>Y748*$G$51</f>
        <v/>
      </c>
      <c r="AA749">
        <f>IF(AA748&gt;1E-9,IF(AA748*(1+$G$52)-MAX($B$9,0.01*AA748+AA748*$G$52)&gt;1E-9,AA748*(1+$G$52)-MAX($B$9,0.01*AA748+AA748*$G$52),0),0)</f>
        <v/>
      </c>
      <c r="AB749">
        <f>AA748*$G$52</f>
        <v/>
      </c>
      <c r="AC749">
        <f>IF(AC748&gt;1E-9,IF(AC748*(1+$G$53)-MAX($B$9,0.01*AC748+AC748*$G$53)&gt;1E-9,AC748*(1+$G$53)-MAX($B$9,0.01*AC748+AC748*$G$53),0),0)</f>
        <v/>
      </c>
      <c r="AD749">
        <f>AC748*$G$53</f>
        <v/>
      </c>
      <c r="AE749">
        <f>IF(AE748&gt;1E-9,IF(AE748*(1+$G$54)-MAX($B$9,0.01*AE748+AE748*$G$54)&gt;1E-9,AE748*(1+$G$54)-MAX($B$9,0.01*AE748+AE748*$G$54),0),0)</f>
        <v/>
      </c>
      <c r="AF749">
        <f>AE748*$G$54</f>
        <v/>
      </c>
      <c r="AG749">
        <f>IF(AG748&gt;1E-9,IF(AG748*(1+$G$55)-MAX($B$9,0.01*AG748+AG748*$G$55)&gt;1E-9,AG748*(1+$G$55)-MAX($B$9,0.01*AG748+AG748*$G$55),0),0)</f>
        <v/>
      </c>
      <c r="AH749">
        <f>AG748*$G$55</f>
        <v/>
      </c>
      <c r="AI749">
        <f>G749+K749+O749+S749+W749</f>
        <v/>
      </c>
      <c r="AJ749">
        <f>AI748+AK749-AI749</f>
        <v/>
      </c>
      <c r="AK749">
        <f>H749+L749+P749+T749+X749</f>
        <v/>
      </c>
      <c r="AL749">
        <f>TEXT(EDATE($B$5,D749-1),"mmm yyyy")</f>
        <v/>
      </c>
      <c r="AM749">
        <f>AI749</f>
        <v/>
      </c>
    </row>
    <row r="750">
      <c r="D750" t="n">
        <v>689</v>
      </c>
      <c r="E750">
        <f>IF(G749&gt;0,MAX(0,G749*(1+$G$51)-$H$51),0)</f>
        <v/>
      </c>
      <c r="F750">
        <f>$B$6+IF($D750=$B$8,$B$7,0)</f>
        <v/>
      </c>
      <c r="G750">
        <f>IF(E750-F750&gt;1E-9,E750-F750,0)</f>
        <v/>
      </c>
      <c r="H750">
        <f>G749*$G$51</f>
        <v/>
      </c>
      <c r="I750">
        <f>IF(K749&gt;0,MAX(0,K749*(1+$G$52)-$H$52),0)</f>
        <v/>
      </c>
      <c r="J750">
        <f>MAX(0,F750-E750)</f>
        <v/>
      </c>
      <c r="K750">
        <f>IF(I750-J750&gt;1E-9,I750-J750,0)</f>
        <v/>
      </c>
      <c r="L750">
        <f>K749*$G$52</f>
        <v/>
      </c>
      <c r="M750">
        <f>IF(O749&gt;0,MAX(0,O749*(1+$G$53)-$H$53),0)</f>
        <v/>
      </c>
      <c r="N750">
        <f>MAX(0,J750-I750)</f>
        <v/>
      </c>
      <c r="O750">
        <f>IF(M750-N750&gt;1E-9,M750-N750,0)</f>
        <v/>
      </c>
      <c r="P750">
        <f>O749*$G$53</f>
        <v/>
      </c>
      <c r="Q750">
        <f>IF(S749&gt;0,MAX(0,S749*(1+$G$54)-$H$54),0)</f>
        <v/>
      </c>
      <c r="R750">
        <f>MAX(0,N750-M750)</f>
        <v/>
      </c>
      <c r="S750">
        <f>IF(Q750-R750&gt;1E-9,Q750-R750,0)</f>
        <v/>
      </c>
      <c r="T750">
        <f>S749*$G$54</f>
        <v/>
      </c>
      <c r="U750">
        <f>IF(W749&gt;0,MAX(0,W749*(1+$G$55)-$H$55),0)</f>
        <v/>
      </c>
      <c r="V750">
        <f>MAX(0,R750-Q750)</f>
        <v/>
      </c>
      <c r="W750">
        <f>IF(U750-V750&gt;1E-9,U750-V750,0)</f>
        <v/>
      </c>
      <c r="X750">
        <f>W749*$G$55</f>
        <v/>
      </c>
      <c r="Y750">
        <f>IF(Y749&gt;1E-9,IF(Y749*(1+$G$51)-MAX($B$9,0.01*Y749+Y749*$G$51)&gt;1E-9,Y749*(1+$G$51)-MAX($B$9,0.01*Y749+Y749*$G$51),0),0)</f>
        <v/>
      </c>
      <c r="Z750">
        <f>Y749*$G$51</f>
        <v/>
      </c>
      <c r="AA750">
        <f>IF(AA749&gt;1E-9,IF(AA749*(1+$G$52)-MAX($B$9,0.01*AA749+AA749*$G$52)&gt;1E-9,AA749*(1+$G$52)-MAX($B$9,0.01*AA749+AA749*$G$52),0),0)</f>
        <v/>
      </c>
      <c r="AB750">
        <f>AA749*$G$52</f>
        <v/>
      </c>
      <c r="AC750">
        <f>IF(AC749&gt;1E-9,IF(AC749*(1+$G$53)-MAX($B$9,0.01*AC749+AC749*$G$53)&gt;1E-9,AC749*(1+$G$53)-MAX($B$9,0.01*AC749+AC749*$G$53),0),0)</f>
        <v/>
      </c>
      <c r="AD750">
        <f>AC749*$G$53</f>
        <v/>
      </c>
      <c r="AE750">
        <f>IF(AE749&gt;1E-9,IF(AE749*(1+$G$54)-MAX($B$9,0.01*AE749+AE749*$G$54)&gt;1E-9,AE749*(1+$G$54)-MAX($B$9,0.01*AE749+AE749*$G$54),0),0)</f>
        <v/>
      </c>
      <c r="AF750">
        <f>AE749*$G$54</f>
        <v/>
      </c>
      <c r="AG750">
        <f>IF(AG749&gt;1E-9,IF(AG749*(1+$G$55)-MAX($B$9,0.01*AG749+AG749*$G$55)&gt;1E-9,AG749*(1+$G$55)-MAX($B$9,0.01*AG749+AG749*$G$55),0),0)</f>
        <v/>
      </c>
      <c r="AH750">
        <f>AG749*$G$55</f>
        <v/>
      </c>
      <c r="AI750">
        <f>G750+K750+O750+S750+W750</f>
        <v/>
      </c>
      <c r="AJ750">
        <f>AI749+AK750-AI750</f>
        <v/>
      </c>
      <c r="AK750">
        <f>H750+L750+P750+T750+X750</f>
        <v/>
      </c>
      <c r="AL750">
        <f>TEXT(EDATE($B$5,D750-1),"mmm yyyy")</f>
        <v/>
      </c>
      <c r="AM750">
        <f>AI750</f>
        <v/>
      </c>
    </row>
    <row r="751">
      <c r="D751" t="n">
        <v>690</v>
      </c>
      <c r="E751">
        <f>IF(G750&gt;0,MAX(0,G750*(1+$G$51)-$H$51),0)</f>
        <v/>
      </c>
      <c r="F751">
        <f>$B$6+IF($D751=$B$8,$B$7,0)</f>
        <v/>
      </c>
      <c r="G751">
        <f>IF(E751-F751&gt;1E-9,E751-F751,0)</f>
        <v/>
      </c>
      <c r="H751">
        <f>G750*$G$51</f>
        <v/>
      </c>
      <c r="I751">
        <f>IF(K750&gt;0,MAX(0,K750*(1+$G$52)-$H$52),0)</f>
        <v/>
      </c>
      <c r="J751">
        <f>MAX(0,F751-E751)</f>
        <v/>
      </c>
      <c r="K751">
        <f>IF(I751-J751&gt;1E-9,I751-J751,0)</f>
        <v/>
      </c>
      <c r="L751">
        <f>K750*$G$52</f>
        <v/>
      </c>
      <c r="M751">
        <f>IF(O750&gt;0,MAX(0,O750*(1+$G$53)-$H$53),0)</f>
        <v/>
      </c>
      <c r="N751">
        <f>MAX(0,J751-I751)</f>
        <v/>
      </c>
      <c r="O751">
        <f>IF(M751-N751&gt;1E-9,M751-N751,0)</f>
        <v/>
      </c>
      <c r="P751">
        <f>O750*$G$53</f>
        <v/>
      </c>
      <c r="Q751">
        <f>IF(S750&gt;0,MAX(0,S750*(1+$G$54)-$H$54),0)</f>
        <v/>
      </c>
      <c r="R751">
        <f>MAX(0,N751-M751)</f>
        <v/>
      </c>
      <c r="S751">
        <f>IF(Q751-R751&gt;1E-9,Q751-R751,0)</f>
        <v/>
      </c>
      <c r="T751">
        <f>S750*$G$54</f>
        <v/>
      </c>
      <c r="U751">
        <f>IF(W750&gt;0,MAX(0,W750*(1+$G$55)-$H$55),0)</f>
        <v/>
      </c>
      <c r="V751">
        <f>MAX(0,R751-Q751)</f>
        <v/>
      </c>
      <c r="W751">
        <f>IF(U751-V751&gt;1E-9,U751-V751,0)</f>
        <v/>
      </c>
      <c r="X751">
        <f>W750*$G$55</f>
        <v/>
      </c>
      <c r="Y751">
        <f>IF(Y750&gt;1E-9,IF(Y750*(1+$G$51)-MAX($B$9,0.01*Y750+Y750*$G$51)&gt;1E-9,Y750*(1+$G$51)-MAX($B$9,0.01*Y750+Y750*$G$51),0),0)</f>
        <v/>
      </c>
      <c r="Z751">
        <f>Y750*$G$51</f>
        <v/>
      </c>
      <c r="AA751">
        <f>IF(AA750&gt;1E-9,IF(AA750*(1+$G$52)-MAX($B$9,0.01*AA750+AA750*$G$52)&gt;1E-9,AA750*(1+$G$52)-MAX($B$9,0.01*AA750+AA750*$G$52),0),0)</f>
        <v/>
      </c>
      <c r="AB751">
        <f>AA750*$G$52</f>
        <v/>
      </c>
      <c r="AC751">
        <f>IF(AC750&gt;1E-9,IF(AC750*(1+$G$53)-MAX($B$9,0.01*AC750+AC750*$G$53)&gt;1E-9,AC750*(1+$G$53)-MAX($B$9,0.01*AC750+AC750*$G$53),0),0)</f>
        <v/>
      </c>
      <c r="AD751">
        <f>AC750*$G$53</f>
        <v/>
      </c>
      <c r="AE751">
        <f>IF(AE750&gt;1E-9,IF(AE750*(1+$G$54)-MAX($B$9,0.01*AE750+AE750*$G$54)&gt;1E-9,AE750*(1+$G$54)-MAX($B$9,0.01*AE750+AE750*$G$54),0),0)</f>
        <v/>
      </c>
      <c r="AF751">
        <f>AE750*$G$54</f>
        <v/>
      </c>
      <c r="AG751">
        <f>IF(AG750&gt;1E-9,IF(AG750*(1+$G$55)-MAX($B$9,0.01*AG750+AG750*$G$55)&gt;1E-9,AG750*(1+$G$55)-MAX($B$9,0.01*AG750+AG750*$G$55),0),0)</f>
        <v/>
      </c>
      <c r="AH751">
        <f>AG750*$G$55</f>
        <v/>
      </c>
      <c r="AI751">
        <f>G751+K751+O751+S751+W751</f>
        <v/>
      </c>
      <c r="AJ751">
        <f>AI750+AK751-AI751</f>
        <v/>
      </c>
      <c r="AK751">
        <f>H751+L751+P751+T751+X751</f>
        <v/>
      </c>
      <c r="AL751">
        <f>TEXT(EDATE($B$5,D751-1),"mmm yyyy")</f>
        <v/>
      </c>
      <c r="AM751">
        <f>AI751</f>
        <v/>
      </c>
    </row>
    <row r="752">
      <c r="D752" t="n">
        <v>691</v>
      </c>
      <c r="E752">
        <f>IF(G751&gt;0,MAX(0,G751*(1+$G$51)-$H$51),0)</f>
        <v/>
      </c>
      <c r="F752">
        <f>$B$6+IF($D752=$B$8,$B$7,0)</f>
        <v/>
      </c>
      <c r="G752">
        <f>IF(E752-F752&gt;1E-9,E752-F752,0)</f>
        <v/>
      </c>
      <c r="H752">
        <f>G751*$G$51</f>
        <v/>
      </c>
      <c r="I752">
        <f>IF(K751&gt;0,MAX(0,K751*(1+$G$52)-$H$52),0)</f>
        <v/>
      </c>
      <c r="J752">
        <f>MAX(0,F752-E752)</f>
        <v/>
      </c>
      <c r="K752">
        <f>IF(I752-J752&gt;1E-9,I752-J752,0)</f>
        <v/>
      </c>
      <c r="L752">
        <f>K751*$G$52</f>
        <v/>
      </c>
      <c r="M752">
        <f>IF(O751&gt;0,MAX(0,O751*(1+$G$53)-$H$53),0)</f>
        <v/>
      </c>
      <c r="N752">
        <f>MAX(0,J752-I752)</f>
        <v/>
      </c>
      <c r="O752">
        <f>IF(M752-N752&gt;1E-9,M752-N752,0)</f>
        <v/>
      </c>
      <c r="P752">
        <f>O751*$G$53</f>
        <v/>
      </c>
      <c r="Q752">
        <f>IF(S751&gt;0,MAX(0,S751*(1+$G$54)-$H$54),0)</f>
        <v/>
      </c>
      <c r="R752">
        <f>MAX(0,N752-M752)</f>
        <v/>
      </c>
      <c r="S752">
        <f>IF(Q752-R752&gt;1E-9,Q752-R752,0)</f>
        <v/>
      </c>
      <c r="T752">
        <f>S751*$G$54</f>
        <v/>
      </c>
      <c r="U752">
        <f>IF(W751&gt;0,MAX(0,W751*(1+$G$55)-$H$55),0)</f>
        <v/>
      </c>
      <c r="V752">
        <f>MAX(0,R752-Q752)</f>
        <v/>
      </c>
      <c r="W752">
        <f>IF(U752-V752&gt;1E-9,U752-V752,0)</f>
        <v/>
      </c>
      <c r="X752">
        <f>W751*$G$55</f>
        <v/>
      </c>
      <c r="Y752">
        <f>IF(Y751&gt;1E-9,IF(Y751*(1+$G$51)-MAX($B$9,0.01*Y751+Y751*$G$51)&gt;1E-9,Y751*(1+$G$51)-MAX($B$9,0.01*Y751+Y751*$G$51),0),0)</f>
        <v/>
      </c>
      <c r="Z752">
        <f>Y751*$G$51</f>
        <v/>
      </c>
      <c r="AA752">
        <f>IF(AA751&gt;1E-9,IF(AA751*(1+$G$52)-MAX($B$9,0.01*AA751+AA751*$G$52)&gt;1E-9,AA751*(1+$G$52)-MAX($B$9,0.01*AA751+AA751*$G$52),0),0)</f>
        <v/>
      </c>
      <c r="AB752">
        <f>AA751*$G$52</f>
        <v/>
      </c>
      <c r="AC752">
        <f>IF(AC751&gt;1E-9,IF(AC751*(1+$G$53)-MAX($B$9,0.01*AC751+AC751*$G$53)&gt;1E-9,AC751*(1+$G$53)-MAX($B$9,0.01*AC751+AC751*$G$53),0),0)</f>
        <v/>
      </c>
      <c r="AD752">
        <f>AC751*$G$53</f>
        <v/>
      </c>
      <c r="AE752">
        <f>IF(AE751&gt;1E-9,IF(AE751*(1+$G$54)-MAX($B$9,0.01*AE751+AE751*$G$54)&gt;1E-9,AE751*(1+$G$54)-MAX($B$9,0.01*AE751+AE751*$G$54),0),0)</f>
        <v/>
      </c>
      <c r="AF752">
        <f>AE751*$G$54</f>
        <v/>
      </c>
      <c r="AG752">
        <f>IF(AG751&gt;1E-9,IF(AG751*(1+$G$55)-MAX($B$9,0.01*AG751+AG751*$G$55)&gt;1E-9,AG751*(1+$G$55)-MAX($B$9,0.01*AG751+AG751*$G$55),0),0)</f>
        <v/>
      </c>
      <c r="AH752">
        <f>AG751*$G$55</f>
        <v/>
      </c>
      <c r="AI752">
        <f>G752+K752+O752+S752+W752</f>
        <v/>
      </c>
      <c r="AJ752">
        <f>AI751+AK752-AI752</f>
        <v/>
      </c>
      <c r="AK752">
        <f>H752+L752+P752+T752+X752</f>
        <v/>
      </c>
      <c r="AL752">
        <f>TEXT(EDATE($B$5,D752-1),"mmm yyyy")</f>
        <v/>
      </c>
      <c r="AM752">
        <f>AI752</f>
        <v/>
      </c>
    </row>
    <row r="753">
      <c r="D753" t="n">
        <v>692</v>
      </c>
      <c r="E753">
        <f>IF(G752&gt;0,MAX(0,G752*(1+$G$51)-$H$51),0)</f>
        <v/>
      </c>
      <c r="F753">
        <f>$B$6+IF($D753=$B$8,$B$7,0)</f>
        <v/>
      </c>
      <c r="G753">
        <f>IF(E753-F753&gt;1E-9,E753-F753,0)</f>
        <v/>
      </c>
      <c r="H753">
        <f>G752*$G$51</f>
        <v/>
      </c>
      <c r="I753">
        <f>IF(K752&gt;0,MAX(0,K752*(1+$G$52)-$H$52),0)</f>
        <v/>
      </c>
      <c r="J753">
        <f>MAX(0,F753-E753)</f>
        <v/>
      </c>
      <c r="K753">
        <f>IF(I753-J753&gt;1E-9,I753-J753,0)</f>
        <v/>
      </c>
      <c r="L753">
        <f>K752*$G$52</f>
        <v/>
      </c>
      <c r="M753">
        <f>IF(O752&gt;0,MAX(0,O752*(1+$G$53)-$H$53),0)</f>
        <v/>
      </c>
      <c r="N753">
        <f>MAX(0,J753-I753)</f>
        <v/>
      </c>
      <c r="O753">
        <f>IF(M753-N753&gt;1E-9,M753-N753,0)</f>
        <v/>
      </c>
      <c r="P753">
        <f>O752*$G$53</f>
        <v/>
      </c>
      <c r="Q753">
        <f>IF(S752&gt;0,MAX(0,S752*(1+$G$54)-$H$54),0)</f>
        <v/>
      </c>
      <c r="R753">
        <f>MAX(0,N753-M753)</f>
        <v/>
      </c>
      <c r="S753">
        <f>IF(Q753-R753&gt;1E-9,Q753-R753,0)</f>
        <v/>
      </c>
      <c r="T753">
        <f>S752*$G$54</f>
        <v/>
      </c>
      <c r="U753">
        <f>IF(W752&gt;0,MAX(0,W752*(1+$G$55)-$H$55),0)</f>
        <v/>
      </c>
      <c r="V753">
        <f>MAX(0,R753-Q753)</f>
        <v/>
      </c>
      <c r="W753">
        <f>IF(U753-V753&gt;1E-9,U753-V753,0)</f>
        <v/>
      </c>
      <c r="X753">
        <f>W752*$G$55</f>
        <v/>
      </c>
      <c r="Y753">
        <f>IF(Y752&gt;1E-9,IF(Y752*(1+$G$51)-MAX($B$9,0.01*Y752+Y752*$G$51)&gt;1E-9,Y752*(1+$G$51)-MAX($B$9,0.01*Y752+Y752*$G$51),0),0)</f>
        <v/>
      </c>
      <c r="Z753">
        <f>Y752*$G$51</f>
        <v/>
      </c>
      <c r="AA753">
        <f>IF(AA752&gt;1E-9,IF(AA752*(1+$G$52)-MAX($B$9,0.01*AA752+AA752*$G$52)&gt;1E-9,AA752*(1+$G$52)-MAX($B$9,0.01*AA752+AA752*$G$52),0),0)</f>
        <v/>
      </c>
      <c r="AB753">
        <f>AA752*$G$52</f>
        <v/>
      </c>
      <c r="AC753">
        <f>IF(AC752&gt;1E-9,IF(AC752*(1+$G$53)-MAX($B$9,0.01*AC752+AC752*$G$53)&gt;1E-9,AC752*(1+$G$53)-MAX($B$9,0.01*AC752+AC752*$G$53),0),0)</f>
        <v/>
      </c>
      <c r="AD753">
        <f>AC752*$G$53</f>
        <v/>
      </c>
      <c r="AE753">
        <f>IF(AE752&gt;1E-9,IF(AE752*(1+$G$54)-MAX($B$9,0.01*AE752+AE752*$G$54)&gt;1E-9,AE752*(1+$G$54)-MAX($B$9,0.01*AE752+AE752*$G$54),0),0)</f>
        <v/>
      </c>
      <c r="AF753">
        <f>AE752*$G$54</f>
        <v/>
      </c>
      <c r="AG753">
        <f>IF(AG752&gt;1E-9,IF(AG752*(1+$G$55)-MAX($B$9,0.01*AG752+AG752*$G$55)&gt;1E-9,AG752*(1+$G$55)-MAX($B$9,0.01*AG752+AG752*$G$55),0),0)</f>
        <v/>
      </c>
      <c r="AH753">
        <f>AG752*$G$55</f>
        <v/>
      </c>
      <c r="AI753">
        <f>G753+K753+O753+S753+W753</f>
        <v/>
      </c>
      <c r="AJ753">
        <f>AI752+AK753-AI753</f>
        <v/>
      </c>
      <c r="AK753">
        <f>H753+L753+P753+T753+X753</f>
        <v/>
      </c>
      <c r="AL753">
        <f>TEXT(EDATE($B$5,D753-1),"mmm yyyy")</f>
        <v/>
      </c>
      <c r="AM753">
        <f>AI753</f>
        <v/>
      </c>
    </row>
    <row r="754">
      <c r="D754" t="n">
        <v>693</v>
      </c>
      <c r="E754">
        <f>IF(G753&gt;0,MAX(0,G753*(1+$G$51)-$H$51),0)</f>
        <v/>
      </c>
      <c r="F754">
        <f>$B$6+IF($D754=$B$8,$B$7,0)</f>
        <v/>
      </c>
      <c r="G754">
        <f>IF(E754-F754&gt;1E-9,E754-F754,0)</f>
        <v/>
      </c>
      <c r="H754">
        <f>G753*$G$51</f>
        <v/>
      </c>
      <c r="I754">
        <f>IF(K753&gt;0,MAX(0,K753*(1+$G$52)-$H$52),0)</f>
        <v/>
      </c>
      <c r="J754">
        <f>MAX(0,F754-E754)</f>
        <v/>
      </c>
      <c r="K754">
        <f>IF(I754-J754&gt;1E-9,I754-J754,0)</f>
        <v/>
      </c>
      <c r="L754">
        <f>K753*$G$52</f>
        <v/>
      </c>
      <c r="M754">
        <f>IF(O753&gt;0,MAX(0,O753*(1+$G$53)-$H$53),0)</f>
        <v/>
      </c>
      <c r="N754">
        <f>MAX(0,J754-I754)</f>
        <v/>
      </c>
      <c r="O754">
        <f>IF(M754-N754&gt;1E-9,M754-N754,0)</f>
        <v/>
      </c>
      <c r="P754">
        <f>O753*$G$53</f>
        <v/>
      </c>
      <c r="Q754">
        <f>IF(S753&gt;0,MAX(0,S753*(1+$G$54)-$H$54),0)</f>
        <v/>
      </c>
      <c r="R754">
        <f>MAX(0,N754-M754)</f>
        <v/>
      </c>
      <c r="S754">
        <f>IF(Q754-R754&gt;1E-9,Q754-R754,0)</f>
        <v/>
      </c>
      <c r="T754">
        <f>S753*$G$54</f>
        <v/>
      </c>
      <c r="U754">
        <f>IF(W753&gt;0,MAX(0,W753*(1+$G$55)-$H$55),0)</f>
        <v/>
      </c>
      <c r="V754">
        <f>MAX(0,R754-Q754)</f>
        <v/>
      </c>
      <c r="W754">
        <f>IF(U754-V754&gt;1E-9,U754-V754,0)</f>
        <v/>
      </c>
      <c r="X754">
        <f>W753*$G$55</f>
        <v/>
      </c>
      <c r="Y754">
        <f>IF(Y753&gt;1E-9,IF(Y753*(1+$G$51)-MAX($B$9,0.01*Y753+Y753*$G$51)&gt;1E-9,Y753*(1+$G$51)-MAX($B$9,0.01*Y753+Y753*$G$51),0),0)</f>
        <v/>
      </c>
      <c r="Z754">
        <f>Y753*$G$51</f>
        <v/>
      </c>
      <c r="AA754">
        <f>IF(AA753&gt;1E-9,IF(AA753*(1+$G$52)-MAX($B$9,0.01*AA753+AA753*$G$52)&gt;1E-9,AA753*(1+$G$52)-MAX($B$9,0.01*AA753+AA753*$G$52),0),0)</f>
        <v/>
      </c>
      <c r="AB754">
        <f>AA753*$G$52</f>
        <v/>
      </c>
      <c r="AC754">
        <f>IF(AC753&gt;1E-9,IF(AC753*(1+$G$53)-MAX($B$9,0.01*AC753+AC753*$G$53)&gt;1E-9,AC753*(1+$G$53)-MAX($B$9,0.01*AC753+AC753*$G$53),0),0)</f>
        <v/>
      </c>
      <c r="AD754">
        <f>AC753*$G$53</f>
        <v/>
      </c>
      <c r="AE754">
        <f>IF(AE753&gt;1E-9,IF(AE753*(1+$G$54)-MAX($B$9,0.01*AE753+AE753*$G$54)&gt;1E-9,AE753*(1+$G$54)-MAX($B$9,0.01*AE753+AE753*$G$54),0),0)</f>
        <v/>
      </c>
      <c r="AF754">
        <f>AE753*$G$54</f>
        <v/>
      </c>
      <c r="AG754">
        <f>IF(AG753&gt;1E-9,IF(AG753*(1+$G$55)-MAX($B$9,0.01*AG753+AG753*$G$55)&gt;1E-9,AG753*(1+$G$55)-MAX($B$9,0.01*AG753+AG753*$G$55),0),0)</f>
        <v/>
      </c>
      <c r="AH754">
        <f>AG753*$G$55</f>
        <v/>
      </c>
      <c r="AI754">
        <f>G754+K754+O754+S754+W754</f>
        <v/>
      </c>
      <c r="AJ754">
        <f>AI753+AK754-AI754</f>
        <v/>
      </c>
      <c r="AK754">
        <f>H754+L754+P754+T754+X754</f>
        <v/>
      </c>
      <c r="AL754">
        <f>TEXT(EDATE($B$5,D754-1),"mmm yyyy")</f>
        <v/>
      </c>
      <c r="AM754">
        <f>AI754</f>
        <v/>
      </c>
    </row>
    <row r="755">
      <c r="D755" t="n">
        <v>694</v>
      </c>
      <c r="E755">
        <f>IF(G754&gt;0,MAX(0,G754*(1+$G$51)-$H$51),0)</f>
        <v/>
      </c>
      <c r="F755">
        <f>$B$6+IF($D755=$B$8,$B$7,0)</f>
        <v/>
      </c>
      <c r="G755">
        <f>IF(E755-F755&gt;1E-9,E755-F755,0)</f>
        <v/>
      </c>
      <c r="H755">
        <f>G754*$G$51</f>
        <v/>
      </c>
      <c r="I755">
        <f>IF(K754&gt;0,MAX(0,K754*(1+$G$52)-$H$52),0)</f>
        <v/>
      </c>
      <c r="J755">
        <f>MAX(0,F755-E755)</f>
        <v/>
      </c>
      <c r="K755">
        <f>IF(I755-J755&gt;1E-9,I755-J755,0)</f>
        <v/>
      </c>
      <c r="L755">
        <f>K754*$G$52</f>
        <v/>
      </c>
      <c r="M755">
        <f>IF(O754&gt;0,MAX(0,O754*(1+$G$53)-$H$53),0)</f>
        <v/>
      </c>
      <c r="N755">
        <f>MAX(0,J755-I755)</f>
        <v/>
      </c>
      <c r="O755">
        <f>IF(M755-N755&gt;1E-9,M755-N755,0)</f>
        <v/>
      </c>
      <c r="P755">
        <f>O754*$G$53</f>
        <v/>
      </c>
      <c r="Q755">
        <f>IF(S754&gt;0,MAX(0,S754*(1+$G$54)-$H$54),0)</f>
        <v/>
      </c>
      <c r="R755">
        <f>MAX(0,N755-M755)</f>
        <v/>
      </c>
      <c r="S755">
        <f>IF(Q755-R755&gt;1E-9,Q755-R755,0)</f>
        <v/>
      </c>
      <c r="T755">
        <f>S754*$G$54</f>
        <v/>
      </c>
      <c r="U755">
        <f>IF(W754&gt;0,MAX(0,W754*(1+$G$55)-$H$55),0)</f>
        <v/>
      </c>
      <c r="V755">
        <f>MAX(0,R755-Q755)</f>
        <v/>
      </c>
      <c r="W755">
        <f>IF(U755-V755&gt;1E-9,U755-V755,0)</f>
        <v/>
      </c>
      <c r="X755">
        <f>W754*$G$55</f>
        <v/>
      </c>
      <c r="Y755">
        <f>IF(Y754&gt;1E-9,IF(Y754*(1+$G$51)-MAX($B$9,0.01*Y754+Y754*$G$51)&gt;1E-9,Y754*(1+$G$51)-MAX($B$9,0.01*Y754+Y754*$G$51),0),0)</f>
        <v/>
      </c>
      <c r="Z755">
        <f>Y754*$G$51</f>
        <v/>
      </c>
      <c r="AA755">
        <f>IF(AA754&gt;1E-9,IF(AA754*(1+$G$52)-MAX($B$9,0.01*AA754+AA754*$G$52)&gt;1E-9,AA754*(1+$G$52)-MAX($B$9,0.01*AA754+AA754*$G$52),0),0)</f>
        <v/>
      </c>
      <c r="AB755">
        <f>AA754*$G$52</f>
        <v/>
      </c>
      <c r="AC755">
        <f>IF(AC754&gt;1E-9,IF(AC754*(1+$G$53)-MAX($B$9,0.01*AC754+AC754*$G$53)&gt;1E-9,AC754*(1+$G$53)-MAX($B$9,0.01*AC754+AC754*$G$53),0),0)</f>
        <v/>
      </c>
      <c r="AD755">
        <f>AC754*$G$53</f>
        <v/>
      </c>
      <c r="AE755">
        <f>IF(AE754&gt;1E-9,IF(AE754*(1+$G$54)-MAX($B$9,0.01*AE754+AE754*$G$54)&gt;1E-9,AE754*(1+$G$54)-MAX($B$9,0.01*AE754+AE754*$G$54),0),0)</f>
        <v/>
      </c>
      <c r="AF755">
        <f>AE754*$G$54</f>
        <v/>
      </c>
      <c r="AG755">
        <f>IF(AG754&gt;1E-9,IF(AG754*(1+$G$55)-MAX($B$9,0.01*AG754+AG754*$G$55)&gt;1E-9,AG754*(1+$G$55)-MAX($B$9,0.01*AG754+AG754*$G$55),0),0)</f>
        <v/>
      </c>
      <c r="AH755">
        <f>AG754*$G$55</f>
        <v/>
      </c>
      <c r="AI755">
        <f>G755+K755+O755+S755+W755</f>
        <v/>
      </c>
      <c r="AJ755">
        <f>AI754+AK755-AI755</f>
        <v/>
      </c>
      <c r="AK755">
        <f>H755+L755+P755+T755+X755</f>
        <v/>
      </c>
      <c r="AL755">
        <f>TEXT(EDATE($B$5,D755-1),"mmm yyyy")</f>
        <v/>
      </c>
      <c r="AM755">
        <f>AI755</f>
        <v/>
      </c>
    </row>
    <row r="756">
      <c r="D756" t="n">
        <v>695</v>
      </c>
      <c r="E756">
        <f>IF(G755&gt;0,MAX(0,G755*(1+$G$51)-$H$51),0)</f>
        <v/>
      </c>
      <c r="F756">
        <f>$B$6+IF($D756=$B$8,$B$7,0)</f>
        <v/>
      </c>
      <c r="G756">
        <f>IF(E756-F756&gt;1E-9,E756-F756,0)</f>
        <v/>
      </c>
      <c r="H756">
        <f>G755*$G$51</f>
        <v/>
      </c>
      <c r="I756">
        <f>IF(K755&gt;0,MAX(0,K755*(1+$G$52)-$H$52),0)</f>
        <v/>
      </c>
      <c r="J756">
        <f>MAX(0,F756-E756)</f>
        <v/>
      </c>
      <c r="K756">
        <f>IF(I756-J756&gt;1E-9,I756-J756,0)</f>
        <v/>
      </c>
      <c r="L756">
        <f>K755*$G$52</f>
        <v/>
      </c>
      <c r="M756">
        <f>IF(O755&gt;0,MAX(0,O755*(1+$G$53)-$H$53),0)</f>
        <v/>
      </c>
      <c r="N756">
        <f>MAX(0,J756-I756)</f>
        <v/>
      </c>
      <c r="O756">
        <f>IF(M756-N756&gt;1E-9,M756-N756,0)</f>
        <v/>
      </c>
      <c r="P756">
        <f>O755*$G$53</f>
        <v/>
      </c>
      <c r="Q756">
        <f>IF(S755&gt;0,MAX(0,S755*(1+$G$54)-$H$54),0)</f>
        <v/>
      </c>
      <c r="R756">
        <f>MAX(0,N756-M756)</f>
        <v/>
      </c>
      <c r="S756">
        <f>IF(Q756-R756&gt;1E-9,Q756-R756,0)</f>
        <v/>
      </c>
      <c r="T756">
        <f>S755*$G$54</f>
        <v/>
      </c>
      <c r="U756">
        <f>IF(W755&gt;0,MAX(0,W755*(1+$G$55)-$H$55),0)</f>
        <v/>
      </c>
      <c r="V756">
        <f>MAX(0,R756-Q756)</f>
        <v/>
      </c>
      <c r="W756">
        <f>IF(U756-V756&gt;1E-9,U756-V756,0)</f>
        <v/>
      </c>
      <c r="X756">
        <f>W755*$G$55</f>
        <v/>
      </c>
      <c r="Y756">
        <f>IF(Y755&gt;1E-9,IF(Y755*(1+$G$51)-MAX($B$9,0.01*Y755+Y755*$G$51)&gt;1E-9,Y755*(1+$G$51)-MAX($B$9,0.01*Y755+Y755*$G$51),0),0)</f>
        <v/>
      </c>
      <c r="Z756">
        <f>Y755*$G$51</f>
        <v/>
      </c>
      <c r="AA756">
        <f>IF(AA755&gt;1E-9,IF(AA755*(1+$G$52)-MAX($B$9,0.01*AA755+AA755*$G$52)&gt;1E-9,AA755*(1+$G$52)-MAX($B$9,0.01*AA755+AA755*$G$52),0),0)</f>
        <v/>
      </c>
      <c r="AB756">
        <f>AA755*$G$52</f>
        <v/>
      </c>
      <c r="AC756">
        <f>IF(AC755&gt;1E-9,IF(AC755*(1+$G$53)-MAX($B$9,0.01*AC755+AC755*$G$53)&gt;1E-9,AC755*(1+$G$53)-MAX($B$9,0.01*AC755+AC755*$G$53),0),0)</f>
        <v/>
      </c>
      <c r="AD756">
        <f>AC755*$G$53</f>
        <v/>
      </c>
      <c r="AE756">
        <f>IF(AE755&gt;1E-9,IF(AE755*(1+$G$54)-MAX($B$9,0.01*AE755+AE755*$G$54)&gt;1E-9,AE755*(1+$G$54)-MAX($B$9,0.01*AE755+AE755*$G$54),0),0)</f>
        <v/>
      </c>
      <c r="AF756">
        <f>AE755*$G$54</f>
        <v/>
      </c>
      <c r="AG756">
        <f>IF(AG755&gt;1E-9,IF(AG755*(1+$G$55)-MAX($B$9,0.01*AG755+AG755*$G$55)&gt;1E-9,AG755*(1+$G$55)-MAX($B$9,0.01*AG755+AG755*$G$55),0),0)</f>
        <v/>
      </c>
      <c r="AH756">
        <f>AG755*$G$55</f>
        <v/>
      </c>
      <c r="AI756">
        <f>G756+K756+O756+S756+W756</f>
        <v/>
      </c>
      <c r="AJ756">
        <f>AI755+AK756-AI756</f>
        <v/>
      </c>
      <c r="AK756">
        <f>H756+L756+P756+T756+X756</f>
        <v/>
      </c>
      <c r="AL756">
        <f>TEXT(EDATE($B$5,D756-1),"mmm yyyy")</f>
        <v/>
      </c>
      <c r="AM756">
        <f>AI756</f>
        <v/>
      </c>
    </row>
    <row r="757">
      <c r="D757" t="n">
        <v>696</v>
      </c>
      <c r="E757">
        <f>IF(G756&gt;0,MAX(0,G756*(1+$G$51)-$H$51),0)</f>
        <v/>
      </c>
      <c r="F757">
        <f>$B$6+IF($D757=$B$8,$B$7,0)</f>
        <v/>
      </c>
      <c r="G757">
        <f>IF(E757-F757&gt;1E-9,E757-F757,0)</f>
        <v/>
      </c>
      <c r="H757">
        <f>G756*$G$51</f>
        <v/>
      </c>
      <c r="I757">
        <f>IF(K756&gt;0,MAX(0,K756*(1+$G$52)-$H$52),0)</f>
        <v/>
      </c>
      <c r="J757">
        <f>MAX(0,F757-E757)</f>
        <v/>
      </c>
      <c r="K757">
        <f>IF(I757-J757&gt;1E-9,I757-J757,0)</f>
        <v/>
      </c>
      <c r="L757">
        <f>K756*$G$52</f>
        <v/>
      </c>
      <c r="M757">
        <f>IF(O756&gt;0,MAX(0,O756*(1+$G$53)-$H$53),0)</f>
        <v/>
      </c>
      <c r="N757">
        <f>MAX(0,J757-I757)</f>
        <v/>
      </c>
      <c r="O757">
        <f>IF(M757-N757&gt;1E-9,M757-N757,0)</f>
        <v/>
      </c>
      <c r="P757">
        <f>O756*$G$53</f>
        <v/>
      </c>
      <c r="Q757">
        <f>IF(S756&gt;0,MAX(0,S756*(1+$G$54)-$H$54),0)</f>
        <v/>
      </c>
      <c r="R757">
        <f>MAX(0,N757-M757)</f>
        <v/>
      </c>
      <c r="S757">
        <f>IF(Q757-R757&gt;1E-9,Q757-R757,0)</f>
        <v/>
      </c>
      <c r="T757">
        <f>S756*$G$54</f>
        <v/>
      </c>
      <c r="U757">
        <f>IF(W756&gt;0,MAX(0,W756*(1+$G$55)-$H$55),0)</f>
        <v/>
      </c>
      <c r="V757">
        <f>MAX(0,R757-Q757)</f>
        <v/>
      </c>
      <c r="W757">
        <f>IF(U757-V757&gt;1E-9,U757-V757,0)</f>
        <v/>
      </c>
      <c r="X757">
        <f>W756*$G$55</f>
        <v/>
      </c>
      <c r="Y757">
        <f>IF(Y756&gt;1E-9,IF(Y756*(1+$G$51)-MAX($B$9,0.01*Y756+Y756*$G$51)&gt;1E-9,Y756*(1+$G$51)-MAX($B$9,0.01*Y756+Y756*$G$51),0),0)</f>
        <v/>
      </c>
      <c r="Z757">
        <f>Y756*$G$51</f>
        <v/>
      </c>
      <c r="AA757">
        <f>IF(AA756&gt;1E-9,IF(AA756*(1+$G$52)-MAX($B$9,0.01*AA756+AA756*$G$52)&gt;1E-9,AA756*(1+$G$52)-MAX($B$9,0.01*AA756+AA756*$G$52),0),0)</f>
        <v/>
      </c>
      <c r="AB757">
        <f>AA756*$G$52</f>
        <v/>
      </c>
      <c r="AC757">
        <f>IF(AC756&gt;1E-9,IF(AC756*(1+$G$53)-MAX($B$9,0.01*AC756+AC756*$G$53)&gt;1E-9,AC756*(1+$G$53)-MAX($B$9,0.01*AC756+AC756*$G$53),0),0)</f>
        <v/>
      </c>
      <c r="AD757">
        <f>AC756*$G$53</f>
        <v/>
      </c>
      <c r="AE757">
        <f>IF(AE756&gt;1E-9,IF(AE756*(1+$G$54)-MAX($B$9,0.01*AE756+AE756*$G$54)&gt;1E-9,AE756*(1+$G$54)-MAX($B$9,0.01*AE756+AE756*$G$54),0),0)</f>
        <v/>
      </c>
      <c r="AF757">
        <f>AE756*$G$54</f>
        <v/>
      </c>
      <c r="AG757">
        <f>IF(AG756&gt;1E-9,IF(AG756*(1+$G$55)-MAX($B$9,0.01*AG756+AG756*$G$55)&gt;1E-9,AG756*(1+$G$55)-MAX($B$9,0.01*AG756+AG756*$G$55),0),0)</f>
        <v/>
      </c>
      <c r="AH757">
        <f>AG756*$G$55</f>
        <v/>
      </c>
      <c r="AI757">
        <f>G757+K757+O757+S757+W757</f>
        <v/>
      </c>
      <c r="AJ757">
        <f>AI756+AK757-AI757</f>
        <v/>
      </c>
      <c r="AK757">
        <f>H757+L757+P757+T757+X757</f>
        <v/>
      </c>
      <c r="AL757">
        <f>TEXT(EDATE($B$5,D757-1),"mmm yyyy")</f>
        <v/>
      </c>
      <c r="AM757">
        <f>AI757</f>
        <v/>
      </c>
    </row>
    <row r="758">
      <c r="D758" t="n">
        <v>697</v>
      </c>
      <c r="E758">
        <f>IF(G757&gt;0,MAX(0,G757*(1+$G$51)-$H$51),0)</f>
        <v/>
      </c>
      <c r="F758">
        <f>$B$6+IF($D758=$B$8,$B$7,0)</f>
        <v/>
      </c>
      <c r="G758">
        <f>IF(E758-F758&gt;1E-9,E758-F758,0)</f>
        <v/>
      </c>
      <c r="H758">
        <f>G757*$G$51</f>
        <v/>
      </c>
      <c r="I758">
        <f>IF(K757&gt;0,MAX(0,K757*(1+$G$52)-$H$52),0)</f>
        <v/>
      </c>
      <c r="J758">
        <f>MAX(0,F758-E758)</f>
        <v/>
      </c>
      <c r="K758">
        <f>IF(I758-J758&gt;1E-9,I758-J758,0)</f>
        <v/>
      </c>
      <c r="L758">
        <f>K757*$G$52</f>
        <v/>
      </c>
      <c r="M758">
        <f>IF(O757&gt;0,MAX(0,O757*(1+$G$53)-$H$53),0)</f>
        <v/>
      </c>
      <c r="N758">
        <f>MAX(0,J758-I758)</f>
        <v/>
      </c>
      <c r="O758">
        <f>IF(M758-N758&gt;1E-9,M758-N758,0)</f>
        <v/>
      </c>
      <c r="P758">
        <f>O757*$G$53</f>
        <v/>
      </c>
      <c r="Q758">
        <f>IF(S757&gt;0,MAX(0,S757*(1+$G$54)-$H$54),0)</f>
        <v/>
      </c>
      <c r="R758">
        <f>MAX(0,N758-M758)</f>
        <v/>
      </c>
      <c r="S758">
        <f>IF(Q758-R758&gt;1E-9,Q758-R758,0)</f>
        <v/>
      </c>
      <c r="T758">
        <f>S757*$G$54</f>
        <v/>
      </c>
      <c r="U758">
        <f>IF(W757&gt;0,MAX(0,W757*(1+$G$55)-$H$55),0)</f>
        <v/>
      </c>
      <c r="V758">
        <f>MAX(0,R758-Q758)</f>
        <v/>
      </c>
      <c r="W758">
        <f>IF(U758-V758&gt;1E-9,U758-V758,0)</f>
        <v/>
      </c>
      <c r="X758">
        <f>W757*$G$55</f>
        <v/>
      </c>
      <c r="Y758">
        <f>IF(Y757&gt;1E-9,IF(Y757*(1+$G$51)-MAX($B$9,0.01*Y757+Y757*$G$51)&gt;1E-9,Y757*(1+$G$51)-MAX($B$9,0.01*Y757+Y757*$G$51),0),0)</f>
        <v/>
      </c>
      <c r="Z758">
        <f>Y757*$G$51</f>
        <v/>
      </c>
      <c r="AA758">
        <f>IF(AA757&gt;1E-9,IF(AA757*(1+$G$52)-MAX($B$9,0.01*AA757+AA757*$G$52)&gt;1E-9,AA757*(1+$G$52)-MAX($B$9,0.01*AA757+AA757*$G$52),0),0)</f>
        <v/>
      </c>
      <c r="AB758">
        <f>AA757*$G$52</f>
        <v/>
      </c>
      <c r="AC758">
        <f>IF(AC757&gt;1E-9,IF(AC757*(1+$G$53)-MAX($B$9,0.01*AC757+AC757*$G$53)&gt;1E-9,AC757*(1+$G$53)-MAX($B$9,0.01*AC757+AC757*$G$53),0),0)</f>
        <v/>
      </c>
      <c r="AD758">
        <f>AC757*$G$53</f>
        <v/>
      </c>
      <c r="AE758">
        <f>IF(AE757&gt;1E-9,IF(AE757*(1+$G$54)-MAX($B$9,0.01*AE757+AE757*$G$54)&gt;1E-9,AE757*(1+$G$54)-MAX($B$9,0.01*AE757+AE757*$G$54),0),0)</f>
        <v/>
      </c>
      <c r="AF758">
        <f>AE757*$G$54</f>
        <v/>
      </c>
      <c r="AG758">
        <f>IF(AG757&gt;1E-9,IF(AG757*(1+$G$55)-MAX($B$9,0.01*AG757+AG757*$G$55)&gt;1E-9,AG757*(1+$G$55)-MAX($B$9,0.01*AG757+AG757*$G$55),0),0)</f>
        <v/>
      </c>
      <c r="AH758">
        <f>AG757*$G$55</f>
        <v/>
      </c>
      <c r="AI758">
        <f>G758+K758+O758+S758+W758</f>
        <v/>
      </c>
      <c r="AJ758">
        <f>AI757+AK758-AI758</f>
        <v/>
      </c>
      <c r="AK758">
        <f>H758+L758+P758+T758+X758</f>
        <v/>
      </c>
      <c r="AL758">
        <f>TEXT(EDATE($B$5,D758-1),"mmm yyyy")</f>
        <v/>
      </c>
      <c r="AM758">
        <f>AI758</f>
        <v/>
      </c>
    </row>
    <row r="759">
      <c r="D759" t="n">
        <v>698</v>
      </c>
      <c r="E759">
        <f>IF(G758&gt;0,MAX(0,G758*(1+$G$51)-$H$51),0)</f>
        <v/>
      </c>
      <c r="F759">
        <f>$B$6+IF($D759=$B$8,$B$7,0)</f>
        <v/>
      </c>
      <c r="G759">
        <f>IF(E759-F759&gt;1E-9,E759-F759,0)</f>
        <v/>
      </c>
      <c r="H759">
        <f>G758*$G$51</f>
        <v/>
      </c>
      <c r="I759">
        <f>IF(K758&gt;0,MAX(0,K758*(1+$G$52)-$H$52),0)</f>
        <v/>
      </c>
      <c r="J759">
        <f>MAX(0,F759-E759)</f>
        <v/>
      </c>
      <c r="K759">
        <f>IF(I759-J759&gt;1E-9,I759-J759,0)</f>
        <v/>
      </c>
      <c r="L759">
        <f>K758*$G$52</f>
        <v/>
      </c>
      <c r="M759">
        <f>IF(O758&gt;0,MAX(0,O758*(1+$G$53)-$H$53),0)</f>
        <v/>
      </c>
      <c r="N759">
        <f>MAX(0,J759-I759)</f>
        <v/>
      </c>
      <c r="O759">
        <f>IF(M759-N759&gt;1E-9,M759-N759,0)</f>
        <v/>
      </c>
      <c r="P759">
        <f>O758*$G$53</f>
        <v/>
      </c>
      <c r="Q759">
        <f>IF(S758&gt;0,MAX(0,S758*(1+$G$54)-$H$54),0)</f>
        <v/>
      </c>
      <c r="R759">
        <f>MAX(0,N759-M759)</f>
        <v/>
      </c>
      <c r="S759">
        <f>IF(Q759-R759&gt;1E-9,Q759-R759,0)</f>
        <v/>
      </c>
      <c r="T759">
        <f>S758*$G$54</f>
        <v/>
      </c>
      <c r="U759">
        <f>IF(W758&gt;0,MAX(0,W758*(1+$G$55)-$H$55),0)</f>
        <v/>
      </c>
      <c r="V759">
        <f>MAX(0,R759-Q759)</f>
        <v/>
      </c>
      <c r="W759">
        <f>IF(U759-V759&gt;1E-9,U759-V759,0)</f>
        <v/>
      </c>
      <c r="X759">
        <f>W758*$G$55</f>
        <v/>
      </c>
      <c r="Y759">
        <f>IF(Y758&gt;1E-9,IF(Y758*(1+$G$51)-MAX($B$9,0.01*Y758+Y758*$G$51)&gt;1E-9,Y758*(1+$G$51)-MAX($B$9,0.01*Y758+Y758*$G$51),0),0)</f>
        <v/>
      </c>
      <c r="Z759">
        <f>Y758*$G$51</f>
        <v/>
      </c>
      <c r="AA759">
        <f>IF(AA758&gt;1E-9,IF(AA758*(1+$G$52)-MAX($B$9,0.01*AA758+AA758*$G$52)&gt;1E-9,AA758*(1+$G$52)-MAX($B$9,0.01*AA758+AA758*$G$52),0),0)</f>
        <v/>
      </c>
      <c r="AB759">
        <f>AA758*$G$52</f>
        <v/>
      </c>
      <c r="AC759">
        <f>IF(AC758&gt;1E-9,IF(AC758*(1+$G$53)-MAX($B$9,0.01*AC758+AC758*$G$53)&gt;1E-9,AC758*(1+$G$53)-MAX($B$9,0.01*AC758+AC758*$G$53),0),0)</f>
        <v/>
      </c>
      <c r="AD759">
        <f>AC758*$G$53</f>
        <v/>
      </c>
      <c r="AE759">
        <f>IF(AE758&gt;1E-9,IF(AE758*(1+$G$54)-MAX($B$9,0.01*AE758+AE758*$G$54)&gt;1E-9,AE758*(1+$G$54)-MAX($B$9,0.01*AE758+AE758*$G$54),0),0)</f>
        <v/>
      </c>
      <c r="AF759">
        <f>AE758*$G$54</f>
        <v/>
      </c>
      <c r="AG759">
        <f>IF(AG758&gt;1E-9,IF(AG758*(1+$G$55)-MAX($B$9,0.01*AG758+AG758*$G$55)&gt;1E-9,AG758*(1+$G$55)-MAX($B$9,0.01*AG758+AG758*$G$55),0),0)</f>
        <v/>
      </c>
      <c r="AH759">
        <f>AG758*$G$55</f>
        <v/>
      </c>
      <c r="AI759">
        <f>G759+K759+O759+S759+W759</f>
        <v/>
      </c>
      <c r="AJ759">
        <f>AI758+AK759-AI759</f>
        <v/>
      </c>
      <c r="AK759">
        <f>H759+L759+P759+T759+X759</f>
        <v/>
      </c>
      <c r="AL759">
        <f>TEXT(EDATE($B$5,D759-1),"mmm yyyy")</f>
        <v/>
      </c>
      <c r="AM759">
        <f>AI759</f>
        <v/>
      </c>
    </row>
    <row r="760">
      <c r="D760" t="n">
        <v>699</v>
      </c>
      <c r="E760">
        <f>IF(G759&gt;0,MAX(0,G759*(1+$G$51)-$H$51),0)</f>
        <v/>
      </c>
      <c r="F760">
        <f>$B$6+IF($D760=$B$8,$B$7,0)</f>
        <v/>
      </c>
      <c r="G760">
        <f>IF(E760-F760&gt;1E-9,E760-F760,0)</f>
        <v/>
      </c>
      <c r="H760">
        <f>G759*$G$51</f>
        <v/>
      </c>
      <c r="I760">
        <f>IF(K759&gt;0,MAX(0,K759*(1+$G$52)-$H$52),0)</f>
        <v/>
      </c>
      <c r="J760">
        <f>MAX(0,F760-E760)</f>
        <v/>
      </c>
      <c r="K760">
        <f>IF(I760-J760&gt;1E-9,I760-J760,0)</f>
        <v/>
      </c>
      <c r="L760">
        <f>K759*$G$52</f>
        <v/>
      </c>
      <c r="M760">
        <f>IF(O759&gt;0,MAX(0,O759*(1+$G$53)-$H$53),0)</f>
        <v/>
      </c>
      <c r="N760">
        <f>MAX(0,J760-I760)</f>
        <v/>
      </c>
      <c r="O760">
        <f>IF(M760-N760&gt;1E-9,M760-N760,0)</f>
        <v/>
      </c>
      <c r="P760">
        <f>O759*$G$53</f>
        <v/>
      </c>
      <c r="Q760">
        <f>IF(S759&gt;0,MAX(0,S759*(1+$G$54)-$H$54),0)</f>
        <v/>
      </c>
      <c r="R760">
        <f>MAX(0,N760-M760)</f>
        <v/>
      </c>
      <c r="S760">
        <f>IF(Q760-R760&gt;1E-9,Q760-R760,0)</f>
        <v/>
      </c>
      <c r="T760">
        <f>S759*$G$54</f>
        <v/>
      </c>
      <c r="U760">
        <f>IF(W759&gt;0,MAX(0,W759*(1+$G$55)-$H$55),0)</f>
        <v/>
      </c>
      <c r="V760">
        <f>MAX(0,R760-Q760)</f>
        <v/>
      </c>
      <c r="W760">
        <f>IF(U760-V760&gt;1E-9,U760-V760,0)</f>
        <v/>
      </c>
      <c r="X760">
        <f>W759*$G$55</f>
        <v/>
      </c>
      <c r="Y760">
        <f>IF(Y759&gt;1E-9,IF(Y759*(1+$G$51)-MAX($B$9,0.01*Y759+Y759*$G$51)&gt;1E-9,Y759*(1+$G$51)-MAX($B$9,0.01*Y759+Y759*$G$51),0),0)</f>
        <v/>
      </c>
      <c r="Z760">
        <f>Y759*$G$51</f>
        <v/>
      </c>
      <c r="AA760">
        <f>IF(AA759&gt;1E-9,IF(AA759*(1+$G$52)-MAX($B$9,0.01*AA759+AA759*$G$52)&gt;1E-9,AA759*(1+$G$52)-MAX($B$9,0.01*AA759+AA759*$G$52),0),0)</f>
        <v/>
      </c>
      <c r="AB760">
        <f>AA759*$G$52</f>
        <v/>
      </c>
      <c r="AC760">
        <f>IF(AC759&gt;1E-9,IF(AC759*(1+$G$53)-MAX($B$9,0.01*AC759+AC759*$G$53)&gt;1E-9,AC759*(1+$G$53)-MAX($B$9,0.01*AC759+AC759*$G$53),0),0)</f>
        <v/>
      </c>
      <c r="AD760">
        <f>AC759*$G$53</f>
        <v/>
      </c>
      <c r="AE760">
        <f>IF(AE759&gt;1E-9,IF(AE759*(1+$G$54)-MAX($B$9,0.01*AE759+AE759*$G$54)&gt;1E-9,AE759*(1+$G$54)-MAX($B$9,0.01*AE759+AE759*$G$54),0),0)</f>
        <v/>
      </c>
      <c r="AF760">
        <f>AE759*$G$54</f>
        <v/>
      </c>
      <c r="AG760">
        <f>IF(AG759&gt;1E-9,IF(AG759*(1+$G$55)-MAX($B$9,0.01*AG759+AG759*$G$55)&gt;1E-9,AG759*(1+$G$55)-MAX($B$9,0.01*AG759+AG759*$G$55),0),0)</f>
        <v/>
      </c>
      <c r="AH760">
        <f>AG759*$G$55</f>
        <v/>
      </c>
      <c r="AI760">
        <f>G760+K760+O760+S760+W760</f>
        <v/>
      </c>
      <c r="AJ760">
        <f>AI759+AK760-AI760</f>
        <v/>
      </c>
      <c r="AK760">
        <f>H760+L760+P760+T760+X760</f>
        <v/>
      </c>
      <c r="AL760">
        <f>TEXT(EDATE($B$5,D760-1),"mmm yyyy")</f>
        <v/>
      </c>
      <c r="AM760">
        <f>AI760</f>
        <v/>
      </c>
    </row>
    <row r="761">
      <c r="D761" t="n">
        <v>700</v>
      </c>
      <c r="E761">
        <f>IF(G760&gt;0,MAX(0,G760*(1+$G$51)-$H$51),0)</f>
        <v/>
      </c>
      <c r="F761">
        <f>$B$6+IF($D761=$B$8,$B$7,0)</f>
        <v/>
      </c>
      <c r="G761">
        <f>IF(E761-F761&gt;1E-9,E761-F761,0)</f>
        <v/>
      </c>
      <c r="H761">
        <f>G760*$G$51</f>
        <v/>
      </c>
      <c r="I761">
        <f>IF(K760&gt;0,MAX(0,K760*(1+$G$52)-$H$52),0)</f>
        <v/>
      </c>
      <c r="J761">
        <f>MAX(0,F761-E761)</f>
        <v/>
      </c>
      <c r="K761">
        <f>IF(I761-J761&gt;1E-9,I761-J761,0)</f>
        <v/>
      </c>
      <c r="L761">
        <f>K760*$G$52</f>
        <v/>
      </c>
      <c r="M761">
        <f>IF(O760&gt;0,MAX(0,O760*(1+$G$53)-$H$53),0)</f>
        <v/>
      </c>
      <c r="N761">
        <f>MAX(0,J761-I761)</f>
        <v/>
      </c>
      <c r="O761">
        <f>IF(M761-N761&gt;1E-9,M761-N761,0)</f>
        <v/>
      </c>
      <c r="P761">
        <f>O760*$G$53</f>
        <v/>
      </c>
      <c r="Q761">
        <f>IF(S760&gt;0,MAX(0,S760*(1+$G$54)-$H$54),0)</f>
        <v/>
      </c>
      <c r="R761">
        <f>MAX(0,N761-M761)</f>
        <v/>
      </c>
      <c r="S761">
        <f>IF(Q761-R761&gt;1E-9,Q761-R761,0)</f>
        <v/>
      </c>
      <c r="T761">
        <f>S760*$G$54</f>
        <v/>
      </c>
      <c r="U761">
        <f>IF(W760&gt;0,MAX(0,W760*(1+$G$55)-$H$55),0)</f>
        <v/>
      </c>
      <c r="V761">
        <f>MAX(0,R761-Q761)</f>
        <v/>
      </c>
      <c r="W761">
        <f>IF(U761-V761&gt;1E-9,U761-V761,0)</f>
        <v/>
      </c>
      <c r="X761">
        <f>W760*$G$55</f>
        <v/>
      </c>
      <c r="Y761">
        <f>IF(Y760&gt;1E-9,IF(Y760*(1+$G$51)-MAX($B$9,0.01*Y760+Y760*$G$51)&gt;1E-9,Y760*(1+$G$51)-MAX($B$9,0.01*Y760+Y760*$G$51),0),0)</f>
        <v/>
      </c>
      <c r="Z761">
        <f>Y760*$G$51</f>
        <v/>
      </c>
      <c r="AA761">
        <f>IF(AA760&gt;1E-9,IF(AA760*(1+$G$52)-MAX($B$9,0.01*AA760+AA760*$G$52)&gt;1E-9,AA760*(1+$G$52)-MAX($B$9,0.01*AA760+AA760*$G$52),0),0)</f>
        <v/>
      </c>
      <c r="AB761">
        <f>AA760*$G$52</f>
        <v/>
      </c>
      <c r="AC761">
        <f>IF(AC760&gt;1E-9,IF(AC760*(1+$G$53)-MAX($B$9,0.01*AC760+AC760*$G$53)&gt;1E-9,AC760*(1+$G$53)-MAX($B$9,0.01*AC760+AC760*$G$53),0),0)</f>
        <v/>
      </c>
      <c r="AD761">
        <f>AC760*$G$53</f>
        <v/>
      </c>
      <c r="AE761">
        <f>IF(AE760&gt;1E-9,IF(AE760*(1+$G$54)-MAX($B$9,0.01*AE760+AE760*$G$54)&gt;1E-9,AE760*(1+$G$54)-MAX($B$9,0.01*AE760+AE760*$G$54),0),0)</f>
        <v/>
      </c>
      <c r="AF761">
        <f>AE760*$G$54</f>
        <v/>
      </c>
      <c r="AG761">
        <f>IF(AG760&gt;1E-9,IF(AG760*(1+$G$55)-MAX($B$9,0.01*AG760+AG760*$G$55)&gt;1E-9,AG760*(1+$G$55)-MAX($B$9,0.01*AG760+AG760*$G$55),0),0)</f>
        <v/>
      </c>
      <c r="AH761">
        <f>AG760*$G$55</f>
        <v/>
      </c>
      <c r="AI761">
        <f>G761+K761+O761+S761+W761</f>
        <v/>
      </c>
      <c r="AJ761">
        <f>AI760+AK761-AI761</f>
        <v/>
      </c>
      <c r="AK761">
        <f>H761+L761+P761+T761+X761</f>
        <v/>
      </c>
      <c r="AL761">
        <f>TEXT(EDATE($B$5,D761-1),"mmm yyyy")</f>
        <v/>
      </c>
      <c r="AM761">
        <f>AI761</f>
        <v/>
      </c>
    </row>
    <row r="762">
      <c r="D762" t="n">
        <v>701</v>
      </c>
      <c r="E762">
        <f>IF(G761&gt;0,MAX(0,G761*(1+$G$51)-$H$51),0)</f>
        <v/>
      </c>
      <c r="F762">
        <f>$B$6+IF($D762=$B$8,$B$7,0)</f>
        <v/>
      </c>
      <c r="G762">
        <f>IF(E762-F762&gt;1E-9,E762-F762,0)</f>
        <v/>
      </c>
      <c r="H762">
        <f>G761*$G$51</f>
        <v/>
      </c>
      <c r="I762">
        <f>IF(K761&gt;0,MAX(0,K761*(1+$G$52)-$H$52),0)</f>
        <v/>
      </c>
      <c r="J762">
        <f>MAX(0,F762-E762)</f>
        <v/>
      </c>
      <c r="K762">
        <f>IF(I762-J762&gt;1E-9,I762-J762,0)</f>
        <v/>
      </c>
      <c r="L762">
        <f>K761*$G$52</f>
        <v/>
      </c>
      <c r="M762">
        <f>IF(O761&gt;0,MAX(0,O761*(1+$G$53)-$H$53),0)</f>
        <v/>
      </c>
      <c r="N762">
        <f>MAX(0,J762-I762)</f>
        <v/>
      </c>
      <c r="O762">
        <f>IF(M762-N762&gt;1E-9,M762-N762,0)</f>
        <v/>
      </c>
      <c r="P762">
        <f>O761*$G$53</f>
        <v/>
      </c>
      <c r="Q762">
        <f>IF(S761&gt;0,MAX(0,S761*(1+$G$54)-$H$54),0)</f>
        <v/>
      </c>
      <c r="R762">
        <f>MAX(0,N762-M762)</f>
        <v/>
      </c>
      <c r="S762">
        <f>IF(Q762-R762&gt;1E-9,Q762-R762,0)</f>
        <v/>
      </c>
      <c r="T762">
        <f>S761*$G$54</f>
        <v/>
      </c>
      <c r="U762">
        <f>IF(W761&gt;0,MAX(0,W761*(1+$G$55)-$H$55),0)</f>
        <v/>
      </c>
      <c r="V762">
        <f>MAX(0,R762-Q762)</f>
        <v/>
      </c>
      <c r="W762">
        <f>IF(U762-V762&gt;1E-9,U762-V762,0)</f>
        <v/>
      </c>
      <c r="X762">
        <f>W761*$G$55</f>
        <v/>
      </c>
      <c r="Y762">
        <f>IF(Y761&gt;1E-9,IF(Y761*(1+$G$51)-MAX($B$9,0.01*Y761+Y761*$G$51)&gt;1E-9,Y761*(1+$G$51)-MAX($B$9,0.01*Y761+Y761*$G$51),0),0)</f>
        <v/>
      </c>
      <c r="Z762">
        <f>Y761*$G$51</f>
        <v/>
      </c>
      <c r="AA762">
        <f>IF(AA761&gt;1E-9,IF(AA761*(1+$G$52)-MAX($B$9,0.01*AA761+AA761*$G$52)&gt;1E-9,AA761*(1+$G$52)-MAX($B$9,0.01*AA761+AA761*$G$52),0),0)</f>
        <v/>
      </c>
      <c r="AB762">
        <f>AA761*$G$52</f>
        <v/>
      </c>
      <c r="AC762">
        <f>IF(AC761&gt;1E-9,IF(AC761*(1+$G$53)-MAX($B$9,0.01*AC761+AC761*$G$53)&gt;1E-9,AC761*(1+$G$53)-MAX($B$9,0.01*AC761+AC761*$G$53),0),0)</f>
        <v/>
      </c>
      <c r="AD762">
        <f>AC761*$G$53</f>
        <v/>
      </c>
      <c r="AE762">
        <f>IF(AE761&gt;1E-9,IF(AE761*(1+$G$54)-MAX($B$9,0.01*AE761+AE761*$G$54)&gt;1E-9,AE761*(1+$G$54)-MAX($B$9,0.01*AE761+AE761*$G$54),0),0)</f>
        <v/>
      </c>
      <c r="AF762">
        <f>AE761*$G$54</f>
        <v/>
      </c>
      <c r="AG762">
        <f>IF(AG761&gt;1E-9,IF(AG761*(1+$G$55)-MAX($B$9,0.01*AG761+AG761*$G$55)&gt;1E-9,AG761*(1+$G$55)-MAX($B$9,0.01*AG761+AG761*$G$55),0),0)</f>
        <v/>
      </c>
      <c r="AH762">
        <f>AG761*$G$55</f>
        <v/>
      </c>
      <c r="AI762">
        <f>G762+K762+O762+S762+W762</f>
        <v/>
      </c>
      <c r="AJ762">
        <f>AI761+AK762-AI762</f>
        <v/>
      </c>
      <c r="AK762">
        <f>H762+L762+P762+T762+X762</f>
        <v/>
      </c>
      <c r="AL762">
        <f>TEXT(EDATE($B$5,D762-1),"mmm yyyy")</f>
        <v/>
      </c>
      <c r="AM762">
        <f>AI762</f>
        <v/>
      </c>
    </row>
    <row r="763">
      <c r="D763" t="n">
        <v>702</v>
      </c>
      <c r="E763">
        <f>IF(G762&gt;0,MAX(0,G762*(1+$G$51)-$H$51),0)</f>
        <v/>
      </c>
      <c r="F763">
        <f>$B$6+IF($D763=$B$8,$B$7,0)</f>
        <v/>
      </c>
      <c r="G763">
        <f>IF(E763-F763&gt;1E-9,E763-F763,0)</f>
        <v/>
      </c>
      <c r="H763">
        <f>G762*$G$51</f>
        <v/>
      </c>
      <c r="I763">
        <f>IF(K762&gt;0,MAX(0,K762*(1+$G$52)-$H$52),0)</f>
        <v/>
      </c>
      <c r="J763">
        <f>MAX(0,F763-E763)</f>
        <v/>
      </c>
      <c r="K763">
        <f>IF(I763-J763&gt;1E-9,I763-J763,0)</f>
        <v/>
      </c>
      <c r="L763">
        <f>K762*$G$52</f>
        <v/>
      </c>
      <c r="M763">
        <f>IF(O762&gt;0,MAX(0,O762*(1+$G$53)-$H$53),0)</f>
        <v/>
      </c>
      <c r="N763">
        <f>MAX(0,J763-I763)</f>
        <v/>
      </c>
      <c r="O763">
        <f>IF(M763-N763&gt;1E-9,M763-N763,0)</f>
        <v/>
      </c>
      <c r="P763">
        <f>O762*$G$53</f>
        <v/>
      </c>
      <c r="Q763">
        <f>IF(S762&gt;0,MAX(0,S762*(1+$G$54)-$H$54),0)</f>
        <v/>
      </c>
      <c r="R763">
        <f>MAX(0,N763-M763)</f>
        <v/>
      </c>
      <c r="S763">
        <f>IF(Q763-R763&gt;1E-9,Q763-R763,0)</f>
        <v/>
      </c>
      <c r="T763">
        <f>S762*$G$54</f>
        <v/>
      </c>
      <c r="U763">
        <f>IF(W762&gt;0,MAX(0,W762*(1+$G$55)-$H$55),0)</f>
        <v/>
      </c>
      <c r="V763">
        <f>MAX(0,R763-Q763)</f>
        <v/>
      </c>
      <c r="W763">
        <f>IF(U763-V763&gt;1E-9,U763-V763,0)</f>
        <v/>
      </c>
      <c r="X763">
        <f>W762*$G$55</f>
        <v/>
      </c>
      <c r="Y763">
        <f>IF(Y762&gt;1E-9,IF(Y762*(1+$G$51)-MAX($B$9,0.01*Y762+Y762*$G$51)&gt;1E-9,Y762*(1+$G$51)-MAX($B$9,0.01*Y762+Y762*$G$51),0),0)</f>
        <v/>
      </c>
      <c r="Z763">
        <f>Y762*$G$51</f>
        <v/>
      </c>
      <c r="AA763">
        <f>IF(AA762&gt;1E-9,IF(AA762*(1+$G$52)-MAX($B$9,0.01*AA762+AA762*$G$52)&gt;1E-9,AA762*(1+$G$52)-MAX($B$9,0.01*AA762+AA762*$G$52),0),0)</f>
        <v/>
      </c>
      <c r="AB763">
        <f>AA762*$G$52</f>
        <v/>
      </c>
      <c r="AC763">
        <f>IF(AC762&gt;1E-9,IF(AC762*(1+$G$53)-MAX($B$9,0.01*AC762+AC762*$G$53)&gt;1E-9,AC762*(1+$G$53)-MAX($B$9,0.01*AC762+AC762*$G$53),0),0)</f>
        <v/>
      </c>
      <c r="AD763">
        <f>AC762*$G$53</f>
        <v/>
      </c>
      <c r="AE763">
        <f>IF(AE762&gt;1E-9,IF(AE762*(1+$G$54)-MAX($B$9,0.01*AE762+AE762*$G$54)&gt;1E-9,AE762*(1+$G$54)-MAX($B$9,0.01*AE762+AE762*$G$54),0),0)</f>
        <v/>
      </c>
      <c r="AF763">
        <f>AE762*$G$54</f>
        <v/>
      </c>
      <c r="AG763">
        <f>IF(AG762&gt;1E-9,IF(AG762*(1+$G$55)-MAX($B$9,0.01*AG762+AG762*$G$55)&gt;1E-9,AG762*(1+$G$55)-MAX($B$9,0.01*AG762+AG762*$G$55),0),0)</f>
        <v/>
      </c>
      <c r="AH763">
        <f>AG762*$G$55</f>
        <v/>
      </c>
      <c r="AI763">
        <f>G763+K763+O763+S763+W763</f>
        <v/>
      </c>
      <c r="AJ763">
        <f>AI762+AK763-AI763</f>
        <v/>
      </c>
      <c r="AK763">
        <f>H763+L763+P763+T763+X763</f>
        <v/>
      </c>
      <c r="AL763">
        <f>TEXT(EDATE($B$5,D763-1),"mmm yyyy")</f>
        <v/>
      </c>
      <c r="AM763">
        <f>AI763</f>
        <v/>
      </c>
    </row>
    <row r="764">
      <c r="D764" t="n">
        <v>703</v>
      </c>
      <c r="E764">
        <f>IF(G763&gt;0,MAX(0,G763*(1+$G$51)-$H$51),0)</f>
        <v/>
      </c>
      <c r="F764">
        <f>$B$6+IF($D764=$B$8,$B$7,0)</f>
        <v/>
      </c>
      <c r="G764">
        <f>IF(E764-F764&gt;1E-9,E764-F764,0)</f>
        <v/>
      </c>
      <c r="H764">
        <f>G763*$G$51</f>
        <v/>
      </c>
      <c r="I764">
        <f>IF(K763&gt;0,MAX(0,K763*(1+$G$52)-$H$52),0)</f>
        <v/>
      </c>
      <c r="J764">
        <f>MAX(0,F764-E764)</f>
        <v/>
      </c>
      <c r="K764">
        <f>IF(I764-J764&gt;1E-9,I764-J764,0)</f>
        <v/>
      </c>
      <c r="L764">
        <f>K763*$G$52</f>
        <v/>
      </c>
      <c r="M764">
        <f>IF(O763&gt;0,MAX(0,O763*(1+$G$53)-$H$53),0)</f>
        <v/>
      </c>
      <c r="N764">
        <f>MAX(0,J764-I764)</f>
        <v/>
      </c>
      <c r="O764">
        <f>IF(M764-N764&gt;1E-9,M764-N764,0)</f>
        <v/>
      </c>
      <c r="P764">
        <f>O763*$G$53</f>
        <v/>
      </c>
      <c r="Q764">
        <f>IF(S763&gt;0,MAX(0,S763*(1+$G$54)-$H$54),0)</f>
        <v/>
      </c>
      <c r="R764">
        <f>MAX(0,N764-M764)</f>
        <v/>
      </c>
      <c r="S764">
        <f>IF(Q764-R764&gt;1E-9,Q764-R764,0)</f>
        <v/>
      </c>
      <c r="T764">
        <f>S763*$G$54</f>
        <v/>
      </c>
      <c r="U764">
        <f>IF(W763&gt;0,MAX(0,W763*(1+$G$55)-$H$55),0)</f>
        <v/>
      </c>
      <c r="V764">
        <f>MAX(0,R764-Q764)</f>
        <v/>
      </c>
      <c r="W764">
        <f>IF(U764-V764&gt;1E-9,U764-V764,0)</f>
        <v/>
      </c>
      <c r="X764">
        <f>W763*$G$55</f>
        <v/>
      </c>
      <c r="Y764">
        <f>IF(Y763&gt;1E-9,IF(Y763*(1+$G$51)-MAX($B$9,0.01*Y763+Y763*$G$51)&gt;1E-9,Y763*(1+$G$51)-MAX($B$9,0.01*Y763+Y763*$G$51),0),0)</f>
        <v/>
      </c>
      <c r="Z764">
        <f>Y763*$G$51</f>
        <v/>
      </c>
      <c r="AA764">
        <f>IF(AA763&gt;1E-9,IF(AA763*(1+$G$52)-MAX($B$9,0.01*AA763+AA763*$G$52)&gt;1E-9,AA763*(1+$G$52)-MAX($B$9,0.01*AA763+AA763*$G$52),0),0)</f>
        <v/>
      </c>
      <c r="AB764">
        <f>AA763*$G$52</f>
        <v/>
      </c>
      <c r="AC764">
        <f>IF(AC763&gt;1E-9,IF(AC763*(1+$G$53)-MAX($B$9,0.01*AC763+AC763*$G$53)&gt;1E-9,AC763*(1+$G$53)-MAX($B$9,0.01*AC763+AC763*$G$53),0),0)</f>
        <v/>
      </c>
      <c r="AD764">
        <f>AC763*$G$53</f>
        <v/>
      </c>
      <c r="AE764">
        <f>IF(AE763&gt;1E-9,IF(AE763*(1+$G$54)-MAX($B$9,0.01*AE763+AE763*$G$54)&gt;1E-9,AE763*(1+$G$54)-MAX($B$9,0.01*AE763+AE763*$G$54),0),0)</f>
        <v/>
      </c>
      <c r="AF764">
        <f>AE763*$G$54</f>
        <v/>
      </c>
      <c r="AG764">
        <f>IF(AG763&gt;1E-9,IF(AG763*(1+$G$55)-MAX($B$9,0.01*AG763+AG763*$G$55)&gt;1E-9,AG763*(1+$G$55)-MAX($B$9,0.01*AG763+AG763*$G$55),0),0)</f>
        <v/>
      </c>
      <c r="AH764">
        <f>AG763*$G$55</f>
        <v/>
      </c>
      <c r="AI764">
        <f>G764+K764+O764+S764+W764</f>
        <v/>
      </c>
      <c r="AJ764">
        <f>AI763+AK764-AI764</f>
        <v/>
      </c>
      <c r="AK764">
        <f>H764+L764+P764+T764+X764</f>
        <v/>
      </c>
      <c r="AL764">
        <f>TEXT(EDATE($B$5,D764-1),"mmm yyyy")</f>
        <v/>
      </c>
      <c r="AM764">
        <f>AI764</f>
        <v/>
      </c>
    </row>
    <row r="765">
      <c r="D765" t="n">
        <v>704</v>
      </c>
      <c r="E765">
        <f>IF(G764&gt;0,MAX(0,G764*(1+$G$51)-$H$51),0)</f>
        <v/>
      </c>
      <c r="F765">
        <f>$B$6+IF($D765=$B$8,$B$7,0)</f>
        <v/>
      </c>
      <c r="G765">
        <f>IF(E765-F765&gt;1E-9,E765-F765,0)</f>
        <v/>
      </c>
      <c r="H765">
        <f>G764*$G$51</f>
        <v/>
      </c>
      <c r="I765">
        <f>IF(K764&gt;0,MAX(0,K764*(1+$G$52)-$H$52),0)</f>
        <v/>
      </c>
      <c r="J765">
        <f>MAX(0,F765-E765)</f>
        <v/>
      </c>
      <c r="K765">
        <f>IF(I765-J765&gt;1E-9,I765-J765,0)</f>
        <v/>
      </c>
      <c r="L765">
        <f>K764*$G$52</f>
        <v/>
      </c>
      <c r="M765">
        <f>IF(O764&gt;0,MAX(0,O764*(1+$G$53)-$H$53),0)</f>
        <v/>
      </c>
      <c r="N765">
        <f>MAX(0,J765-I765)</f>
        <v/>
      </c>
      <c r="O765">
        <f>IF(M765-N765&gt;1E-9,M765-N765,0)</f>
        <v/>
      </c>
      <c r="P765">
        <f>O764*$G$53</f>
        <v/>
      </c>
      <c r="Q765">
        <f>IF(S764&gt;0,MAX(0,S764*(1+$G$54)-$H$54),0)</f>
        <v/>
      </c>
      <c r="R765">
        <f>MAX(0,N765-M765)</f>
        <v/>
      </c>
      <c r="S765">
        <f>IF(Q765-R765&gt;1E-9,Q765-R765,0)</f>
        <v/>
      </c>
      <c r="T765">
        <f>S764*$G$54</f>
        <v/>
      </c>
      <c r="U765">
        <f>IF(W764&gt;0,MAX(0,W764*(1+$G$55)-$H$55),0)</f>
        <v/>
      </c>
      <c r="V765">
        <f>MAX(0,R765-Q765)</f>
        <v/>
      </c>
      <c r="W765">
        <f>IF(U765-V765&gt;1E-9,U765-V765,0)</f>
        <v/>
      </c>
      <c r="X765">
        <f>W764*$G$55</f>
        <v/>
      </c>
      <c r="Y765">
        <f>IF(Y764&gt;1E-9,IF(Y764*(1+$G$51)-MAX($B$9,0.01*Y764+Y764*$G$51)&gt;1E-9,Y764*(1+$G$51)-MAX($B$9,0.01*Y764+Y764*$G$51),0),0)</f>
        <v/>
      </c>
      <c r="Z765">
        <f>Y764*$G$51</f>
        <v/>
      </c>
      <c r="AA765">
        <f>IF(AA764&gt;1E-9,IF(AA764*(1+$G$52)-MAX($B$9,0.01*AA764+AA764*$G$52)&gt;1E-9,AA764*(1+$G$52)-MAX($B$9,0.01*AA764+AA764*$G$52),0),0)</f>
        <v/>
      </c>
      <c r="AB765">
        <f>AA764*$G$52</f>
        <v/>
      </c>
      <c r="AC765">
        <f>IF(AC764&gt;1E-9,IF(AC764*(1+$G$53)-MAX($B$9,0.01*AC764+AC764*$G$53)&gt;1E-9,AC764*(1+$G$53)-MAX($B$9,0.01*AC764+AC764*$G$53),0),0)</f>
        <v/>
      </c>
      <c r="AD765">
        <f>AC764*$G$53</f>
        <v/>
      </c>
      <c r="AE765">
        <f>IF(AE764&gt;1E-9,IF(AE764*(1+$G$54)-MAX($B$9,0.01*AE764+AE764*$G$54)&gt;1E-9,AE764*(1+$G$54)-MAX($B$9,0.01*AE764+AE764*$G$54),0),0)</f>
        <v/>
      </c>
      <c r="AF765">
        <f>AE764*$G$54</f>
        <v/>
      </c>
      <c r="AG765">
        <f>IF(AG764&gt;1E-9,IF(AG764*(1+$G$55)-MAX($B$9,0.01*AG764+AG764*$G$55)&gt;1E-9,AG764*(1+$G$55)-MAX($B$9,0.01*AG764+AG764*$G$55),0),0)</f>
        <v/>
      </c>
      <c r="AH765">
        <f>AG764*$G$55</f>
        <v/>
      </c>
      <c r="AI765">
        <f>G765+K765+O765+S765+W765</f>
        <v/>
      </c>
      <c r="AJ765">
        <f>AI764+AK765-AI765</f>
        <v/>
      </c>
      <c r="AK765">
        <f>H765+L765+P765+T765+X765</f>
        <v/>
      </c>
      <c r="AL765">
        <f>TEXT(EDATE($B$5,D765-1),"mmm yyyy")</f>
        <v/>
      </c>
      <c r="AM765">
        <f>AI765</f>
        <v/>
      </c>
    </row>
    <row r="766">
      <c r="D766" t="n">
        <v>705</v>
      </c>
      <c r="E766">
        <f>IF(G765&gt;0,MAX(0,G765*(1+$G$51)-$H$51),0)</f>
        <v/>
      </c>
      <c r="F766">
        <f>$B$6+IF($D766=$B$8,$B$7,0)</f>
        <v/>
      </c>
      <c r="G766">
        <f>IF(E766-F766&gt;1E-9,E766-F766,0)</f>
        <v/>
      </c>
      <c r="H766">
        <f>G765*$G$51</f>
        <v/>
      </c>
      <c r="I766">
        <f>IF(K765&gt;0,MAX(0,K765*(1+$G$52)-$H$52),0)</f>
        <v/>
      </c>
      <c r="J766">
        <f>MAX(0,F766-E766)</f>
        <v/>
      </c>
      <c r="K766">
        <f>IF(I766-J766&gt;1E-9,I766-J766,0)</f>
        <v/>
      </c>
      <c r="L766">
        <f>K765*$G$52</f>
        <v/>
      </c>
      <c r="M766">
        <f>IF(O765&gt;0,MAX(0,O765*(1+$G$53)-$H$53),0)</f>
        <v/>
      </c>
      <c r="N766">
        <f>MAX(0,J766-I766)</f>
        <v/>
      </c>
      <c r="O766">
        <f>IF(M766-N766&gt;1E-9,M766-N766,0)</f>
        <v/>
      </c>
      <c r="P766">
        <f>O765*$G$53</f>
        <v/>
      </c>
      <c r="Q766">
        <f>IF(S765&gt;0,MAX(0,S765*(1+$G$54)-$H$54),0)</f>
        <v/>
      </c>
      <c r="R766">
        <f>MAX(0,N766-M766)</f>
        <v/>
      </c>
      <c r="S766">
        <f>IF(Q766-R766&gt;1E-9,Q766-R766,0)</f>
        <v/>
      </c>
      <c r="T766">
        <f>S765*$G$54</f>
        <v/>
      </c>
      <c r="U766">
        <f>IF(W765&gt;0,MAX(0,W765*(1+$G$55)-$H$55),0)</f>
        <v/>
      </c>
      <c r="V766">
        <f>MAX(0,R766-Q766)</f>
        <v/>
      </c>
      <c r="W766">
        <f>IF(U766-V766&gt;1E-9,U766-V766,0)</f>
        <v/>
      </c>
      <c r="X766">
        <f>W765*$G$55</f>
        <v/>
      </c>
      <c r="Y766">
        <f>IF(Y765&gt;1E-9,IF(Y765*(1+$G$51)-MAX($B$9,0.01*Y765+Y765*$G$51)&gt;1E-9,Y765*(1+$G$51)-MAX($B$9,0.01*Y765+Y765*$G$51),0),0)</f>
        <v/>
      </c>
      <c r="Z766">
        <f>Y765*$G$51</f>
        <v/>
      </c>
      <c r="AA766">
        <f>IF(AA765&gt;1E-9,IF(AA765*(1+$G$52)-MAX($B$9,0.01*AA765+AA765*$G$52)&gt;1E-9,AA765*(1+$G$52)-MAX($B$9,0.01*AA765+AA765*$G$52),0),0)</f>
        <v/>
      </c>
      <c r="AB766">
        <f>AA765*$G$52</f>
        <v/>
      </c>
      <c r="AC766">
        <f>IF(AC765&gt;1E-9,IF(AC765*(1+$G$53)-MAX($B$9,0.01*AC765+AC765*$G$53)&gt;1E-9,AC765*(1+$G$53)-MAX($B$9,0.01*AC765+AC765*$G$53),0),0)</f>
        <v/>
      </c>
      <c r="AD766">
        <f>AC765*$G$53</f>
        <v/>
      </c>
      <c r="AE766">
        <f>IF(AE765&gt;1E-9,IF(AE765*(1+$G$54)-MAX($B$9,0.01*AE765+AE765*$G$54)&gt;1E-9,AE765*(1+$G$54)-MAX($B$9,0.01*AE765+AE765*$G$54),0),0)</f>
        <v/>
      </c>
      <c r="AF766">
        <f>AE765*$G$54</f>
        <v/>
      </c>
      <c r="AG766">
        <f>IF(AG765&gt;1E-9,IF(AG765*(1+$G$55)-MAX($B$9,0.01*AG765+AG765*$G$55)&gt;1E-9,AG765*(1+$G$55)-MAX($B$9,0.01*AG765+AG765*$G$55),0),0)</f>
        <v/>
      </c>
      <c r="AH766">
        <f>AG765*$G$55</f>
        <v/>
      </c>
      <c r="AI766">
        <f>G766+K766+O766+S766+W766</f>
        <v/>
      </c>
      <c r="AJ766">
        <f>AI765+AK766-AI766</f>
        <v/>
      </c>
      <c r="AK766">
        <f>H766+L766+P766+T766+X766</f>
        <v/>
      </c>
      <c r="AL766">
        <f>TEXT(EDATE($B$5,D766-1),"mmm yyyy")</f>
        <v/>
      </c>
      <c r="AM766">
        <f>AI766</f>
        <v/>
      </c>
    </row>
    <row r="767">
      <c r="D767" t="n">
        <v>706</v>
      </c>
      <c r="E767">
        <f>IF(G766&gt;0,MAX(0,G766*(1+$G$51)-$H$51),0)</f>
        <v/>
      </c>
      <c r="F767">
        <f>$B$6+IF($D767=$B$8,$B$7,0)</f>
        <v/>
      </c>
      <c r="G767">
        <f>IF(E767-F767&gt;1E-9,E767-F767,0)</f>
        <v/>
      </c>
      <c r="H767">
        <f>G766*$G$51</f>
        <v/>
      </c>
      <c r="I767">
        <f>IF(K766&gt;0,MAX(0,K766*(1+$G$52)-$H$52),0)</f>
        <v/>
      </c>
      <c r="J767">
        <f>MAX(0,F767-E767)</f>
        <v/>
      </c>
      <c r="K767">
        <f>IF(I767-J767&gt;1E-9,I767-J767,0)</f>
        <v/>
      </c>
      <c r="L767">
        <f>K766*$G$52</f>
        <v/>
      </c>
      <c r="M767">
        <f>IF(O766&gt;0,MAX(0,O766*(1+$G$53)-$H$53),0)</f>
        <v/>
      </c>
      <c r="N767">
        <f>MAX(0,J767-I767)</f>
        <v/>
      </c>
      <c r="O767">
        <f>IF(M767-N767&gt;1E-9,M767-N767,0)</f>
        <v/>
      </c>
      <c r="P767">
        <f>O766*$G$53</f>
        <v/>
      </c>
      <c r="Q767">
        <f>IF(S766&gt;0,MAX(0,S766*(1+$G$54)-$H$54),0)</f>
        <v/>
      </c>
      <c r="R767">
        <f>MAX(0,N767-M767)</f>
        <v/>
      </c>
      <c r="S767">
        <f>IF(Q767-R767&gt;1E-9,Q767-R767,0)</f>
        <v/>
      </c>
      <c r="T767">
        <f>S766*$G$54</f>
        <v/>
      </c>
      <c r="U767">
        <f>IF(W766&gt;0,MAX(0,W766*(1+$G$55)-$H$55),0)</f>
        <v/>
      </c>
      <c r="V767">
        <f>MAX(0,R767-Q767)</f>
        <v/>
      </c>
      <c r="W767">
        <f>IF(U767-V767&gt;1E-9,U767-V767,0)</f>
        <v/>
      </c>
      <c r="X767">
        <f>W766*$G$55</f>
        <v/>
      </c>
      <c r="Y767">
        <f>IF(Y766&gt;1E-9,IF(Y766*(1+$G$51)-MAX($B$9,0.01*Y766+Y766*$G$51)&gt;1E-9,Y766*(1+$G$51)-MAX($B$9,0.01*Y766+Y766*$G$51),0),0)</f>
        <v/>
      </c>
      <c r="Z767">
        <f>Y766*$G$51</f>
        <v/>
      </c>
      <c r="AA767">
        <f>IF(AA766&gt;1E-9,IF(AA766*(1+$G$52)-MAX($B$9,0.01*AA766+AA766*$G$52)&gt;1E-9,AA766*(1+$G$52)-MAX($B$9,0.01*AA766+AA766*$G$52),0),0)</f>
        <v/>
      </c>
      <c r="AB767">
        <f>AA766*$G$52</f>
        <v/>
      </c>
      <c r="AC767">
        <f>IF(AC766&gt;1E-9,IF(AC766*(1+$G$53)-MAX($B$9,0.01*AC766+AC766*$G$53)&gt;1E-9,AC766*(1+$G$53)-MAX($B$9,0.01*AC766+AC766*$G$53),0),0)</f>
        <v/>
      </c>
      <c r="AD767">
        <f>AC766*$G$53</f>
        <v/>
      </c>
      <c r="AE767">
        <f>IF(AE766&gt;1E-9,IF(AE766*(1+$G$54)-MAX($B$9,0.01*AE766+AE766*$G$54)&gt;1E-9,AE766*(1+$G$54)-MAX($B$9,0.01*AE766+AE766*$G$54),0),0)</f>
        <v/>
      </c>
      <c r="AF767">
        <f>AE766*$G$54</f>
        <v/>
      </c>
      <c r="AG767">
        <f>IF(AG766&gt;1E-9,IF(AG766*(1+$G$55)-MAX($B$9,0.01*AG766+AG766*$G$55)&gt;1E-9,AG766*(1+$G$55)-MAX($B$9,0.01*AG766+AG766*$G$55),0),0)</f>
        <v/>
      </c>
      <c r="AH767">
        <f>AG766*$G$55</f>
        <v/>
      </c>
      <c r="AI767">
        <f>G767+K767+O767+S767+W767</f>
        <v/>
      </c>
      <c r="AJ767">
        <f>AI766+AK767-AI767</f>
        <v/>
      </c>
      <c r="AK767">
        <f>H767+L767+P767+T767+X767</f>
        <v/>
      </c>
      <c r="AL767">
        <f>TEXT(EDATE($B$5,D767-1),"mmm yyyy")</f>
        <v/>
      </c>
      <c r="AM767">
        <f>AI767</f>
        <v/>
      </c>
    </row>
    <row r="768">
      <c r="D768" t="n">
        <v>707</v>
      </c>
      <c r="E768">
        <f>IF(G767&gt;0,MAX(0,G767*(1+$G$51)-$H$51),0)</f>
        <v/>
      </c>
      <c r="F768">
        <f>$B$6+IF($D768=$B$8,$B$7,0)</f>
        <v/>
      </c>
      <c r="G768">
        <f>IF(E768-F768&gt;1E-9,E768-F768,0)</f>
        <v/>
      </c>
      <c r="H768">
        <f>G767*$G$51</f>
        <v/>
      </c>
      <c r="I768">
        <f>IF(K767&gt;0,MAX(0,K767*(1+$G$52)-$H$52),0)</f>
        <v/>
      </c>
      <c r="J768">
        <f>MAX(0,F768-E768)</f>
        <v/>
      </c>
      <c r="K768">
        <f>IF(I768-J768&gt;1E-9,I768-J768,0)</f>
        <v/>
      </c>
      <c r="L768">
        <f>K767*$G$52</f>
        <v/>
      </c>
      <c r="M768">
        <f>IF(O767&gt;0,MAX(0,O767*(1+$G$53)-$H$53),0)</f>
        <v/>
      </c>
      <c r="N768">
        <f>MAX(0,J768-I768)</f>
        <v/>
      </c>
      <c r="O768">
        <f>IF(M768-N768&gt;1E-9,M768-N768,0)</f>
        <v/>
      </c>
      <c r="P768">
        <f>O767*$G$53</f>
        <v/>
      </c>
      <c r="Q768">
        <f>IF(S767&gt;0,MAX(0,S767*(1+$G$54)-$H$54),0)</f>
        <v/>
      </c>
      <c r="R768">
        <f>MAX(0,N768-M768)</f>
        <v/>
      </c>
      <c r="S768">
        <f>IF(Q768-R768&gt;1E-9,Q768-R768,0)</f>
        <v/>
      </c>
      <c r="T768">
        <f>S767*$G$54</f>
        <v/>
      </c>
      <c r="U768">
        <f>IF(W767&gt;0,MAX(0,W767*(1+$G$55)-$H$55),0)</f>
        <v/>
      </c>
      <c r="V768">
        <f>MAX(0,R768-Q768)</f>
        <v/>
      </c>
      <c r="W768">
        <f>IF(U768-V768&gt;1E-9,U768-V768,0)</f>
        <v/>
      </c>
      <c r="X768">
        <f>W767*$G$55</f>
        <v/>
      </c>
      <c r="Y768">
        <f>IF(Y767&gt;1E-9,IF(Y767*(1+$G$51)-MAX($B$9,0.01*Y767+Y767*$G$51)&gt;1E-9,Y767*(1+$G$51)-MAX($B$9,0.01*Y767+Y767*$G$51),0),0)</f>
        <v/>
      </c>
      <c r="Z768">
        <f>Y767*$G$51</f>
        <v/>
      </c>
      <c r="AA768">
        <f>IF(AA767&gt;1E-9,IF(AA767*(1+$G$52)-MAX($B$9,0.01*AA767+AA767*$G$52)&gt;1E-9,AA767*(1+$G$52)-MAX($B$9,0.01*AA767+AA767*$G$52),0),0)</f>
        <v/>
      </c>
      <c r="AB768">
        <f>AA767*$G$52</f>
        <v/>
      </c>
      <c r="AC768">
        <f>IF(AC767&gt;1E-9,IF(AC767*(1+$G$53)-MAX($B$9,0.01*AC767+AC767*$G$53)&gt;1E-9,AC767*(1+$G$53)-MAX($B$9,0.01*AC767+AC767*$G$53),0),0)</f>
        <v/>
      </c>
      <c r="AD768">
        <f>AC767*$G$53</f>
        <v/>
      </c>
      <c r="AE768">
        <f>IF(AE767&gt;1E-9,IF(AE767*(1+$G$54)-MAX($B$9,0.01*AE767+AE767*$G$54)&gt;1E-9,AE767*(1+$G$54)-MAX($B$9,0.01*AE767+AE767*$G$54),0),0)</f>
        <v/>
      </c>
      <c r="AF768">
        <f>AE767*$G$54</f>
        <v/>
      </c>
      <c r="AG768">
        <f>IF(AG767&gt;1E-9,IF(AG767*(1+$G$55)-MAX($B$9,0.01*AG767+AG767*$G$55)&gt;1E-9,AG767*(1+$G$55)-MAX($B$9,0.01*AG767+AG767*$G$55),0),0)</f>
        <v/>
      </c>
      <c r="AH768">
        <f>AG767*$G$55</f>
        <v/>
      </c>
      <c r="AI768">
        <f>G768+K768+O768+S768+W768</f>
        <v/>
      </c>
      <c r="AJ768">
        <f>AI767+AK768-AI768</f>
        <v/>
      </c>
      <c r="AK768">
        <f>H768+L768+P768+T768+X768</f>
        <v/>
      </c>
      <c r="AL768">
        <f>TEXT(EDATE($B$5,D768-1),"mmm yyyy")</f>
        <v/>
      </c>
      <c r="AM768">
        <f>AI768</f>
        <v/>
      </c>
    </row>
    <row r="769">
      <c r="D769" t="n">
        <v>708</v>
      </c>
      <c r="E769">
        <f>IF(G768&gt;0,MAX(0,G768*(1+$G$51)-$H$51),0)</f>
        <v/>
      </c>
      <c r="F769">
        <f>$B$6+IF($D769=$B$8,$B$7,0)</f>
        <v/>
      </c>
      <c r="G769">
        <f>IF(E769-F769&gt;1E-9,E769-F769,0)</f>
        <v/>
      </c>
      <c r="H769">
        <f>G768*$G$51</f>
        <v/>
      </c>
      <c r="I769">
        <f>IF(K768&gt;0,MAX(0,K768*(1+$G$52)-$H$52),0)</f>
        <v/>
      </c>
      <c r="J769">
        <f>MAX(0,F769-E769)</f>
        <v/>
      </c>
      <c r="K769">
        <f>IF(I769-J769&gt;1E-9,I769-J769,0)</f>
        <v/>
      </c>
      <c r="L769">
        <f>K768*$G$52</f>
        <v/>
      </c>
      <c r="M769">
        <f>IF(O768&gt;0,MAX(0,O768*(1+$G$53)-$H$53),0)</f>
        <v/>
      </c>
      <c r="N769">
        <f>MAX(0,J769-I769)</f>
        <v/>
      </c>
      <c r="O769">
        <f>IF(M769-N769&gt;1E-9,M769-N769,0)</f>
        <v/>
      </c>
      <c r="P769">
        <f>O768*$G$53</f>
        <v/>
      </c>
      <c r="Q769">
        <f>IF(S768&gt;0,MAX(0,S768*(1+$G$54)-$H$54),0)</f>
        <v/>
      </c>
      <c r="R769">
        <f>MAX(0,N769-M769)</f>
        <v/>
      </c>
      <c r="S769">
        <f>IF(Q769-R769&gt;1E-9,Q769-R769,0)</f>
        <v/>
      </c>
      <c r="T769">
        <f>S768*$G$54</f>
        <v/>
      </c>
      <c r="U769">
        <f>IF(W768&gt;0,MAX(0,W768*(1+$G$55)-$H$55),0)</f>
        <v/>
      </c>
      <c r="V769">
        <f>MAX(0,R769-Q769)</f>
        <v/>
      </c>
      <c r="W769">
        <f>IF(U769-V769&gt;1E-9,U769-V769,0)</f>
        <v/>
      </c>
      <c r="X769">
        <f>W768*$G$55</f>
        <v/>
      </c>
      <c r="Y769">
        <f>IF(Y768&gt;1E-9,IF(Y768*(1+$G$51)-MAX($B$9,0.01*Y768+Y768*$G$51)&gt;1E-9,Y768*(1+$G$51)-MAX($B$9,0.01*Y768+Y768*$G$51),0),0)</f>
        <v/>
      </c>
      <c r="Z769">
        <f>Y768*$G$51</f>
        <v/>
      </c>
      <c r="AA769">
        <f>IF(AA768&gt;1E-9,IF(AA768*(1+$G$52)-MAX($B$9,0.01*AA768+AA768*$G$52)&gt;1E-9,AA768*(1+$G$52)-MAX($B$9,0.01*AA768+AA768*$G$52),0),0)</f>
        <v/>
      </c>
      <c r="AB769">
        <f>AA768*$G$52</f>
        <v/>
      </c>
      <c r="AC769">
        <f>IF(AC768&gt;1E-9,IF(AC768*(1+$G$53)-MAX($B$9,0.01*AC768+AC768*$G$53)&gt;1E-9,AC768*(1+$G$53)-MAX($B$9,0.01*AC768+AC768*$G$53),0),0)</f>
        <v/>
      </c>
      <c r="AD769">
        <f>AC768*$G$53</f>
        <v/>
      </c>
      <c r="AE769">
        <f>IF(AE768&gt;1E-9,IF(AE768*(1+$G$54)-MAX($B$9,0.01*AE768+AE768*$G$54)&gt;1E-9,AE768*(1+$G$54)-MAX($B$9,0.01*AE768+AE768*$G$54),0),0)</f>
        <v/>
      </c>
      <c r="AF769">
        <f>AE768*$G$54</f>
        <v/>
      </c>
      <c r="AG769">
        <f>IF(AG768&gt;1E-9,IF(AG768*(1+$G$55)-MAX($B$9,0.01*AG768+AG768*$G$55)&gt;1E-9,AG768*(1+$G$55)-MAX($B$9,0.01*AG768+AG768*$G$55),0),0)</f>
        <v/>
      </c>
      <c r="AH769">
        <f>AG768*$G$55</f>
        <v/>
      </c>
      <c r="AI769">
        <f>G769+K769+O769+S769+W769</f>
        <v/>
      </c>
      <c r="AJ769">
        <f>AI768+AK769-AI769</f>
        <v/>
      </c>
      <c r="AK769">
        <f>H769+L769+P769+T769+X769</f>
        <v/>
      </c>
      <c r="AL769">
        <f>TEXT(EDATE($B$5,D769-1),"mmm yyyy")</f>
        <v/>
      </c>
      <c r="AM769">
        <f>AI769</f>
        <v/>
      </c>
    </row>
    <row r="770">
      <c r="D770" t="n">
        <v>709</v>
      </c>
      <c r="E770">
        <f>IF(G769&gt;0,MAX(0,G769*(1+$G$51)-$H$51),0)</f>
        <v/>
      </c>
      <c r="F770">
        <f>$B$6+IF($D770=$B$8,$B$7,0)</f>
        <v/>
      </c>
      <c r="G770">
        <f>IF(E770-F770&gt;1E-9,E770-F770,0)</f>
        <v/>
      </c>
      <c r="H770">
        <f>G769*$G$51</f>
        <v/>
      </c>
      <c r="I770">
        <f>IF(K769&gt;0,MAX(0,K769*(1+$G$52)-$H$52),0)</f>
        <v/>
      </c>
      <c r="J770">
        <f>MAX(0,F770-E770)</f>
        <v/>
      </c>
      <c r="K770">
        <f>IF(I770-J770&gt;1E-9,I770-J770,0)</f>
        <v/>
      </c>
      <c r="L770">
        <f>K769*$G$52</f>
        <v/>
      </c>
      <c r="M770">
        <f>IF(O769&gt;0,MAX(0,O769*(1+$G$53)-$H$53),0)</f>
        <v/>
      </c>
      <c r="N770">
        <f>MAX(0,J770-I770)</f>
        <v/>
      </c>
      <c r="O770">
        <f>IF(M770-N770&gt;1E-9,M770-N770,0)</f>
        <v/>
      </c>
      <c r="P770">
        <f>O769*$G$53</f>
        <v/>
      </c>
      <c r="Q770">
        <f>IF(S769&gt;0,MAX(0,S769*(1+$G$54)-$H$54),0)</f>
        <v/>
      </c>
      <c r="R770">
        <f>MAX(0,N770-M770)</f>
        <v/>
      </c>
      <c r="S770">
        <f>IF(Q770-R770&gt;1E-9,Q770-R770,0)</f>
        <v/>
      </c>
      <c r="T770">
        <f>S769*$G$54</f>
        <v/>
      </c>
      <c r="U770">
        <f>IF(W769&gt;0,MAX(0,W769*(1+$G$55)-$H$55),0)</f>
        <v/>
      </c>
      <c r="V770">
        <f>MAX(0,R770-Q770)</f>
        <v/>
      </c>
      <c r="W770">
        <f>IF(U770-V770&gt;1E-9,U770-V770,0)</f>
        <v/>
      </c>
      <c r="X770">
        <f>W769*$G$55</f>
        <v/>
      </c>
      <c r="Y770">
        <f>IF(Y769&gt;1E-9,IF(Y769*(1+$G$51)-MAX($B$9,0.01*Y769+Y769*$G$51)&gt;1E-9,Y769*(1+$G$51)-MAX($B$9,0.01*Y769+Y769*$G$51),0),0)</f>
        <v/>
      </c>
      <c r="Z770">
        <f>Y769*$G$51</f>
        <v/>
      </c>
      <c r="AA770">
        <f>IF(AA769&gt;1E-9,IF(AA769*(1+$G$52)-MAX($B$9,0.01*AA769+AA769*$G$52)&gt;1E-9,AA769*(1+$G$52)-MAX($B$9,0.01*AA769+AA769*$G$52),0),0)</f>
        <v/>
      </c>
      <c r="AB770">
        <f>AA769*$G$52</f>
        <v/>
      </c>
      <c r="AC770">
        <f>IF(AC769&gt;1E-9,IF(AC769*(1+$G$53)-MAX($B$9,0.01*AC769+AC769*$G$53)&gt;1E-9,AC769*(1+$G$53)-MAX($B$9,0.01*AC769+AC769*$G$53),0),0)</f>
        <v/>
      </c>
      <c r="AD770">
        <f>AC769*$G$53</f>
        <v/>
      </c>
      <c r="AE770">
        <f>IF(AE769&gt;1E-9,IF(AE769*(1+$G$54)-MAX($B$9,0.01*AE769+AE769*$G$54)&gt;1E-9,AE769*(1+$G$54)-MAX($B$9,0.01*AE769+AE769*$G$54),0),0)</f>
        <v/>
      </c>
      <c r="AF770">
        <f>AE769*$G$54</f>
        <v/>
      </c>
      <c r="AG770">
        <f>IF(AG769&gt;1E-9,IF(AG769*(1+$G$55)-MAX($B$9,0.01*AG769+AG769*$G$55)&gt;1E-9,AG769*(1+$G$55)-MAX($B$9,0.01*AG769+AG769*$G$55),0),0)</f>
        <v/>
      </c>
      <c r="AH770">
        <f>AG769*$G$55</f>
        <v/>
      </c>
      <c r="AI770">
        <f>G770+K770+O770+S770+W770</f>
        <v/>
      </c>
      <c r="AJ770">
        <f>AI769+AK770-AI770</f>
        <v/>
      </c>
      <c r="AK770">
        <f>H770+L770+P770+T770+X770</f>
        <v/>
      </c>
      <c r="AL770">
        <f>TEXT(EDATE($B$5,D770-1),"mmm yyyy")</f>
        <v/>
      </c>
      <c r="AM770">
        <f>AI770</f>
        <v/>
      </c>
    </row>
    <row r="771">
      <c r="D771" t="n">
        <v>710</v>
      </c>
      <c r="E771">
        <f>IF(G770&gt;0,MAX(0,G770*(1+$G$51)-$H$51),0)</f>
        <v/>
      </c>
      <c r="F771">
        <f>$B$6+IF($D771=$B$8,$B$7,0)</f>
        <v/>
      </c>
      <c r="G771">
        <f>IF(E771-F771&gt;1E-9,E771-F771,0)</f>
        <v/>
      </c>
      <c r="H771">
        <f>G770*$G$51</f>
        <v/>
      </c>
      <c r="I771">
        <f>IF(K770&gt;0,MAX(0,K770*(1+$G$52)-$H$52),0)</f>
        <v/>
      </c>
      <c r="J771">
        <f>MAX(0,F771-E771)</f>
        <v/>
      </c>
      <c r="K771">
        <f>IF(I771-J771&gt;1E-9,I771-J771,0)</f>
        <v/>
      </c>
      <c r="L771">
        <f>K770*$G$52</f>
        <v/>
      </c>
      <c r="M771">
        <f>IF(O770&gt;0,MAX(0,O770*(1+$G$53)-$H$53),0)</f>
        <v/>
      </c>
      <c r="N771">
        <f>MAX(0,J771-I771)</f>
        <v/>
      </c>
      <c r="O771">
        <f>IF(M771-N771&gt;1E-9,M771-N771,0)</f>
        <v/>
      </c>
      <c r="P771">
        <f>O770*$G$53</f>
        <v/>
      </c>
      <c r="Q771">
        <f>IF(S770&gt;0,MAX(0,S770*(1+$G$54)-$H$54),0)</f>
        <v/>
      </c>
      <c r="R771">
        <f>MAX(0,N771-M771)</f>
        <v/>
      </c>
      <c r="S771">
        <f>IF(Q771-R771&gt;1E-9,Q771-R771,0)</f>
        <v/>
      </c>
      <c r="T771">
        <f>S770*$G$54</f>
        <v/>
      </c>
      <c r="U771">
        <f>IF(W770&gt;0,MAX(0,W770*(1+$G$55)-$H$55),0)</f>
        <v/>
      </c>
      <c r="V771">
        <f>MAX(0,R771-Q771)</f>
        <v/>
      </c>
      <c r="W771">
        <f>IF(U771-V771&gt;1E-9,U771-V771,0)</f>
        <v/>
      </c>
      <c r="X771">
        <f>W770*$G$55</f>
        <v/>
      </c>
      <c r="Y771">
        <f>IF(Y770&gt;1E-9,IF(Y770*(1+$G$51)-MAX($B$9,0.01*Y770+Y770*$G$51)&gt;1E-9,Y770*(1+$G$51)-MAX($B$9,0.01*Y770+Y770*$G$51),0),0)</f>
        <v/>
      </c>
      <c r="Z771">
        <f>Y770*$G$51</f>
        <v/>
      </c>
      <c r="AA771">
        <f>IF(AA770&gt;1E-9,IF(AA770*(1+$G$52)-MAX($B$9,0.01*AA770+AA770*$G$52)&gt;1E-9,AA770*(1+$G$52)-MAX($B$9,0.01*AA770+AA770*$G$52),0),0)</f>
        <v/>
      </c>
      <c r="AB771">
        <f>AA770*$G$52</f>
        <v/>
      </c>
      <c r="AC771">
        <f>IF(AC770&gt;1E-9,IF(AC770*(1+$G$53)-MAX($B$9,0.01*AC770+AC770*$G$53)&gt;1E-9,AC770*(1+$G$53)-MAX($B$9,0.01*AC770+AC770*$G$53),0),0)</f>
        <v/>
      </c>
      <c r="AD771">
        <f>AC770*$G$53</f>
        <v/>
      </c>
      <c r="AE771">
        <f>IF(AE770&gt;1E-9,IF(AE770*(1+$G$54)-MAX($B$9,0.01*AE770+AE770*$G$54)&gt;1E-9,AE770*(1+$G$54)-MAX($B$9,0.01*AE770+AE770*$G$54),0),0)</f>
        <v/>
      </c>
      <c r="AF771">
        <f>AE770*$G$54</f>
        <v/>
      </c>
      <c r="AG771">
        <f>IF(AG770&gt;1E-9,IF(AG770*(1+$G$55)-MAX($B$9,0.01*AG770+AG770*$G$55)&gt;1E-9,AG770*(1+$G$55)-MAX($B$9,0.01*AG770+AG770*$G$55),0),0)</f>
        <v/>
      </c>
      <c r="AH771">
        <f>AG770*$G$55</f>
        <v/>
      </c>
      <c r="AI771">
        <f>G771+K771+O771+S771+W771</f>
        <v/>
      </c>
      <c r="AJ771">
        <f>AI770+AK771-AI771</f>
        <v/>
      </c>
      <c r="AK771">
        <f>H771+L771+P771+T771+X771</f>
        <v/>
      </c>
      <c r="AL771">
        <f>TEXT(EDATE($B$5,D771-1),"mmm yyyy")</f>
        <v/>
      </c>
      <c r="AM771">
        <f>AI771</f>
        <v/>
      </c>
    </row>
    <row r="772">
      <c r="D772" t="n">
        <v>711</v>
      </c>
      <c r="E772">
        <f>IF(G771&gt;0,MAX(0,G771*(1+$G$51)-$H$51),0)</f>
        <v/>
      </c>
      <c r="F772">
        <f>$B$6+IF($D772=$B$8,$B$7,0)</f>
        <v/>
      </c>
      <c r="G772">
        <f>IF(E772-F772&gt;1E-9,E772-F772,0)</f>
        <v/>
      </c>
      <c r="H772">
        <f>G771*$G$51</f>
        <v/>
      </c>
      <c r="I772">
        <f>IF(K771&gt;0,MAX(0,K771*(1+$G$52)-$H$52),0)</f>
        <v/>
      </c>
      <c r="J772">
        <f>MAX(0,F772-E772)</f>
        <v/>
      </c>
      <c r="K772">
        <f>IF(I772-J772&gt;1E-9,I772-J772,0)</f>
        <v/>
      </c>
      <c r="L772">
        <f>K771*$G$52</f>
        <v/>
      </c>
      <c r="M772">
        <f>IF(O771&gt;0,MAX(0,O771*(1+$G$53)-$H$53),0)</f>
        <v/>
      </c>
      <c r="N772">
        <f>MAX(0,J772-I772)</f>
        <v/>
      </c>
      <c r="O772">
        <f>IF(M772-N772&gt;1E-9,M772-N772,0)</f>
        <v/>
      </c>
      <c r="P772">
        <f>O771*$G$53</f>
        <v/>
      </c>
      <c r="Q772">
        <f>IF(S771&gt;0,MAX(0,S771*(1+$G$54)-$H$54),0)</f>
        <v/>
      </c>
      <c r="R772">
        <f>MAX(0,N772-M772)</f>
        <v/>
      </c>
      <c r="S772">
        <f>IF(Q772-R772&gt;1E-9,Q772-R772,0)</f>
        <v/>
      </c>
      <c r="T772">
        <f>S771*$G$54</f>
        <v/>
      </c>
      <c r="U772">
        <f>IF(W771&gt;0,MAX(0,W771*(1+$G$55)-$H$55),0)</f>
        <v/>
      </c>
      <c r="V772">
        <f>MAX(0,R772-Q772)</f>
        <v/>
      </c>
      <c r="W772">
        <f>IF(U772-V772&gt;1E-9,U772-V772,0)</f>
        <v/>
      </c>
      <c r="X772">
        <f>W771*$G$55</f>
        <v/>
      </c>
      <c r="Y772">
        <f>IF(Y771&gt;1E-9,IF(Y771*(1+$G$51)-MAX($B$9,0.01*Y771+Y771*$G$51)&gt;1E-9,Y771*(1+$G$51)-MAX($B$9,0.01*Y771+Y771*$G$51),0),0)</f>
        <v/>
      </c>
      <c r="Z772">
        <f>Y771*$G$51</f>
        <v/>
      </c>
      <c r="AA772">
        <f>IF(AA771&gt;1E-9,IF(AA771*(1+$G$52)-MAX($B$9,0.01*AA771+AA771*$G$52)&gt;1E-9,AA771*(1+$G$52)-MAX($B$9,0.01*AA771+AA771*$G$52),0),0)</f>
        <v/>
      </c>
      <c r="AB772">
        <f>AA771*$G$52</f>
        <v/>
      </c>
      <c r="AC772">
        <f>IF(AC771&gt;1E-9,IF(AC771*(1+$G$53)-MAX($B$9,0.01*AC771+AC771*$G$53)&gt;1E-9,AC771*(1+$G$53)-MAX($B$9,0.01*AC771+AC771*$G$53),0),0)</f>
        <v/>
      </c>
      <c r="AD772">
        <f>AC771*$G$53</f>
        <v/>
      </c>
      <c r="AE772">
        <f>IF(AE771&gt;1E-9,IF(AE771*(1+$G$54)-MAX($B$9,0.01*AE771+AE771*$G$54)&gt;1E-9,AE771*(1+$G$54)-MAX($B$9,0.01*AE771+AE771*$G$54),0),0)</f>
        <v/>
      </c>
      <c r="AF772">
        <f>AE771*$G$54</f>
        <v/>
      </c>
      <c r="AG772">
        <f>IF(AG771&gt;1E-9,IF(AG771*(1+$G$55)-MAX($B$9,0.01*AG771+AG771*$G$55)&gt;1E-9,AG771*(1+$G$55)-MAX($B$9,0.01*AG771+AG771*$G$55),0),0)</f>
        <v/>
      </c>
      <c r="AH772">
        <f>AG771*$G$55</f>
        <v/>
      </c>
      <c r="AI772">
        <f>G772+K772+O772+S772+W772</f>
        <v/>
      </c>
      <c r="AJ772">
        <f>AI771+AK772-AI772</f>
        <v/>
      </c>
      <c r="AK772">
        <f>H772+L772+P772+T772+X772</f>
        <v/>
      </c>
      <c r="AL772">
        <f>TEXT(EDATE($B$5,D772-1),"mmm yyyy")</f>
        <v/>
      </c>
      <c r="AM772">
        <f>AI772</f>
        <v/>
      </c>
    </row>
    <row r="773">
      <c r="D773" t="n">
        <v>712</v>
      </c>
      <c r="E773">
        <f>IF(G772&gt;0,MAX(0,G772*(1+$G$51)-$H$51),0)</f>
        <v/>
      </c>
      <c r="F773">
        <f>$B$6+IF($D773=$B$8,$B$7,0)</f>
        <v/>
      </c>
      <c r="G773">
        <f>IF(E773-F773&gt;1E-9,E773-F773,0)</f>
        <v/>
      </c>
      <c r="H773">
        <f>G772*$G$51</f>
        <v/>
      </c>
      <c r="I773">
        <f>IF(K772&gt;0,MAX(0,K772*(1+$G$52)-$H$52),0)</f>
        <v/>
      </c>
      <c r="J773">
        <f>MAX(0,F773-E773)</f>
        <v/>
      </c>
      <c r="K773">
        <f>IF(I773-J773&gt;1E-9,I773-J773,0)</f>
        <v/>
      </c>
      <c r="L773">
        <f>K772*$G$52</f>
        <v/>
      </c>
      <c r="M773">
        <f>IF(O772&gt;0,MAX(0,O772*(1+$G$53)-$H$53),0)</f>
        <v/>
      </c>
      <c r="N773">
        <f>MAX(0,J773-I773)</f>
        <v/>
      </c>
      <c r="O773">
        <f>IF(M773-N773&gt;1E-9,M773-N773,0)</f>
        <v/>
      </c>
      <c r="P773">
        <f>O772*$G$53</f>
        <v/>
      </c>
      <c r="Q773">
        <f>IF(S772&gt;0,MAX(0,S772*(1+$G$54)-$H$54),0)</f>
        <v/>
      </c>
      <c r="R773">
        <f>MAX(0,N773-M773)</f>
        <v/>
      </c>
      <c r="S773">
        <f>IF(Q773-R773&gt;1E-9,Q773-R773,0)</f>
        <v/>
      </c>
      <c r="T773">
        <f>S772*$G$54</f>
        <v/>
      </c>
      <c r="U773">
        <f>IF(W772&gt;0,MAX(0,W772*(1+$G$55)-$H$55),0)</f>
        <v/>
      </c>
      <c r="V773">
        <f>MAX(0,R773-Q773)</f>
        <v/>
      </c>
      <c r="W773">
        <f>IF(U773-V773&gt;1E-9,U773-V773,0)</f>
        <v/>
      </c>
      <c r="X773">
        <f>W772*$G$55</f>
        <v/>
      </c>
      <c r="Y773">
        <f>IF(Y772&gt;1E-9,IF(Y772*(1+$G$51)-MAX($B$9,0.01*Y772+Y772*$G$51)&gt;1E-9,Y772*(1+$G$51)-MAX($B$9,0.01*Y772+Y772*$G$51),0),0)</f>
        <v/>
      </c>
      <c r="Z773">
        <f>Y772*$G$51</f>
        <v/>
      </c>
      <c r="AA773">
        <f>IF(AA772&gt;1E-9,IF(AA772*(1+$G$52)-MAX($B$9,0.01*AA772+AA772*$G$52)&gt;1E-9,AA772*(1+$G$52)-MAX($B$9,0.01*AA772+AA772*$G$52),0),0)</f>
        <v/>
      </c>
      <c r="AB773">
        <f>AA772*$G$52</f>
        <v/>
      </c>
      <c r="AC773">
        <f>IF(AC772&gt;1E-9,IF(AC772*(1+$G$53)-MAX($B$9,0.01*AC772+AC772*$G$53)&gt;1E-9,AC772*(1+$G$53)-MAX($B$9,0.01*AC772+AC772*$G$53),0),0)</f>
        <v/>
      </c>
      <c r="AD773">
        <f>AC772*$G$53</f>
        <v/>
      </c>
      <c r="AE773">
        <f>IF(AE772&gt;1E-9,IF(AE772*(1+$G$54)-MAX($B$9,0.01*AE772+AE772*$G$54)&gt;1E-9,AE772*(1+$G$54)-MAX($B$9,0.01*AE772+AE772*$G$54),0),0)</f>
        <v/>
      </c>
      <c r="AF773">
        <f>AE772*$G$54</f>
        <v/>
      </c>
      <c r="AG773">
        <f>IF(AG772&gt;1E-9,IF(AG772*(1+$G$55)-MAX($B$9,0.01*AG772+AG772*$G$55)&gt;1E-9,AG772*(1+$G$55)-MAX($B$9,0.01*AG772+AG772*$G$55),0),0)</f>
        <v/>
      </c>
      <c r="AH773">
        <f>AG772*$G$55</f>
        <v/>
      </c>
      <c r="AI773">
        <f>G773+K773+O773+S773+W773</f>
        <v/>
      </c>
      <c r="AJ773">
        <f>AI772+AK773-AI773</f>
        <v/>
      </c>
      <c r="AK773">
        <f>H773+L773+P773+T773+X773</f>
        <v/>
      </c>
      <c r="AL773">
        <f>TEXT(EDATE($B$5,D773-1),"mmm yyyy")</f>
        <v/>
      </c>
      <c r="AM773">
        <f>AI773</f>
        <v/>
      </c>
    </row>
    <row r="774">
      <c r="D774" t="n">
        <v>713</v>
      </c>
      <c r="E774">
        <f>IF(G773&gt;0,MAX(0,G773*(1+$G$51)-$H$51),0)</f>
        <v/>
      </c>
      <c r="F774">
        <f>$B$6+IF($D774=$B$8,$B$7,0)</f>
        <v/>
      </c>
      <c r="G774">
        <f>IF(E774-F774&gt;1E-9,E774-F774,0)</f>
        <v/>
      </c>
      <c r="H774">
        <f>G773*$G$51</f>
        <v/>
      </c>
      <c r="I774">
        <f>IF(K773&gt;0,MAX(0,K773*(1+$G$52)-$H$52),0)</f>
        <v/>
      </c>
      <c r="J774">
        <f>MAX(0,F774-E774)</f>
        <v/>
      </c>
      <c r="K774">
        <f>IF(I774-J774&gt;1E-9,I774-J774,0)</f>
        <v/>
      </c>
      <c r="L774">
        <f>K773*$G$52</f>
        <v/>
      </c>
      <c r="M774">
        <f>IF(O773&gt;0,MAX(0,O773*(1+$G$53)-$H$53),0)</f>
        <v/>
      </c>
      <c r="N774">
        <f>MAX(0,J774-I774)</f>
        <v/>
      </c>
      <c r="O774">
        <f>IF(M774-N774&gt;1E-9,M774-N774,0)</f>
        <v/>
      </c>
      <c r="P774">
        <f>O773*$G$53</f>
        <v/>
      </c>
      <c r="Q774">
        <f>IF(S773&gt;0,MAX(0,S773*(1+$G$54)-$H$54),0)</f>
        <v/>
      </c>
      <c r="R774">
        <f>MAX(0,N774-M774)</f>
        <v/>
      </c>
      <c r="S774">
        <f>IF(Q774-R774&gt;1E-9,Q774-R774,0)</f>
        <v/>
      </c>
      <c r="T774">
        <f>S773*$G$54</f>
        <v/>
      </c>
      <c r="U774">
        <f>IF(W773&gt;0,MAX(0,W773*(1+$G$55)-$H$55),0)</f>
        <v/>
      </c>
      <c r="V774">
        <f>MAX(0,R774-Q774)</f>
        <v/>
      </c>
      <c r="W774">
        <f>IF(U774-V774&gt;1E-9,U774-V774,0)</f>
        <v/>
      </c>
      <c r="X774">
        <f>W773*$G$55</f>
        <v/>
      </c>
      <c r="Y774">
        <f>IF(Y773&gt;1E-9,IF(Y773*(1+$G$51)-MAX($B$9,0.01*Y773+Y773*$G$51)&gt;1E-9,Y773*(1+$G$51)-MAX($B$9,0.01*Y773+Y773*$G$51),0),0)</f>
        <v/>
      </c>
      <c r="Z774">
        <f>Y773*$G$51</f>
        <v/>
      </c>
      <c r="AA774">
        <f>IF(AA773&gt;1E-9,IF(AA773*(1+$G$52)-MAX($B$9,0.01*AA773+AA773*$G$52)&gt;1E-9,AA773*(1+$G$52)-MAX($B$9,0.01*AA773+AA773*$G$52),0),0)</f>
        <v/>
      </c>
      <c r="AB774">
        <f>AA773*$G$52</f>
        <v/>
      </c>
      <c r="AC774">
        <f>IF(AC773&gt;1E-9,IF(AC773*(1+$G$53)-MAX($B$9,0.01*AC773+AC773*$G$53)&gt;1E-9,AC773*(1+$G$53)-MAX($B$9,0.01*AC773+AC773*$G$53),0),0)</f>
        <v/>
      </c>
      <c r="AD774">
        <f>AC773*$G$53</f>
        <v/>
      </c>
      <c r="AE774">
        <f>IF(AE773&gt;1E-9,IF(AE773*(1+$G$54)-MAX($B$9,0.01*AE773+AE773*$G$54)&gt;1E-9,AE773*(1+$G$54)-MAX($B$9,0.01*AE773+AE773*$G$54),0),0)</f>
        <v/>
      </c>
      <c r="AF774">
        <f>AE773*$G$54</f>
        <v/>
      </c>
      <c r="AG774">
        <f>IF(AG773&gt;1E-9,IF(AG773*(1+$G$55)-MAX($B$9,0.01*AG773+AG773*$G$55)&gt;1E-9,AG773*(1+$G$55)-MAX($B$9,0.01*AG773+AG773*$G$55),0),0)</f>
        <v/>
      </c>
      <c r="AH774">
        <f>AG773*$G$55</f>
        <v/>
      </c>
      <c r="AI774">
        <f>G774+K774+O774+S774+W774</f>
        <v/>
      </c>
      <c r="AJ774">
        <f>AI773+AK774-AI774</f>
        <v/>
      </c>
      <c r="AK774">
        <f>H774+L774+P774+T774+X774</f>
        <v/>
      </c>
      <c r="AL774">
        <f>TEXT(EDATE($B$5,D774-1),"mmm yyyy")</f>
        <v/>
      </c>
      <c r="AM774">
        <f>AI774</f>
        <v/>
      </c>
    </row>
    <row r="775">
      <c r="D775" t="n">
        <v>714</v>
      </c>
      <c r="E775">
        <f>IF(G774&gt;0,MAX(0,G774*(1+$G$51)-$H$51),0)</f>
        <v/>
      </c>
      <c r="F775">
        <f>$B$6+IF($D775=$B$8,$B$7,0)</f>
        <v/>
      </c>
      <c r="G775">
        <f>IF(E775-F775&gt;1E-9,E775-F775,0)</f>
        <v/>
      </c>
      <c r="H775">
        <f>G774*$G$51</f>
        <v/>
      </c>
      <c r="I775">
        <f>IF(K774&gt;0,MAX(0,K774*(1+$G$52)-$H$52),0)</f>
        <v/>
      </c>
      <c r="J775">
        <f>MAX(0,F775-E775)</f>
        <v/>
      </c>
      <c r="K775">
        <f>IF(I775-J775&gt;1E-9,I775-J775,0)</f>
        <v/>
      </c>
      <c r="L775">
        <f>K774*$G$52</f>
        <v/>
      </c>
      <c r="M775">
        <f>IF(O774&gt;0,MAX(0,O774*(1+$G$53)-$H$53),0)</f>
        <v/>
      </c>
      <c r="N775">
        <f>MAX(0,J775-I775)</f>
        <v/>
      </c>
      <c r="O775">
        <f>IF(M775-N775&gt;1E-9,M775-N775,0)</f>
        <v/>
      </c>
      <c r="P775">
        <f>O774*$G$53</f>
        <v/>
      </c>
      <c r="Q775">
        <f>IF(S774&gt;0,MAX(0,S774*(1+$G$54)-$H$54),0)</f>
        <v/>
      </c>
      <c r="R775">
        <f>MAX(0,N775-M775)</f>
        <v/>
      </c>
      <c r="S775">
        <f>IF(Q775-R775&gt;1E-9,Q775-R775,0)</f>
        <v/>
      </c>
      <c r="T775">
        <f>S774*$G$54</f>
        <v/>
      </c>
      <c r="U775">
        <f>IF(W774&gt;0,MAX(0,W774*(1+$G$55)-$H$55),0)</f>
        <v/>
      </c>
      <c r="V775">
        <f>MAX(0,R775-Q775)</f>
        <v/>
      </c>
      <c r="W775">
        <f>IF(U775-V775&gt;1E-9,U775-V775,0)</f>
        <v/>
      </c>
      <c r="X775">
        <f>W774*$G$55</f>
        <v/>
      </c>
      <c r="Y775">
        <f>IF(Y774&gt;1E-9,IF(Y774*(1+$G$51)-MAX($B$9,0.01*Y774+Y774*$G$51)&gt;1E-9,Y774*(1+$G$51)-MAX($B$9,0.01*Y774+Y774*$G$51),0),0)</f>
        <v/>
      </c>
      <c r="Z775">
        <f>Y774*$G$51</f>
        <v/>
      </c>
      <c r="AA775">
        <f>IF(AA774&gt;1E-9,IF(AA774*(1+$G$52)-MAX($B$9,0.01*AA774+AA774*$G$52)&gt;1E-9,AA774*(1+$G$52)-MAX($B$9,0.01*AA774+AA774*$G$52),0),0)</f>
        <v/>
      </c>
      <c r="AB775">
        <f>AA774*$G$52</f>
        <v/>
      </c>
      <c r="AC775">
        <f>IF(AC774&gt;1E-9,IF(AC774*(1+$G$53)-MAX($B$9,0.01*AC774+AC774*$G$53)&gt;1E-9,AC774*(1+$G$53)-MAX($B$9,0.01*AC774+AC774*$G$53),0),0)</f>
        <v/>
      </c>
      <c r="AD775">
        <f>AC774*$G$53</f>
        <v/>
      </c>
      <c r="AE775">
        <f>IF(AE774&gt;1E-9,IF(AE774*(1+$G$54)-MAX($B$9,0.01*AE774+AE774*$G$54)&gt;1E-9,AE774*(1+$G$54)-MAX($B$9,0.01*AE774+AE774*$G$54),0),0)</f>
        <v/>
      </c>
      <c r="AF775">
        <f>AE774*$G$54</f>
        <v/>
      </c>
      <c r="AG775">
        <f>IF(AG774&gt;1E-9,IF(AG774*(1+$G$55)-MAX($B$9,0.01*AG774+AG774*$G$55)&gt;1E-9,AG774*(1+$G$55)-MAX($B$9,0.01*AG774+AG774*$G$55),0),0)</f>
        <v/>
      </c>
      <c r="AH775">
        <f>AG774*$G$55</f>
        <v/>
      </c>
      <c r="AI775">
        <f>G775+K775+O775+S775+W775</f>
        <v/>
      </c>
      <c r="AJ775">
        <f>AI774+AK775-AI775</f>
        <v/>
      </c>
      <c r="AK775">
        <f>H775+L775+P775+T775+X775</f>
        <v/>
      </c>
      <c r="AL775">
        <f>TEXT(EDATE($B$5,D775-1),"mmm yyyy")</f>
        <v/>
      </c>
      <c r="AM775">
        <f>AI775</f>
        <v/>
      </c>
    </row>
    <row r="776">
      <c r="D776" t="n">
        <v>715</v>
      </c>
      <c r="E776">
        <f>IF(G775&gt;0,MAX(0,G775*(1+$G$51)-$H$51),0)</f>
        <v/>
      </c>
      <c r="F776">
        <f>$B$6+IF($D776=$B$8,$B$7,0)</f>
        <v/>
      </c>
      <c r="G776">
        <f>IF(E776-F776&gt;1E-9,E776-F776,0)</f>
        <v/>
      </c>
      <c r="H776">
        <f>G775*$G$51</f>
        <v/>
      </c>
      <c r="I776">
        <f>IF(K775&gt;0,MAX(0,K775*(1+$G$52)-$H$52),0)</f>
        <v/>
      </c>
      <c r="J776">
        <f>MAX(0,F776-E776)</f>
        <v/>
      </c>
      <c r="K776">
        <f>IF(I776-J776&gt;1E-9,I776-J776,0)</f>
        <v/>
      </c>
      <c r="L776">
        <f>K775*$G$52</f>
        <v/>
      </c>
      <c r="M776">
        <f>IF(O775&gt;0,MAX(0,O775*(1+$G$53)-$H$53),0)</f>
        <v/>
      </c>
      <c r="N776">
        <f>MAX(0,J776-I776)</f>
        <v/>
      </c>
      <c r="O776">
        <f>IF(M776-N776&gt;1E-9,M776-N776,0)</f>
        <v/>
      </c>
      <c r="P776">
        <f>O775*$G$53</f>
        <v/>
      </c>
      <c r="Q776">
        <f>IF(S775&gt;0,MAX(0,S775*(1+$G$54)-$H$54),0)</f>
        <v/>
      </c>
      <c r="R776">
        <f>MAX(0,N776-M776)</f>
        <v/>
      </c>
      <c r="S776">
        <f>IF(Q776-R776&gt;1E-9,Q776-R776,0)</f>
        <v/>
      </c>
      <c r="T776">
        <f>S775*$G$54</f>
        <v/>
      </c>
      <c r="U776">
        <f>IF(W775&gt;0,MAX(0,W775*(1+$G$55)-$H$55),0)</f>
        <v/>
      </c>
      <c r="V776">
        <f>MAX(0,R776-Q776)</f>
        <v/>
      </c>
      <c r="W776">
        <f>IF(U776-V776&gt;1E-9,U776-V776,0)</f>
        <v/>
      </c>
      <c r="X776">
        <f>W775*$G$55</f>
        <v/>
      </c>
      <c r="Y776">
        <f>IF(Y775&gt;1E-9,IF(Y775*(1+$G$51)-MAX($B$9,0.01*Y775+Y775*$G$51)&gt;1E-9,Y775*(1+$G$51)-MAX($B$9,0.01*Y775+Y775*$G$51),0),0)</f>
        <v/>
      </c>
      <c r="Z776">
        <f>Y775*$G$51</f>
        <v/>
      </c>
      <c r="AA776">
        <f>IF(AA775&gt;1E-9,IF(AA775*(1+$G$52)-MAX($B$9,0.01*AA775+AA775*$G$52)&gt;1E-9,AA775*(1+$G$52)-MAX($B$9,0.01*AA775+AA775*$G$52),0),0)</f>
        <v/>
      </c>
      <c r="AB776">
        <f>AA775*$G$52</f>
        <v/>
      </c>
      <c r="AC776">
        <f>IF(AC775&gt;1E-9,IF(AC775*(1+$G$53)-MAX($B$9,0.01*AC775+AC775*$G$53)&gt;1E-9,AC775*(1+$G$53)-MAX($B$9,0.01*AC775+AC775*$G$53),0),0)</f>
        <v/>
      </c>
      <c r="AD776">
        <f>AC775*$G$53</f>
        <v/>
      </c>
      <c r="AE776">
        <f>IF(AE775&gt;1E-9,IF(AE775*(1+$G$54)-MAX($B$9,0.01*AE775+AE775*$G$54)&gt;1E-9,AE775*(1+$G$54)-MAX($B$9,0.01*AE775+AE775*$G$54),0),0)</f>
        <v/>
      </c>
      <c r="AF776">
        <f>AE775*$G$54</f>
        <v/>
      </c>
      <c r="AG776">
        <f>IF(AG775&gt;1E-9,IF(AG775*(1+$G$55)-MAX($B$9,0.01*AG775+AG775*$G$55)&gt;1E-9,AG775*(1+$G$55)-MAX($B$9,0.01*AG775+AG775*$G$55),0),0)</f>
        <v/>
      </c>
      <c r="AH776">
        <f>AG775*$G$55</f>
        <v/>
      </c>
      <c r="AI776">
        <f>G776+K776+O776+S776+W776</f>
        <v/>
      </c>
      <c r="AJ776">
        <f>AI775+AK776-AI776</f>
        <v/>
      </c>
      <c r="AK776">
        <f>H776+L776+P776+T776+X776</f>
        <v/>
      </c>
      <c r="AL776">
        <f>TEXT(EDATE($B$5,D776-1),"mmm yyyy")</f>
        <v/>
      </c>
      <c r="AM776">
        <f>AI776</f>
        <v/>
      </c>
    </row>
    <row r="777">
      <c r="D777" t="n">
        <v>716</v>
      </c>
      <c r="E777">
        <f>IF(G776&gt;0,MAX(0,G776*(1+$G$51)-$H$51),0)</f>
        <v/>
      </c>
      <c r="F777">
        <f>$B$6+IF($D777=$B$8,$B$7,0)</f>
        <v/>
      </c>
      <c r="G777">
        <f>IF(E777-F777&gt;1E-9,E777-F777,0)</f>
        <v/>
      </c>
      <c r="H777">
        <f>G776*$G$51</f>
        <v/>
      </c>
      <c r="I777">
        <f>IF(K776&gt;0,MAX(0,K776*(1+$G$52)-$H$52),0)</f>
        <v/>
      </c>
      <c r="J777">
        <f>MAX(0,F777-E777)</f>
        <v/>
      </c>
      <c r="K777">
        <f>IF(I777-J777&gt;1E-9,I777-J777,0)</f>
        <v/>
      </c>
      <c r="L777">
        <f>K776*$G$52</f>
        <v/>
      </c>
      <c r="M777">
        <f>IF(O776&gt;0,MAX(0,O776*(1+$G$53)-$H$53),0)</f>
        <v/>
      </c>
      <c r="N777">
        <f>MAX(0,J777-I777)</f>
        <v/>
      </c>
      <c r="O777">
        <f>IF(M777-N777&gt;1E-9,M777-N777,0)</f>
        <v/>
      </c>
      <c r="P777">
        <f>O776*$G$53</f>
        <v/>
      </c>
      <c r="Q777">
        <f>IF(S776&gt;0,MAX(0,S776*(1+$G$54)-$H$54),0)</f>
        <v/>
      </c>
      <c r="R777">
        <f>MAX(0,N777-M777)</f>
        <v/>
      </c>
      <c r="S777">
        <f>IF(Q777-R777&gt;1E-9,Q777-R777,0)</f>
        <v/>
      </c>
      <c r="T777">
        <f>S776*$G$54</f>
        <v/>
      </c>
      <c r="U777">
        <f>IF(W776&gt;0,MAX(0,W776*(1+$G$55)-$H$55),0)</f>
        <v/>
      </c>
      <c r="V777">
        <f>MAX(0,R777-Q777)</f>
        <v/>
      </c>
      <c r="W777">
        <f>IF(U777-V777&gt;1E-9,U777-V777,0)</f>
        <v/>
      </c>
      <c r="X777">
        <f>W776*$G$55</f>
        <v/>
      </c>
      <c r="Y777">
        <f>IF(Y776&gt;1E-9,IF(Y776*(1+$G$51)-MAX($B$9,0.01*Y776+Y776*$G$51)&gt;1E-9,Y776*(1+$G$51)-MAX($B$9,0.01*Y776+Y776*$G$51),0),0)</f>
        <v/>
      </c>
      <c r="Z777">
        <f>Y776*$G$51</f>
        <v/>
      </c>
      <c r="AA777">
        <f>IF(AA776&gt;1E-9,IF(AA776*(1+$G$52)-MAX($B$9,0.01*AA776+AA776*$G$52)&gt;1E-9,AA776*(1+$G$52)-MAX($B$9,0.01*AA776+AA776*$G$52),0),0)</f>
        <v/>
      </c>
      <c r="AB777">
        <f>AA776*$G$52</f>
        <v/>
      </c>
      <c r="AC777">
        <f>IF(AC776&gt;1E-9,IF(AC776*(1+$G$53)-MAX($B$9,0.01*AC776+AC776*$G$53)&gt;1E-9,AC776*(1+$G$53)-MAX($B$9,0.01*AC776+AC776*$G$53),0),0)</f>
        <v/>
      </c>
      <c r="AD777">
        <f>AC776*$G$53</f>
        <v/>
      </c>
      <c r="AE777">
        <f>IF(AE776&gt;1E-9,IF(AE776*(1+$G$54)-MAX($B$9,0.01*AE776+AE776*$G$54)&gt;1E-9,AE776*(1+$G$54)-MAX($B$9,0.01*AE776+AE776*$G$54),0),0)</f>
        <v/>
      </c>
      <c r="AF777">
        <f>AE776*$G$54</f>
        <v/>
      </c>
      <c r="AG777">
        <f>IF(AG776&gt;1E-9,IF(AG776*(1+$G$55)-MAX($B$9,0.01*AG776+AG776*$G$55)&gt;1E-9,AG776*(1+$G$55)-MAX($B$9,0.01*AG776+AG776*$G$55),0),0)</f>
        <v/>
      </c>
      <c r="AH777">
        <f>AG776*$G$55</f>
        <v/>
      </c>
      <c r="AI777">
        <f>G777+K777+O777+S777+W777</f>
        <v/>
      </c>
      <c r="AJ777">
        <f>AI776+AK777-AI777</f>
        <v/>
      </c>
      <c r="AK777">
        <f>H777+L777+P777+T777+X777</f>
        <v/>
      </c>
      <c r="AL777">
        <f>TEXT(EDATE($B$5,D777-1),"mmm yyyy")</f>
        <v/>
      </c>
      <c r="AM777">
        <f>AI777</f>
        <v/>
      </c>
    </row>
    <row r="778">
      <c r="D778" t="n">
        <v>717</v>
      </c>
      <c r="E778">
        <f>IF(G777&gt;0,MAX(0,G777*(1+$G$51)-$H$51),0)</f>
        <v/>
      </c>
      <c r="F778">
        <f>$B$6+IF($D778=$B$8,$B$7,0)</f>
        <v/>
      </c>
      <c r="G778">
        <f>IF(E778-F778&gt;1E-9,E778-F778,0)</f>
        <v/>
      </c>
      <c r="H778">
        <f>G777*$G$51</f>
        <v/>
      </c>
      <c r="I778">
        <f>IF(K777&gt;0,MAX(0,K777*(1+$G$52)-$H$52),0)</f>
        <v/>
      </c>
      <c r="J778">
        <f>MAX(0,F778-E778)</f>
        <v/>
      </c>
      <c r="K778">
        <f>IF(I778-J778&gt;1E-9,I778-J778,0)</f>
        <v/>
      </c>
      <c r="L778">
        <f>K777*$G$52</f>
        <v/>
      </c>
      <c r="M778">
        <f>IF(O777&gt;0,MAX(0,O777*(1+$G$53)-$H$53),0)</f>
        <v/>
      </c>
      <c r="N778">
        <f>MAX(0,J778-I778)</f>
        <v/>
      </c>
      <c r="O778">
        <f>IF(M778-N778&gt;1E-9,M778-N778,0)</f>
        <v/>
      </c>
      <c r="P778">
        <f>O777*$G$53</f>
        <v/>
      </c>
      <c r="Q778">
        <f>IF(S777&gt;0,MAX(0,S777*(1+$G$54)-$H$54),0)</f>
        <v/>
      </c>
      <c r="R778">
        <f>MAX(0,N778-M778)</f>
        <v/>
      </c>
      <c r="S778">
        <f>IF(Q778-R778&gt;1E-9,Q778-R778,0)</f>
        <v/>
      </c>
      <c r="T778">
        <f>S777*$G$54</f>
        <v/>
      </c>
      <c r="U778">
        <f>IF(W777&gt;0,MAX(0,W777*(1+$G$55)-$H$55),0)</f>
        <v/>
      </c>
      <c r="V778">
        <f>MAX(0,R778-Q778)</f>
        <v/>
      </c>
      <c r="W778">
        <f>IF(U778-V778&gt;1E-9,U778-V778,0)</f>
        <v/>
      </c>
      <c r="X778">
        <f>W777*$G$55</f>
        <v/>
      </c>
      <c r="Y778">
        <f>IF(Y777&gt;1E-9,IF(Y777*(1+$G$51)-MAX($B$9,0.01*Y777+Y777*$G$51)&gt;1E-9,Y777*(1+$G$51)-MAX($B$9,0.01*Y777+Y777*$G$51),0),0)</f>
        <v/>
      </c>
      <c r="Z778">
        <f>Y777*$G$51</f>
        <v/>
      </c>
      <c r="AA778">
        <f>IF(AA777&gt;1E-9,IF(AA777*(1+$G$52)-MAX($B$9,0.01*AA777+AA777*$G$52)&gt;1E-9,AA777*(1+$G$52)-MAX($B$9,0.01*AA777+AA777*$G$52),0),0)</f>
        <v/>
      </c>
      <c r="AB778">
        <f>AA777*$G$52</f>
        <v/>
      </c>
      <c r="AC778">
        <f>IF(AC777&gt;1E-9,IF(AC777*(1+$G$53)-MAX($B$9,0.01*AC777+AC777*$G$53)&gt;1E-9,AC777*(1+$G$53)-MAX($B$9,0.01*AC777+AC777*$G$53),0),0)</f>
        <v/>
      </c>
      <c r="AD778">
        <f>AC777*$G$53</f>
        <v/>
      </c>
      <c r="AE778">
        <f>IF(AE777&gt;1E-9,IF(AE777*(1+$G$54)-MAX($B$9,0.01*AE777+AE777*$G$54)&gt;1E-9,AE777*(1+$G$54)-MAX($B$9,0.01*AE777+AE777*$G$54),0),0)</f>
        <v/>
      </c>
      <c r="AF778">
        <f>AE777*$G$54</f>
        <v/>
      </c>
      <c r="AG778">
        <f>IF(AG777&gt;1E-9,IF(AG777*(1+$G$55)-MAX($B$9,0.01*AG777+AG777*$G$55)&gt;1E-9,AG777*(1+$G$55)-MAX($B$9,0.01*AG777+AG777*$G$55),0),0)</f>
        <v/>
      </c>
      <c r="AH778">
        <f>AG777*$G$55</f>
        <v/>
      </c>
      <c r="AI778">
        <f>G778+K778+O778+S778+W778</f>
        <v/>
      </c>
      <c r="AJ778">
        <f>AI777+AK778-AI778</f>
        <v/>
      </c>
      <c r="AK778">
        <f>H778+L778+P778+T778+X778</f>
        <v/>
      </c>
      <c r="AL778">
        <f>TEXT(EDATE($B$5,D778-1),"mmm yyyy")</f>
        <v/>
      </c>
      <c r="AM778">
        <f>AI778</f>
        <v/>
      </c>
    </row>
    <row r="779">
      <c r="D779" t="n">
        <v>718</v>
      </c>
      <c r="E779">
        <f>IF(G778&gt;0,MAX(0,G778*(1+$G$51)-$H$51),0)</f>
        <v/>
      </c>
      <c r="F779">
        <f>$B$6+IF($D779=$B$8,$B$7,0)</f>
        <v/>
      </c>
      <c r="G779">
        <f>IF(E779-F779&gt;1E-9,E779-F779,0)</f>
        <v/>
      </c>
      <c r="H779">
        <f>G778*$G$51</f>
        <v/>
      </c>
      <c r="I779">
        <f>IF(K778&gt;0,MAX(0,K778*(1+$G$52)-$H$52),0)</f>
        <v/>
      </c>
      <c r="J779">
        <f>MAX(0,F779-E779)</f>
        <v/>
      </c>
      <c r="K779">
        <f>IF(I779-J779&gt;1E-9,I779-J779,0)</f>
        <v/>
      </c>
      <c r="L779">
        <f>K778*$G$52</f>
        <v/>
      </c>
      <c r="M779">
        <f>IF(O778&gt;0,MAX(0,O778*(1+$G$53)-$H$53),0)</f>
        <v/>
      </c>
      <c r="N779">
        <f>MAX(0,J779-I779)</f>
        <v/>
      </c>
      <c r="O779">
        <f>IF(M779-N779&gt;1E-9,M779-N779,0)</f>
        <v/>
      </c>
      <c r="P779">
        <f>O778*$G$53</f>
        <v/>
      </c>
      <c r="Q779">
        <f>IF(S778&gt;0,MAX(0,S778*(1+$G$54)-$H$54),0)</f>
        <v/>
      </c>
      <c r="R779">
        <f>MAX(0,N779-M779)</f>
        <v/>
      </c>
      <c r="S779">
        <f>IF(Q779-R779&gt;1E-9,Q779-R779,0)</f>
        <v/>
      </c>
      <c r="T779">
        <f>S778*$G$54</f>
        <v/>
      </c>
      <c r="U779">
        <f>IF(W778&gt;0,MAX(0,W778*(1+$G$55)-$H$55),0)</f>
        <v/>
      </c>
      <c r="V779">
        <f>MAX(0,R779-Q779)</f>
        <v/>
      </c>
      <c r="W779">
        <f>IF(U779-V779&gt;1E-9,U779-V779,0)</f>
        <v/>
      </c>
      <c r="X779">
        <f>W778*$G$55</f>
        <v/>
      </c>
      <c r="Y779">
        <f>IF(Y778&gt;1E-9,IF(Y778*(1+$G$51)-MAX($B$9,0.01*Y778+Y778*$G$51)&gt;1E-9,Y778*(1+$G$51)-MAX($B$9,0.01*Y778+Y778*$G$51),0),0)</f>
        <v/>
      </c>
      <c r="Z779">
        <f>Y778*$G$51</f>
        <v/>
      </c>
      <c r="AA779">
        <f>IF(AA778&gt;1E-9,IF(AA778*(1+$G$52)-MAX($B$9,0.01*AA778+AA778*$G$52)&gt;1E-9,AA778*(1+$G$52)-MAX($B$9,0.01*AA778+AA778*$G$52),0),0)</f>
        <v/>
      </c>
      <c r="AB779">
        <f>AA778*$G$52</f>
        <v/>
      </c>
      <c r="AC779">
        <f>IF(AC778&gt;1E-9,IF(AC778*(1+$G$53)-MAX($B$9,0.01*AC778+AC778*$G$53)&gt;1E-9,AC778*(1+$G$53)-MAX($B$9,0.01*AC778+AC778*$G$53),0),0)</f>
        <v/>
      </c>
      <c r="AD779">
        <f>AC778*$G$53</f>
        <v/>
      </c>
      <c r="AE779">
        <f>IF(AE778&gt;1E-9,IF(AE778*(1+$G$54)-MAX($B$9,0.01*AE778+AE778*$G$54)&gt;1E-9,AE778*(1+$G$54)-MAX($B$9,0.01*AE778+AE778*$G$54),0),0)</f>
        <v/>
      </c>
      <c r="AF779">
        <f>AE778*$G$54</f>
        <v/>
      </c>
      <c r="AG779">
        <f>IF(AG778&gt;1E-9,IF(AG778*(1+$G$55)-MAX($B$9,0.01*AG778+AG778*$G$55)&gt;1E-9,AG778*(1+$G$55)-MAX($B$9,0.01*AG778+AG778*$G$55),0),0)</f>
        <v/>
      </c>
      <c r="AH779">
        <f>AG778*$G$55</f>
        <v/>
      </c>
      <c r="AI779">
        <f>G779+K779+O779+S779+W779</f>
        <v/>
      </c>
      <c r="AJ779">
        <f>AI778+AK779-AI779</f>
        <v/>
      </c>
      <c r="AK779">
        <f>H779+L779+P779+T779+X779</f>
        <v/>
      </c>
      <c r="AL779">
        <f>TEXT(EDATE($B$5,D779-1),"mmm yyyy")</f>
        <v/>
      </c>
      <c r="AM779">
        <f>AI779</f>
        <v/>
      </c>
    </row>
    <row r="780">
      <c r="D780" t="n">
        <v>719</v>
      </c>
      <c r="E780">
        <f>IF(G779&gt;0,MAX(0,G779*(1+$G$51)-$H$51),0)</f>
        <v/>
      </c>
      <c r="F780">
        <f>$B$6+IF($D780=$B$8,$B$7,0)</f>
        <v/>
      </c>
      <c r="G780">
        <f>IF(E780-F780&gt;1E-9,E780-F780,0)</f>
        <v/>
      </c>
      <c r="H780">
        <f>G779*$G$51</f>
        <v/>
      </c>
      <c r="I780">
        <f>IF(K779&gt;0,MAX(0,K779*(1+$G$52)-$H$52),0)</f>
        <v/>
      </c>
      <c r="J780">
        <f>MAX(0,F780-E780)</f>
        <v/>
      </c>
      <c r="K780">
        <f>IF(I780-J780&gt;1E-9,I780-J780,0)</f>
        <v/>
      </c>
      <c r="L780">
        <f>K779*$G$52</f>
        <v/>
      </c>
      <c r="M780">
        <f>IF(O779&gt;0,MAX(0,O779*(1+$G$53)-$H$53),0)</f>
        <v/>
      </c>
      <c r="N780">
        <f>MAX(0,J780-I780)</f>
        <v/>
      </c>
      <c r="O780">
        <f>IF(M780-N780&gt;1E-9,M780-N780,0)</f>
        <v/>
      </c>
      <c r="P780">
        <f>O779*$G$53</f>
        <v/>
      </c>
      <c r="Q780">
        <f>IF(S779&gt;0,MAX(0,S779*(1+$G$54)-$H$54),0)</f>
        <v/>
      </c>
      <c r="R780">
        <f>MAX(0,N780-M780)</f>
        <v/>
      </c>
      <c r="S780">
        <f>IF(Q780-R780&gt;1E-9,Q780-R780,0)</f>
        <v/>
      </c>
      <c r="T780">
        <f>S779*$G$54</f>
        <v/>
      </c>
      <c r="U780">
        <f>IF(W779&gt;0,MAX(0,W779*(1+$G$55)-$H$55),0)</f>
        <v/>
      </c>
      <c r="V780">
        <f>MAX(0,R780-Q780)</f>
        <v/>
      </c>
      <c r="W780">
        <f>IF(U780-V780&gt;1E-9,U780-V780,0)</f>
        <v/>
      </c>
      <c r="X780">
        <f>W779*$G$55</f>
        <v/>
      </c>
      <c r="Y780">
        <f>IF(Y779&gt;1E-9,IF(Y779*(1+$G$51)-MAX($B$9,0.01*Y779+Y779*$G$51)&gt;1E-9,Y779*(1+$G$51)-MAX($B$9,0.01*Y779+Y779*$G$51),0),0)</f>
        <v/>
      </c>
      <c r="Z780">
        <f>Y779*$G$51</f>
        <v/>
      </c>
      <c r="AA780">
        <f>IF(AA779&gt;1E-9,IF(AA779*(1+$G$52)-MAX($B$9,0.01*AA779+AA779*$G$52)&gt;1E-9,AA779*(1+$G$52)-MAX($B$9,0.01*AA779+AA779*$G$52),0),0)</f>
        <v/>
      </c>
      <c r="AB780">
        <f>AA779*$G$52</f>
        <v/>
      </c>
      <c r="AC780">
        <f>IF(AC779&gt;1E-9,IF(AC779*(1+$G$53)-MAX($B$9,0.01*AC779+AC779*$G$53)&gt;1E-9,AC779*(1+$G$53)-MAX($B$9,0.01*AC779+AC779*$G$53),0),0)</f>
        <v/>
      </c>
      <c r="AD780">
        <f>AC779*$G$53</f>
        <v/>
      </c>
      <c r="AE780">
        <f>IF(AE779&gt;1E-9,IF(AE779*(1+$G$54)-MAX($B$9,0.01*AE779+AE779*$G$54)&gt;1E-9,AE779*(1+$G$54)-MAX($B$9,0.01*AE779+AE779*$G$54),0),0)</f>
        <v/>
      </c>
      <c r="AF780">
        <f>AE779*$G$54</f>
        <v/>
      </c>
      <c r="AG780">
        <f>IF(AG779&gt;1E-9,IF(AG779*(1+$G$55)-MAX($B$9,0.01*AG779+AG779*$G$55)&gt;1E-9,AG779*(1+$G$55)-MAX($B$9,0.01*AG779+AG779*$G$55),0),0)</f>
        <v/>
      </c>
      <c r="AH780">
        <f>AG779*$G$55</f>
        <v/>
      </c>
      <c r="AI780">
        <f>G780+K780+O780+S780+W780</f>
        <v/>
      </c>
      <c r="AJ780">
        <f>AI779+AK780-AI780</f>
        <v/>
      </c>
      <c r="AK780">
        <f>H780+L780+P780+T780+X780</f>
        <v/>
      </c>
      <c r="AL780">
        <f>TEXT(EDATE($B$5,D780-1),"mmm yyyy")</f>
        <v/>
      </c>
      <c r="AM780">
        <f>AI780</f>
        <v/>
      </c>
    </row>
    <row r="781">
      <c r="D781" t="n">
        <v>720</v>
      </c>
      <c r="E781">
        <f>IF(G780&gt;0,MAX(0,G780*(1+$G$51)-$H$51),0)</f>
        <v/>
      </c>
      <c r="F781">
        <f>$B$6+IF($D781=$B$8,$B$7,0)</f>
        <v/>
      </c>
      <c r="G781">
        <f>IF(E781-F781&gt;1E-9,E781-F781,0)</f>
        <v/>
      </c>
      <c r="H781">
        <f>G780*$G$51</f>
        <v/>
      </c>
      <c r="I781">
        <f>IF(K780&gt;0,MAX(0,K780*(1+$G$52)-$H$52),0)</f>
        <v/>
      </c>
      <c r="J781">
        <f>MAX(0,F781-E781)</f>
        <v/>
      </c>
      <c r="K781">
        <f>IF(I781-J781&gt;1E-9,I781-J781,0)</f>
        <v/>
      </c>
      <c r="L781">
        <f>K780*$G$52</f>
        <v/>
      </c>
      <c r="M781">
        <f>IF(O780&gt;0,MAX(0,O780*(1+$G$53)-$H$53),0)</f>
        <v/>
      </c>
      <c r="N781">
        <f>MAX(0,J781-I781)</f>
        <v/>
      </c>
      <c r="O781">
        <f>IF(M781-N781&gt;1E-9,M781-N781,0)</f>
        <v/>
      </c>
      <c r="P781">
        <f>O780*$G$53</f>
        <v/>
      </c>
      <c r="Q781">
        <f>IF(S780&gt;0,MAX(0,S780*(1+$G$54)-$H$54),0)</f>
        <v/>
      </c>
      <c r="R781">
        <f>MAX(0,N781-M781)</f>
        <v/>
      </c>
      <c r="S781">
        <f>IF(Q781-R781&gt;1E-9,Q781-R781,0)</f>
        <v/>
      </c>
      <c r="T781">
        <f>S780*$G$54</f>
        <v/>
      </c>
      <c r="U781">
        <f>IF(W780&gt;0,MAX(0,W780*(1+$G$55)-$H$55),0)</f>
        <v/>
      </c>
      <c r="V781">
        <f>MAX(0,R781-Q781)</f>
        <v/>
      </c>
      <c r="W781">
        <f>IF(U781-V781&gt;1E-9,U781-V781,0)</f>
        <v/>
      </c>
      <c r="X781">
        <f>W780*$G$55</f>
        <v/>
      </c>
      <c r="Y781">
        <f>IF(Y780&gt;1E-9,IF(Y780*(1+$G$51)-MAX($B$9,0.01*Y780+Y780*$G$51)&gt;1E-9,Y780*(1+$G$51)-MAX($B$9,0.01*Y780+Y780*$G$51),0),0)</f>
        <v/>
      </c>
      <c r="Z781">
        <f>Y780*$G$51</f>
        <v/>
      </c>
      <c r="AA781">
        <f>IF(AA780&gt;1E-9,IF(AA780*(1+$G$52)-MAX($B$9,0.01*AA780+AA780*$G$52)&gt;1E-9,AA780*(1+$G$52)-MAX($B$9,0.01*AA780+AA780*$G$52),0),0)</f>
        <v/>
      </c>
      <c r="AB781">
        <f>AA780*$G$52</f>
        <v/>
      </c>
      <c r="AC781">
        <f>IF(AC780&gt;1E-9,IF(AC780*(1+$G$53)-MAX($B$9,0.01*AC780+AC780*$G$53)&gt;1E-9,AC780*(1+$G$53)-MAX($B$9,0.01*AC780+AC780*$G$53),0),0)</f>
        <v/>
      </c>
      <c r="AD781">
        <f>AC780*$G$53</f>
        <v/>
      </c>
      <c r="AE781">
        <f>IF(AE780&gt;1E-9,IF(AE780*(1+$G$54)-MAX($B$9,0.01*AE780+AE780*$G$54)&gt;1E-9,AE780*(1+$G$54)-MAX($B$9,0.01*AE780+AE780*$G$54),0),0)</f>
        <v/>
      </c>
      <c r="AF781">
        <f>AE780*$G$54</f>
        <v/>
      </c>
      <c r="AG781">
        <f>IF(AG780&gt;1E-9,IF(AG780*(1+$G$55)-MAX($B$9,0.01*AG780+AG780*$G$55)&gt;1E-9,AG780*(1+$G$55)-MAX($B$9,0.01*AG780+AG780*$G$55),0),0)</f>
        <v/>
      </c>
      <c r="AH781">
        <f>AG780*$G$55</f>
        <v/>
      </c>
      <c r="AI781">
        <f>G781+K781+O781+S781+W781</f>
        <v/>
      </c>
      <c r="AJ781">
        <f>AI780+AK781-AI781</f>
        <v/>
      </c>
      <c r="AK781">
        <f>H781+L781+P781+T781+X781</f>
        <v/>
      </c>
      <c r="AL781">
        <f>TEXT(EDATE($B$5,D781-1),"mmm yyyy")</f>
        <v/>
      </c>
      <c r="AM781">
        <f>AI781</f>
        <v/>
      </c>
    </row>
    <row r="782">
      <c r="D782" t="n">
        <v>721</v>
      </c>
      <c r="E782">
        <f>IF(G781&gt;0,MAX(0,G781*(1+$G$51)-$H$51),0)</f>
        <v/>
      </c>
      <c r="F782">
        <f>$B$6+IF($D782=$B$8,$B$7,0)</f>
        <v/>
      </c>
      <c r="G782">
        <f>IF(E782-F782&gt;1E-9,E782-F782,0)</f>
        <v/>
      </c>
      <c r="H782">
        <f>G781*$G$51</f>
        <v/>
      </c>
      <c r="I782">
        <f>IF(K781&gt;0,MAX(0,K781*(1+$G$52)-$H$52),0)</f>
        <v/>
      </c>
      <c r="J782">
        <f>MAX(0,F782-E782)</f>
        <v/>
      </c>
      <c r="K782">
        <f>IF(I782-J782&gt;1E-9,I782-J782,0)</f>
        <v/>
      </c>
      <c r="L782">
        <f>K781*$G$52</f>
        <v/>
      </c>
      <c r="M782">
        <f>IF(O781&gt;0,MAX(0,O781*(1+$G$53)-$H$53),0)</f>
        <v/>
      </c>
      <c r="N782">
        <f>MAX(0,J782-I782)</f>
        <v/>
      </c>
      <c r="O782">
        <f>IF(M782-N782&gt;1E-9,M782-N782,0)</f>
        <v/>
      </c>
      <c r="P782">
        <f>O781*$G$53</f>
        <v/>
      </c>
      <c r="Q782">
        <f>IF(S781&gt;0,MAX(0,S781*(1+$G$54)-$H$54),0)</f>
        <v/>
      </c>
      <c r="R782">
        <f>MAX(0,N782-M782)</f>
        <v/>
      </c>
      <c r="S782">
        <f>IF(Q782-R782&gt;1E-9,Q782-R782,0)</f>
        <v/>
      </c>
      <c r="T782">
        <f>S781*$G$54</f>
        <v/>
      </c>
      <c r="U782">
        <f>IF(W781&gt;0,MAX(0,W781*(1+$G$55)-$H$55),0)</f>
        <v/>
      </c>
      <c r="V782">
        <f>MAX(0,R782-Q782)</f>
        <v/>
      </c>
      <c r="W782">
        <f>IF(U782-V782&gt;1E-9,U782-V782,0)</f>
        <v/>
      </c>
      <c r="X782">
        <f>W781*$G$55</f>
        <v/>
      </c>
      <c r="Y782">
        <f>IF(Y781&gt;1E-9,IF(Y781*(1+$G$51)-MAX($B$9,0.01*Y781+Y781*$G$51)&gt;1E-9,Y781*(1+$G$51)-MAX($B$9,0.01*Y781+Y781*$G$51),0),0)</f>
        <v/>
      </c>
      <c r="Z782">
        <f>Y781*$G$51</f>
        <v/>
      </c>
      <c r="AA782">
        <f>IF(AA781&gt;1E-9,IF(AA781*(1+$G$52)-MAX($B$9,0.01*AA781+AA781*$G$52)&gt;1E-9,AA781*(1+$G$52)-MAX($B$9,0.01*AA781+AA781*$G$52),0),0)</f>
        <v/>
      </c>
      <c r="AB782">
        <f>AA781*$G$52</f>
        <v/>
      </c>
      <c r="AC782">
        <f>IF(AC781&gt;1E-9,IF(AC781*(1+$G$53)-MAX($B$9,0.01*AC781+AC781*$G$53)&gt;1E-9,AC781*(1+$G$53)-MAX($B$9,0.01*AC781+AC781*$G$53),0),0)</f>
        <v/>
      </c>
      <c r="AD782">
        <f>AC781*$G$53</f>
        <v/>
      </c>
      <c r="AE782">
        <f>IF(AE781&gt;1E-9,IF(AE781*(1+$G$54)-MAX($B$9,0.01*AE781+AE781*$G$54)&gt;1E-9,AE781*(1+$G$54)-MAX($B$9,0.01*AE781+AE781*$G$54),0),0)</f>
        <v/>
      </c>
      <c r="AF782">
        <f>AE781*$G$54</f>
        <v/>
      </c>
      <c r="AG782">
        <f>IF(AG781&gt;1E-9,IF(AG781*(1+$G$55)-MAX($B$9,0.01*AG781+AG781*$G$55)&gt;1E-9,AG781*(1+$G$55)-MAX($B$9,0.01*AG781+AG781*$G$55),0),0)</f>
        <v/>
      </c>
      <c r="AH782">
        <f>AG781*$G$55</f>
        <v/>
      </c>
      <c r="AI782">
        <f>G782+K782+O782+S782+W782</f>
        <v/>
      </c>
      <c r="AJ782">
        <f>AI781+AK782-AI782</f>
        <v/>
      </c>
      <c r="AK782">
        <f>H782+L782+P782+T782+X782</f>
        <v/>
      </c>
      <c r="AL782">
        <f>TEXT(EDATE($B$5,D782-1),"mmm yyyy")</f>
        <v/>
      </c>
      <c r="AM782">
        <f>AI782</f>
        <v/>
      </c>
    </row>
    <row r="783">
      <c r="D783" t="n">
        <v>722</v>
      </c>
      <c r="E783">
        <f>IF(G782&gt;0,MAX(0,G782*(1+$G$51)-$H$51),0)</f>
        <v/>
      </c>
      <c r="F783">
        <f>$B$6+IF($D783=$B$8,$B$7,0)</f>
        <v/>
      </c>
      <c r="G783">
        <f>IF(E783-F783&gt;1E-9,E783-F783,0)</f>
        <v/>
      </c>
      <c r="H783">
        <f>G782*$G$51</f>
        <v/>
      </c>
      <c r="I783">
        <f>IF(K782&gt;0,MAX(0,K782*(1+$G$52)-$H$52),0)</f>
        <v/>
      </c>
      <c r="J783">
        <f>MAX(0,F783-E783)</f>
        <v/>
      </c>
      <c r="K783">
        <f>IF(I783-J783&gt;1E-9,I783-J783,0)</f>
        <v/>
      </c>
      <c r="L783">
        <f>K782*$G$52</f>
        <v/>
      </c>
      <c r="M783">
        <f>IF(O782&gt;0,MAX(0,O782*(1+$G$53)-$H$53),0)</f>
        <v/>
      </c>
      <c r="N783">
        <f>MAX(0,J783-I783)</f>
        <v/>
      </c>
      <c r="O783">
        <f>IF(M783-N783&gt;1E-9,M783-N783,0)</f>
        <v/>
      </c>
      <c r="P783">
        <f>O782*$G$53</f>
        <v/>
      </c>
      <c r="Q783">
        <f>IF(S782&gt;0,MAX(0,S782*(1+$G$54)-$H$54),0)</f>
        <v/>
      </c>
      <c r="R783">
        <f>MAX(0,N783-M783)</f>
        <v/>
      </c>
      <c r="S783">
        <f>IF(Q783-R783&gt;1E-9,Q783-R783,0)</f>
        <v/>
      </c>
      <c r="T783">
        <f>S782*$G$54</f>
        <v/>
      </c>
      <c r="U783">
        <f>IF(W782&gt;0,MAX(0,W782*(1+$G$55)-$H$55),0)</f>
        <v/>
      </c>
      <c r="V783">
        <f>MAX(0,R783-Q783)</f>
        <v/>
      </c>
      <c r="W783">
        <f>IF(U783-V783&gt;1E-9,U783-V783,0)</f>
        <v/>
      </c>
      <c r="X783">
        <f>W782*$G$55</f>
        <v/>
      </c>
      <c r="Y783">
        <f>IF(Y782&gt;1E-9,IF(Y782*(1+$G$51)-MAX($B$9,0.01*Y782+Y782*$G$51)&gt;1E-9,Y782*(1+$G$51)-MAX($B$9,0.01*Y782+Y782*$G$51),0),0)</f>
        <v/>
      </c>
      <c r="Z783">
        <f>Y782*$G$51</f>
        <v/>
      </c>
      <c r="AA783">
        <f>IF(AA782&gt;1E-9,IF(AA782*(1+$G$52)-MAX($B$9,0.01*AA782+AA782*$G$52)&gt;1E-9,AA782*(1+$G$52)-MAX($B$9,0.01*AA782+AA782*$G$52),0),0)</f>
        <v/>
      </c>
      <c r="AB783">
        <f>AA782*$G$52</f>
        <v/>
      </c>
      <c r="AC783">
        <f>IF(AC782&gt;1E-9,IF(AC782*(1+$G$53)-MAX($B$9,0.01*AC782+AC782*$G$53)&gt;1E-9,AC782*(1+$G$53)-MAX($B$9,0.01*AC782+AC782*$G$53),0),0)</f>
        <v/>
      </c>
      <c r="AD783">
        <f>AC782*$G$53</f>
        <v/>
      </c>
      <c r="AE783">
        <f>IF(AE782&gt;1E-9,IF(AE782*(1+$G$54)-MAX($B$9,0.01*AE782+AE782*$G$54)&gt;1E-9,AE782*(1+$G$54)-MAX($B$9,0.01*AE782+AE782*$G$54),0),0)</f>
        <v/>
      </c>
      <c r="AF783">
        <f>AE782*$G$54</f>
        <v/>
      </c>
      <c r="AG783">
        <f>IF(AG782&gt;1E-9,IF(AG782*(1+$G$55)-MAX($B$9,0.01*AG782+AG782*$G$55)&gt;1E-9,AG782*(1+$G$55)-MAX($B$9,0.01*AG782+AG782*$G$55),0),0)</f>
        <v/>
      </c>
      <c r="AH783">
        <f>AG782*$G$55</f>
        <v/>
      </c>
      <c r="AI783">
        <f>G783+K783+O783+S783+W783</f>
        <v/>
      </c>
      <c r="AJ783">
        <f>AI782+AK783-AI783</f>
        <v/>
      </c>
      <c r="AK783">
        <f>H783+L783+P783+T783+X783</f>
        <v/>
      </c>
      <c r="AL783">
        <f>TEXT(EDATE($B$5,D783-1),"mmm yyyy")</f>
        <v/>
      </c>
      <c r="AM783">
        <f>AI783</f>
        <v/>
      </c>
    </row>
    <row r="784">
      <c r="D784" t="n">
        <v>723</v>
      </c>
      <c r="E784">
        <f>IF(G783&gt;0,MAX(0,G783*(1+$G$51)-$H$51),0)</f>
        <v/>
      </c>
      <c r="F784">
        <f>$B$6+IF($D784=$B$8,$B$7,0)</f>
        <v/>
      </c>
      <c r="G784">
        <f>IF(E784-F784&gt;1E-9,E784-F784,0)</f>
        <v/>
      </c>
      <c r="H784">
        <f>G783*$G$51</f>
        <v/>
      </c>
      <c r="I784">
        <f>IF(K783&gt;0,MAX(0,K783*(1+$G$52)-$H$52),0)</f>
        <v/>
      </c>
      <c r="J784">
        <f>MAX(0,F784-E784)</f>
        <v/>
      </c>
      <c r="K784">
        <f>IF(I784-J784&gt;1E-9,I784-J784,0)</f>
        <v/>
      </c>
      <c r="L784">
        <f>K783*$G$52</f>
        <v/>
      </c>
      <c r="M784">
        <f>IF(O783&gt;0,MAX(0,O783*(1+$G$53)-$H$53),0)</f>
        <v/>
      </c>
      <c r="N784">
        <f>MAX(0,J784-I784)</f>
        <v/>
      </c>
      <c r="O784">
        <f>IF(M784-N784&gt;1E-9,M784-N784,0)</f>
        <v/>
      </c>
      <c r="P784">
        <f>O783*$G$53</f>
        <v/>
      </c>
      <c r="Q784">
        <f>IF(S783&gt;0,MAX(0,S783*(1+$G$54)-$H$54),0)</f>
        <v/>
      </c>
      <c r="R784">
        <f>MAX(0,N784-M784)</f>
        <v/>
      </c>
      <c r="S784">
        <f>IF(Q784-R784&gt;1E-9,Q784-R784,0)</f>
        <v/>
      </c>
      <c r="T784">
        <f>S783*$G$54</f>
        <v/>
      </c>
      <c r="U784">
        <f>IF(W783&gt;0,MAX(0,W783*(1+$G$55)-$H$55),0)</f>
        <v/>
      </c>
      <c r="V784">
        <f>MAX(0,R784-Q784)</f>
        <v/>
      </c>
      <c r="W784">
        <f>IF(U784-V784&gt;1E-9,U784-V784,0)</f>
        <v/>
      </c>
      <c r="X784">
        <f>W783*$G$55</f>
        <v/>
      </c>
      <c r="Y784">
        <f>IF(Y783&gt;1E-9,IF(Y783*(1+$G$51)-MAX($B$9,0.01*Y783+Y783*$G$51)&gt;1E-9,Y783*(1+$G$51)-MAX($B$9,0.01*Y783+Y783*$G$51),0),0)</f>
        <v/>
      </c>
      <c r="Z784">
        <f>Y783*$G$51</f>
        <v/>
      </c>
      <c r="AA784">
        <f>IF(AA783&gt;1E-9,IF(AA783*(1+$G$52)-MAX($B$9,0.01*AA783+AA783*$G$52)&gt;1E-9,AA783*(1+$G$52)-MAX($B$9,0.01*AA783+AA783*$G$52),0),0)</f>
        <v/>
      </c>
      <c r="AB784">
        <f>AA783*$G$52</f>
        <v/>
      </c>
      <c r="AC784">
        <f>IF(AC783&gt;1E-9,IF(AC783*(1+$G$53)-MAX($B$9,0.01*AC783+AC783*$G$53)&gt;1E-9,AC783*(1+$G$53)-MAX($B$9,0.01*AC783+AC783*$G$53),0),0)</f>
        <v/>
      </c>
      <c r="AD784">
        <f>AC783*$G$53</f>
        <v/>
      </c>
      <c r="AE784">
        <f>IF(AE783&gt;1E-9,IF(AE783*(1+$G$54)-MAX($B$9,0.01*AE783+AE783*$G$54)&gt;1E-9,AE783*(1+$G$54)-MAX($B$9,0.01*AE783+AE783*$G$54),0),0)</f>
        <v/>
      </c>
      <c r="AF784">
        <f>AE783*$G$54</f>
        <v/>
      </c>
      <c r="AG784">
        <f>IF(AG783&gt;1E-9,IF(AG783*(1+$G$55)-MAX($B$9,0.01*AG783+AG783*$G$55)&gt;1E-9,AG783*(1+$G$55)-MAX($B$9,0.01*AG783+AG783*$G$55),0),0)</f>
        <v/>
      </c>
      <c r="AH784">
        <f>AG783*$G$55</f>
        <v/>
      </c>
      <c r="AI784">
        <f>G784+K784+O784+S784+W784</f>
        <v/>
      </c>
      <c r="AJ784">
        <f>AI783+AK784-AI784</f>
        <v/>
      </c>
      <c r="AK784">
        <f>H784+L784+P784+T784+X784</f>
        <v/>
      </c>
      <c r="AL784">
        <f>TEXT(EDATE($B$5,D784-1),"mmm yyyy")</f>
        <v/>
      </c>
      <c r="AM784">
        <f>AI784</f>
        <v/>
      </c>
    </row>
    <row r="785">
      <c r="D785" t="n">
        <v>724</v>
      </c>
      <c r="E785">
        <f>IF(G784&gt;0,MAX(0,G784*(1+$G$51)-$H$51),0)</f>
        <v/>
      </c>
      <c r="F785">
        <f>$B$6+IF($D785=$B$8,$B$7,0)</f>
        <v/>
      </c>
      <c r="G785">
        <f>IF(E785-F785&gt;1E-9,E785-F785,0)</f>
        <v/>
      </c>
      <c r="H785">
        <f>G784*$G$51</f>
        <v/>
      </c>
      <c r="I785">
        <f>IF(K784&gt;0,MAX(0,K784*(1+$G$52)-$H$52),0)</f>
        <v/>
      </c>
      <c r="J785">
        <f>MAX(0,F785-E785)</f>
        <v/>
      </c>
      <c r="K785">
        <f>IF(I785-J785&gt;1E-9,I785-J785,0)</f>
        <v/>
      </c>
      <c r="L785">
        <f>K784*$G$52</f>
        <v/>
      </c>
      <c r="M785">
        <f>IF(O784&gt;0,MAX(0,O784*(1+$G$53)-$H$53),0)</f>
        <v/>
      </c>
      <c r="N785">
        <f>MAX(0,J785-I785)</f>
        <v/>
      </c>
      <c r="O785">
        <f>IF(M785-N785&gt;1E-9,M785-N785,0)</f>
        <v/>
      </c>
      <c r="P785">
        <f>O784*$G$53</f>
        <v/>
      </c>
      <c r="Q785">
        <f>IF(S784&gt;0,MAX(0,S784*(1+$G$54)-$H$54),0)</f>
        <v/>
      </c>
      <c r="R785">
        <f>MAX(0,N785-M785)</f>
        <v/>
      </c>
      <c r="S785">
        <f>IF(Q785-R785&gt;1E-9,Q785-R785,0)</f>
        <v/>
      </c>
      <c r="T785">
        <f>S784*$G$54</f>
        <v/>
      </c>
      <c r="U785">
        <f>IF(W784&gt;0,MAX(0,W784*(1+$G$55)-$H$55),0)</f>
        <v/>
      </c>
      <c r="V785">
        <f>MAX(0,R785-Q785)</f>
        <v/>
      </c>
      <c r="W785">
        <f>IF(U785-V785&gt;1E-9,U785-V785,0)</f>
        <v/>
      </c>
      <c r="X785">
        <f>W784*$G$55</f>
        <v/>
      </c>
      <c r="Y785">
        <f>IF(Y784&gt;1E-9,IF(Y784*(1+$G$51)-MAX($B$9,0.01*Y784+Y784*$G$51)&gt;1E-9,Y784*(1+$G$51)-MAX($B$9,0.01*Y784+Y784*$G$51),0),0)</f>
        <v/>
      </c>
      <c r="Z785">
        <f>Y784*$G$51</f>
        <v/>
      </c>
      <c r="AA785">
        <f>IF(AA784&gt;1E-9,IF(AA784*(1+$G$52)-MAX($B$9,0.01*AA784+AA784*$G$52)&gt;1E-9,AA784*(1+$G$52)-MAX($B$9,0.01*AA784+AA784*$G$52),0),0)</f>
        <v/>
      </c>
      <c r="AB785">
        <f>AA784*$G$52</f>
        <v/>
      </c>
      <c r="AC785">
        <f>IF(AC784&gt;1E-9,IF(AC784*(1+$G$53)-MAX($B$9,0.01*AC784+AC784*$G$53)&gt;1E-9,AC784*(1+$G$53)-MAX($B$9,0.01*AC784+AC784*$G$53),0),0)</f>
        <v/>
      </c>
      <c r="AD785">
        <f>AC784*$G$53</f>
        <v/>
      </c>
      <c r="AE785">
        <f>IF(AE784&gt;1E-9,IF(AE784*(1+$G$54)-MAX($B$9,0.01*AE784+AE784*$G$54)&gt;1E-9,AE784*(1+$G$54)-MAX($B$9,0.01*AE784+AE784*$G$54),0),0)</f>
        <v/>
      </c>
      <c r="AF785">
        <f>AE784*$G$54</f>
        <v/>
      </c>
      <c r="AG785">
        <f>IF(AG784&gt;1E-9,IF(AG784*(1+$G$55)-MAX($B$9,0.01*AG784+AG784*$G$55)&gt;1E-9,AG784*(1+$G$55)-MAX($B$9,0.01*AG784+AG784*$G$55),0),0)</f>
        <v/>
      </c>
      <c r="AH785">
        <f>AG784*$G$55</f>
        <v/>
      </c>
      <c r="AI785">
        <f>G785+K785+O785+S785+W785</f>
        <v/>
      </c>
      <c r="AJ785">
        <f>AI784+AK785-AI785</f>
        <v/>
      </c>
      <c r="AK785">
        <f>H785+L785+P785+T785+X785</f>
        <v/>
      </c>
      <c r="AL785">
        <f>TEXT(EDATE($B$5,D785-1),"mmm yyyy")</f>
        <v/>
      </c>
      <c r="AM785">
        <f>AI785</f>
        <v/>
      </c>
    </row>
    <row r="786">
      <c r="D786" t="n">
        <v>725</v>
      </c>
      <c r="E786">
        <f>IF(G785&gt;0,MAX(0,G785*(1+$G$51)-$H$51),0)</f>
        <v/>
      </c>
      <c r="F786">
        <f>$B$6+IF($D786=$B$8,$B$7,0)</f>
        <v/>
      </c>
      <c r="G786">
        <f>IF(E786-F786&gt;1E-9,E786-F786,0)</f>
        <v/>
      </c>
      <c r="H786">
        <f>G785*$G$51</f>
        <v/>
      </c>
      <c r="I786">
        <f>IF(K785&gt;0,MAX(0,K785*(1+$G$52)-$H$52),0)</f>
        <v/>
      </c>
      <c r="J786">
        <f>MAX(0,F786-E786)</f>
        <v/>
      </c>
      <c r="K786">
        <f>IF(I786-J786&gt;1E-9,I786-J786,0)</f>
        <v/>
      </c>
      <c r="L786">
        <f>K785*$G$52</f>
        <v/>
      </c>
      <c r="M786">
        <f>IF(O785&gt;0,MAX(0,O785*(1+$G$53)-$H$53),0)</f>
        <v/>
      </c>
      <c r="N786">
        <f>MAX(0,J786-I786)</f>
        <v/>
      </c>
      <c r="O786">
        <f>IF(M786-N786&gt;1E-9,M786-N786,0)</f>
        <v/>
      </c>
      <c r="P786">
        <f>O785*$G$53</f>
        <v/>
      </c>
      <c r="Q786">
        <f>IF(S785&gt;0,MAX(0,S785*(1+$G$54)-$H$54),0)</f>
        <v/>
      </c>
      <c r="R786">
        <f>MAX(0,N786-M786)</f>
        <v/>
      </c>
      <c r="S786">
        <f>IF(Q786-R786&gt;1E-9,Q786-R786,0)</f>
        <v/>
      </c>
      <c r="T786">
        <f>S785*$G$54</f>
        <v/>
      </c>
      <c r="U786">
        <f>IF(W785&gt;0,MAX(0,W785*(1+$G$55)-$H$55),0)</f>
        <v/>
      </c>
      <c r="V786">
        <f>MAX(0,R786-Q786)</f>
        <v/>
      </c>
      <c r="W786">
        <f>IF(U786-V786&gt;1E-9,U786-V786,0)</f>
        <v/>
      </c>
      <c r="X786">
        <f>W785*$G$55</f>
        <v/>
      </c>
      <c r="Y786">
        <f>IF(Y785&gt;1E-9,IF(Y785*(1+$G$51)-MAX($B$9,0.01*Y785+Y785*$G$51)&gt;1E-9,Y785*(1+$G$51)-MAX($B$9,0.01*Y785+Y785*$G$51),0),0)</f>
        <v/>
      </c>
      <c r="Z786">
        <f>Y785*$G$51</f>
        <v/>
      </c>
      <c r="AA786">
        <f>IF(AA785&gt;1E-9,IF(AA785*(1+$G$52)-MAX($B$9,0.01*AA785+AA785*$G$52)&gt;1E-9,AA785*(1+$G$52)-MAX($B$9,0.01*AA785+AA785*$G$52),0),0)</f>
        <v/>
      </c>
      <c r="AB786">
        <f>AA785*$G$52</f>
        <v/>
      </c>
      <c r="AC786">
        <f>IF(AC785&gt;1E-9,IF(AC785*(1+$G$53)-MAX($B$9,0.01*AC785+AC785*$G$53)&gt;1E-9,AC785*(1+$G$53)-MAX($B$9,0.01*AC785+AC785*$G$53),0),0)</f>
        <v/>
      </c>
      <c r="AD786">
        <f>AC785*$G$53</f>
        <v/>
      </c>
      <c r="AE786">
        <f>IF(AE785&gt;1E-9,IF(AE785*(1+$G$54)-MAX($B$9,0.01*AE785+AE785*$G$54)&gt;1E-9,AE785*(1+$G$54)-MAX($B$9,0.01*AE785+AE785*$G$54),0),0)</f>
        <v/>
      </c>
      <c r="AF786">
        <f>AE785*$G$54</f>
        <v/>
      </c>
      <c r="AG786">
        <f>IF(AG785&gt;1E-9,IF(AG785*(1+$G$55)-MAX($B$9,0.01*AG785+AG785*$G$55)&gt;1E-9,AG785*(1+$G$55)-MAX($B$9,0.01*AG785+AG785*$G$55),0),0)</f>
        <v/>
      </c>
      <c r="AH786">
        <f>AG785*$G$55</f>
        <v/>
      </c>
      <c r="AI786">
        <f>G786+K786+O786+S786+W786</f>
        <v/>
      </c>
      <c r="AJ786">
        <f>AI785+AK786-AI786</f>
        <v/>
      </c>
      <c r="AK786">
        <f>H786+L786+P786+T786+X786</f>
        <v/>
      </c>
      <c r="AL786">
        <f>TEXT(EDATE($B$5,D786-1),"mmm yyyy")</f>
        <v/>
      </c>
      <c r="AM786">
        <f>AI786</f>
        <v/>
      </c>
    </row>
    <row r="787">
      <c r="D787" t="n">
        <v>726</v>
      </c>
      <c r="E787">
        <f>IF(G786&gt;0,MAX(0,G786*(1+$G$51)-$H$51),0)</f>
        <v/>
      </c>
      <c r="F787">
        <f>$B$6+IF($D787=$B$8,$B$7,0)</f>
        <v/>
      </c>
      <c r="G787">
        <f>IF(E787-F787&gt;1E-9,E787-F787,0)</f>
        <v/>
      </c>
      <c r="H787">
        <f>G786*$G$51</f>
        <v/>
      </c>
      <c r="I787">
        <f>IF(K786&gt;0,MAX(0,K786*(1+$G$52)-$H$52),0)</f>
        <v/>
      </c>
      <c r="J787">
        <f>MAX(0,F787-E787)</f>
        <v/>
      </c>
      <c r="K787">
        <f>IF(I787-J787&gt;1E-9,I787-J787,0)</f>
        <v/>
      </c>
      <c r="L787">
        <f>K786*$G$52</f>
        <v/>
      </c>
      <c r="M787">
        <f>IF(O786&gt;0,MAX(0,O786*(1+$G$53)-$H$53),0)</f>
        <v/>
      </c>
      <c r="N787">
        <f>MAX(0,J787-I787)</f>
        <v/>
      </c>
      <c r="O787">
        <f>IF(M787-N787&gt;1E-9,M787-N787,0)</f>
        <v/>
      </c>
      <c r="P787">
        <f>O786*$G$53</f>
        <v/>
      </c>
      <c r="Q787">
        <f>IF(S786&gt;0,MAX(0,S786*(1+$G$54)-$H$54),0)</f>
        <v/>
      </c>
      <c r="R787">
        <f>MAX(0,N787-M787)</f>
        <v/>
      </c>
      <c r="S787">
        <f>IF(Q787-R787&gt;1E-9,Q787-R787,0)</f>
        <v/>
      </c>
      <c r="T787">
        <f>S786*$G$54</f>
        <v/>
      </c>
      <c r="U787">
        <f>IF(W786&gt;0,MAX(0,W786*(1+$G$55)-$H$55),0)</f>
        <v/>
      </c>
      <c r="V787">
        <f>MAX(0,R787-Q787)</f>
        <v/>
      </c>
      <c r="W787">
        <f>IF(U787-V787&gt;1E-9,U787-V787,0)</f>
        <v/>
      </c>
      <c r="X787">
        <f>W786*$G$55</f>
        <v/>
      </c>
      <c r="Y787">
        <f>IF(Y786&gt;1E-9,IF(Y786*(1+$G$51)-MAX($B$9,0.01*Y786+Y786*$G$51)&gt;1E-9,Y786*(1+$G$51)-MAX($B$9,0.01*Y786+Y786*$G$51),0),0)</f>
        <v/>
      </c>
      <c r="Z787">
        <f>Y786*$G$51</f>
        <v/>
      </c>
      <c r="AA787">
        <f>IF(AA786&gt;1E-9,IF(AA786*(1+$G$52)-MAX($B$9,0.01*AA786+AA786*$G$52)&gt;1E-9,AA786*(1+$G$52)-MAX($B$9,0.01*AA786+AA786*$G$52),0),0)</f>
        <v/>
      </c>
      <c r="AB787">
        <f>AA786*$G$52</f>
        <v/>
      </c>
      <c r="AC787">
        <f>IF(AC786&gt;1E-9,IF(AC786*(1+$G$53)-MAX($B$9,0.01*AC786+AC786*$G$53)&gt;1E-9,AC786*(1+$G$53)-MAX($B$9,0.01*AC786+AC786*$G$53),0),0)</f>
        <v/>
      </c>
      <c r="AD787">
        <f>AC786*$G$53</f>
        <v/>
      </c>
      <c r="AE787">
        <f>IF(AE786&gt;1E-9,IF(AE786*(1+$G$54)-MAX($B$9,0.01*AE786+AE786*$G$54)&gt;1E-9,AE786*(1+$G$54)-MAX($B$9,0.01*AE786+AE786*$G$54),0),0)</f>
        <v/>
      </c>
      <c r="AF787">
        <f>AE786*$G$54</f>
        <v/>
      </c>
      <c r="AG787">
        <f>IF(AG786&gt;1E-9,IF(AG786*(1+$G$55)-MAX($B$9,0.01*AG786+AG786*$G$55)&gt;1E-9,AG786*(1+$G$55)-MAX($B$9,0.01*AG786+AG786*$G$55),0),0)</f>
        <v/>
      </c>
      <c r="AH787">
        <f>AG786*$G$55</f>
        <v/>
      </c>
      <c r="AI787">
        <f>G787+K787+O787+S787+W787</f>
        <v/>
      </c>
      <c r="AJ787">
        <f>AI786+AK787-AI787</f>
        <v/>
      </c>
      <c r="AK787">
        <f>H787+L787+P787+T787+X787</f>
        <v/>
      </c>
      <c r="AL787">
        <f>TEXT(EDATE($B$5,D787-1),"mmm yyyy")</f>
        <v/>
      </c>
      <c r="AM787">
        <f>AI787</f>
        <v/>
      </c>
    </row>
    <row r="788">
      <c r="D788" t="n">
        <v>727</v>
      </c>
      <c r="E788">
        <f>IF(G787&gt;0,MAX(0,G787*(1+$G$51)-$H$51),0)</f>
        <v/>
      </c>
      <c r="F788">
        <f>$B$6+IF($D788=$B$8,$B$7,0)</f>
        <v/>
      </c>
      <c r="G788">
        <f>IF(E788-F788&gt;1E-9,E788-F788,0)</f>
        <v/>
      </c>
      <c r="H788">
        <f>G787*$G$51</f>
        <v/>
      </c>
      <c r="I788">
        <f>IF(K787&gt;0,MAX(0,K787*(1+$G$52)-$H$52),0)</f>
        <v/>
      </c>
      <c r="J788">
        <f>MAX(0,F788-E788)</f>
        <v/>
      </c>
      <c r="K788">
        <f>IF(I788-J788&gt;1E-9,I788-J788,0)</f>
        <v/>
      </c>
      <c r="L788">
        <f>K787*$G$52</f>
        <v/>
      </c>
      <c r="M788">
        <f>IF(O787&gt;0,MAX(0,O787*(1+$G$53)-$H$53),0)</f>
        <v/>
      </c>
      <c r="N788">
        <f>MAX(0,J788-I788)</f>
        <v/>
      </c>
      <c r="O788">
        <f>IF(M788-N788&gt;1E-9,M788-N788,0)</f>
        <v/>
      </c>
      <c r="P788">
        <f>O787*$G$53</f>
        <v/>
      </c>
      <c r="Q788">
        <f>IF(S787&gt;0,MAX(0,S787*(1+$G$54)-$H$54),0)</f>
        <v/>
      </c>
      <c r="R788">
        <f>MAX(0,N788-M788)</f>
        <v/>
      </c>
      <c r="S788">
        <f>IF(Q788-R788&gt;1E-9,Q788-R788,0)</f>
        <v/>
      </c>
      <c r="T788">
        <f>S787*$G$54</f>
        <v/>
      </c>
      <c r="U788">
        <f>IF(W787&gt;0,MAX(0,W787*(1+$G$55)-$H$55),0)</f>
        <v/>
      </c>
      <c r="V788">
        <f>MAX(0,R788-Q788)</f>
        <v/>
      </c>
      <c r="W788">
        <f>IF(U788-V788&gt;1E-9,U788-V788,0)</f>
        <v/>
      </c>
      <c r="X788">
        <f>W787*$G$55</f>
        <v/>
      </c>
      <c r="Y788">
        <f>IF(Y787&gt;1E-9,IF(Y787*(1+$G$51)-MAX($B$9,0.01*Y787+Y787*$G$51)&gt;1E-9,Y787*(1+$G$51)-MAX($B$9,0.01*Y787+Y787*$G$51),0),0)</f>
        <v/>
      </c>
      <c r="Z788">
        <f>Y787*$G$51</f>
        <v/>
      </c>
      <c r="AA788">
        <f>IF(AA787&gt;1E-9,IF(AA787*(1+$G$52)-MAX($B$9,0.01*AA787+AA787*$G$52)&gt;1E-9,AA787*(1+$G$52)-MAX($B$9,0.01*AA787+AA787*$G$52),0),0)</f>
        <v/>
      </c>
      <c r="AB788">
        <f>AA787*$G$52</f>
        <v/>
      </c>
      <c r="AC788">
        <f>IF(AC787&gt;1E-9,IF(AC787*(1+$G$53)-MAX($B$9,0.01*AC787+AC787*$G$53)&gt;1E-9,AC787*(1+$G$53)-MAX($B$9,0.01*AC787+AC787*$G$53),0),0)</f>
        <v/>
      </c>
      <c r="AD788">
        <f>AC787*$G$53</f>
        <v/>
      </c>
      <c r="AE788">
        <f>IF(AE787&gt;1E-9,IF(AE787*(1+$G$54)-MAX($B$9,0.01*AE787+AE787*$G$54)&gt;1E-9,AE787*(1+$G$54)-MAX($B$9,0.01*AE787+AE787*$G$54),0),0)</f>
        <v/>
      </c>
      <c r="AF788">
        <f>AE787*$G$54</f>
        <v/>
      </c>
      <c r="AG788">
        <f>IF(AG787&gt;1E-9,IF(AG787*(1+$G$55)-MAX($B$9,0.01*AG787+AG787*$G$55)&gt;1E-9,AG787*(1+$G$55)-MAX($B$9,0.01*AG787+AG787*$G$55),0),0)</f>
        <v/>
      </c>
      <c r="AH788">
        <f>AG787*$G$55</f>
        <v/>
      </c>
      <c r="AI788">
        <f>G788+K788+O788+S788+W788</f>
        <v/>
      </c>
      <c r="AJ788">
        <f>AI787+AK788-AI788</f>
        <v/>
      </c>
      <c r="AK788">
        <f>H788+L788+P788+T788+X788</f>
        <v/>
      </c>
      <c r="AL788">
        <f>TEXT(EDATE($B$5,D788-1),"mmm yyyy")</f>
        <v/>
      </c>
      <c r="AM788">
        <f>AI788</f>
        <v/>
      </c>
    </row>
    <row r="789">
      <c r="D789" t="n">
        <v>728</v>
      </c>
      <c r="E789">
        <f>IF(G788&gt;0,MAX(0,G788*(1+$G$51)-$H$51),0)</f>
        <v/>
      </c>
      <c r="F789">
        <f>$B$6+IF($D789=$B$8,$B$7,0)</f>
        <v/>
      </c>
      <c r="G789">
        <f>IF(E789-F789&gt;1E-9,E789-F789,0)</f>
        <v/>
      </c>
      <c r="H789">
        <f>G788*$G$51</f>
        <v/>
      </c>
      <c r="I789">
        <f>IF(K788&gt;0,MAX(0,K788*(1+$G$52)-$H$52),0)</f>
        <v/>
      </c>
      <c r="J789">
        <f>MAX(0,F789-E789)</f>
        <v/>
      </c>
      <c r="K789">
        <f>IF(I789-J789&gt;1E-9,I789-J789,0)</f>
        <v/>
      </c>
      <c r="L789">
        <f>K788*$G$52</f>
        <v/>
      </c>
      <c r="M789">
        <f>IF(O788&gt;0,MAX(0,O788*(1+$G$53)-$H$53),0)</f>
        <v/>
      </c>
      <c r="N789">
        <f>MAX(0,J789-I789)</f>
        <v/>
      </c>
      <c r="O789">
        <f>IF(M789-N789&gt;1E-9,M789-N789,0)</f>
        <v/>
      </c>
      <c r="P789">
        <f>O788*$G$53</f>
        <v/>
      </c>
      <c r="Q789">
        <f>IF(S788&gt;0,MAX(0,S788*(1+$G$54)-$H$54),0)</f>
        <v/>
      </c>
      <c r="R789">
        <f>MAX(0,N789-M789)</f>
        <v/>
      </c>
      <c r="S789">
        <f>IF(Q789-R789&gt;1E-9,Q789-R789,0)</f>
        <v/>
      </c>
      <c r="T789">
        <f>S788*$G$54</f>
        <v/>
      </c>
      <c r="U789">
        <f>IF(W788&gt;0,MAX(0,W788*(1+$G$55)-$H$55),0)</f>
        <v/>
      </c>
      <c r="V789">
        <f>MAX(0,R789-Q789)</f>
        <v/>
      </c>
      <c r="W789">
        <f>IF(U789-V789&gt;1E-9,U789-V789,0)</f>
        <v/>
      </c>
      <c r="X789">
        <f>W788*$G$55</f>
        <v/>
      </c>
      <c r="Y789">
        <f>IF(Y788&gt;1E-9,IF(Y788*(1+$G$51)-MAX($B$9,0.01*Y788+Y788*$G$51)&gt;1E-9,Y788*(1+$G$51)-MAX($B$9,0.01*Y788+Y788*$G$51),0),0)</f>
        <v/>
      </c>
      <c r="Z789">
        <f>Y788*$G$51</f>
        <v/>
      </c>
      <c r="AA789">
        <f>IF(AA788&gt;1E-9,IF(AA788*(1+$G$52)-MAX($B$9,0.01*AA788+AA788*$G$52)&gt;1E-9,AA788*(1+$G$52)-MAX($B$9,0.01*AA788+AA788*$G$52),0),0)</f>
        <v/>
      </c>
      <c r="AB789">
        <f>AA788*$G$52</f>
        <v/>
      </c>
      <c r="AC789">
        <f>IF(AC788&gt;1E-9,IF(AC788*(1+$G$53)-MAX($B$9,0.01*AC788+AC788*$G$53)&gt;1E-9,AC788*(1+$G$53)-MAX($B$9,0.01*AC788+AC788*$G$53),0),0)</f>
        <v/>
      </c>
      <c r="AD789">
        <f>AC788*$G$53</f>
        <v/>
      </c>
      <c r="AE789">
        <f>IF(AE788&gt;1E-9,IF(AE788*(1+$G$54)-MAX($B$9,0.01*AE788+AE788*$G$54)&gt;1E-9,AE788*(1+$G$54)-MAX($B$9,0.01*AE788+AE788*$G$54),0),0)</f>
        <v/>
      </c>
      <c r="AF789">
        <f>AE788*$G$54</f>
        <v/>
      </c>
      <c r="AG789">
        <f>IF(AG788&gt;1E-9,IF(AG788*(1+$G$55)-MAX($B$9,0.01*AG788+AG788*$G$55)&gt;1E-9,AG788*(1+$G$55)-MAX($B$9,0.01*AG788+AG788*$G$55),0),0)</f>
        <v/>
      </c>
      <c r="AH789">
        <f>AG788*$G$55</f>
        <v/>
      </c>
      <c r="AI789">
        <f>G789+K789+O789+S789+W789</f>
        <v/>
      </c>
      <c r="AJ789">
        <f>AI788+AK789-AI789</f>
        <v/>
      </c>
      <c r="AK789">
        <f>H789+L789+P789+T789+X789</f>
        <v/>
      </c>
      <c r="AL789">
        <f>TEXT(EDATE($B$5,D789-1),"mmm yyyy")</f>
        <v/>
      </c>
      <c r="AM789">
        <f>AI789</f>
        <v/>
      </c>
    </row>
    <row r="790">
      <c r="D790" t="n">
        <v>729</v>
      </c>
      <c r="E790">
        <f>IF(G789&gt;0,MAX(0,G789*(1+$G$51)-$H$51),0)</f>
        <v/>
      </c>
      <c r="F790">
        <f>$B$6+IF($D790=$B$8,$B$7,0)</f>
        <v/>
      </c>
      <c r="G790">
        <f>IF(E790-F790&gt;1E-9,E790-F790,0)</f>
        <v/>
      </c>
      <c r="H790">
        <f>G789*$G$51</f>
        <v/>
      </c>
      <c r="I790">
        <f>IF(K789&gt;0,MAX(0,K789*(1+$G$52)-$H$52),0)</f>
        <v/>
      </c>
      <c r="J790">
        <f>MAX(0,F790-E790)</f>
        <v/>
      </c>
      <c r="K790">
        <f>IF(I790-J790&gt;1E-9,I790-J790,0)</f>
        <v/>
      </c>
      <c r="L790">
        <f>K789*$G$52</f>
        <v/>
      </c>
      <c r="M790">
        <f>IF(O789&gt;0,MAX(0,O789*(1+$G$53)-$H$53),0)</f>
        <v/>
      </c>
      <c r="N790">
        <f>MAX(0,J790-I790)</f>
        <v/>
      </c>
      <c r="O790">
        <f>IF(M790-N790&gt;1E-9,M790-N790,0)</f>
        <v/>
      </c>
      <c r="P790">
        <f>O789*$G$53</f>
        <v/>
      </c>
      <c r="Q790">
        <f>IF(S789&gt;0,MAX(0,S789*(1+$G$54)-$H$54),0)</f>
        <v/>
      </c>
      <c r="R790">
        <f>MAX(0,N790-M790)</f>
        <v/>
      </c>
      <c r="S790">
        <f>IF(Q790-R790&gt;1E-9,Q790-R790,0)</f>
        <v/>
      </c>
      <c r="T790">
        <f>S789*$G$54</f>
        <v/>
      </c>
      <c r="U790">
        <f>IF(W789&gt;0,MAX(0,W789*(1+$G$55)-$H$55),0)</f>
        <v/>
      </c>
      <c r="V790">
        <f>MAX(0,R790-Q790)</f>
        <v/>
      </c>
      <c r="W790">
        <f>IF(U790-V790&gt;1E-9,U790-V790,0)</f>
        <v/>
      </c>
      <c r="X790">
        <f>W789*$G$55</f>
        <v/>
      </c>
      <c r="Y790">
        <f>IF(Y789&gt;1E-9,IF(Y789*(1+$G$51)-MAX($B$9,0.01*Y789+Y789*$G$51)&gt;1E-9,Y789*(1+$G$51)-MAX($B$9,0.01*Y789+Y789*$G$51),0),0)</f>
        <v/>
      </c>
      <c r="Z790">
        <f>Y789*$G$51</f>
        <v/>
      </c>
      <c r="AA790">
        <f>IF(AA789&gt;1E-9,IF(AA789*(1+$G$52)-MAX($B$9,0.01*AA789+AA789*$G$52)&gt;1E-9,AA789*(1+$G$52)-MAX($B$9,0.01*AA789+AA789*$G$52),0),0)</f>
        <v/>
      </c>
      <c r="AB790">
        <f>AA789*$G$52</f>
        <v/>
      </c>
      <c r="AC790">
        <f>IF(AC789&gt;1E-9,IF(AC789*(1+$G$53)-MAX($B$9,0.01*AC789+AC789*$G$53)&gt;1E-9,AC789*(1+$G$53)-MAX($B$9,0.01*AC789+AC789*$G$53),0),0)</f>
        <v/>
      </c>
      <c r="AD790">
        <f>AC789*$G$53</f>
        <v/>
      </c>
      <c r="AE790">
        <f>IF(AE789&gt;1E-9,IF(AE789*(1+$G$54)-MAX($B$9,0.01*AE789+AE789*$G$54)&gt;1E-9,AE789*(1+$G$54)-MAX($B$9,0.01*AE789+AE789*$G$54),0),0)</f>
        <v/>
      </c>
      <c r="AF790">
        <f>AE789*$G$54</f>
        <v/>
      </c>
      <c r="AG790">
        <f>IF(AG789&gt;1E-9,IF(AG789*(1+$G$55)-MAX($B$9,0.01*AG789+AG789*$G$55)&gt;1E-9,AG789*(1+$G$55)-MAX($B$9,0.01*AG789+AG789*$G$55),0),0)</f>
        <v/>
      </c>
      <c r="AH790">
        <f>AG789*$G$55</f>
        <v/>
      </c>
      <c r="AI790">
        <f>G790+K790+O790+S790+W790</f>
        <v/>
      </c>
      <c r="AJ790">
        <f>AI789+AK790-AI790</f>
        <v/>
      </c>
      <c r="AK790">
        <f>H790+L790+P790+T790+X790</f>
        <v/>
      </c>
      <c r="AL790">
        <f>TEXT(EDATE($B$5,D790-1),"mmm yyyy")</f>
        <v/>
      </c>
      <c r="AM790">
        <f>AI790</f>
        <v/>
      </c>
    </row>
    <row r="791">
      <c r="D791" t="n">
        <v>730</v>
      </c>
      <c r="E791">
        <f>IF(G790&gt;0,MAX(0,G790*(1+$G$51)-$H$51),0)</f>
        <v/>
      </c>
      <c r="F791">
        <f>$B$6+IF($D791=$B$8,$B$7,0)</f>
        <v/>
      </c>
      <c r="G791">
        <f>IF(E791-F791&gt;1E-9,E791-F791,0)</f>
        <v/>
      </c>
      <c r="H791">
        <f>G790*$G$51</f>
        <v/>
      </c>
      <c r="I791">
        <f>IF(K790&gt;0,MAX(0,K790*(1+$G$52)-$H$52),0)</f>
        <v/>
      </c>
      <c r="J791">
        <f>MAX(0,F791-E791)</f>
        <v/>
      </c>
      <c r="K791">
        <f>IF(I791-J791&gt;1E-9,I791-J791,0)</f>
        <v/>
      </c>
      <c r="L791">
        <f>K790*$G$52</f>
        <v/>
      </c>
      <c r="M791">
        <f>IF(O790&gt;0,MAX(0,O790*(1+$G$53)-$H$53),0)</f>
        <v/>
      </c>
      <c r="N791">
        <f>MAX(0,J791-I791)</f>
        <v/>
      </c>
      <c r="O791">
        <f>IF(M791-N791&gt;1E-9,M791-N791,0)</f>
        <v/>
      </c>
      <c r="P791">
        <f>O790*$G$53</f>
        <v/>
      </c>
      <c r="Q791">
        <f>IF(S790&gt;0,MAX(0,S790*(1+$G$54)-$H$54),0)</f>
        <v/>
      </c>
      <c r="R791">
        <f>MAX(0,N791-M791)</f>
        <v/>
      </c>
      <c r="S791">
        <f>IF(Q791-R791&gt;1E-9,Q791-R791,0)</f>
        <v/>
      </c>
      <c r="T791">
        <f>S790*$G$54</f>
        <v/>
      </c>
      <c r="U791">
        <f>IF(W790&gt;0,MAX(0,W790*(1+$G$55)-$H$55),0)</f>
        <v/>
      </c>
      <c r="V791">
        <f>MAX(0,R791-Q791)</f>
        <v/>
      </c>
      <c r="W791">
        <f>IF(U791-V791&gt;1E-9,U791-V791,0)</f>
        <v/>
      </c>
      <c r="X791">
        <f>W790*$G$55</f>
        <v/>
      </c>
      <c r="Y791">
        <f>IF(Y790&gt;1E-9,IF(Y790*(1+$G$51)-MAX($B$9,0.01*Y790+Y790*$G$51)&gt;1E-9,Y790*(1+$G$51)-MAX($B$9,0.01*Y790+Y790*$G$51),0),0)</f>
        <v/>
      </c>
      <c r="Z791">
        <f>Y790*$G$51</f>
        <v/>
      </c>
      <c r="AA791">
        <f>IF(AA790&gt;1E-9,IF(AA790*(1+$G$52)-MAX($B$9,0.01*AA790+AA790*$G$52)&gt;1E-9,AA790*(1+$G$52)-MAX($B$9,0.01*AA790+AA790*$G$52),0),0)</f>
        <v/>
      </c>
      <c r="AB791">
        <f>AA790*$G$52</f>
        <v/>
      </c>
      <c r="AC791">
        <f>IF(AC790&gt;1E-9,IF(AC790*(1+$G$53)-MAX($B$9,0.01*AC790+AC790*$G$53)&gt;1E-9,AC790*(1+$G$53)-MAX($B$9,0.01*AC790+AC790*$G$53),0),0)</f>
        <v/>
      </c>
      <c r="AD791">
        <f>AC790*$G$53</f>
        <v/>
      </c>
      <c r="AE791">
        <f>IF(AE790&gt;1E-9,IF(AE790*(1+$G$54)-MAX($B$9,0.01*AE790+AE790*$G$54)&gt;1E-9,AE790*(1+$G$54)-MAX($B$9,0.01*AE790+AE790*$G$54),0),0)</f>
        <v/>
      </c>
      <c r="AF791">
        <f>AE790*$G$54</f>
        <v/>
      </c>
      <c r="AG791">
        <f>IF(AG790&gt;1E-9,IF(AG790*(1+$G$55)-MAX($B$9,0.01*AG790+AG790*$G$55)&gt;1E-9,AG790*(1+$G$55)-MAX($B$9,0.01*AG790+AG790*$G$55),0),0)</f>
        <v/>
      </c>
      <c r="AH791">
        <f>AG790*$G$55</f>
        <v/>
      </c>
      <c r="AI791">
        <f>G791+K791+O791+S791+W791</f>
        <v/>
      </c>
      <c r="AJ791">
        <f>AI790+AK791-AI791</f>
        <v/>
      </c>
      <c r="AK791">
        <f>H791+L791+P791+T791+X791</f>
        <v/>
      </c>
      <c r="AL791">
        <f>TEXT(EDATE($B$5,D791-1),"mmm yyyy")</f>
        <v/>
      </c>
      <c r="AM791">
        <f>AI791</f>
        <v/>
      </c>
    </row>
    <row r="792">
      <c r="D792" t="n">
        <v>731</v>
      </c>
      <c r="E792">
        <f>IF(G791&gt;0,MAX(0,G791*(1+$G$51)-$H$51),0)</f>
        <v/>
      </c>
      <c r="F792">
        <f>$B$6+IF($D792=$B$8,$B$7,0)</f>
        <v/>
      </c>
      <c r="G792">
        <f>IF(E792-F792&gt;1E-9,E792-F792,0)</f>
        <v/>
      </c>
      <c r="H792">
        <f>G791*$G$51</f>
        <v/>
      </c>
      <c r="I792">
        <f>IF(K791&gt;0,MAX(0,K791*(1+$G$52)-$H$52),0)</f>
        <v/>
      </c>
      <c r="J792">
        <f>MAX(0,F792-E792)</f>
        <v/>
      </c>
      <c r="K792">
        <f>IF(I792-J792&gt;1E-9,I792-J792,0)</f>
        <v/>
      </c>
      <c r="L792">
        <f>K791*$G$52</f>
        <v/>
      </c>
      <c r="M792">
        <f>IF(O791&gt;0,MAX(0,O791*(1+$G$53)-$H$53),0)</f>
        <v/>
      </c>
      <c r="N792">
        <f>MAX(0,J792-I792)</f>
        <v/>
      </c>
      <c r="O792">
        <f>IF(M792-N792&gt;1E-9,M792-N792,0)</f>
        <v/>
      </c>
      <c r="P792">
        <f>O791*$G$53</f>
        <v/>
      </c>
      <c r="Q792">
        <f>IF(S791&gt;0,MAX(0,S791*(1+$G$54)-$H$54),0)</f>
        <v/>
      </c>
      <c r="R792">
        <f>MAX(0,N792-M792)</f>
        <v/>
      </c>
      <c r="S792">
        <f>IF(Q792-R792&gt;1E-9,Q792-R792,0)</f>
        <v/>
      </c>
      <c r="T792">
        <f>S791*$G$54</f>
        <v/>
      </c>
      <c r="U792">
        <f>IF(W791&gt;0,MAX(0,W791*(1+$G$55)-$H$55),0)</f>
        <v/>
      </c>
      <c r="V792">
        <f>MAX(0,R792-Q792)</f>
        <v/>
      </c>
      <c r="W792">
        <f>IF(U792-V792&gt;1E-9,U792-V792,0)</f>
        <v/>
      </c>
      <c r="X792">
        <f>W791*$G$55</f>
        <v/>
      </c>
      <c r="Y792">
        <f>IF(Y791&gt;1E-9,IF(Y791*(1+$G$51)-MAX($B$9,0.01*Y791+Y791*$G$51)&gt;1E-9,Y791*(1+$G$51)-MAX($B$9,0.01*Y791+Y791*$G$51),0),0)</f>
        <v/>
      </c>
      <c r="Z792">
        <f>Y791*$G$51</f>
        <v/>
      </c>
      <c r="AA792">
        <f>IF(AA791&gt;1E-9,IF(AA791*(1+$G$52)-MAX($B$9,0.01*AA791+AA791*$G$52)&gt;1E-9,AA791*(1+$G$52)-MAX($B$9,0.01*AA791+AA791*$G$52),0),0)</f>
        <v/>
      </c>
      <c r="AB792">
        <f>AA791*$G$52</f>
        <v/>
      </c>
      <c r="AC792">
        <f>IF(AC791&gt;1E-9,IF(AC791*(1+$G$53)-MAX($B$9,0.01*AC791+AC791*$G$53)&gt;1E-9,AC791*(1+$G$53)-MAX($B$9,0.01*AC791+AC791*$G$53),0),0)</f>
        <v/>
      </c>
      <c r="AD792">
        <f>AC791*$G$53</f>
        <v/>
      </c>
      <c r="AE792">
        <f>IF(AE791&gt;1E-9,IF(AE791*(1+$G$54)-MAX($B$9,0.01*AE791+AE791*$G$54)&gt;1E-9,AE791*(1+$G$54)-MAX($B$9,0.01*AE791+AE791*$G$54),0),0)</f>
        <v/>
      </c>
      <c r="AF792">
        <f>AE791*$G$54</f>
        <v/>
      </c>
      <c r="AG792">
        <f>IF(AG791&gt;1E-9,IF(AG791*(1+$G$55)-MAX($B$9,0.01*AG791+AG791*$G$55)&gt;1E-9,AG791*(1+$G$55)-MAX($B$9,0.01*AG791+AG791*$G$55),0),0)</f>
        <v/>
      </c>
      <c r="AH792">
        <f>AG791*$G$55</f>
        <v/>
      </c>
      <c r="AI792">
        <f>G792+K792+O792+S792+W792</f>
        <v/>
      </c>
      <c r="AJ792">
        <f>AI791+AK792-AI792</f>
        <v/>
      </c>
      <c r="AK792">
        <f>H792+L792+P792+T792+X792</f>
        <v/>
      </c>
      <c r="AL792">
        <f>TEXT(EDATE($B$5,D792-1),"mmm yyyy")</f>
        <v/>
      </c>
      <c r="AM792">
        <f>AI792</f>
        <v/>
      </c>
    </row>
    <row r="793">
      <c r="D793" t="n">
        <v>732</v>
      </c>
      <c r="E793">
        <f>IF(G792&gt;0,MAX(0,G792*(1+$G$51)-$H$51),0)</f>
        <v/>
      </c>
      <c r="F793">
        <f>$B$6+IF($D793=$B$8,$B$7,0)</f>
        <v/>
      </c>
      <c r="G793">
        <f>IF(E793-F793&gt;1E-9,E793-F793,0)</f>
        <v/>
      </c>
      <c r="H793">
        <f>G792*$G$51</f>
        <v/>
      </c>
      <c r="I793">
        <f>IF(K792&gt;0,MAX(0,K792*(1+$G$52)-$H$52),0)</f>
        <v/>
      </c>
      <c r="J793">
        <f>MAX(0,F793-E793)</f>
        <v/>
      </c>
      <c r="K793">
        <f>IF(I793-J793&gt;1E-9,I793-J793,0)</f>
        <v/>
      </c>
      <c r="L793">
        <f>K792*$G$52</f>
        <v/>
      </c>
      <c r="M793">
        <f>IF(O792&gt;0,MAX(0,O792*(1+$G$53)-$H$53),0)</f>
        <v/>
      </c>
      <c r="N793">
        <f>MAX(0,J793-I793)</f>
        <v/>
      </c>
      <c r="O793">
        <f>IF(M793-N793&gt;1E-9,M793-N793,0)</f>
        <v/>
      </c>
      <c r="P793">
        <f>O792*$G$53</f>
        <v/>
      </c>
      <c r="Q793">
        <f>IF(S792&gt;0,MAX(0,S792*(1+$G$54)-$H$54),0)</f>
        <v/>
      </c>
      <c r="R793">
        <f>MAX(0,N793-M793)</f>
        <v/>
      </c>
      <c r="S793">
        <f>IF(Q793-R793&gt;1E-9,Q793-R793,0)</f>
        <v/>
      </c>
      <c r="T793">
        <f>S792*$G$54</f>
        <v/>
      </c>
      <c r="U793">
        <f>IF(W792&gt;0,MAX(0,W792*(1+$G$55)-$H$55),0)</f>
        <v/>
      </c>
      <c r="V793">
        <f>MAX(0,R793-Q793)</f>
        <v/>
      </c>
      <c r="W793">
        <f>IF(U793-V793&gt;1E-9,U793-V793,0)</f>
        <v/>
      </c>
      <c r="X793">
        <f>W792*$G$55</f>
        <v/>
      </c>
      <c r="Y793">
        <f>IF(Y792&gt;1E-9,IF(Y792*(1+$G$51)-MAX($B$9,0.01*Y792+Y792*$G$51)&gt;1E-9,Y792*(1+$G$51)-MAX($B$9,0.01*Y792+Y792*$G$51),0),0)</f>
        <v/>
      </c>
      <c r="Z793">
        <f>Y792*$G$51</f>
        <v/>
      </c>
      <c r="AA793">
        <f>IF(AA792&gt;1E-9,IF(AA792*(1+$G$52)-MAX($B$9,0.01*AA792+AA792*$G$52)&gt;1E-9,AA792*(1+$G$52)-MAX($B$9,0.01*AA792+AA792*$G$52),0),0)</f>
        <v/>
      </c>
      <c r="AB793">
        <f>AA792*$G$52</f>
        <v/>
      </c>
      <c r="AC793">
        <f>IF(AC792&gt;1E-9,IF(AC792*(1+$G$53)-MAX($B$9,0.01*AC792+AC792*$G$53)&gt;1E-9,AC792*(1+$G$53)-MAX($B$9,0.01*AC792+AC792*$G$53),0),0)</f>
        <v/>
      </c>
      <c r="AD793">
        <f>AC792*$G$53</f>
        <v/>
      </c>
      <c r="AE793">
        <f>IF(AE792&gt;1E-9,IF(AE792*(1+$G$54)-MAX($B$9,0.01*AE792+AE792*$G$54)&gt;1E-9,AE792*(1+$G$54)-MAX($B$9,0.01*AE792+AE792*$G$54),0),0)</f>
        <v/>
      </c>
      <c r="AF793">
        <f>AE792*$G$54</f>
        <v/>
      </c>
      <c r="AG793">
        <f>IF(AG792&gt;1E-9,IF(AG792*(1+$G$55)-MAX($B$9,0.01*AG792+AG792*$G$55)&gt;1E-9,AG792*(1+$G$55)-MAX($B$9,0.01*AG792+AG792*$G$55),0),0)</f>
        <v/>
      </c>
      <c r="AH793">
        <f>AG792*$G$55</f>
        <v/>
      </c>
      <c r="AI793">
        <f>G793+K793+O793+S793+W793</f>
        <v/>
      </c>
      <c r="AJ793">
        <f>AI792+AK793-AI793</f>
        <v/>
      </c>
      <c r="AK793">
        <f>H793+L793+P793+T793+X793</f>
        <v/>
      </c>
      <c r="AL793">
        <f>TEXT(EDATE($B$5,D793-1),"mmm yyyy")</f>
        <v/>
      </c>
      <c r="AM793">
        <f>AI793</f>
        <v/>
      </c>
    </row>
    <row r="794">
      <c r="D794" t="n">
        <v>733</v>
      </c>
      <c r="E794">
        <f>IF(G793&gt;0,MAX(0,G793*(1+$G$51)-$H$51),0)</f>
        <v/>
      </c>
      <c r="F794">
        <f>$B$6+IF($D794=$B$8,$B$7,0)</f>
        <v/>
      </c>
      <c r="G794">
        <f>IF(E794-F794&gt;1E-9,E794-F794,0)</f>
        <v/>
      </c>
      <c r="H794">
        <f>G793*$G$51</f>
        <v/>
      </c>
      <c r="I794">
        <f>IF(K793&gt;0,MAX(0,K793*(1+$G$52)-$H$52),0)</f>
        <v/>
      </c>
      <c r="J794">
        <f>MAX(0,F794-E794)</f>
        <v/>
      </c>
      <c r="K794">
        <f>IF(I794-J794&gt;1E-9,I794-J794,0)</f>
        <v/>
      </c>
      <c r="L794">
        <f>K793*$G$52</f>
        <v/>
      </c>
      <c r="M794">
        <f>IF(O793&gt;0,MAX(0,O793*(1+$G$53)-$H$53),0)</f>
        <v/>
      </c>
      <c r="N794">
        <f>MAX(0,J794-I794)</f>
        <v/>
      </c>
      <c r="O794">
        <f>IF(M794-N794&gt;1E-9,M794-N794,0)</f>
        <v/>
      </c>
      <c r="P794">
        <f>O793*$G$53</f>
        <v/>
      </c>
      <c r="Q794">
        <f>IF(S793&gt;0,MAX(0,S793*(1+$G$54)-$H$54),0)</f>
        <v/>
      </c>
      <c r="R794">
        <f>MAX(0,N794-M794)</f>
        <v/>
      </c>
      <c r="S794">
        <f>IF(Q794-R794&gt;1E-9,Q794-R794,0)</f>
        <v/>
      </c>
      <c r="T794">
        <f>S793*$G$54</f>
        <v/>
      </c>
      <c r="U794">
        <f>IF(W793&gt;0,MAX(0,W793*(1+$G$55)-$H$55),0)</f>
        <v/>
      </c>
      <c r="V794">
        <f>MAX(0,R794-Q794)</f>
        <v/>
      </c>
      <c r="W794">
        <f>IF(U794-V794&gt;1E-9,U794-V794,0)</f>
        <v/>
      </c>
      <c r="X794">
        <f>W793*$G$55</f>
        <v/>
      </c>
      <c r="Y794">
        <f>IF(Y793&gt;1E-9,IF(Y793*(1+$G$51)-MAX($B$9,0.01*Y793+Y793*$G$51)&gt;1E-9,Y793*(1+$G$51)-MAX($B$9,0.01*Y793+Y793*$G$51),0),0)</f>
        <v/>
      </c>
      <c r="Z794">
        <f>Y793*$G$51</f>
        <v/>
      </c>
      <c r="AA794">
        <f>IF(AA793&gt;1E-9,IF(AA793*(1+$G$52)-MAX($B$9,0.01*AA793+AA793*$G$52)&gt;1E-9,AA793*(1+$G$52)-MAX($B$9,0.01*AA793+AA793*$G$52),0),0)</f>
        <v/>
      </c>
      <c r="AB794">
        <f>AA793*$G$52</f>
        <v/>
      </c>
      <c r="AC794">
        <f>IF(AC793&gt;1E-9,IF(AC793*(1+$G$53)-MAX($B$9,0.01*AC793+AC793*$G$53)&gt;1E-9,AC793*(1+$G$53)-MAX($B$9,0.01*AC793+AC793*$G$53),0),0)</f>
        <v/>
      </c>
      <c r="AD794">
        <f>AC793*$G$53</f>
        <v/>
      </c>
      <c r="AE794">
        <f>IF(AE793&gt;1E-9,IF(AE793*(1+$G$54)-MAX($B$9,0.01*AE793+AE793*$G$54)&gt;1E-9,AE793*(1+$G$54)-MAX($B$9,0.01*AE793+AE793*$G$54),0),0)</f>
        <v/>
      </c>
      <c r="AF794">
        <f>AE793*$G$54</f>
        <v/>
      </c>
      <c r="AG794">
        <f>IF(AG793&gt;1E-9,IF(AG793*(1+$G$55)-MAX($B$9,0.01*AG793+AG793*$G$55)&gt;1E-9,AG793*(1+$G$55)-MAX($B$9,0.01*AG793+AG793*$G$55),0),0)</f>
        <v/>
      </c>
      <c r="AH794">
        <f>AG793*$G$55</f>
        <v/>
      </c>
      <c r="AI794">
        <f>G794+K794+O794+S794+W794</f>
        <v/>
      </c>
      <c r="AJ794">
        <f>AI793+AK794-AI794</f>
        <v/>
      </c>
      <c r="AK794">
        <f>H794+L794+P794+T794+X794</f>
        <v/>
      </c>
      <c r="AL794">
        <f>TEXT(EDATE($B$5,D794-1),"mmm yyyy")</f>
        <v/>
      </c>
      <c r="AM794">
        <f>AI794</f>
        <v/>
      </c>
    </row>
    <row r="795">
      <c r="D795" t="n">
        <v>734</v>
      </c>
      <c r="E795">
        <f>IF(G794&gt;0,MAX(0,G794*(1+$G$51)-$H$51),0)</f>
        <v/>
      </c>
      <c r="F795">
        <f>$B$6+IF($D795=$B$8,$B$7,0)</f>
        <v/>
      </c>
      <c r="G795">
        <f>IF(E795-F795&gt;1E-9,E795-F795,0)</f>
        <v/>
      </c>
      <c r="H795">
        <f>G794*$G$51</f>
        <v/>
      </c>
      <c r="I795">
        <f>IF(K794&gt;0,MAX(0,K794*(1+$G$52)-$H$52),0)</f>
        <v/>
      </c>
      <c r="J795">
        <f>MAX(0,F795-E795)</f>
        <v/>
      </c>
      <c r="K795">
        <f>IF(I795-J795&gt;1E-9,I795-J795,0)</f>
        <v/>
      </c>
      <c r="L795">
        <f>K794*$G$52</f>
        <v/>
      </c>
      <c r="M795">
        <f>IF(O794&gt;0,MAX(0,O794*(1+$G$53)-$H$53),0)</f>
        <v/>
      </c>
      <c r="N795">
        <f>MAX(0,J795-I795)</f>
        <v/>
      </c>
      <c r="O795">
        <f>IF(M795-N795&gt;1E-9,M795-N795,0)</f>
        <v/>
      </c>
      <c r="P795">
        <f>O794*$G$53</f>
        <v/>
      </c>
      <c r="Q795">
        <f>IF(S794&gt;0,MAX(0,S794*(1+$G$54)-$H$54),0)</f>
        <v/>
      </c>
      <c r="R795">
        <f>MAX(0,N795-M795)</f>
        <v/>
      </c>
      <c r="S795">
        <f>IF(Q795-R795&gt;1E-9,Q795-R795,0)</f>
        <v/>
      </c>
      <c r="T795">
        <f>S794*$G$54</f>
        <v/>
      </c>
      <c r="U795">
        <f>IF(W794&gt;0,MAX(0,W794*(1+$G$55)-$H$55),0)</f>
        <v/>
      </c>
      <c r="V795">
        <f>MAX(0,R795-Q795)</f>
        <v/>
      </c>
      <c r="W795">
        <f>IF(U795-V795&gt;1E-9,U795-V795,0)</f>
        <v/>
      </c>
      <c r="X795">
        <f>W794*$G$55</f>
        <v/>
      </c>
      <c r="Y795">
        <f>IF(Y794&gt;1E-9,IF(Y794*(1+$G$51)-MAX($B$9,0.01*Y794+Y794*$G$51)&gt;1E-9,Y794*(1+$G$51)-MAX($B$9,0.01*Y794+Y794*$G$51),0),0)</f>
        <v/>
      </c>
      <c r="Z795">
        <f>Y794*$G$51</f>
        <v/>
      </c>
      <c r="AA795">
        <f>IF(AA794&gt;1E-9,IF(AA794*(1+$G$52)-MAX($B$9,0.01*AA794+AA794*$G$52)&gt;1E-9,AA794*(1+$G$52)-MAX($B$9,0.01*AA794+AA794*$G$52),0),0)</f>
        <v/>
      </c>
      <c r="AB795">
        <f>AA794*$G$52</f>
        <v/>
      </c>
      <c r="AC795">
        <f>IF(AC794&gt;1E-9,IF(AC794*(1+$G$53)-MAX($B$9,0.01*AC794+AC794*$G$53)&gt;1E-9,AC794*(1+$G$53)-MAX($B$9,0.01*AC794+AC794*$G$53),0),0)</f>
        <v/>
      </c>
      <c r="AD795">
        <f>AC794*$G$53</f>
        <v/>
      </c>
      <c r="AE795">
        <f>IF(AE794&gt;1E-9,IF(AE794*(1+$G$54)-MAX($B$9,0.01*AE794+AE794*$G$54)&gt;1E-9,AE794*(1+$G$54)-MAX($B$9,0.01*AE794+AE794*$G$54),0),0)</f>
        <v/>
      </c>
      <c r="AF795">
        <f>AE794*$G$54</f>
        <v/>
      </c>
      <c r="AG795">
        <f>IF(AG794&gt;1E-9,IF(AG794*(1+$G$55)-MAX($B$9,0.01*AG794+AG794*$G$55)&gt;1E-9,AG794*(1+$G$55)-MAX($B$9,0.01*AG794+AG794*$G$55),0),0)</f>
        <v/>
      </c>
      <c r="AH795">
        <f>AG794*$G$55</f>
        <v/>
      </c>
      <c r="AI795">
        <f>G795+K795+O795+S795+W795</f>
        <v/>
      </c>
      <c r="AJ795">
        <f>AI794+AK795-AI795</f>
        <v/>
      </c>
      <c r="AK795">
        <f>H795+L795+P795+T795+X795</f>
        <v/>
      </c>
      <c r="AL795">
        <f>TEXT(EDATE($B$5,D795-1),"mmm yyyy")</f>
        <v/>
      </c>
      <c r="AM795">
        <f>AI795</f>
        <v/>
      </c>
    </row>
    <row r="796">
      <c r="D796" t="n">
        <v>735</v>
      </c>
      <c r="E796">
        <f>IF(G795&gt;0,MAX(0,G795*(1+$G$51)-$H$51),0)</f>
        <v/>
      </c>
      <c r="F796">
        <f>$B$6+IF($D796=$B$8,$B$7,0)</f>
        <v/>
      </c>
      <c r="G796">
        <f>IF(E796-F796&gt;1E-9,E796-F796,0)</f>
        <v/>
      </c>
      <c r="H796">
        <f>G795*$G$51</f>
        <v/>
      </c>
      <c r="I796">
        <f>IF(K795&gt;0,MAX(0,K795*(1+$G$52)-$H$52),0)</f>
        <v/>
      </c>
      <c r="J796">
        <f>MAX(0,F796-E796)</f>
        <v/>
      </c>
      <c r="K796">
        <f>IF(I796-J796&gt;1E-9,I796-J796,0)</f>
        <v/>
      </c>
      <c r="L796">
        <f>K795*$G$52</f>
        <v/>
      </c>
      <c r="M796">
        <f>IF(O795&gt;0,MAX(0,O795*(1+$G$53)-$H$53),0)</f>
        <v/>
      </c>
      <c r="N796">
        <f>MAX(0,J796-I796)</f>
        <v/>
      </c>
      <c r="O796">
        <f>IF(M796-N796&gt;1E-9,M796-N796,0)</f>
        <v/>
      </c>
      <c r="P796">
        <f>O795*$G$53</f>
        <v/>
      </c>
      <c r="Q796">
        <f>IF(S795&gt;0,MAX(0,S795*(1+$G$54)-$H$54),0)</f>
        <v/>
      </c>
      <c r="R796">
        <f>MAX(0,N796-M796)</f>
        <v/>
      </c>
      <c r="S796">
        <f>IF(Q796-R796&gt;1E-9,Q796-R796,0)</f>
        <v/>
      </c>
      <c r="T796">
        <f>S795*$G$54</f>
        <v/>
      </c>
      <c r="U796">
        <f>IF(W795&gt;0,MAX(0,W795*(1+$G$55)-$H$55),0)</f>
        <v/>
      </c>
      <c r="V796">
        <f>MAX(0,R796-Q796)</f>
        <v/>
      </c>
      <c r="W796">
        <f>IF(U796-V796&gt;1E-9,U796-V796,0)</f>
        <v/>
      </c>
      <c r="X796">
        <f>W795*$G$55</f>
        <v/>
      </c>
      <c r="Y796">
        <f>IF(Y795&gt;1E-9,IF(Y795*(1+$G$51)-MAX($B$9,0.01*Y795+Y795*$G$51)&gt;1E-9,Y795*(1+$G$51)-MAX($B$9,0.01*Y795+Y795*$G$51),0),0)</f>
        <v/>
      </c>
      <c r="Z796">
        <f>Y795*$G$51</f>
        <v/>
      </c>
      <c r="AA796">
        <f>IF(AA795&gt;1E-9,IF(AA795*(1+$G$52)-MAX($B$9,0.01*AA795+AA795*$G$52)&gt;1E-9,AA795*(1+$G$52)-MAX($B$9,0.01*AA795+AA795*$G$52),0),0)</f>
        <v/>
      </c>
      <c r="AB796">
        <f>AA795*$G$52</f>
        <v/>
      </c>
      <c r="AC796">
        <f>IF(AC795&gt;1E-9,IF(AC795*(1+$G$53)-MAX($B$9,0.01*AC795+AC795*$G$53)&gt;1E-9,AC795*(1+$G$53)-MAX($B$9,0.01*AC795+AC795*$G$53),0),0)</f>
        <v/>
      </c>
      <c r="AD796">
        <f>AC795*$G$53</f>
        <v/>
      </c>
      <c r="AE796">
        <f>IF(AE795&gt;1E-9,IF(AE795*(1+$G$54)-MAX($B$9,0.01*AE795+AE795*$G$54)&gt;1E-9,AE795*(1+$G$54)-MAX($B$9,0.01*AE795+AE795*$G$54),0),0)</f>
        <v/>
      </c>
      <c r="AF796">
        <f>AE795*$G$54</f>
        <v/>
      </c>
      <c r="AG796">
        <f>IF(AG795&gt;1E-9,IF(AG795*(1+$G$55)-MAX($B$9,0.01*AG795+AG795*$G$55)&gt;1E-9,AG795*(1+$G$55)-MAX($B$9,0.01*AG795+AG795*$G$55),0),0)</f>
        <v/>
      </c>
      <c r="AH796">
        <f>AG795*$G$55</f>
        <v/>
      </c>
      <c r="AI796">
        <f>G796+K796+O796+S796+W796</f>
        <v/>
      </c>
      <c r="AJ796">
        <f>AI795+AK796-AI796</f>
        <v/>
      </c>
      <c r="AK796">
        <f>H796+L796+P796+T796+X796</f>
        <v/>
      </c>
      <c r="AL796">
        <f>TEXT(EDATE($B$5,D796-1),"mmm yyyy")</f>
        <v/>
      </c>
      <c r="AM796">
        <f>AI796</f>
        <v/>
      </c>
    </row>
    <row r="797">
      <c r="D797" t="n">
        <v>736</v>
      </c>
      <c r="E797">
        <f>IF(G796&gt;0,MAX(0,G796*(1+$G$51)-$H$51),0)</f>
        <v/>
      </c>
      <c r="F797">
        <f>$B$6+IF($D797=$B$8,$B$7,0)</f>
        <v/>
      </c>
      <c r="G797">
        <f>IF(E797-F797&gt;1E-9,E797-F797,0)</f>
        <v/>
      </c>
      <c r="H797">
        <f>G796*$G$51</f>
        <v/>
      </c>
      <c r="I797">
        <f>IF(K796&gt;0,MAX(0,K796*(1+$G$52)-$H$52),0)</f>
        <v/>
      </c>
      <c r="J797">
        <f>MAX(0,F797-E797)</f>
        <v/>
      </c>
      <c r="K797">
        <f>IF(I797-J797&gt;1E-9,I797-J797,0)</f>
        <v/>
      </c>
      <c r="L797">
        <f>K796*$G$52</f>
        <v/>
      </c>
      <c r="M797">
        <f>IF(O796&gt;0,MAX(0,O796*(1+$G$53)-$H$53),0)</f>
        <v/>
      </c>
      <c r="N797">
        <f>MAX(0,J797-I797)</f>
        <v/>
      </c>
      <c r="O797">
        <f>IF(M797-N797&gt;1E-9,M797-N797,0)</f>
        <v/>
      </c>
      <c r="P797">
        <f>O796*$G$53</f>
        <v/>
      </c>
      <c r="Q797">
        <f>IF(S796&gt;0,MAX(0,S796*(1+$G$54)-$H$54),0)</f>
        <v/>
      </c>
      <c r="R797">
        <f>MAX(0,N797-M797)</f>
        <v/>
      </c>
      <c r="S797">
        <f>IF(Q797-R797&gt;1E-9,Q797-R797,0)</f>
        <v/>
      </c>
      <c r="T797">
        <f>S796*$G$54</f>
        <v/>
      </c>
      <c r="U797">
        <f>IF(W796&gt;0,MAX(0,W796*(1+$G$55)-$H$55),0)</f>
        <v/>
      </c>
      <c r="V797">
        <f>MAX(0,R797-Q797)</f>
        <v/>
      </c>
      <c r="W797">
        <f>IF(U797-V797&gt;1E-9,U797-V797,0)</f>
        <v/>
      </c>
      <c r="X797">
        <f>W796*$G$55</f>
        <v/>
      </c>
      <c r="Y797">
        <f>IF(Y796&gt;1E-9,IF(Y796*(1+$G$51)-MAX($B$9,0.01*Y796+Y796*$G$51)&gt;1E-9,Y796*(1+$G$51)-MAX($B$9,0.01*Y796+Y796*$G$51),0),0)</f>
        <v/>
      </c>
      <c r="Z797">
        <f>Y796*$G$51</f>
        <v/>
      </c>
      <c r="AA797">
        <f>IF(AA796&gt;1E-9,IF(AA796*(1+$G$52)-MAX($B$9,0.01*AA796+AA796*$G$52)&gt;1E-9,AA796*(1+$G$52)-MAX($B$9,0.01*AA796+AA796*$G$52),0),0)</f>
        <v/>
      </c>
      <c r="AB797">
        <f>AA796*$G$52</f>
        <v/>
      </c>
      <c r="AC797">
        <f>IF(AC796&gt;1E-9,IF(AC796*(1+$G$53)-MAX($B$9,0.01*AC796+AC796*$G$53)&gt;1E-9,AC796*(1+$G$53)-MAX($B$9,0.01*AC796+AC796*$G$53),0),0)</f>
        <v/>
      </c>
      <c r="AD797">
        <f>AC796*$G$53</f>
        <v/>
      </c>
      <c r="AE797">
        <f>IF(AE796&gt;1E-9,IF(AE796*(1+$G$54)-MAX($B$9,0.01*AE796+AE796*$G$54)&gt;1E-9,AE796*(1+$G$54)-MAX($B$9,0.01*AE796+AE796*$G$54),0),0)</f>
        <v/>
      </c>
      <c r="AF797">
        <f>AE796*$G$54</f>
        <v/>
      </c>
      <c r="AG797">
        <f>IF(AG796&gt;1E-9,IF(AG796*(1+$G$55)-MAX($B$9,0.01*AG796+AG796*$G$55)&gt;1E-9,AG796*(1+$G$55)-MAX($B$9,0.01*AG796+AG796*$G$55),0),0)</f>
        <v/>
      </c>
      <c r="AH797">
        <f>AG796*$G$55</f>
        <v/>
      </c>
      <c r="AI797">
        <f>G797+K797+O797+S797+W797</f>
        <v/>
      </c>
      <c r="AJ797">
        <f>AI796+AK797-AI797</f>
        <v/>
      </c>
      <c r="AK797">
        <f>H797+L797+P797+T797+X797</f>
        <v/>
      </c>
      <c r="AL797">
        <f>TEXT(EDATE($B$5,D797-1),"mmm yyyy")</f>
        <v/>
      </c>
      <c r="AM797">
        <f>AI797</f>
        <v/>
      </c>
    </row>
    <row r="798">
      <c r="D798" t="n">
        <v>737</v>
      </c>
      <c r="E798">
        <f>IF(G797&gt;0,MAX(0,G797*(1+$G$51)-$H$51),0)</f>
        <v/>
      </c>
      <c r="F798">
        <f>$B$6+IF($D798=$B$8,$B$7,0)</f>
        <v/>
      </c>
      <c r="G798">
        <f>IF(E798-F798&gt;1E-9,E798-F798,0)</f>
        <v/>
      </c>
      <c r="H798">
        <f>G797*$G$51</f>
        <v/>
      </c>
      <c r="I798">
        <f>IF(K797&gt;0,MAX(0,K797*(1+$G$52)-$H$52),0)</f>
        <v/>
      </c>
      <c r="J798">
        <f>MAX(0,F798-E798)</f>
        <v/>
      </c>
      <c r="K798">
        <f>IF(I798-J798&gt;1E-9,I798-J798,0)</f>
        <v/>
      </c>
      <c r="L798">
        <f>K797*$G$52</f>
        <v/>
      </c>
      <c r="M798">
        <f>IF(O797&gt;0,MAX(0,O797*(1+$G$53)-$H$53),0)</f>
        <v/>
      </c>
      <c r="N798">
        <f>MAX(0,J798-I798)</f>
        <v/>
      </c>
      <c r="O798">
        <f>IF(M798-N798&gt;1E-9,M798-N798,0)</f>
        <v/>
      </c>
      <c r="P798">
        <f>O797*$G$53</f>
        <v/>
      </c>
      <c r="Q798">
        <f>IF(S797&gt;0,MAX(0,S797*(1+$G$54)-$H$54),0)</f>
        <v/>
      </c>
      <c r="R798">
        <f>MAX(0,N798-M798)</f>
        <v/>
      </c>
      <c r="S798">
        <f>IF(Q798-R798&gt;1E-9,Q798-R798,0)</f>
        <v/>
      </c>
      <c r="T798">
        <f>S797*$G$54</f>
        <v/>
      </c>
      <c r="U798">
        <f>IF(W797&gt;0,MAX(0,W797*(1+$G$55)-$H$55),0)</f>
        <v/>
      </c>
      <c r="V798">
        <f>MAX(0,R798-Q798)</f>
        <v/>
      </c>
      <c r="W798">
        <f>IF(U798-V798&gt;1E-9,U798-V798,0)</f>
        <v/>
      </c>
      <c r="X798">
        <f>W797*$G$55</f>
        <v/>
      </c>
      <c r="Y798">
        <f>IF(Y797&gt;1E-9,IF(Y797*(1+$G$51)-MAX($B$9,0.01*Y797+Y797*$G$51)&gt;1E-9,Y797*(1+$G$51)-MAX($B$9,0.01*Y797+Y797*$G$51),0),0)</f>
        <v/>
      </c>
      <c r="Z798">
        <f>Y797*$G$51</f>
        <v/>
      </c>
      <c r="AA798">
        <f>IF(AA797&gt;1E-9,IF(AA797*(1+$G$52)-MAX($B$9,0.01*AA797+AA797*$G$52)&gt;1E-9,AA797*(1+$G$52)-MAX($B$9,0.01*AA797+AA797*$G$52),0),0)</f>
        <v/>
      </c>
      <c r="AB798">
        <f>AA797*$G$52</f>
        <v/>
      </c>
      <c r="AC798">
        <f>IF(AC797&gt;1E-9,IF(AC797*(1+$G$53)-MAX($B$9,0.01*AC797+AC797*$G$53)&gt;1E-9,AC797*(1+$G$53)-MAX($B$9,0.01*AC797+AC797*$G$53),0),0)</f>
        <v/>
      </c>
      <c r="AD798">
        <f>AC797*$G$53</f>
        <v/>
      </c>
      <c r="AE798">
        <f>IF(AE797&gt;1E-9,IF(AE797*(1+$G$54)-MAX($B$9,0.01*AE797+AE797*$G$54)&gt;1E-9,AE797*(1+$G$54)-MAX($B$9,0.01*AE797+AE797*$G$54),0),0)</f>
        <v/>
      </c>
      <c r="AF798">
        <f>AE797*$G$54</f>
        <v/>
      </c>
      <c r="AG798">
        <f>IF(AG797&gt;1E-9,IF(AG797*(1+$G$55)-MAX($B$9,0.01*AG797+AG797*$G$55)&gt;1E-9,AG797*(1+$G$55)-MAX($B$9,0.01*AG797+AG797*$G$55),0),0)</f>
        <v/>
      </c>
      <c r="AH798">
        <f>AG797*$G$55</f>
        <v/>
      </c>
      <c r="AI798">
        <f>G798+K798+O798+S798+W798</f>
        <v/>
      </c>
      <c r="AJ798">
        <f>AI797+AK798-AI798</f>
        <v/>
      </c>
      <c r="AK798">
        <f>H798+L798+P798+T798+X798</f>
        <v/>
      </c>
      <c r="AL798">
        <f>TEXT(EDATE($B$5,D798-1),"mmm yyyy")</f>
        <v/>
      </c>
      <c r="AM798">
        <f>AI798</f>
        <v/>
      </c>
    </row>
    <row r="799">
      <c r="D799" t="n">
        <v>738</v>
      </c>
      <c r="E799">
        <f>IF(G798&gt;0,MAX(0,G798*(1+$G$51)-$H$51),0)</f>
        <v/>
      </c>
      <c r="F799">
        <f>$B$6+IF($D799=$B$8,$B$7,0)</f>
        <v/>
      </c>
      <c r="G799">
        <f>IF(E799-F799&gt;1E-9,E799-F799,0)</f>
        <v/>
      </c>
      <c r="H799">
        <f>G798*$G$51</f>
        <v/>
      </c>
      <c r="I799">
        <f>IF(K798&gt;0,MAX(0,K798*(1+$G$52)-$H$52),0)</f>
        <v/>
      </c>
      <c r="J799">
        <f>MAX(0,F799-E799)</f>
        <v/>
      </c>
      <c r="K799">
        <f>IF(I799-J799&gt;1E-9,I799-J799,0)</f>
        <v/>
      </c>
      <c r="L799">
        <f>K798*$G$52</f>
        <v/>
      </c>
      <c r="M799">
        <f>IF(O798&gt;0,MAX(0,O798*(1+$G$53)-$H$53),0)</f>
        <v/>
      </c>
      <c r="N799">
        <f>MAX(0,J799-I799)</f>
        <v/>
      </c>
      <c r="O799">
        <f>IF(M799-N799&gt;1E-9,M799-N799,0)</f>
        <v/>
      </c>
      <c r="P799">
        <f>O798*$G$53</f>
        <v/>
      </c>
      <c r="Q799">
        <f>IF(S798&gt;0,MAX(0,S798*(1+$G$54)-$H$54),0)</f>
        <v/>
      </c>
      <c r="R799">
        <f>MAX(0,N799-M799)</f>
        <v/>
      </c>
      <c r="S799">
        <f>IF(Q799-R799&gt;1E-9,Q799-R799,0)</f>
        <v/>
      </c>
      <c r="T799">
        <f>S798*$G$54</f>
        <v/>
      </c>
      <c r="U799">
        <f>IF(W798&gt;0,MAX(0,W798*(1+$G$55)-$H$55),0)</f>
        <v/>
      </c>
      <c r="V799">
        <f>MAX(0,R799-Q799)</f>
        <v/>
      </c>
      <c r="W799">
        <f>IF(U799-V799&gt;1E-9,U799-V799,0)</f>
        <v/>
      </c>
      <c r="X799">
        <f>W798*$G$55</f>
        <v/>
      </c>
      <c r="Y799">
        <f>IF(Y798&gt;1E-9,IF(Y798*(1+$G$51)-MAX($B$9,0.01*Y798+Y798*$G$51)&gt;1E-9,Y798*(1+$G$51)-MAX($B$9,0.01*Y798+Y798*$G$51),0),0)</f>
        <v/>
      </c>
      <c r="Z799">
        <f>Y798*$G$51</f>
        <v/>
      </c>
      <c r="AA799">
        <f>IF(AA798&gt;1E-9,IF(AA798*(1+$G$52)-MAX($B$9,0.01*AA798+AA798*$G$52)&gt;1E-9,AA798*(1+$G$52)-MAX($B$9,0.01*AA798+AA798*$G$52),0),0)</f>
        <v/>
      </c>
      <c r="AB799">
        <f>AA798*$G$52</f>
        <v/>
      </c>
      <c r="AC799">
        <f>IF(AC798&gt;1E-9,IF(AC798*(1+$G$53)-MAX($B$9,0.01*AC798+AC798*$G$53)&gt;1E-9,AC798*(1+$G$53)-MAX($B$9,0.01*AC798+AC798*$G$53),0),0)</f>
        <v/>
      </c>
      <c r="AD799">
        <f>AC798*$G$53</f>
        <v/>
      </c>
      <c r="AE799">
        <f>IF(AE798&gt;1E-9,IF(AE798*(1+$G$54)-MAX($B$9,0.01*AE798+AE798*$G$54)&gt;1E-9,AE798*(1+$G$54)-MAX($B$9,0.01*AE798+AE798*$G$54),0),0)</f>
        <v/>
      </c>
      <c r="AF799">
        <f>AE798*$G$54</f>
        <v/>
      </c>
      <c r="AG799">
        <f>IF(AG798&gt;1E-9,IF(AG798*(1+$G$55)-MAX($B$9,0.01*AG798+AG798*$G$55)&gt;1E-9,AG798*(1+$G$55)-MAX($B$9,0.01*AG798+AG798*$G$55),0),0)</f>
        <v/>
      </c>
      <c r="AH799">
        <f>AG798*$G$55</f>
        <v/>
      </c>
      <c r="AI799">
        <f>G799+K799+O799+S799+W799</f>
        <v/>
      </c>
      <c r="AJ799">
        <f>AI798+AK799-AI799</f>
        <v/>
      </c>
      <c r="AK799">
        <f>H799+L799+P799+T799+X799</f>
        <v/>
      </c>
      <c r="AL799">
        <f>TEXT(EDATE($B$5,D799-1),"mmm yyyy")</f>
        <v/>
      </c>
      <c r="AM799">
        <f>AI799</f>
        <v/>
      </c>
    </row>
    <row r="800">
      <c r="D800" t="n">
        <v>739</v>
      </c>
      <c r="E800">
        <f>IF(G799&gt;0,MAX(0,G799*(1+$G$51)-$H$51),0)</f>
        <v/>
      </c>
      <c r="F800">
        <f>$B$6+IF($D800=$B$8,$B$7,0)</f>
        <v/>
      </c>
      <c r="G800">
        <f>IF(E800-F800&gt;1E-9,E800-F800,0)</f>
        <v/>
      </c>
      <c r="H800">
        <f>G799*$G$51</f>
        <v/>
      </c>
      <c r="I800">
        <f>IF(K799&gt;0,MAX(0,K799*(1+$G$52)-$H$52),0)</f>
        <v/>
      </c>
      <c r="J800">
        <f>MAX(0,F800-E800)</f>
        <v/>
      </c>
      <c r="K800">
        <f>IF(I800-J800&gt;1E-9,I800-J800,0)</f>
        <v/>
      </c>
      <c r="L800">
        <f>K799*$G$52</f>
        <v/>
      </c>
      <c r="M800">
        <f>IF(O799&gt;0,MAX(0,O799*(1+$G$53)-$H$53),0)</f>
        <v/>
      </c>
      <c r="N800">
        <f>MAX(0,J800-I800)</f>
        <v/>
      </c>
      <c r="O800">
        <f>IF(M800-N800&gt;1E-9,M800-N800,0)</f>
        <v/>
      </c>
      <c r="P800">
        <f>O799*$G$53</f>
        <v/>
      </c>
      <c r="Q800">
        <f>IF(S799&gt;0,MAX(0,S799*(1+$G$54)-$H$54),0)</f>
        <v/>
      </c>
      <c r="R800">
        <f>MAX(0,N800-M800)</f>
        <v/>
      </c>
      <c r="S800">
        <f>IF(Q800-R800&gt;1E-9,Q800-R800,0)</f>
        <v/>
      </c>
      <c r="T800">
        <f>S799*$G$54</f>
        <v/>
      </c>
      <c r="U800">
        <f>IF(W799&gt;0,MAX(0,W799*(1+$G$55)-$H$55),0)</f>
        <v/>
      </c>
      <c r="V800">
        <f>MAX(0,R800-Q800)</f>
        <v/>
      </c>
      <c r="W800">
        <f>IF(U800-V800&gt;1E-9,U800-V800,0)</f>
        <v/>
      </c>
      <c r="X800">
        <f>W799*$G$55</f>
        <v/>
      </c>
      <c r="Y800">
        <f>IF(Y799&gt;1E-9,IF(Y799*(1+$G$51)-MAX($B$9,0.01*Y799+Y799*$G$51)&gt;1E-9,Y799*(1+$G$51)-MAX($B$9,0.01*Y799+Y799*$G$51),0),0)</f>
        <v/>
      </c>
      <c r="Z800">
        <f>Y799*$G$51</f>
        <v/>
      </c>
      <c r="AA800">
        <f>IF(AA799&gt;1E-9,IF(AA799*(1+$G$52)-MAX($B$9,0.01*AA799+AA799*$G$52)&gt;1E-9,AA799*(1+$G$52)-MAX($B$9,0.01*AA799+AA799*$G$52),0),0)</f>
        <v/>
      </c>
      <c r="AB800">
        <f>AA799*$G$52</f>
        <v/>
      </c>
      <c r="AC800">
        <f>IF(AC799&gt;1E-9,IF(AC799*(1+$G$53)-MAX($B$9,0.01*AC799+AC799*$G$53)&gt;1E-9,AC799*(1+$G$53)-MAX($B$9,0.01*AC799+AC799*$G$53),0),0)</f>
        <v/>
      </c>
      <c r="AD800">
        <f>AC799*$G$53</f>
        <v/>
      </c>
      <c r="AE800">
        <f>IF(AE799&gt;1E-9,IF(AE799*(1+$G$54)-MAX($B$9,0.01*AE799+AE799*$G$54)&gt;1E-9,AE799*(1+$G$54)-MAX($B$9,0.01*AE799+AE799*$G$54),0),0)</f>
        <v/>
      </c>
      <c r="AF800">
        <f>AE799*$G$54</f>
        <v/>
      </c>
      <c r="AG800">
        <f>IF(AG799&gt;1E-9,IF(AG799*(1+$G$55)-MAX($B$9,0.01*AG799+AG799*$G$55)&gt;1E-9,AG799*(1+$G$55)-MAX($B$9,0.01*AG799+AG799*$G$55),0),0)</f>
        <v/>
      </c>
      <c r="AH800">
        <f>AG799*$G$55</f>
        <v/>
      </c>
      <c r="AI800">
        <f>G800+K800+O800+S800+W800</f>
        <v/>
      </c>
      <c r="AJ800">
        <f>AI799+AK800-AI800</f>
        <v/>
      </c>
      <c r="AK800">
        <f>H800+L800+P800+T800+X800</f>
        <v/>
      </c>
      <c r="AL800">
        <f>TEXT(EDATE($B$5,D800-1),"mmm yyyy")</f>
        <v/>
      </c>
      <c r="AM800">
        <f>AI800</f>
        <v/>
      </c>
    </row>
    <row r="801">
      <c r="D801" t="n">
        <v>740</v>
      </c>
      <c r="E801">
        <f>IF(G800&gt;0,MAX(0,G800*(1+$G$51)-$H$51),0)</f>
        <v/>
      </c>
      <c r="F801">
        <f>$B$6+IF($D801=$B$8,$B$7,0)</f>
        <v/>
      </c>
      <c r="G801">
        <f>IF(E801-F801&gt;1E-9,E801-F801,0)</f>
        <v/>
      </c>
      <c r="H801">
        <f>G800*$G$51</f>
        <v/>
      </c>
      <c r="I801">
        <f>IF(K800&gt;0,MAX(0,K800*(1+$G$52)-$H$52),0)</f>
        <v/>
      </c>
      <c r="J801">
        <f>MAX(0,F801-E801)</f>
        <v/>
      </c>
      <c r="K801">
        <f>IF(I801-J801&gt;1E-9,I801-J801,0)</f>
        <v/>
      </c>
      <c r="L801">
        <f>K800*$G$52</f>
        <v/>
      </c>
      <c r="M801">
        <f>IF(O800&gt;0,MAX(0,O800*(1+$G$53)-$H$53),0)</f>
        <v/>
      </c>
      <c r="N801">
        <f>MAX(0,J801-I801)</f>
        <v/>
      </c>
      <c r="O801">
        <f>IF(M801-N801&gt;1E-9,M801-N801,0)</f>
        <v/>
      </c>
      <c r="P801">
        <f>O800*$G$53</f>
        <v/>
      </c>
      <c r="Q801">
        <f>IF(S800&gt;0,MAX(0,S800*(1+$G$54)-$H$54),0)</f>
        <v/>
      </c>
      <c r="R801">
        <f>MAX(0,N801-M801)</f>
        <v/>
      </c>
      <c r="S801">
        <f>IF(Q801-R801&gt;1E-9,Q801-R801,0)</f>
        <v/>
      </c>
      <c r="T801">
        <f>S800*$G$54</f>
        <v/>
      </c>
      <c r="U801">
        <f>IF(W800&gt;0,MAX(0,W800*(1+$G$55)-$H$55),0)</f>
        <v/>
      </c>
      <c r="V801">
        <f>MAX(0,R801-Q801)</f>
        <v/>
      </c>
      <c r="W801">
        <f>IF(U801-V801&gt;1E-9,U801-V801,0)</f>
        <v/>
      </c>
      <c r="X801">
        <f>W800*$G$55</f>
        <v/>
      </c>
      <c r="Y801">
        <f>IF(Y800&gt;1E-9,IF(Y800*(1+$G$51)-MAX($B$9,0.01*Y800+Y800*$G$51)&gt;1E-9,Y800*(1+$G$51)-MAX($B$9,0.01*Y800+Y800*$G$51),0),0)</f>
        <v/>
      </c>
      <c r="Z801">
        <f>Y800*$G$51</f>
        <v/>
      </c>
      <c r="AA801">
        <f>IF(AA800&gt;1E-9,IF(AA800*(1+$G$52)-MAX($B$9,0.01*AA800+AA800*$G$52)&gt;1E-9,AA800*(1+$G$52)-MAX($B$9,0.01*AA800+AA800*$G$52),0),0)</f>
        <v/>
      </c>
      <c r="AB801">
        <f>AA800*$G$52</f>
        <v/>
      </c>
      <c r="AC801">
        <f>IF(AC800&gt;1E-9,IF(AC800*(1+$G$53)-MAX($B$9,0.01*AC800+AC800*$G$53)&gt;1E-9,AC800*(1+$G$53)-MAX($B$9,0.01*AC800+AC800*$G$53),0),0)</f>
        <v/>
      </c>
      <c r="AD801">
        <f>AC800*$G$53</f>
        <v/>
      </c>
      <c r="AE801">
        <f>IF(AE800&gt;1E-9,IF(AE800*(1+$G$54)-MAX($B$9,0.01*AE800+AE800*$G$54)&gt;1E-9,AE800*(1+$G$54)-MAX($B$9,0.01*AE800+AE800*$G$54),0),0)</f>
        <v/>
      </c>
      <c r="AF801">
        <f>AE800*$G$54</f>
        <v/>
      </c>
      <c r="AG801">
        <f>IF(AG800&gt;1E-9,IF(AG800*(1+$G$55)-MAX($B$9,0.01*AG800+AG800*$G$55)&gt;1E-9,AG800*(1+$G$55)-MAX($B$9,0.01*AG800+AG800*$G$55),0),0)</f>
        <v/>
      </c>
      <c r="AH801">
        <f>AG800*$G$55</f>
        <v/>
      </c>
      <c r="AI801">
        <f>G801+K801+O801+S801+W801</f>
        <v/>
      </c>
      <c r="AJ801">
        <f>AI800+AK801-AI801</f>
        <v/>
      </c>
      <c r="AK801">
        <f>H801+L801+P801+T801+X801</f>
        <v/>
      </c>
      <c r="AL801">
        <f>TEXT(EDATE($B$5,D801-1),"mmm yyyy")</f>
        <v/>
      </c>
      <c r="AM801">
        <f>AI801</f>
        <v/>
      </c>
    </row>
    <row r="802">
      <c r="D802" t="n">
        <v>741</v>
      </c>
      <c r="E802">
        <f>IF(G801&gt;0,MAX(0,G801*(1+$G$51)-$H$51),0)</f>
        <v/>
      </c>
      <c r="F802">
        <f>$B$6+IF($D802=$B$8,$B$7,0)</f>
        <v/>
      </c>
      <c r="G802">
        <f>IF(E802-F802&gt;1E-9,E802-F802,0)</f>
        <v/>
      </c>
      <c r="H802">
        <f>G801*$G$51</f>
        <v/>
      </c>
      <c r="I802">
        <f>IF(K801&gt;0,MAX(0,K801*(1+$G$52)-$H$52),0)</f>
        <v/>
      </c>
      <c r="J802">
        <f>MAX(0,F802-E802)</f>
        <v/>
      </c>
      <c r="K802">
        <f>IF(I802-J802&gt;1E-9,I802-J802,0)</f>
        <v/>
      </c>
      <c r="L802">
        <f>K801*$G$52</f>
        <v/>
      </c>
      <c r="M802">
        <f>IF(O801&gt;0,MAX(0,O801*(1+$G$53)-$H$53),0)</f>
        <v/>
      </c>
      <c r="N802">
        <f>MAX(0,J802-I802)</f>
        <v/>
      </c>
      <c r="O802">
        <f>IF(M802-N802&gt;1E-9,M802-N802,0)</f>
        <v/>
      </c>
      <c r="P802">
        <f>O801*$G$53</f>
        <v/>
      </c>
      <c r="Q802">
        <f>IF(S801&gt;0,MAX(0,S801*(1+$G$54)-$H$54),0)</f>
        <v/>
      </c>
      <c r="R802">
        <f>MAX(0,N802-M802)</f>
        <v/>
      </c>
      <c r="S802">
        <f>IF(Q802-R802&gt;1E-9,Q802-R802,0)</f>
        <v/>
      </c>
      <c r="T802">
        <f>S801*$G$54</f>
        <v/>
      </c>
      <c r="U802">
        <f>IF(W801&gt;0,MAX(0,W801*(1+$G$55)-$H$55),0)</f>
        <v/>
      </c>
      <c r="V802">
        <f>MAX(0,R802-Q802)</f>
        <v/>
      </c>
      <c r="W802">
        <f>IF(U802-V802&gt;1E-9,U802-V802,0)</f>
        <v/>
      </c>
      <c r="X802">
        <f>W801*$G$55</f>
        <v/>
      </c>
      <c r="Y802">
        <f>IF(Y801&gt;1E-9,IF(Y801*(1+$G$51)-MAX($B$9,0.01*Y801+Y801*$G$51)&gt;1E-9,Y801*(1+$G$51)-MAX($B$9,0.01*Y801+Y801*$G$51),0),0)</f>
        <v/>
      </c>
      <c r="Z802">
        <f>Y801*$G$51</f>
        <v/>
      </c>
      <c r="AA802">
        <f>IF(AA801&gt;1E-9,IF(AA801*(1+$G$52)-MAX($B$9,0.01*AA801+AA801*$G$52)&gt;1E-9,AA801*(1+$G$52)-MAX($B$9,0.01*AA801+AA801*$G$52),0),0)</f>
        <v/>
      </c>
      <c r="AB802">
        <f>AA801*$G$52</f>
        <v/>
      </c>
      <c r="AC802">
        <f>IF(AC801&gt;1E-9,IF(AC801*(1+$G$53)-MAX($B$9,0.01*AC801+AC801*$G$53)&gt;1E-9,AC801*(1+$G$53)-MAX($B$9,0.01*AC801+AC801*$G$53),0),0)</f>
        <v/>
      </c>
      <c r="AD802">
        <f>AC801*$G$53</f>
        <v/>
      </c>
      <c r="AE802">
        <f>IF(AE801&gt;1E-9,IF(AE801*(1+$G$54)-MAX($B$9,0.01*AE801+AE801*$G$54)&gt;1E-9,AE801*(1+$G$54)-MAX($B$9,0.01*AE801+AE801*$G$54),0),0)</f>
        <v/>
      </c>
      <c r="AF802">
        <f>AE801*$G$54</f>
        <v/>
      </c>
      <c r="AG802">
        <f>IF(AG801&gt;1E-9,IF(AG801*(1+$G$55)-MAX($B$9,0.01*AG801+AG801*$G$55)&gt;1E-9,AG801*(1+$G$55)-MAX($B$9,0.01*AG801+AG801*$G$55),0),0)</f>
        <v/>
      </c>
      <c r="AH802">
        <f>AG801*$G$55</f>
        <v/>
      </c>
      <c r="AI802">
        <f>G802+K802+O802+S802+W802</f>
        <v/>
      </c>
      <c r="AJ802">
        <f>AI801+AK802-AI802</f>
        <v/>
      </c>
      <c r="AK802">
        <f>H802+L802+P802+T802+X802</f>
        <v/>
      </c>
      <c r="AL802">
        <f>TEXT(EDATE($B$5,D802-1),"mmm yyyy")</f>
        <v/>
      </c>
      <c r="AM802">
        <f>AI802</f>
        <v/>
      </c>
    </row>
    <row r="803">
      <c r="D803" t="n">
        <v>742</v>
      </c>
      <c r="E803">
        <f>IF(G802&gt;0,MAX(0,G802*(1+$G$51)-$H$51),0)</f>
        <v/>
      </c>
      <c r="F803">
        <f>$B$6+IF($D803=$B$8,$B$7,0)</f>
        <v/>
      </c>
      <c r="G803">
        <f>IF(E803-F803&gt;1E-9,E803-F803,0)</f>
        <v/>
      </c>
      <c r="H803">
        <f>G802*$G$51</f>
        <v/>
      </c>
      <c r="I803">
        <f>IF(K802&gt;0,MAX(0,K802*(1+$G$52)-$H$52),0)</f>
        <v/>
      </c>
      <c r="J803">
        <f>MAX(0,F803-E803)</f>
        <v/>
      </c>
      <c r="K803">
        <f>IF(I803-J803&gt;1E-9,I803-J803,0)</f>
        <v/>
      </c>
      <c r="L803">
        <f>K802*$G$52</f>
        <v/>
      </c>
      <c r="M803">
        <f>IF(O802&gt;0,MAX(0,O802*(1+$G$53)-$H$53),0)</f>
        <v/>
      </c>
      <c r="N803">
        <f>MAX(0,J803-I803)</f>
        <v/>
      </c>
      <c r="O803">
        <f>IF(M803-N803&gt;1E-9,M803-N803,0)</f>
        <v/>
      </c>
      <c r="P803">
        <f>O802*$G$53</f>
        <v/>
      </c>
      <c r="Q803">
        <f>IF(S802&gt;0,MAX(0,S802*(1+$G$54)-$H$54),0)</f>
        <v/>
      </c>
      <c r="R803">
        <f>MAX(0,N803-M803)</f>
        <v/>
      </c>
      <c r="S803">
        <f>IF(Q803-R803&gt;1E-9,Q803-R803,0)</f>
        <v/>
      </c>
      <c r="T803">
        <f>S802*$G$54</f>
        <v/>
      </c>
      <c r="U803">
        <f>IF(W802&gt;0,MAX(0,W802*(1+$G$55)-$H$55),0)</f>
        <v/>
      </c>
      <c r="V803">
        <f>MAX(0,R803-Q803)</f>
        <v/>
      </c>
      <c r="W803">
        <f>IF(U803-V803&gt;1E-9,U803-V803,0)</f>
        <v/>
      </c>
      <c r="X803">
        <f>W802*$G$55</f>
        <v/>
      </c>
      <c r="Y803">
        <f>IF(Y802&gt;1E-9,IF(Y802*(1+$G$51)-MAX($B$9,0.01*Y802+Y802*$G$51)&gt;1E-9,Y802*(1+$G$51)-MAX($B$9,0.01*Y802+Y802*$G$51),0),0)</f>
        <v/>
      </c>
      <c r="Z803">
        <f>Y802*$G$51</f>
        <v/>
      </c>
      <c r="AA803">
        <f>IF(AA802&gt;1E-9,IF(AA802*(1+$G$52)-MAX($B$9,0.01*AA802+AA802*$G$52)&gt;1E-9,AA802*(1+$G$52)-MAX($B$9,0.01*AA802+AA802*$G$52),0),0)</f>
        <v/>
      </c>
      <c r="AB803">
        <f>AA802*$G$52</f>
        <v/>
      </c>
      <c r="AC803">
        <f>IF(AC802&gt;1E-9,IF(AC802*(1+$G$53)-MAX($B$9,0.01*AC802+AC802*$G$53)&gt;1E-9,AC802*(1+$G$53)-MAX($B$9,0.01*AC802+AC802*$G$53),0),0)</f>
        <v/>
      </c>
      <c r="AD803">
        <f>AC802*$G$53</f>
        <v/>
      </c>
      <c r="AE803">
        <f>IF(AE802&gt;1E-9,IF(AE802*(1+$G$54)-MAX($B$9,0.01*AE802+AE802*$G$54)&gt;1E-9,AE802*(1+$G$54)-MAX($B$9,0.01*AE802+AE802*$G$54),0),0)</f>
        <v/>
      </c>
      <c r="AF803">
        <f>AE802*$G$54</f>
        <v/>
      </c>
      <c r="AG803">
        <f>IF(AG802&gt;1E-9,IF(AG802*(1+$G$55)-MAX($B$9,0.01*AG802+AG802*$G$55)&gt;1E-9,AG802*(1+$G$55)-MAX($B$9,0.01*AG802+AG802*$G$55),0),0)</f>
        <v/>
      </c>
      <c r="AH803">
        <f>AG802*$G$55</f>
        <v/>
      </c>
      <c r="AI803">
        <f>G803+K803+O803+S803+W803</f>
        <v/>
      </c>
      <c r="AJ803">
        <f>AI802+AK803-AI803</f>
        <v/>
      </c>
      <c r="AK803">
        <f>H803+L803+P803+T803+X803</f>
        <v/>
      </c>
      <c r="AL803">
        <f>TEXT(EDATE($B$5,D803-1),"mmm yyyy")</f>
        <v/>
      </c>
      <c r="AM803">
        <f>AI803</f>
        <v/>
      </c>
    </row>
    <row r="804">
      <c r="D804" t="n">
        <v>743</v>
      </c>
      <c r="E804">
        <f>IF(G803&gt;0,MAX(0,G803*(1+$G$51)-$H$51),0)</f>
        <v/>
      </c>
      <c r="F804">
        <f>$B$6+IF($D804=$B$8,$B$7,0)</f>
        <v/>
      </c>
      <c r="G804">
        <f>IF(E804-F804&gt;1E-9,E804-F804,0)</f>
        <v/>
      </c>
      <c r="H804">
        <f>G803*$G$51</f>
        <v/>
      </c>
      <c r="I804">
        <f>IF(K803&gt;0,MAX(0,K803*(1+$G$52)-$H$52),0)</f>
        <v/>
      </c>
      <c r="J804">
        <f>MAX(0,F804-E804)</f>
        <v/>
      </c>
      <c r="K804">
        <f>IF(I804-J804&gt;1E-9,I804-J804,0)</f>
        <v/>
      </c>
      <c r="L804">
        <f>K803*$G$52</f>
        <v/>
      </c>
      <c r="M804">
        <f>IF(O803&gt;0,MAX(0,O803*(1+$G$53)-$H$53),0)</f>
        <v/>
      </c>
      <c r="N804">
        <f>MAX(0,J804-I804)</f>
        <v/>
      </c>
      <c r="O804">
        <f>IF(M804-N804&gt;1E-9,M804-N804,0)</f>
        <v/>
      </c>
      <c r="P804">
        <f>O803*$G$53</f>
        <v/>
      </c>
      <c r="Q804">
        <f>IF(S803&gt;0,MAX(0,S803*(1+$G$54)-$H$54),0)</f>
        <v/>
      </c>
      <c r="R804">
        <f>MAX(0,N804-M804)</f>
        <v/>
      </c>
      <c r="S804">
        <f>IF(Q804-R804&gt;1E-9,Q804-R804,0)</f>
        <v/>
      </c>
      <c r="T804">
        <f>S803*$G$54</f>
        <v/>
      </c>
      <c r="U804">
        <f>IF(W803&gt;0,MAX(0,W803*(1+$G$55)-$H$55),0)</f>
        <v/>
      </c>
      <c r="V804">
        <f>MAX(0,R804-Q804)</f>
        <v/>
      </c>
      <c r="W804">
        <f>IF(U804-V804&gt;1E-9,U804-V804,0)</f>
        <v/>
      </c>
      <c r="X804">
        <f>W803*$G$55</f>
        <v/>
      </c>
      <c r="Y804">
        <f>IF(Y803&gt;1E-9,IF(Y803*(1+$G$51)-MAX($B$9,0.01*Y803+Y803*$G$51)&gt;1E-9,Y803*(1+$G$51)-MAX($B$9,0.01*Y803+Y803*$G$51),0),0)</f>
        <v/>
      </c>
      <c r="Z804">
        <f>Y803*$G$51</f>
        <v/>
      </c>
      <c r="AA804">
        <f>IF(AA803&gt;1E-9,IF(AA803*(1+$G$52)-MAX($B$9,0.01*AA803+AA803*$G$52)&gt;1E-9,AA803*(1+$G$52)-MAX($B$9,0.01*AA803+AA803*$G$52),0),0)</f>
        <v/>
      </c>
      <c r="AB804">
        <f>AA803*$G$52</f>
        <v/>
      </c>
      <c r="AC804">
        <f>IF(AC803&gt;1E-9,IF(AC803*(1+$G$53)-MAX($B$9,0.01*AC803+AC803*$G$53)&gt;1E-9,AC803*(1+$G$53)-MAX($B$9,0.01*AC803+AC803*$G$53),0),0)</f>
        <v/>
      </c>
      <c r="AD804">
        <f>AC803*$G$53</f>
        <v/>
      </c>
      <c r="AE804">
        <f>IF(AE803&gt;1E-9,IF(AE803*(1+$G$54)-MAX($B$9,0.01*AE803+AE803*$G$54)&gt;1E-9,AE803*(1+$G$54)-MAX($B$9,0.01*AE803+AE803*$G$54),0),0)</f>
        <v/>
      </c>
      <c r="AF804">
        <f>AE803*$G$54</f>
        <v/>
      </c>
      <c r="AG804">
        <f>IF(AG803&gt;1E-9,IF(AG803*(1+$G$55)-MAX($B$9,0.01*AG803+AG803*$G$55)&gt;1E-9,AG803*(1+$G$55)-MAX($B$9,0.01*AG803+AG803*$G$55),0),0)</f>
        <v/>
      </c>
      <c r="AH804">
        <f>AG803*$G$55</f>
        <v/>
      </c>
      <c r="AI804">
        <f>G804+K804+O804+S804+W804</f>
        <v/>
      </c>
      <c r="AJ804">
        <f>AI803+AK804-AI804</f>
        <v/>
      </c>
      <c r="AK804">
        <f>H804+L804+P804+T804+X804</f>
        <v/>
      </c>
      <c r="AL804">
        <f>TEXT(EDATE($B$5,D804-1),"mmm yyyy")</f>
        <v/>
      </c>
      <c r="AM804">
        <f>AI804</f>
        <v/>
      </c>
    </row>
    <row r="805">
      <c r="D805" t="n">
        <v>744</v>
      </c>
      <c r="E805">
        <f>IF(G804&gt;0,MAX(0,G804*(1+$G$51)-$H$51),0)</f>
        <v/>
      </c>
      <c r="F805">
        <f>$B$6+IF($D805=$B$8,$B$7,0)</f>
        <v/>
      </c>
      <c r="G805">
        <f>IF(E805-F805&gt;1E-9,E805-F805,0)</f>
        <v/>
      </c>
      <c r="H805">
        <f>G804*$G$51</f>
        <v/>
      </c>
      <c r="I805">
        <f>IF(K804&gt;0,MAX(0,K804*(1+$G$52)-$H$52),0)</f>
        <v/>
      </c>
      <c r="J805">
        <f>MAX(0,F805-E805)</f>
        <v/>
      </c>
      <c r="K805">
        <f>IF(I805-J805&gt;1E-9,I805-J805,0)</f>
        <v/>
      </c>
      <c r="L805">
        <f>K804*$G$52</f>
        <v/>
      </c>
      <c r="M805">
        <f>IF(O804&gt;0,MAX(0,O804*(1+$G$53)-$H$53),0)</f>
        <v/>
      </c>
      <c r="N805">
        <f>MAX(0,J805-I805)</f>
        <v/>
      </c>
      <c r="O805">
        <f>IF(M805-N805&gt;1E-9,M805-N805,0)</f>
        <v/>
      </c>
      <c r="P805">
        <f>O804*$G$53</f>
        <v/>
      </c>
      <c r="Q805">
        <f>IF(S804&gt;0,MAX(0,S804*(1+$G$54)-$H$54),0)</f>
        <v/>
      </c>
      <c r="R805">
        <f>MAX(0,N805-M805)</f>
        <v/>
      </c>
      <c r="S805">
        <f>IF(Q805-R805&gt;1E-9,Q805-R805,0)</f>
        <v/>
      </c>
      <c r="T805">
        <f>S804*$G$54</f>
        <v/>
      </c>
      <c r="U805">
        <f>IF(W804&gt;0,MAX(0,W804*(1+$G$55)-$H$55),0)</f>
        <v/>
      </c>
      <c r="V805">
        <f>MAX(0,R805-Q805)</f>
        <v/>
      </c>
      <c r="W805">
        <f>IF(U805-V805&gt;1E-9,U805-V805,0)</f>
        <v/>
      </c>
      <c r="X805">
        <f>W804*$G$55</f>
        <v/>
      </c>
      <c r="Y805">
        <f>IF(Y804&gt;1E-9,IF(Y804*(1+$G$51)-MAX($B$9,0.01*Y804+Y804*$G$51)&gt;1E-9,Y804*(1+$G$51)-MAX($B$9,0.01*Y804+Y804*$G$51),0),0)</f>
        <v/>
      </c>
      <c r="Z805">
        <f>Y804*$G$51</f>
        <v/>
      </c>
      <c r="AA805">
        <f>IF(AA804&gt;1E-9,IF(AA804*(1+$G$52)-MAX($B$9,0.01*AA804+AA804*$G$52)&gt;1E-9,AA804*(1+$G$52)-MAX($B$9,0.01*AA804+AA804*$G$52),0),0)</f>
        <v/>
      </c>
      <c r="AB805">
        <f>AA804*$G$52</f>
        <v/>
      </c>
      <c r="AC805">
        <f>IF(AC804&gt;1E-9,IF(AC804*(1+$G$53)-MAX($B$9,0.01*AC804+AC804*$G$53)&gt;1E-9,AC804*(1+$G$53)-MAX($B$9,0.01*AC804+AC804*$G$53),0),0)</f>
        <v/>
      </c>
      <c r="AD805">
        <f>AC804*$G$53</f>
        <v/>
      </c>
      <c r="AE805">
        <f>IF(AE804&gt;1E-9,IF(AE804*(1+$G$54)-MAX($B$9,0.01*AE804+AE804*$G$54)&gt;1E-9,AE804*(1+$G$54)-MAX($B$9,0.01*AE804+AE804*$G$54),0),0)</f>
        <v/>
      </c>
      <c r="AF805">
        <f>AE804*$G$54</f>
        <v/>
      </c>
      <c r="AG805">
        <f>IF(AG804&gt;1E-9,IF(AG804*(1+$G$55)-MAX($B$9,0.01*AG804+AG804*$G$55)&gt;1E-9,AG804*(1+$G$55)-MAX($B$9,0.01*AG804+AG804*$G$55),0),0)</f>
        <v/>
      </c>
      <c r="AH805">
        <f>AG804*$G$55</f>
        <v/>
      </c>
      <c r="AI805">
        <f>G805+K805+O805+S805+W805</f>
        <v/>
      </c>
      <c r="AJ805">
        <f>AI804+AK805-AI805</f>
        <v/>
      </c>
      <c r="AK805">
        <f>H805+L805+P805+T805+X805</f>
        <v/>
      </c>
      <c r="AL805">
        <f>TEXT(EDATE($B$5,D805-1),"mmm yyyy")</f>
        <v/>
      </c>
      <c r="AM805">
        <f>AI805</f>
        <v/>
      </c>
    </row>
    <row r="806">
      <c r="D806" t="n">
        <v>745</v>
      </c>
      <c r="E806">
        <f>IF(G805&gt;0,MAX(0,G805*(1+$G$51)-$H$51),0)</f>
        <v/>
      </c>
      <c r="F806">
        <f>$B$6+IF($D806=$B$8,$B$7,0)</f>
        <v/>
      </c>
      <c r="G806">
        <f>IF(E806-F806&gt;1E-9,E806-F806,0)</f>
        <v/>
      </c>
      <c r="H806">
        <f>G805*$G$51</f>
        <v/>
      </c>
      <c r="I806">
        <f>IF(K805&gt;0,MAX(0,K805*(1+$G$52)-$H$52),0)</f>
        <v/>
      </c>
      <c r="J806">
        <f>MAX(0,F806-E806)</f>
        <v/>
      </c>
      <c r="K806">
        <f>IF(I806-J806&gt;1E-9,I806-J806,0)</f>
        <v/>
      </c>
      <c r="L806">
        <f>K805*$G$52</f>
        <v/>
      </c>
      <c r="M806">
        <f>IF(O805&gt;0,MAX(0,O805*(1+$G$53)-$H$53),0)</f>
        <v/>
      </c>
      <c r="N806">
        <f>MAX(0,J806-I806)</f>
        <v/>
      </c>
      <c r="O806">
        <f>IF(M806-N806&gt;1E-9,M806-N806,0)</f>
        <v/>
      </c>
      <c r="P806">
        <f>O805*$G$53</f>
        <v/>
      </c>
      <c r="Q806">
        <f>IF(S805&gt;0,MAX(0,S805*(1+$G$54)-$H$54),0)</f>
        <v/>
      </c>
      <c r="R806">
        <f>MAX(0,N806-M806)</f>
        <v/>
      </c>
      <c r="S806">
        <f>IF(Q806-R806&gt;1E-9,Q806-R806,0)</f>
        <v/>
      </c>
      <c r="T806">
        <f>S805*$G$54</f>
        <v/>
      </c>
      <c r="U806">
        <f>IF(W805&gt;0,MAX(0,W805*(1+$G$55)-$H$55),0)</f>
        <v/>
      </c>
      <c r="V806">
        <f>MAX(0,R806-Q806)</f>
        <v/>
      </c>
      <c r="W806">
        <f>IF(U806-V806&gt;1E-9,U806-V806,0)</f>
        <v/>
      </c>
      <c r="X806">
        <f>W805*$G$55</f>
        <v/>
      </c>
      <c r="Y806">
        <f>IF(Y805&gt;1E-9,IF(Y805*(1+$G$51)-MAX($B$9,0.01*Y805+Y805*$G$51)&gt;1E-9,Y805*(1+$G$51)-MAX($B$9,0.01*Y805+Y805*$G$51),0),0)</f>
        <v/>
      </c>
      <c r="Z806">
        <f>Y805*$G$51</f>
        <v/>
      </c>
      <c r="AA806">
        <f>IF(AA805&gt;1E-9,IF(AA805*(1+$G$52)-MAX($B$9,0.01*AA805+AA805*$G$52)&gt;1E-9,AA805*(1+$G$52)-MAX($B$9,0.01*AA805+AA805*$G$52),0),0)</f>
        <v/>
      </c>
      <c r="AB806">
        <f>AA805*$G$52</f>
        <v/>
      </c>
      <c r="AC806">
        <f>IF(AC805&gt;1E-9,IF(AC805*(1+$G$53)-MAX($B$9,0.01*AC805+AC805*$G$53)&gt;1E-9,AC805*(1+$G$53)-MAX($B$9,0.01*AC805+AC805*$G$53),0),0)</f>
        <v/>
      </c>
      <c r="AD806">
        <f>AC805*$G$53</f>
        <v/>
      </c>
      <c r="AE806">
        <f>IF(AE805&gt;1E-9,IF(AE805*(1+$G$54)-MAX($B$9,0.01*AE805+AE805*$G$54)&gt;1E-9,AE805*(1+$G$54)-MAX($B$9,0.01*AE805+AE805*$G$54),0),0)</f>
        <v/>
      </c>
      <c r="AF806">
        <f>AE805*$G$54</f>
        <v/>
      </c>
      <c r="AG806">
        <f>IF(AG805&gt;1E-9,IF(AG805*(1+$G$55)-MAX($B$9,0.01*AG805+AG805*$G$55)&gt;1E-9,AG805*(1+$G$55)-MAX($B$9,0.01*AG805+AG805*$G$55),0),0)</f>
        <v/>
      </c>
      <c r="AH806">
        <f>AG805*$G$55</f>
        <v/>
      </c>
      <c r="AI806">
        <f>G806+K806+O806+S806+W806</f>
        <v/>
      </c>
      <c r="AJ806">
        <f>AI805+AK806-AI806</f>
        <v/>
      </c>
      <c r="AK806">
        <f>H806+L806+P806+T806+X806</f>
        <v/>
      </c>
      <c r="AL806">
        <f>TEXT(EDATE($B$5,D806-1),"mmm yyyy")</f>
        <v/>
      </c>
      <c r="AM806">
        <f>AI806</f>
        <v/>
      </c>
    </row>
    <row r="807">
      <c r="D807" t="n">
        <v>746</v>
      </c>
      <c r="E807">
        <f>IF(G806&gt;0,MAX(0,G806*(1+$G$51)-$H$51),0)</f>
        <v/>
      </c>
      <c r="F807">
        <f>$B$6+IF($D807=$B$8,$B$7,0)</f>
        <v/>
      </c>
      <c r="G807">
        <f>IF(E807-F807&gt;1E-9,E807-F807,0)</f>
        <v/>
      </c>
      <c r="H807">
        <f>G806*$G$51</f>
        <v/>
      </c>
      <c r="I807">
        <f>IF(K806&gt;0,MAX(0,K806*(1+$G$52)-$H$52),0)</f>
        <v/>
      </c>
      <c r="J807">
        <f>MAX(0,F807-E807)</f>
        <v/>
      </c>
      <c r="K807">
        <f>IF(I807-J807&gt;1E-9,I807-J807,0)</f>
        <v/>
      </c>
      <c r="L807">
        <f>K806*$G$52</f>
        <v/>
      </c>
      <c r="M807">
        <f>IF(O806&gt;0,MAX(0,O806*(1+$G$53)-$H$53),0)</f>
        <v/>
      </c>
      <c r="N807">
        <f>MAX(0,J807-I807)</f>
        <v/>
      </c>
      <c r="O807">
        <f>IF(M807-N807&gt;1E-9,M807-N807,0)</f>
        <v/>
      </c>
      <c r="P807">
        <f>O806*$G$53</f>
        <v/>
      </c>
      <c r="Q807">
        <f>IF(S806&gt;0,MAX(0,S806*(1+$G$54)-$H$54),0)</f>
        <v/>
      </c>
      <c r="R807">
        <f>MAX(0,N807-M807)</f>
        <v/>
      </c>
      <c r="S807">
        <f>IF(Q807-R807&gt;1E-9,Q807-R807,0)</f>
        <v/>
      </c>
      <c r="T807">
        <f>S806*$G$54</f>
        <v/>
      </c>
      <c r="U807">
        <f>IF(W806&gt;0,MAX(0,W806*(1+$G$55)-$H$55),0)</f>
        <v/>
      </c>
      <c r="V807">
        <f>MAX(0,R807-Q807)</f>
        <v/>
      </c>
      <c r="W807">
        <f>IF(U807-V807&gt;1E-9,U807-V807,0)</f>
        <v/>
      </c>
      <c r="X807">
        <f>W806*$G$55</f>
        <v/>
      </c>
      <c r="Y807">
        <f>IF(Y806&gt;1E-9,IF(Y806*(1+$G$51)-MAX($B$9,0.01*Y806+Y806*$G$51)&gt;1E-9,Y806*(1+$G$51)-MAX($B$9,0.01*Y806+Y806*$G$51),0),0)</f>
        <v/>
      </c>
      <c r="Z807">
        <f>Y806*$G$51</f>
        <v/>
      </c>
      <c r="AA807">
        <f>IF(AA806&gt;1E-9,IF(AA806*(1+$G$52)-MAX($B$9,0.01*AA806+AA806*$G$52)&gt;1E-9,AA806*(1+$G$52)-MAX($B$9,0.01*AA806+AA806*$G$52),0),0)</f>
        <v/>
      </c>
      <c r="AB807">
        <f>AA806*$G$52</f>
        <v/>
      </c>
      <c r="AC807">
        <f>IF(AC806&gt;1E-9,IF(AC806*(1+$G$53)-MAX($B$9,0.01*AC806+AC806*$G$53)&gt;1E-9,AC806*(1+$G$53)-MAX($B$9,0.01*AC806+AC806*$G$53),0),0)</f>
        <v/>
      </c>
      <c r="AD807">
        <f>AC806*$G$53</f>
        <v/>
      </c>
      <c r="AE807">
        <f>IF(AE806&gt;1E-9,IF(AE806*(1+$G$54)-MAX($B$9,0.01*AE806+AE806*$G$54)&gt;1E-9,AE806*(1+$G$54)-MAX($B$9,0.01*AE806+AE806*$G$54),0),0)</f>
        <v/>
      </c>
      <c r="AF807">
        <f>AE806*$G$54</f>
        <v/>
      </c>
      <c r="AG807">
        <f>IF(AG806&gt;1E-9,IF(AG806*(1+$G$55)-MAX($B$9,0.01*AG806+AG806*$G$55)&gt;1E-9,AG806*(1+$G$55)-MAX($B$9,0.01*AG806+AG806*$G$55),0),0)</f>
        <v/>
      </c>
      <c r="AH807">
        <f>AG806*$G$55</f>
        <v/>
      </c>
      <c r="AI807">
        <f>G807+K807+O807+S807+W807</f>
        <v/>
      </c>
      <c r="AJ807">
        <f>AI806+AK807-AI807</f>
        <v/>
      </c>
      <c r="AK807">
        <f>H807+L807+P807+T807+X807</f>
        <v/>
      </c>
      <c r="AL807">
        <f>TEXT(EDATE($B$5,D807-1),"mmm yyyy")</f>
        <v/>
      </c>
      <c r="AM807">
        <f>AI807</f>
        <v/>
      </c>
    </row>
    <row r="808">
      <c r="D808" t="n">
        <v>747</v>
      </c>
      <c r="E808">
        <f>IF(G807&gt;0,MAX(0,G807*(1+$G$51)-$H$51),0)</f>
        <v/>
      </c>
      <c r="F808">
        <f>$B$6+IF($D808=$B$8,$B$7,0)</f>
        <v/>
      </c>
      <c r="G808">
        <f>IF(E808-F808&gt;1E-9,E808-F808,0)</f>
        <v/>
      </c>
      <c r="H808">
        <f>G807*$G$51</f>
        <v/>
      </c>
      <c r="I808">
        <f>IF(K807&gt;0,MAX(0,K807*(1+$G$52)-$H$52),0)</f>
        <v/>
      </c>
      <c r="J808">
        <f>MAX(0,F808-E808)</f>
        <v/>
      </c>
      <c r="K808">
        <f>IF(I808-J808&gt;1E-9,I808-J808,0)</f>
        <v/>
      </c>
      <c r="L808">
        <f>K807*$G$52</f>
        <v/>
      </c>
      <c r="M808">
        <f>IF(O807&gt;0,MAX(0,O807*(1+$G$53)-$H$53),0)</f>
        <v/>
      </c>
      <c r="N808">
        <f>MAX(0,J808-I808)</f>
        <v/>
      </c>
      <c r="O808">
        <f>IF(M808-N808&gt;1E-9,M808-N808,0)</f>
        <v/>
      </c>
      <c r="P808">
        <f>O807*$G$53</f>
        <v/>
      </c>
      <c r="Q808">
        <f>IF(S807&gt;0,MAX(0,S807*(1+$G$54)-$H$54),0)</f>
        <v/>
      </c>
      <c r="R808">
        <f>MAX(0,N808-M808)</f>
        <v/>
      </c>
      <c r="S808">
        <f>IF(Q808-R808&gt;1E-9,Q808-R808,0)</f>
        <v/>
      </c>
      <c r="T808">
        <f>S807*$G$54</f>
        <v/>
      </c>
      <c r="U808">
        <f>IF(W807&gt;0,MAX(0,W807*(1+$G$55)-$H$55),0)</f>
        <v/>
      </c>
      <c r="V808">
        <f>MAX(0,R808-Q808)</f>
        <v/>
      </c>
      <c r="W808">
        <f>IF(U808-V808&gt;1E-9,U808-V808,0)</f>
        <v/>
      </c>
      <c r="X808">
        <f>W807*$G$55</f>
        <v/>
      </c>
      <c r="Y808">
        <f>IF(Y807&gt;1E-9,IF(Y807*(1+$G$51)-MAX($B$9,0.01*Y807+Y807*$G$51)&gt;1E-9,Y807*(1+$G$51)-MAX($B$9,0.01*Y807+Y807*$G$51),0),0)</f>
        <v/>
      </c>
      <c r="Z808">
        <f>Y807*$G$51</f>
        <v/>
      </c>
      <c r="AA808">
        <f>IF(AA807&gt;1E-9,IF(AA807*(1+$G$52)-MAX($B$9,0.01*AA807+AA807*$G$52)&gt;1E-9,AA807*(1+$G$52)-MAX($B$9,0.01*AA807+AA807*$G$52),0),0)</f>
        <v/>
      </c>
      <c r="AB808">
        <f>AA807*$G$52</f>
        <v/>
      </c>
      <c r="AC808">
        <f>IF(AC807&gt;1E-9,IF(AC807*(1+$G$53)-MAX($B$9,0.01*AC807+AC807*$G$53)&gt;1E-9,AC807*(1+$G$53)-MAX($B$9,0.01*AC807+AC807*$G$53),0),0)</f>
        <v/>
      </c>
      <c r="AD808">
        <f>AC807*$G$53</f>
        <v/>
      </c>
      <c r="AE808">
        <f>IF(AE807&gt;1E-9,IF(AE807*(1+$G$54)-MAX($B$9,0.01*AE807+AE807*$G$54)&gt;1E-9,AE807*(1+$G$54)-MAX($B$9,0.01*AE807+AE807*$G$54),0),0)</f>
        <v/>
      </c>
      <c r="AF808">
        <f>AE807*$G$54</f>
        <v/>
      </c>
      <c r="AG808">
        <f>IF(AG807&gt;1E-9,IF(AG807*(1+$G$55)-MAX($B$9,0.01*AG807+AG807*$G$55)&gt;1E-9,AG807*(1+$G$55)-MAX($B$9,0.01*AG807+AG807*$G$55),0),0)</f>
        <v/>
      </c>
      <c r="AH808">
        <f>AG807*$G$55</f>
        <v/>
      </c>
      <c r="AI808">
        <f>G808+K808+O808+S808+W808</f>
        <v/>
      </c>
      <c r="AJ808">
        <f>AI807+AK808-AI808</f>
        <v/>
      </c>
      <c r="AK808">
        <f>H808+L808+P808+T808+X808</f>
        <v/>
      </c>
      <c r="AL808">
        <f>TEXT(EDATE($B$5,D808-1),"mmm yyyy")</f>
        <v/>
      </c>
      <c r="AM808">
        <f>AI808</f>
        <v/>
      </c>
    </row>
    <row r="809">
      <c r="D809" t="n">
        <v>748</v>
      </c>
      <c r="E809">
        <f>IF(G808&gt;0,MAX(0,G808*(1+$G$51)-$H$51),0)</f>
        <v/>
      </c>
      <c r="F809">
        <f>$B$6+IF($D809=$B$8,$B$7,0)</f>
        <v/>
      </c>
      <c r="G809">
        <f>IF(E809-F809&gt;1E-9,E809-F809,0)</f>
        <v/>
      </c>
      <c r="H809">
        <f>G808*$G$51</f>
        <v/>
      </c>
      <c r="I809">
        <f>IF(K808&gt;0,MAX(0,K808*(1+$G$52)-$H$52),0)</f>
        <v/>
      </c>
      <c r="J809">
        <f>MAX(0,F809-E809)</f>
        <v/>
      </c>
      <c r="K809">
        <f>IF(I809-J809&gt;1E-9,I809-J809,0)</f>
        <v/>
      </c>
      <c r="L809">
        <f>K808*$G$52</f>
        <v/>
      </c>
      <c r="M809">
        <f>IF(O808&gt;0,MAX(0,O808*(1+$G$53)-$H$53),0)</f>
        <v/>
      </c>
      <c r="N809">
        <f>MAX(0,J809-I809)</f>
        <v/>
      </c>
      <c r="O809">
        <f>IF(M809-N809&gt;1E-9,M809-N809,0)</f>
        <v/>
      </c>
      <c r="P809">
        <f>O808*$G$53</f>
        <v/>
      </c>
      <c r="Q809">
        <f>IF(S808&gt;0,MAX(0,S808*(1+$G$54)-$H$54),0)</f>
        <v/>
      </c>
      <c r="R809">
        <f>MAX(0,N809-M809)</f>
        <v/>
      </c>
      <c r="S809">
        <f>IF(Q809-R809&gt;1E-9,Q809-R809,0)</f>
        <v/>
      </c>
      <c r="T809">
        <f>S808*$G$54</f>
        <v/>
      </c>
      <c r="U809">
        <f>IF(W808&gt;0,MAX(0,W808*(1+$G$55)-$H$55),0)</f>
        <v/>
      </c>
      <c r="V809">
        <f>MAX(0,R809-Q809)</f>
        <v/>
      </c>
      <c r="W809">
        <f>IF(U809-V809&gt;1E-9,U809-V809,0)</f>
        <v/>
      </c>
      <c r="X809">
        <f>W808*$G$55</f>
        <v/>
      </c>
      <c r="Y809">
        <f>IF(Y808&gt;1E-9,IF(Y808*(1+$G$51)-MAX($B$9,0.01*Y808+Y808*$G$51)&gt;1E-9,Y808*(1+$G$51)-MAX($B$9,0.01*Y808+Y808*$G$51),0),0)</f>
        <v/>
      </c>
      <c r="Z809">
        <f>Y808*$G$51</f>
        <v/>
      </c>
      <c r="AA809">
        <f>IF(AA808&gt;1E-9,IF(AA808*(1+$G$52)-MAX($B$9,0.01*AA808+AA808*$G$52)&gt;1E-9,AA808*(1+$G$52)-MAX($B$9,0.01*AA808+AA808*$G$52),0),0)</f>
        <v/>
      </c>
      <c r="AB809">
        <f>AA808*$G$52</f>
        <v/>
      </c>
      <c r="AC809">
        <f>IF(AC808&gt;1E-9,IF(AC808*(1+$G$53)-MAX($B$9,0.01*AC808+AC808*$G$53)&gt;1E-9,AC808*(1+$G$53)-MAX($B$9,0.01*AC808+AC808*$G$53),0),0)</f>
        <v/>
      </c>
      <c r="AD809">
        <f>AC808*$G$53</f>
        <v/>
      </c>
      <c r="AE809">
        <f>IF(AE808&gt;1E-9,IF(AE808*(1+$G$54)-MAX($B$9,0.01*AE808+AE808*$G$54)&gt;1E-9,AE808*(1+$G$54)-MAX($B$9,0.01*AE808+AE808*$G$54),0),0)</f>
        <v/>
      </c>
      <c r="AF809">
        <f>AE808*$G$54</f>
        <v/>
      </c>
      <c r="AG809">
        <f>IF(AG808&gt;1E-9,IF(AG808*(1+$G$55)-MAX($B$9,0.01*AG808+AG808*$G$55)&gt;1E-9,AG808*(1+$G$55)-MAX($B$9,0.01*AG808+AG808*$G$55),0),0)</f>
        <v/>
      </c>
      <c r="AH809">
        <f>AG808*$G$55</f>
        <v/>
      </c>
      <c r="AI809">
        <f>G809+K809+O809+S809+W809</f>
        <v/>
      </c>
      <c r="AJ809">
        <f>AI808+AK809-AI809</f>
        <v/>
      </c>
      <c r="AK809">
        <f>H809+L809+P809+T809+X809</f>
        <v/>
      </c>
      <c r="AL809">
        <f>TEXT(EDATE($B$5,D809-1),"mmm yyyy")</f>
        <v/>
      </c>
      <c r="AM809">
        <f>AI809</f>
        <v/>
      </c>
    </row>
    <row r="810">
      <c r="D810" t="n">
        <v>749</v>
      </c>
      <c r="E810">
        <f>IF(G809&gt;0,MAX(0,G809*(1+$G$51)-$H$51),0)</f>
        <v/>
      </c>
      <c r="F810">
        <f>$B$6+IF($D810=$B$8,$B$7,0)</f>
        <v/>
      </c>
      <c r="G810">
        <f>IF(E810-F810&gt;1E-9,E810-F810,0)</f>
        <v/>
      </c>
      <c r="H810">
        <f>G809*$G$51</f>
        <v/>
      </c>
      <c r="I810">
        <f>IF(K809&gt;0,MAX(0,K809*(1+$G$52)-$H$52),0)</f>
        <v/>
      </c>
      <c r="J810">
        <f>MAX(0,F810-E810)</f>
        <v/>
      </c>
      <c r="K810">
        <f>IF(I810-J810&gt;1E-9,I810-J810,0)</f>
        <v/>
      </c>
      <c r="L810">
        <f>K809*$G$52</f>
        <v/>
      </c>
      <c r="M810">
        <f>IF(O809&gt;0,MAX(0,O809*(1+$G$53)-$H$53),0)</f>
        <v/>
      </c>
      <c r="N810">
        <f>MAX(0,J810-I810)</f>
        <v/>
      </c>
      <c r="O810">
        <f>IF(M810-N810&gt;1E-9,M810-N810,0)</f>
        <v/>
      </c>
      <c r="P810">
        <f>O809*$G$53</f>
        <v/>
      </c>
      <c r="Q810">
        <f>IF(S809&gt;0,MAX(0,S809*(1+$G$54)-$H$54),0)</f>
        <v/>
      </c>
      <c r="R810">
        <f>MAX(0,N810-M810)</f>
        <v/>
      </c>
      <c r="S810">
        <f>IF(Q810-R810&gt;1E-9,Q810-R810,0)</f>
        <v/>
      </c>
      <c r="T810">
        <f>S809*$G$54</f>
        <v/>
      </c>
      <c r="U810">
        <f>IF(W809&gt;0,MAX(0,W809*(1+$G$55)-$H$55),0)</f>
        <v/>
      </c>
      <c r="V810">
        <f>MAX(0,R810-Q810)</f>
        <v/>
      </c>
      <c r="W810">
        <f>IF(U810-V810&gt;1E-9,U810-V810,0)</f>
        <v/>
      </c>
      <c r="X810">
        <f>W809*$G$55</f>
        <v/>
      </c>
      <c r="Y810">
        <f>IF(Y809&gt;1E-9,IF(Y809*(1+$G$51)-MAX($B$9,0.01*Y809+Y809*$G$51)&gt;1E-9,Y809*(1+$G$51)-MAX($B$9,0.01*Y809+Y809*$G$51),0),0)</f>
        <v/>
      </c>
      <c r="Z810">
        <f>Y809*$G$51</f>
        <v/>
      </c>
      <c r="AA810">
        <f>IF(AA809&gt;1E-9,IF(AA809*(1+$G$52)-MAX($B$9,0.01*AA809+AA809*$G$52)&gt;1E-9,AA809*(1+$G$52)-MAX($B$9,0.01*AA809+AA809*$G$52),0),0)</f>
        <v/>
      </c>
      <c r="AB810">
        <f>AA809*$G$52</f>
        <v/>
      </c>
      <c r="AC810">
        <f>IF(AC809&gt;1E-9,IF(AC809*(1+$G$53)-MAX($B$9,0.01*AC809+AC809*$G$53)&gt;1E-9,AC809*(1+$G$53)-MAX($B$9,0.01*AC809+AC809*$G$53),0),0)</f>
        <v/>
      </c>
      <c r="AD810">
        <f>AC809*$G$53</f>
        <v/>
      </c>
      <c r="AE810">
        <f>IF(AE809&gt;1E-9,IF(AE809*(1+$G$54)-MAX($B$9,0.01*AE809+AE809*$G$54)&gt;1E-9,AE809*(1+$G$54)-MAX($B$9,0.01*AE809+AE809*$G$54),0),0)</f>
        <v/>
      </c>
      <c r="AF810">
        <f>AE809*$G$54</f>
        <v/>
      </c>
      <c r="AG810">
        <f>IF(AG809&gt;1E-9,IF(AG809*(1+$G$55)-MAX($B$9,0.01*AG809+AG809*$G$55)&gt;1E-9,AG809*(1+$G$55)-MAX($B$9,0.01*AG809+AG809*$G$55),0),0)</f>
        <v/>
      </c>
      <c r="AH810">
        <f>AG809*$G$55</f>
        <v/>
      </c>
      <c r="AI810">
        <f>G810+K810+O810+S810+W810</f>
        <v/>
      </c>
      <c r="AJ810">
        <f>AI809+AK810-AI810</f>
        <v/>
      </c>
      <c r="AK810">
        <f>H810+L810+P810+T810+X810</f>
        <v/>
      </c>
      <c r="AL810">
        <f>TEXT(EDATE($B$5,D810-1),"mmm yyyy")</f>
        <v/>
      </c>
      <c r="AM810">
        <f>AI810</f>
        <v/>
      </c>
    </row>
    <row r="811">
      <c r="D811" t="n">
        <v>750</v>
      </c>
      <c r="E811">
        <f>IF(G810&gt;0,MAX(0,G810*(1+$G$51)-$H$51),0)</f>
        <v/>
      </c>
      <c r="F811">
        <f>$B$6+IF($D811=$B$8,$B$7,0)</f>
        <v/>
      </c>
      <c r="G811">
        <f>IF(E811-F811&gt;1E-9,E811-F811,0)</f>
        <v/>
      </c>
      <c r="H811">
        <f>G810*$G$51</f>
        <v/>
      </c>
      <c r="I811">
        <f>IF(K810&gt;0,MAX(0,K810*(1+$G$52)-$H$52),0)</f>
        <v/>
      </c>
      <c r="J811">
        <f>MAX(0,F811-E811)</f>
        <v/>
      </c>
      <c r="K811">
        <f>IF(I811-J811&gt;1E-9,I811-J811,0)</f>
        <v/>
      </c>
      <c r="L811">
        <f>K810*$G$52</f>
        <v/>
      </c>
      <c r="M811">
        <f>IF(O810&gt;0,MAX(0,O810*(1+$G$53)-$H$53),0)</f>
        <v/>
      </c>
      <c r="N811">
        <f>MAX(0,J811-I811)</f>
        <v/>
      </c>
      <c r="O811">
        <f>IF(M811-N811&gt;1E-9,M811-N811,0)</f>
        <v/>
      </c>
      <c r="P811">
        <f>O810*$G$53</f>
        <v/>
      </c>
      <c r="Q811">
        <f>IF(S810&gt;0,MAX(0,S810*(1+$G$54)-$H$54),0)</f>
        <v/>
      </c>
      <c r="R811">
        <f>MAX(0,N811-M811)</f>
        <v/>
      </c>
      <c r="S811">
        <f>IF(Q811-R811&gt;1E-9,Q811-R811,0)</f>
        <v/>
      </c>
      <c r="T811">
        <f>S810*$G$54</f>
        <v/>
      </c>
      <c r="U811">
        <f>IF(W810&gt;0,MAX(0,W810*(1+$G$55)-$H$55),0)</f>
        <v/>
      </c>
      <c r="V811">
        <f>MAX(0,R811-Q811)</f>
        <v/>
      </c>
      <c r="W811">
        <f>IF(U811-V811&gt;1E-9,U811-V811,0)</f>
        <v/>
      </c>
      <c r="X811">
        <f>W810*$G$55</f>
        <v/>
      </c>
      <c r="Y811">
        <f>IF(Y810&gt;1E-9,IF(Y810*(1+$G$51)-MAX($B$9,0.01*Y810+Y810*$G$51)&gt;1E-9,Y810*(1+$G$51)-MAX($B$9,0.01*Y810+Y810*$G$51),0),0)</f>
        <v/>
      </c>
      <c r="Z811">
        <f>Y810*$G$51</f>
        <v/>
      </c>
      <c r="AA811">
        <f>IF(AA810&gt;1E-9,IF(AA810*(1+$G$52)-MAX($B$9,0.01*AA810+AA810*$G$52)&gt;1E-9,AA810*(1+$G$52)-MAX($B$9,0.01*AA810+AA810*$G$52),0),0)</f>
        <v/>
      </c>
      <c r="AB811">
        <f>AA810*$G$52</f>
        <v/>
      </c>
      <c r="AC811">
        <f>IF(AC810&gt;1E-9,IF(AC810*(1+$G$53)-MAX($B$9,0.01*AC810+AC810*$G$53)&gt;1E-9,AC810*(1+$G$53)-MAX($B$9,0.01*AC810+AC810*$G$53),0),0)</f>
        <v/>
      </c>
      <c r="AD811">
        <f>AC810*$G$53</f>
        <v/>
      </c>
      <c r="AE811">
        <f>IF(AE810&gt;1E-9,IF(AE810*(1+$G$54)-MAX($B$9,0.01*AE810+AE810*$G$54)&gt;1E-9,AE810*(1+$G$54)-MAX($B$9,0.01*AE810+AE810*$G$54),0),0)</f>
        <v/>
      </c>
      <c r="AF811">
        <f>AE810*$G$54</f>
        <v/>
      </c>
      <c r="AG811">
        <f>IF(AG810&gt;1E-9,IF(AG810*(1+$G$55)-MAX($B$9,0.01*AG810+AG810*$G$55)&gt;1E-9,AG810*(1+$G$55)-MAX($B$9,0.01*AG810+AG810*$G$55),0),0)</f>
        <v/>
      </c>
      <c r="AH811">
        <f>AG810*$G$55</f>
        <v/>
      </c>
      <c r="AI811">
        <f>G811+K811+O811+S811+W811</f>
        <v/>
      </c>
      <c r="AJ811">
        <f>AI810+AK811-AI811</f>
        <v/>
      </c>
      <c r="AK811">
        <f>H811+L811+P811+T811+X811</f>
        <v/>
      </c>
      <c r="AL811">
        <f>TEXT(EDATE($B$5,D811-1),"mmm yyyy")</f>
        <v/>
      </c>
      <c r="AM811">
        <f>AI811</f>
        <v/>
      </c>
    </row>
    <row r="812">
      <c r="D812" t="n">
        <v>751</v>
      </c>
      <c r="E812">
        <f>IF(G811&gt;0,MAX(0,G811*(1+$G$51)-$H$51),0)</f>
        <v/>
      </c>
      <c r="F812">
        <f>$B$6+IF($D812=$B$8,$B$7,0)</f>
        <v/>
      </c>
      <c r="G812">
        <f>IF(E812-F812&gt;1E-9,E812-F812,0)</f>
        <v/>
      </c>
      <c r="H812">
        <f>G811*$G$51</f>
        <v/>
      </c>
      <c r="I812">
        <f>IF(K811&gt;0,MAX(0,K811*(1+$G$52)-$H$52),0)</f>
        <v/>
      </c>
      <c r="J812">
        <f>MAX(0,F812-E812)</f>
        <v/>
      </c>
      <c r="K812">
        <f>IF(I812-J812&gt;1E-9,I812-J812,0)</f>
        <v/>
      </c>
      <c r="L812">
        <f>K811*$G$52</f>
        <v/>
      </c>
      <c r="M812">
        <f>IF(O811&gt;0,MAX(0,O811*(1+$G$53)-$H$53),0)</f>
        <v/>
      </c>
      <c r="N812">
        <f>MAX(0,J812-I812)</f>
        <v/>
      </c>
      <c r="O812">
        <f>IF(M812-N812&gt;1E-9,M812-N812,0)</f>
        <v/>
      </c>
      <c r="P812">
        <f>O811*$G$53</f>
        <v/>
      </c>
      <c r="Q812">
        <f>IF(S811&gt;0,MAX(0,S811*(1+$G$54)-$H$54),0)</f>
        <v/>
      </c>
      <c r="R812">
        <f>MAX(0,N812-M812)</f>
        <v/>
      </c>
      <c r="S812">
        <f>IF(Q812-R812&gt;1E-9,Q812-R812,0)</f>
        <v/>
      </c>
      <c r="T812">
        <f>S811*$G$54</f>
        <v/>
      </c>
      <c r="U812">
        <f>IF(W811&gt;0,MAX(0,W811*(1+$G$55)-$H$55),0)</f>
        <v/>
      </c>
      <c r="V812">
        <f>MAX(0,R812-Q812)</f>
        <v/>
      </c>
      <c r="W812">
        <f>IF(U812-V812&gt;1E-9,U812-V812,0)</f>
        <v/>
      </c>
      <c r="X812">
        <f>W811*$G$55</f>
        <v/>
      </c>
      <c r="Y812">
        <f>IF(Y811&gt;1E-9,IF(Y811*(1+$G$51)-MAX($B$9,0.01*Y811+Y811*$G$51)&gt;1E-9,Y811*(1+$G$51)-MAX($B$9,0.01*Y811+Y811*$G$51),0),0)</f>
        <v/>
      </c>
      <c r="Z812">
        <f>Y811*$G$51</f>
        <v/>
      </c>
      <c r="AA812">
        <f>IF(AA811&gt;1E-9,IF(AA811*(1+$G$52)-MAX($B$9,0.01*AA811+AA811*$G$52)&gt;1E-9,AA811*(1+$G$52)-MAX($B$9,0.01*AA811+AA811*$G$52),0),0)</f>
        <v/>
      </c>
      <c r="AB812">
        <f>AA811*$G$52</f>
        <v/>
      </c>
      <c r="AC812">
        <f>IF(AC811&gt;1E-9,IF(AC811*(1+$G$53)-MAX($B$9,0.01*AC811+AC811*$G$53)&gt;1E-9,AC811*(1+$G$53)-MAX($B$9,0.01*AC811+AC811*$G$53),0),0)</f>
        <v/>
      </c>
      <c r="AD812">
        <f>AC811*$G$53</f>
        <v/>
      </c>
      <c r="AE812">
        <f>IF(AE811&gt;1E-9,IF(AE811*(1+$G$54)-MAX($B$9,0.01*AE811+AE811*$G$54)&gt;1E-9,AE811*(1+$G$54)-MAX($B$9,0.01*AE811+AE811*$G$54),0),0)</f>
        <v/>
      </c>
      <c r="AF812">
        <f>AE811*$G$54</f>
        <v/>
      </c>
      <c r="AG812">
        <f>IF(AG811&gt;1E-9,IF(AG811*(1+$G$55)-MAX($B$9,0.01*AG811+AG811*$G$55)&gt;1E-9,AG811*(1+$G$55)-MAX($B$9,0.01*AG811+AG811*$G$55),0),0)</f>
        <v/>
      </c>
      <c r="AH812">
        <f>AG811*$G$55</f>
        <v/>
      </c>
      <c r="AI812">
        <f>G812+K812+O812+S812+W812</f>
        <v/>
      </c>
      <c r="AJ812">
        <f>AI811+AK812-AI812</f>
        <v/>
      </c>
      <c r="AK812">
        <f>H812+L812+P812+T812+X812</f>
        <v/>
      </c>
      <c r="AL812">
        <f>TEXT(EDATE($B$5,D812-1),"mmm yyyy")</f>
        <v/>
      </c>
      <c r="AM812">
        <f>AI812</f>
        <v/>
      </c>
    </row>
    <row r="813">
      <c r="D813" t="n">
        <v>752</v>
      </c>
      <c r="E813">
        <f>IF(G812&gt;0,MAX(0,G812*(1+$G$51)-$H$51),0)</f>
        <v/>
      </c>
      <c r="F813">
        <f>$B$6+IF($D813=$B$8,$B$7,0)</f>
        <v/>
      </c>
      <c r="G813">
        <f>IF(E813-F813&gt;1E-9,E813-F813,0)</f>
        <v/>
      </c>
      <c r="H813">
        <f>G812*$G$51</f>
        <v/>
      </c>
      <c r="I813">
        <f>IF(K812&gt;0,MAX(0,K812*(1+$G$52)-$H$52),0)</f>
        <v/>
      </c>
      <c r="J813">
        <f>MAX(0,F813-E813)</f>
        <v/>
      </c>
      <c r="K813">
        <f>IF(I813-J813&gt;1E-9,I813-J813,0)</f>
        <v/>
      </c>
      <c r="L813">
        <f>K812*$G$52</f>
        <v/>
      </c>
      <c r="M813">
        <f>IF(O812&gt;0,MAX(0,O812*(1+$G$53)-$H$53),0)</f>
        <v/>
      </c>
      <c r="N813">
        <f>MAX(0,J813-I813)</f>
        <v/>
      </c>
      <c r="O813">
        <f>IF(M813-N813&gt;1E-9,M813-N813,0)</f>
        <v/>
      </c>
      <c r="P813">
        <f>O812*$G$53</f>
        <v/>
      </c>
      <c r="Q813">
        <f>IF(S812&gt;0,MAX(0,S812*(1+$G$54)-$H$54),0)</f>
        <v/>
      </c>
      <c r="R813">
        <f>MAX(0,N813-M813)</f>
        <v/>
      </c>
      <c r="S813">
        <f>IF(Q813-R813&gt;1E-9,Q813-R813,0)</f>
        <v/>
      </c>
      <c r="T813">
        <f>S812*$G$54</f>
        <v/>
      </c>
      <c r="U813">
        <f>IF(W812&gt;0,MAX(0,W812*(1+$G$55)-$H$55),0)</f>
        <v/>
      </c>
      <c r="V813">
        <f>MAX(0,R813-Q813)</f>
        <v/>
      </c>
      <c r="W813">
        <f>IF(U813-V813&gt;1E-9,U813-V813,0)</f>
        <v/>
      </c>
      <c r="X813">
        <f>W812*$G$55</f>
        <v/>
      </c>
      <c r="Y813">
        <f>IF(Y812&gt;1E-9,IF(Y812*(1+$G$51)-MAX($B$9,0.01*Y812+Y812*$G$51)&gt;1E-9,Y812*(1+$G$51)-MAX($B$9,0.01*Y812+Y812*$G$51),0),0)</f>
        <v/>
      </c>
      <c r="Z813">
        <f>Y812*$G$51</f>
        <v/>
      </c>
      <c r="AA813">
        <f>IF(AA812&gt;1E-9,IF(AA812*(1+$G$52)-MAX($B$9,0.01*AA812+AA812*$G$52)&gt;1E-9,AA812*(1+$G$52)-MAX($B$9,0.01*AA812+AA812*$G$52),0),0)</f>
        <v/>
      </c>
      <c r="AB813">
        <f>AA812*$G$52</f>
        <v/>
      </c>
      <c r="AC813">
        <f>IF(AC812&gt;1E-9,IF(AC812*(1+$G$53)-MAX($B$9,0.01*AC812+AC812*$G$53)&gt;1E-9,AC812*(1+$G$53)-MAX($B$9,0.01*AC812+AC812*$G$53),0),0)</f>
        <v/>
      </c>
      <c r="AD813">
        <f>AC812*$G$53</f>
        <v/>
      </c>
      <c r="AE813">
        <f>IF(AE812&gt;1E-9,IF(AE812*(1+$G$54)-MAX($B$9,0.01*AE812+AE812*$G$54)&gt;1E-9,AE812*(1+$G$54)-MAX($B$9,0.01*AE812+AE812*$G$54),0),0)</f>
        <v/>
      </c>
      <c r="AF813">
        <f>AE812*$G$54</f>
        <v/>
      </c>
      <c r="AG813">
        <f>IF(AG812&gt;1E-9,IF(AG812*(1+$G$55)-MAX($B$9,0.01*AG812+AG812*$G$55)&gt;1E-9,AG812*(1+$G$55)-MAX($B$9,0.01*AG812+AG812*$G$55),0),0)</f>
        <v/>
      </c>
      <c r="AH813">
        <f>AG812*$G$55</f>
        <v/>
      </c>
      <c r="AI813">
        <f>G813+K813+O813+S813+W813</f>
        <v/>
      </c>
      <c r="AJ813">
        <f>AI812+AK813-AI813</f>
        <v/>
      </c>
      <c r="AK813">
        <f>H813+L813+P813+T813+X813</f>
        <v/>
      </c>
      <c r="AL813">
        <f>TEXT(EDATE($B$5,D813-1),"mmm yyyy")</f>
        <v/>
      </c>
      <c r="AM813">
        <f>AI813</f>
        <v/>
      </c>
    </row>
    <row r="814">
      <c r="D814" t="n">
        <v>753</v>
      </c>
      <c r="E814">
        <f>IF(G813&gt;0,MAX(0,G813*(1+$G$51)-$H$51),0)</f>
        <v/>
      </c>
      <c r="F814">
        <f>$B$6+IF($D814=$B$8,$B$7,0)</f>
        <v/>
      </c>
      <c r="G814">
        <f>IF(E814-F814&gt;1E-9,E814-F814,0)</f>
        <v/>
      </c>
      <c r="H814">
        <f>G813*$G$51</f>
        <v/>
      </c>
      <c r="I814">
        <f>IF(K813&gt;0,MAX(0,K813*(1+$G$52)-$H$52),0)</f>
        <v/>
      </c>
      <c r="J814">
        <f>MAX(0,F814-E814)</f>
        <v/>
      </c>
      <c r="K814">
        <f>IF(I814-J814&gt;1E-9,I814-J814,0)</f>
        <v/>
      </c>
      <c r="L814">
        <f>K813*$G$52</f>
        <v/>
      </c>
      <c r="M814">
        <f>IF(O813&gt;0,MAX(0,O813*(1+$G$53)-$H$53),0)</f>
        <v/>
      </c>
      <c r="N814">
        <f>MAX(0,J814-I814)</f>
        <v/>
      </c>
      <c r="O814">
        <f>IF(M814-N814&gt;1E-9,M814-N814,0)</f>
        <v/>
      </c>
      <c r="P814">
        <f>O813*$G$53</f>
        <v/>
      </c>
      <c r="Q814">
        <f>IF(S813&gt;0,MAX(0,S813*(1+$G$54)-$H$54),0)</f>
        <v/>
      </c>
      <c r="R814">
        <f>MAX(0,N814-M814)</f>
        <v/>
      </c>
      <c r="S814">
        <f>IF(Q814-R814&gt;1E-9,Q814-R814,0)</f>
        <v/>
      </c>
      <c r="T814">
        <f>S813*$G$54</f>
        <v/>
      </c>
      <c r="U814">
        <f>IF(W813&gt;0,MAX(0,W813*(1+$G$55)-$H$55),0)</f>
        <v/>
      </c>
      <c r="V814">
        <f>MAX(0,R814-Q814)</f>
        <v/>
      </c>
      <c r="W814">
        <f>IF(U814-V814&gt;1E-9,U814-V814,0)</f>
        <v/>
      </c>
      <c r="X814">
        <f>W813*$G$55</f>
        <v/>
      </c>
      <c r="Y814">
        <f>IF(Y813&gt;1E-9,IF(Y813*(1+$G$51)-MAX($B$9,0.01*Y813+Y813*$G$51)&gt;1E-9,Y813*(1+$G$51)-MAX($B$9,0.01*Y813+Y813*$G$51),0),0)</f>
        <v/>
      </c>
      <c r="Z814">
        <f>Y813*$G$51</f>
        <v/>
      </c>
      <c r="AA814">
        <f>IF(AA813&gt;1E-9,IF(AA813*(1+$G$52)-MAX($B$9,0.01*AA813+AA813*$G$52)&gt;1E-9,AA813*(1+$G$52)-MAX($B$9,0.01*AA813+AA813*$G$52),0),0)</f>
        <v/>
      </c>
      <c r="AB814">
        <f>AA813*$G$52</f>
        <v/>
      </c>
      <c r="AC814">
        <f>IF(AC813&gt;1E-9,IF(AC813*(1+$G$53)-MAX($B$9,0.01*AC813+AC813*$G$53)&gt;1E-9,AC813*(1+$G$53)-MAX($B$9,0.01*AC813+AC813*$G$53),0),0)</f>
        <v/>
      </c>
      <c r="AD814">
        <f>AC813*$G$53</f>
        <v/>
      </c>
      <c r="AE814">
        <f>IF(AE813&gt;1E-9,IF(AE813*(1+$G$54)-MAX($B$9,0.01*AE813+AE813*$G$54)&gt;1E-9,AE813*(1+$G$54)-MAX($B$9,0.01*AE813+AE813*$G$54),0),0)</f>
        <v/>
      </c>
      <c r="AF814">
        <f>AE813*$G$54</f>
        <v/>
      </c>
      <c r="AG814">
        <f>IF(AG813&gt;1E-9,IF(AG813*(1+$G$55)-MAX($B$9,0.01*AG813+AG813*$G$55)&gt;1E-9,AG813*(1+$G$55)-MAX($B$9,0.01*AG813+AG813*$G$55),0),0)</f>
        <v/>
      </c>
      <c r="AH814">
        <f>AG813*$G$55</f>
        <v/>
      </c>
      <c r="AI814">
        <f>G814+K814+O814+S814+W814</f>
        <v/>
      </c>
      <c r="AJ814">
        <f>AI813+AK814-AI814</f>
        <v/>
      </c>
      <c r="AK814">
        <f>H814+L814+P814+T814+X814</f>
        <v/>
      </c>
      <c r="AL814">
        <f>TEXT(EDATE($B$5,D814-1),"mmm yyyy")</f>
        <v/>
      </c>
      <c r="AM814">
        <f>AI814</f>
        <v/>
      </c>
    </row>
    <row r="815">
      <c r="D815" t="n">
        <v>754</v>
      </c>
      <c r="E815">
        <f>IF(G814&gt;0,MAX(0,G814*(1+$G$51)-$H$51),0)</f>
        <v/>
      </c>
      <c r="F815">
        <f>$B$6+IF($D815=$B$8,$B$7,0)</f>
        <v/>
      </c>
      <c r="G815">
        <f>IF(E815-F815&gt;1E-9,E815-F815,0)</f>
        <v/>
      </c>
      <c r="H815">
        <f>G814*$G$51</f>
        <v/>
      </c>
      <c r="I815">
        <f>IF(K814&gt;0,MAX(0,K814*(1+$G$52)-$H$52),0)</f>
        <v/>
      </c>
      <c r="J815">
        <f>MAX(0,F815-E815)</f>
        <v/>
      </c>
      <c r="K815">
        <f>IF(I815-J815&gt;1E-9,I815-J815,0)</f>
        <v/>
      </c>
      <c r="L815">
        <f>K814*$G$52</f>
        <v/>
      </c>
      <c r="M815">
        <f>IF(O814&gt;0,MAX(0,O814*(1+$G$53)-$H$53),0)</f>
        <v/>
      </c>
      <c r="N815">
        <f>MAX(0,J815-I815)</f>
        <v/>
      </c>
      <c r="O815">
        <f>IF(M815-N815&gt;1E-9,M815-N815,0)</f>
        <v/>
      </c>
      <c r="P815">
        <f>O814*$G$53</f>
        <v/>
      </c>
      <c r="Q815">
        <f>IF(S814&gt;0,MAX(0,S814*(1+$G$54)-$H$54),0)</f>
        <v/>
      </c>
      <c r="R815">
        <f>MAX(0,N815-M815)</f>
        <v/>
      </c>
      <c r="S815">
        <f>IF(Q815-R815&gt;1E-9,Q815-R815,0)</f>
        <v/>
      </c>
      <c r="T815">
        <f>S814*$G$54</f>
        <v/>
      </c>
      <c r="U815">
        <f>IF(W814&gt;0,MAX(0,W814*(1+$G$55)-$H$55),0)</f>
        <v/>
      </c>
      <c r="V815">
        <f>MAX(0,R815-Q815)</f>
        <v/>
      </c>
      <c r="W815">
        <f>IF(U815-V815&gt;1E-9,U815-V815,0)</f>
        <v/>
      </c>
      <c r="X815">
        <f>W814*$G$55</f>
        <v/>
      </c>
      <c r="Y815">
        <f>IF(Y814&gt;1E-9,IF(Y814*(1+$G$51)-MAX($B$9,0.01*Y814+Y814*$G$51)&gt;1E-9,Y814*(1+$G$51)-MAX($B$9,0.01*Y814+Y814*$G$51),0),0)</f>
        <v/>
      </c>
      <c r="Z815">
        <f>Y814*$G$51</f>
        <v/>
      </c>
      <c r="AA815">
        <f>IF(AA814&gt;1E-9,IF(AA814*(1+$G$52)-MAX($B$9,0.01*AA814+AA814*$G$52)&gt;1E-9,AA814*(1+$G$52)-MAX($B$9,0.01*AA814+AA814*$G$52),0),0)</f>
        <v/>
      </c>
      <c r="AB815">
        <f>AA814*$G$52</f>
        <v/>
      </c>
      <c r="AC815">
        <f>IF(AC814&gt;1E-9,IF(AC814*(1+$G$53)-MAX($B$9,0.01*AC814+AC814*$G$53)&gt;1E-9,AC814*(1+$G$53)-MAX($B$9,0.01*AC814+AC814*$G$53),0),0)</f>
        <v/>
      </c>
      <c r="AD815">
        <f>AC814*$G$53</f>
        <v/>
      </c>
      <c r="AE815">
        <f>IF(AE814&gt;1E-9,IF(AE814*(1+$G$54)-MAX($B$9,0.01*AE814+AE814*$G$54)&gt;1E-9,AE814*(1+$G$54)-MAX($B$9,0.01*AE814+AE814*$G$54),0),0)</f>
        <v/>
      </c>
      <c r="AF815">
        <f>AE814*$G$54</f>
        <v/>
      </c>
      <c r="AG815">
        <f>IF(AG814&gt;1E-9,IF(AG814*(1+$G$55)-MAX($B$9,0.01*AG814+AG814*$G$55)&gt;1E-9,AG814*(1+$G$55)-MAX($B$9,0.01*AG814+AG814*$G$55),0),0)</f>
        <v/>
      </c>
      <c r="AH815">
        <f>AG814*$G$55</f>
        <v/>
      </c>
      <c r="AI815">
        <f>G815+K815+O815+S815+W815</f>
        <v/>
      </c>
      <c r="AJ815">
        <f>AI814+AK815-AI815</f>
        <v/>
      </c>
      <c r="AK815">
        <f>H815+L815+P815+T815+X815</f>
        <v/>
      </c>
      <c r="AL815">
        <f>TEXT(EDATE($B$5,D815-1),"mmm yyyy")</f>
        <v/>
      </c>
      <c r="AM815">
        <f>AI815</f>
        <v/>
      </c>
    </row>
    <row r="816">
      <c r="D816" t="n">
        <v>755</v>
      </c>
      <c r="E816">
        <f>IF(G815&gt;0,MAX(0,G815*(1+$G$51)-$H$51),0)</f>
        <v/>
      </c>
      <c r="F816">
        <f>$B$6+IF($D816=$B$8,$B$7,0)</f>
        <v/>
      </c>
      <c r="G816">
        <f>IF(E816-F816&gt;1E-9,E816-F816,0)</f>
        <v/>
      </c>
      <c r="H816">
        <f>G815*$G$51</f>
        <v/>
      </c>
      <c r="I816">
        <f>IF(K815&gt;0,MAX(0,K815*(1+$G$52)-$H$52),0)</f>
        <v/>
      </c>
      <c r="J816">
        <f>MAX(0,F816-E816)</f>
        <v/>
      </c>
      <c r="K816">
        <f>IF(I816-J816&gt;1E-9,I816-J816,0)</f>
        <v/>
      </c>
      <c r="L816">
        <f>K815*$G$52</f>
        <v/>
      </c>
      <c r="M816">
        <f>IF(O815&gt;0,MAX(0,O815*(1+$G$53)-$H$53),0)</f>
        <v/>
      </c>
      <c r="N816">
        <f>MAX(0,J816-I816)</f>
        <v/>
      </c>
      <c r="O816">
        <f>IF(M816-N816&gt;1E-9,M816-N816,0)</f>
        <v/>
      </c>
      <c r="P816">
        <f>O815*$G$53</f>
        <v/>
      </c>
      <c r="Q816">
        <f>IF(S815&gt;0,MAX(0,S815*(1+$G$54)-$H$54),0)</f>
        <v/>
      </c>
      <c r="R816">
        <f>MAX(0,N816-M816)</f>
        <v/>
      </c>
      <c r="S816">
        <f>IF(Q816-R816&gt;1E-9,Q816-R816,0)</f>
        <v/>
      </c>
      <c r="T816">
        <f>S815*$G$54</f>
        <v/>
      </c>
      <c r="U816">
        <f>IF(W815&gt;0,MAX(0,W815*(1+$G$55)-$H$55),0)</f>
        <v/>
      </c>
      <c r="V816">
        <f>MAX(0,R816-Q816)</f>
        <v/>
      </c>
      <c r="W816">
        <f>IF(U816-V816&gt;1E-9,U816-V816,0)</f>
        <v/>
      </c>
      <c r="X816">
        <f>W815*$G$55</f>
        <v/>
      </c>
      <c r="Y816">
        <f>IF(Y815&gt;1E-9,IF(Y815*(1+$G$51)-MAX($B$9,0.01*Y815+Y815*$G$51)&gt;1E-9,Y815*(1+$G$51)-MAX($B$9,0.01*Y815+Y815*$G$51),0),0)</f>
        <v/>
      </c>
      <c r="Z816">
        <f>Y815*$G$51</f>
        <v/>
      </c>
      <c r="AA816">
        <f>IF(AA815&gt;1E-9,IF(AA815*(1+$G$52)-MAX($B$9,0.01*AA815+AA815*$G$52)&gt;1E-9,AA815*(1+$G$52)-MAX($B$9,0.01*AA815+AA815*$G$52),0),0)</f>
        <v/>
      </c>
      <c r="AB816">
        <f>AA815*$G$52</f>
        <v/>
      </c>
      <c r="AC816">
        <f>IF(AC815&gt;1E-9,IF(AC815*(1+$G$53)-MAX($B$9,0.01*AC815+AC815*$G$53)&gt;1E-9,AC815*(1+$G$53)-MAX($B$9,0.01*AC815+AC815*$G$53),0),0)</f>
        <v/>
      </c>
      <c r="AD816">
        <f>AC815*$G$53</f>
        <v/>
      </c>
      <c r="AE816">
        <f>IF(AE815&gt;1E-9,IF(AE815*(1+$G$54)-MAX($B$9,0.01*AE815+AE815*$G$54)&gt;1E-9,AE815*(1+$G$54)-MAX($B$9,0.01*AE815+AE815*$G$54),0),0)</f>
        <v/>
      </c>
      <c r="AF816">
        <f>AE815*$G$54</f>
        <v/>
      </c>
      <c r="AG816">
        <f>IF(AG815&gt;1E-9,IF(AG815*(1+$G$55)-MAX($B$9,0.01*AG815+AG815*$G$55)&gt;1E-9,AG815*(1+$G$55)-MAX($B$9,0.01*AG815+AG815*$G$55),0),0)</f>
        <v/>
      </c>
      <c r="AH816">
        <f>AG815*$G$55</f>
        <v/>
      </c>
      <c r="AI816">
        <f>G816+K816+O816+S816+W816</f>
        <v/>
      </c>
      <c r="AJ816">
        <f>AI815+AK816-AI816</f>
        <v/>
      </c>
      <c r="AK816">
        <f>H816+L816+P816+T816+X816</f>
        <v/>
      </c>
      <c r="AL816">
        <f>TEXT(EDATE($B$5,D816-1),"mmm yyyy")</f>
        <v/>
      </c>
      <c r="AM816">
        <f>AI816</f>
        <v/>
      </c>
    </row>
    <row r="817">
      <c r="D817" t="n">
        <v>756</v>
      </c>
      <c r="E817">
        <f>IF(G816&gt;0,MAX(0,G816*(1+$G$51)-$H$51),0)</f>
        <v/>
      </c>
      <c r="F817">
        <f>$B$6+IF($D817=$B$8,$B$7,0)</f>
        <v/>
      </c>
      <c r="G817">
        <f>IF(E817-F817&gt;1E-9,E817-F817,0)</f>
        <v/>
      </c>
      <c r="H817">
        <f>G816*$G$51</f>
        <v/>
      </c>
      <c r="I817">
        <f>IF(K816&gt;0,MAX(0,K816*(1+$G$52)-$H$52),0)</f>
        <v/>
      </c>
      <c r="J817">
        <f>MAX(0,F817-E817)</f>
        <v/>
      </c>
      <c r="K817">
        <f>IF(I817-J817&gt;1E-9,I817-J817,0)</f>
        <v/>
      </c>
      <c r="L817">
        <f>K816*$G$52</f>
        <v/>
      </c>
      <c r="M817">
        <f>IF(O816&gt;0,MAX(0,O816*(1+$G$53)-$H$53),0)</f>
        <v/>
      </c>
      <c r="N817">
        <f>MAX(0,J817-I817)</f>
        <v/>
      </c>
      <c r="O817">
        <f>IF(M817-N817&gt;1E-9,M817-N817,0)</f>
        <v/>
      </c>
      <c r="P817">
        <f>O816*$G$53</f>
        <v/>
      </c>
      <c r="Q817">
        <f>IF(S816&gt;0,MAX(0,S816*(1+$G$54)-$H$54),0)</f>
        <v/>
      </c>
      <c r="R817">
        <f>MAX(0,N817-M817)</f>
        <v/>
      </c>
      <c r="S817">
        <f>IF(Q817-R817&gt;1E-9,Q817-R817,0)</f>
        <v/>
      </c>
      <c r="T817">
        <f>S816*$G$54</f>
        <v/>
      </c>
      <c r="U817">
        <f>IF(W816&gt;0,MAX(0,W816*(1+$G$55)-$H$55),0)</f>
        <v/>
      </c>
      <c r="V817">
        <f>MAX(0,R817-Q817)</f>
        <v/>
      </c>
      <c r="W817">
        <f>IF(U817-V817&gt;1E-9,U817-V817,0)</f>
        <v/>
      </c>
      <c r="X817">
        <f>W816*$G$55</f>
        <v/>
      </c>
      <c r="Y817">
        <f>IF(Y816&gt;1E-9,IF(Y816*(1+$G$51)-MAX($B$9,0.01*Y816+Y816*$G$51)&gt;1E-9,Y816*(1+$G$51)-MAX($B$9,0.01*Y816+Y816*$G$51),0),0)</f>
        <v/>
      </c>
      <c r="Z817">
        <f>Y816*$G$51</f>
        <v/>
      </c>
      <c r="AA817">
        <f>IF(AA816&gt;1E-9,IF(AA816*(1+$G$52)-MAX($B$9,0.01*AA816+AA816*$G$52)&gt;1E-9,AA816*(1+$G$52)-MAX($B$9,0.01*AA816+AA816*$G$52),0),0)</f>
        <v/>
      </c>
      <c r="AB817">
        <f>AA816*$G$52</f>
        <v/>
      </c>
      <c r="AC817">
        <f>IF(AC816&gt;1E-9,IF(AC816*(1+$G$53)-MAX($B$9,0.01*AC816+AC816*$G$53)&gt;1E-9,AC816*(1+$G$53)-MAX($B$9,0.01*AC816+AC816*$G$53),0),0)</f>
        <v/>
      </c>
      <c r="AD817">
        <f>AC816*$G$53</f>
        <v/>
      </c>
      <c r="AE817">
        <f>IF(AE816&gt;1E-9,IF(AE816*(1+$G$54)-MAX($B$9,0.01*AE816+AE816*$G$54)&gt;1E-9,AE816*(1+$G$54)-MAX($B$9,0.01*AE816+AE816*$G$54),0),0)</f>
        <v/>
      </c>
      <c r="AF817">
        <f>AE816*$G$54</f>
        <v/>
      </c>
      <c r="AG817">
        <f>IF(AG816&gt;1E-9,IF(AG816*(1+$G$55)-MAX($B$9,0.01*AG816+AG816*$G$55)&gt;1E-9,AG816*(1+$G$55)-MAX($B$9,0.01*AG816+AG816*$G$55),0),0)</f>
        <v/>
      </c>
      <c r="AH817">
        <f>AG816*$G$55</f>
        <v/>
      </c>
      <c r="AI817">
        <f>G817+K817+O817+S817+W817</f>
        <v/>
      </c>
      <c r="AJ817">
        <f>AI816+AK817-AI817</f>
        <v/>
      </c>
      <c r="AK817">
        <f>H817+L817+P817+T817+X817</f>
        <v/>
      </c>
      <c r="AL817">
        <f>TEXT(EDATE($B$5,D817-1),"mmm yyyy")</f>
        <v/>
      </c>
      <c r="AM817">
        <f>AI817</f>
        <v/>
      </c>
    </row>
    <row r="818">
      <c r="D818" t="n">
        <v>757</v>
      </c>
      <c r="E818">
        <f>IF(G817&gt;0,MAX(0,G817*(1+$G$51)-$H$51),0)</f>
        <v/>
      </c>
      <c r="F818">
        <f>$B$6+IF($D818=$B$8,$B$7,0)</f>
        <v/>
      </c>
      <c r="G818">
        <f>IF(E818-F818&gt;1E-9,E818-F818,0)</f>
        <v/>
      </c>
      <c r="H818">
        <f>G817*$G$51</f>
        <v/>
      </c>
      <c r="I818">
        <f>IF(K817&gt;0,MAX(0,K817*(1+$G$52)-$H$52),0)</f>
        <v/>
      </c>
      <c r="J818">
        <f>MAX(0,F818-E818)</f>
        <v/>
      </c>
      <c r="K818">
        <f>IF(I818-J818&gt;1E-9,I818-J818,0)</f>
        <v/>
      </c>
      <c r="L818">
        <f>K817*$G$52</f>
        <v/>
      </c>
      <c r="M818">
        <f>IF(O817&gt;0,MAX(0,O817*(1+$G$53)-$H$53),0)</f>
        <v/>
      </c>
      <c r="N818">
        <f>MAX(0,J818-I818)</f>
        <v/>
      </c>
      <c r="O818">
        <f>IF(M818-N818&gt;1E-9,M818-N818,0)</f>
        <v/>
      </c>
      <c r="P818">
        <f>O817*$G$53</f>
        <v/>
      </c>
      <c r="Q818">
        <f>IF(S817&gt;0,MAX(0,S817*(1+$G$54)-$H$54),0)</f>
        <v/>
      </c>
      <c r="R818">
        <f>MAX(0,N818-M818)</f>
        <v/>
      </c>
      <c r="S818">
        <f>IF(Q818-R818&gt;1E-9,Q818-R818,0)</f>
        <v/>
      </c>
      <c r="T818">
        <f>S817*$G$54</f>
        <v/>
      </c>
      <c r="U818">
        <f>IF(W817&gt;0,MAX(0,W817*(1+$G$55)-$H$55),0)</f>
        <v/>
      </c>
      <c r="V818">
        <f>MAX(0,R818-Q818)</f>
        <v/>
      </c>
      <c r="W818">
        <f>IF(U818-V818&gt;1E-9,U818-V818,0)</f>
        <v/>
      </c>
      <c r="X818">
        <f>W817*$G$55</f>
        <v/>
      </c>
      <c r="Y818">
        <f>IF(Y817&gt;1E-9,IF(Y817*(1+$G$51)-MAX($B$9,0.01*Y817+Y817*$G$51)&gt;1E-9,Y817*(1+$G$51)-MAX($B$9,0.01*Y817+Y817*$G$51),0),0)</f>
        <v/>
      </c>
      <c r="Z818">
        <f>Y817*$G$51</f>
        <v/>
      </c>
      <c r="AA818">
        <f>IF(AA817&gt;1E-9,IF(AA817*(1+$G$52)-MAX($B$9,0.01*AA817+AA817*$G$52)&gt;1E-9,AA817*(1+$G$52)-MAX($B$9,0.01*AA817+AA817*$G$52),0),0)</f>
        <v/>
      </c>
      <c r="AB818">
        <f>AA817*$G$52</f>
        <v/>
      </c>
      <c r="AC818">
        <f>IF(AC817&gt;1E-9,IF(AC817*(1+$G$53)-MAX($B$9,0.01*AC817+AC817*$G$53)&gt;1E-9,AC817*(1+$G$53)-MAX($B$9,0.01*AC817+AC817*$G$53),0),0)</f>
        <v/>
      </c>
      <c r="AD818">
        <f>AC817*$G$53</f>
        <v/>
      </c>
      <c r="AE818">
        <f>IF(AE817&gt;1E-9,IF(AE817*(1+$G$54)-MAX($B$9,0.01*AE817+AE817*$G$54)&gt;1E-9,AE817*(1+$G$54)-MAX($B$9,0.01*AE817+AE817*$G$54),0),0)</f>
        <v/>
      </c>
      <c r="AF818">
        <f>AE817*$G$54</f>
        <v/>
      </c>
      <c r="AG818">
        <f>IF(AG817&gt;1E-9,IF(AG817*(1+$G$55)-MAX($B$9,0.01*AG817+AG817*$G$55)&gt;1E-9,AG817*(1+$G$55)-MAX($B$9,0.01*AG817+AG817*$G$55),0),0)</f>
        <v/>
      </c>
      <c r="AH818">
        <f>AG817*$G$55</f>
        <v/>
      </c>
      <c r="AI818">
        <f>G818+K818+O818+S818+W818</f>
        <v/>
      </c>
      <c r="AJ818">
        <f>AI817+AK818-AI818</f>
        <v/>
      </c>
      <c r="AK818">
        <f>H818+L818+P818+T818+X818</f>
        <v/>
      </c>
      <c r="AL818">
        <f>TEXT(EDATE($B$5,D818-1),"mmm yyyy")</f>
        <v/>
      </c>
      <c r="AM818">
        <f>AI818</f>
        <v/>
      </c>
    </row>
    <row r="819">
      <c r="D819" t="n">
        <v>758</v>
      </c>
      <c r="E819">
        <f>IF(G818&gt;0,MAX(0,G818*(1+$G$51)-$H$51),0)</f>
        <v/>
      </c>
      <c r="F819">
        <f>$B$6+IF($D819=$B$8,$B$7,0)</f>
        <v/>
      </c>
      <c r="G819">
        <f>IF(E819-F819&gt;1E-9,E819-F819,0)</f>
        <v/>
      </c>
      <c r="H819">
        <f>G818*$G$51</f>
        <v/>
      </c>
      <c r="I819">
        <f>IF(K818&gt;0,MAX(0,K818*(1+$G$52)-$H$52),0)</f>
        <v/>
      </c>
      <c r="J819">
        <f>MAX(0,F819-E819)</f>
        <v/>
      </c>
      <c r="K819">
        <f>IF(I819-J819&gt;1E-9,I819-J819,0)</f>
        <v/>
      </c>
      <c r="L819">
        <f>K818*$G$52</f>
        <v/>
      </c>
      <c r="M819">
        <f>IF(O818&gt;0,MAX(0,O818*(1+$G$53)-$H$53),0)</f>
        <v/>
      </c>
      <c r="N819">
        <f>MAX(0,J819-I819)</f>
        <v/>
      </c>
      <c r="O819">
        <f>IF(M819-N819&gt;1E-9,M819-N819,0)</f>
        <v/>
      </c>
      <c r="P819">
        <f>O818*$G$53</f>
        <v/>
      </c>
      <c r="Q819">
        <f>IF(S818&gt;0,MAX(0,S818*(1+$G$54)-$H$54),0)</f>
        <v/>
      </c>
      <c r="R819">
        <f>MAX(0,N819-M819)</f>
        <v/>
      </c>
      <c r="S819">
        <f>IF(Q819-R819&gt;1E-9,Q819-R819,0)</f>
        <v/>
      </c>
      <c r="T819">
        <f>S818*$G$54</f>
        <v/>
      </c>
      <c r="U819">
        <f>IF(W818&gt;0,MAX(0,W818*(1+$G$55)-$H$55),0)</f>
        <v/>
      </c>
      <c r="V819">
        <f>MAX(0,R819-Q819)</f>
        <v/>
      </c>
      <c r="W819">
        <f>IF(U819-V819&gt;1E-9,U819-V819,0)</f>
        <v/>
      </c>
      <c r="X819">
        <f>W818*$G$55</f>
        <v/>
      </c>
      <c r="Y819">
        <f>IF(Y818&gt;1E-9,IF(Y818*(1+$G$51)-MAX($B$9,0.01*Y818+Y818*$G$51)&gt;1E-9,Y818*(1+$G$51)-MAX($B$9,0.01*Y818+Y818*$G$51),0),0)</f>
        <v/>
      </c>
      <c r="Z819">
        <f>Y818*$G$51</f>
        <v/>
      </c>
      <c r="AA819">
        <f>IF(AA818&gt;1E-9,IF(AA818*(1+$G$52)-MAX($B$9,0.01*AA818+AA818*$G$52)&gt;1E-9,AA818*(1+$G$52)-MAX($B$9,0.01*AA818+AA818*$G$52),0),0)</f>
        <v/>
      </c>
      <c r="AB819">
        <f>AA818*$G$52</f>
        <v/>
      </c>
      <c r="AC819">
        <f>IF(AC818&gt;1E-9,IF(AC818*(1+$G$53)-MAX($B$9,0.01*AC818+AC818*$G$53)&gt;1E-9,AC818*(1+$G$53)-MAX($B$9,0.01*AC818+AC818*$G$53),0),0)</f>
        <v/>
      </c>
      <c r="AD819">
        <f>AC818*$G$53</f>
        <v/>
      </c>
      <c r="AE819">
        <f>IF(AE818&gt;1E-9,IF(AE818*(1+$G$54)-MAX($B$9,0.01*AE818+AE818*$G$54)&gt;1E-9,AE818*(1+$G$54)-MAX($B$9,0.01*AE818+AE818*$G$54),0),0)</f>
        <v/>
      </c>
      <c r="AF819">
        <f>AE818*$G$54</f>
        <v/>
      </c>
      <c r="AG819">
        <f>IF(AG818&gt;1E-9,IF(AG818*(1+$G$55)-MAX($B$9,0.01*AG818+AG818*$G$55)&gt;1E-9,AG818*(1+$G$55)-MAX($B$9,0.01*AG818+AG818*$G$55),0),0)</f>
        <v/>
      </c>
      <c r="AH819">
        <f>AG818*$G$55</f>
        <v/>
      </c>
      <c r="AI819">
        <f>G819+K819+O819+S819+W819</f>
        <v/>
      </c>
      <c r="AJ819">
        <f>AI818+AK819-AI819</f>
        <v/>
      </c>
      <c r="AK819">
        <f>H819+L819+P819+T819+X819</f>
        <v/>
      </c>
      <c r="AL819">
        <f>TEXT(EDATE($B$5,D819-1),"mmm yyyy")</f>
        <v/>
      </c>
      <c r="AM819">
        <f>AI819</f>
        <v/>
      </c>
    </row>
    <row r="820">
      <c r="D820" t="n">
        <v>759</v>
      </c>
      <c r="E820">
        <f>IF(G819&gt;0,MAX(0,G819*(1+$G$51)-$H$51),0)</f>
        <v/>
      </c>
      <c r="F820">
        <f>$B$6+IF($D820=$B$8,$B$7,0)</f>
        <v/>
      </c>
      <c r="G820">
        <f>IF(E820-F820&gt;1E-9,E820-F820,0)</f>
        <v/>
      </c>
      <c r="H820">
        <f>G819*$G$51</f>
        <v/>
      </c>
      <c r="I820">
        <f>IF(K819&gt;0,MAX(0,K819*(1+$G$52)-$H$52),0)</f>
        <v/>
      </c>
      <c r="J820">
        <f>MAX(0,F820-E820)</f>
        <v/>
      </c>
      <c r="K820">
        <f>IF(I820-J820&gt;1E-9,I820-J820,0)</f>
        <v/>
      </c>
      <c r="L820">
        <f>K819*$G$52</f>
        <v/>
      </c>
      <c r="M820">
        <f>IF(O819&gt;0,MAX(0,O819*(1+$G$53)-$H$53),0)</f>
        <v/>
      </c>
      <c r="N820">
        <f>MAX(0,J820-I820)</f>
        <v/>
      </c>
      <c r="O820">
        <f>IF(M820-N820&gt;1E-9,M820-N820,0)</f>
        <v/>
      </c>
      <c r="P820">
        <f>O819*$G$53</f>
        <v/>
      </c>
      <c r="Q820">
        <f>IF(S819&gt;0,MAX(0,S819*(1+$G$54)-$H$54),0)</f>
        <v/>
      </c>
      <c r="R820">
        <f>MAX(0,N820-M820)</f>
        <v/>
      </c>
      <c r="S820">
        <f>IF(Q820-R820&gt;1E-9,Q820-R820,0)</f>
        <v/>
      </c>
      <c r="T820">
        <f>S819*$G$54</f>
        <v/>
      </c>
      <c r="U820">
        <f>IF(W819&gt;0,MAX(0,W819*(1+$G$55)-$H$55),0)</f>
        <v/>
      </c>
      <c r="V820">
        <f>MAX(0,R820-Q820)</f>
        <v/>
      </c>
      <c r="W820">
        <f>IF(U820-V820&gt;1E-9,U820-V820,0)</f>
        <v/>
      </c>
      <c r="X820">
        <f>W819*$G$55</f>
        <v/>
      </c>
      <c r="Y820">
        <f>IF(Y819&gt;1E-9,IF(Y819*(1+$G$51)-MAX($B$9,0.01*Y819+Y819*$G$51)&gt;1E-9,Y819*(1+$G$51)-MAX($B$9,0.01*Y819+Y819*$G$51),0),0)</f>
        <v/>
      </c>
      <c r="Z820">
        <f>Y819*$G$51</f>
        <v/>
      </c>
      <c r="AA820">
        <f>IF(AA819&gt;1E-9,IF(AA819*(1+$G$52)-MAX($B$9,0.01*AA819+AA819*$G$52)&gt;1E-9,AA819*(1+$G$52)-MAX($B$9,0.01*AA819+AA819*$G$52),0),0)</f>
        <v/>
      </c>
      <c r="AB820">
        <f>AA819*$G$52</f>
        <v/>
      </c>
      <c r="AC820">
        <f>IF(AC819&gt;1E-9,IF(AC819*(1+$G$53)-MAX($B$9,0.01*AC819+AC819*$G$53)&gt;1E-9,AC819*(1+$G$53)-MAX($B$9,0.01*AC819+AC819*$G$53),0),0)</f>
        <v/>
      </c>
      <c r="AD820">
        <f>AC819*$G$53</f>
        <v/>
      </c>
      <c r="AE820">
        <f>IF(AE819&gt;1E-9,IF(AE819*(1+$G$54)-MAX($B$9,0.01*AE819+AE819*$G$54)&gt;1E-9,AE819*(1+$G$54)-MAX($B$9,0.01*AE819+AE819*$G$54),0),0)</f>
        <v/>
      </c>
      <c r="AF820">
        <f>AE819*$G$54</f>
        <v/>
      </c>
      <c r="AG820">
        <f>IF(AG819&gt;1E-9,IF(AG819*(1+$G$55)-MAX($B$9,0.01*AG819+AG819*$G$55)&gt;1E-9,AG819*(1+$G$55)-MAX($B$9,0.01*AG819+AG819*$G$55),0),0)</f>
        <v/>
      </c>
      <c r="AH820">
        <f>AG819*$G$55</f>
        <v/>
      </c>
      <c r="AI820">
        <f>G820+K820+O820+S820+W820</f>
        <v/>
      </c>
      <c r="AJ820">
        <f>AI819+AK820-AI820</f>
        <v/>
      </c>
      <c r="AK820">
        <f>H820+L820+P820+T820+X820</f>
        <v/>
      </c>
      <c r="AL820">
        <f>TEXT(EDATE($B$5,D820-1),"mmm yyyy")</f>
        <v/>
      </c>
      <c r="AM820">
        <f>AI820</f>
        <v/>
      </c>
    </row>
    <row r="821">
      <c r="D821" t="n">
        <v>760</v>
      </c>
      <c r="E821">
        <f>IF(G820&gt;0,MAX(0,G820*(1+$G$51)-$H$51),0)</f>
        <v/>
      </c>
      <c r="F821">
        <f>$B$6+IF($D821=$B$8,$B$7,0)</f>
        <v/>
      </c>
      <c r="G821">
        <f>IF(E821-F821&gt;1E-9,E821-F821,0)</f>
        <v/>
      </c>
      <c r="H821">
        <f>G820*$G$51</f>
        <v/>
      </c>
      <c r="I821">
        <f>IF(K820&gt;0,MAX(0,K820*(1+$G$52)-$H$52),0)</f>
        <v/>
      </c>
      <c r="J821">
        <f>MAX(0,F821-E821)</f>
        <v/>
      </c>
      <c r="K821">
        <f>IF(I821-J821&gt;1E-9,I821-J821,0)</f>
        <v/>
      </c>
      <c r="L821">
        <f>K820*$G$52</f>
        <v/>
      </c>
      <c r="M821">
        <f>IF(O820&gt;0,MAX(0,O820*(1+$G$53)-$H$53),0)</f>
        <v/>
      </c>
      <c r="N821">
        <f>MAX(0,J821-I821)</f>
        <v/>
      </c>
      <c r="O821">
        <f>IF(M821-N821&gt;1E-9,M821-N821,0)</f>
        <v/>
      </c>
      <c r="P821">
        <f>O820*$G$53</f>
        <v/>
      </c>
      <c r="Q821">
        <f>IF(S820&gt;0,MAX(0,S820*(1+$G$54)-$H$54),0)</f>
        <v/>
      </c>
      <c r="R821">
        <f>MAX(0,N821-M821)</f>
        <v/>
      </c>
      <c r="S821">
        <f>IF(Q821-R821&gt;1E-9,Q821-R821,0)</f>
        <v/>
      </c>
      <c r="T821">
        <f>S820*$G$54</f>
        <v/>
      </c>
      <c r="U821">
        <f>IF(W820&gt;0,MAX(0,W820*(1+$G$55)-$H$55),0)</f>
        <v/>
      </c>
      <c r="V821">
        <f>MAX(0,R821-Q821)</f>
        <v/>
      </c>
      <c r="W821">
        <f>IF(U821-V821&gt;1E-9,U821-V821,0)</f>
        <v/>
      </c>
      <c r="X821">
        <f>W820*$G$55</f>
        <v/>
      </c>
      <c r="Y821">
        <f>IF(Y820&gt;1E-9,IF(Y820*(1+$G$51)-MAX($B$9,0.01*Y820+Y820*$G$51)&gt;1E-9,Y820*(1+$G$51)-MAX($B$9,0.01*Y820+Y820*$G$51),0),0)</f>
        <v/>
      </c>
      <c r="Z821">
        <f>Y820*$G$51</f>
        <v/>
      </c>
      <c r="AA821">
        <f>IF(AA820&gt;1E-9,IF(AA820*(1+$G$52)-MAX($B$9,0.01*AA820+AA820*$G$52)&gt;1E-9,AA820*(1+$G$52)-MAX($B$9,0.01*AA820+AA820*$G$52),0),0)</f>
        <v/>
      </c>
      <c r="AB821">
        <f>AA820*$G$52</f>
        <v/>
      </c>
      <c r="AC821">
        <f>IF(AC820&gt;1E-9,IF(AC820*(1+$G$53)-MAX($B$9,0.01*AC820+AC820*$G$53)&gt;1E-9,AC820*(1+$G$53)-MAX($B$9,0.01*AC820+AC820*$G$53),0),0)</f>
        <v/>
      </c>
      <c r="AD821">
        <f>AC820*$G$53</f>
        <v/>
      </c>
      <c r="AE821">
        <f>IF(AE820&gt;1E-9,IF(AE820*(1+$G$54)-MAX($B$9,0.01*AE820+AE820*$G$54)&gt;1E-9,AE820*(1+$G$54)-MAX($B$9,0.01*AE820+AE820*$G$54),0),0)</f>
        <v/>
      </c>
      <c r="AF821">
        <f>AE820*$G$54</f>
        <v/>
      </c>
      <c r="AG821">
        <f>IF(AG820&gt;1E-9,IF(AG820*(1+$G$55)-MAX($B$9,0.01*AG820+AG820*$G$55)&gt;1E-9,AG820*(1+$G$55)-MAX($B$9,0.01*AG820+AG820*$G$55),0),0)</f>
        <v/>
      </c>
      <c r="AH821">
        <f>AG820*$G$55</f>
        <v/>
      </c>
      <c r="AI821">
        <f>G821+K821+O821+S821+W821</f>
        <v/>
      </c>
      <c r="AJ821">
        <f>AI820+AK821-AI821</f>
        <v/>
      </c>
      <c r="AK821">
        <f>H821+L821+P821+T821+X821</f>
        <v/>
      </c>
      <c r="AL821">
        <f>TEXT(EDATE($B$5,D821-1),"mmm yyyy")</f>
        <v/>
      </c>
      <c r="AM821">
        <f>AI821</f>
        <v/>
      </c>
    </row>
    <row r="822">
      <c r="D822" t="n">
        <v>761</v>
      </c>
      <c r="E822">
        <f>IF(G821&gt;0,MAX(0,G821*(1+$G$51)-$H$51),0)</f>
        <v/>
      </c>
      <c r="F822">
        <f>$B$6+IF($D822=$B$8,$B$7,0)</f>
        <v/>
      </c>
      <c r="G822">
        <f>IF(E822-F822&gt;1E-9,E822-F822,0)</f>
        <v/>
      </c>
      <c r="H822">
        <f>G821*$G$51</f>
        <v/>
      </c>
      <c r="I822">
        <f>IF(K821&gt;0,MAX(0,K821*(1+$G$52)-$H$52),0)</f>
        <v/>
      </c>
      <c r="J822">
        <f>MAX(0,F822-E822)</f>
        <v/>
      </c>
      <c r="K822">
        <f>IF(I822-J822&gt;1E-9,I822-J822,0)</f>
        <v/>
      </c>
      <c r="L822">
        <f>K821*$G$52</f>
        <v/>
      </c>
      <c r="M822">
        <f>IF(O821&gt;0,MAX(0,O821*(1+$G$53)-$H$53),0)</f>
        <v/>
      </c>
      <c r="N822">
        <f>MAX(0,J822-I822)</f>
        <v/>
      </c>
      <c r="O822">
        <f>IF(M822-N822&gt;1E-9,M822-N822,0)</f>
        <v/>
      </c>
      <c r="P822">
        <f>O821*$G$53</f>
        <v/>
      </c>
      <c r="Q822">
        <f>IF(S821&gt;0,MAX(0,S821*(1+$G$54)-$H$54),0)</f>
        <v/>
      </c>
      <c r="R822">
        <f>MAX(0,N822-M822)</f>
        <v/>
      </c>
      <c r="S822">
        <f>IF(Q822-R822&gt;1E-9,Q822-R822,0)</f>
        <v/>
      </c>
      <c r="T822">
        <f>S821*$G$54</f>
        <v/>
      </c>
      <c r="U822">
        <f>IF(W821&gt;0,MAX(0,W821*(1+$G$55)-$H$55),0)</f>
        <v/>
      </c>
      <c r="V822">
        <f>MAX(0,R822-Q822)</f>
        <v/>
      </c>
      <c r="W822">
        <f>IF(U822-V822&gt;1E-9,U822-V822,0)</f>
        <v/>
      </c>
      <c r="X822">
        <f>W821*$G$55</f>
        <v/>
      </c>
      <c r="Y822">
        <f>IF(Y821&gt;1E-9,IF(Y821*(1+$G$51)-MAX($B$9,0.01*Y821+Y821*$G$51)&gt;1E-9,Y821*(1+$G$51)-MAX($B$9,0.01*Y821+Y821*$G$51),0),0)</f>
        <v/>
      </c>
      <c r="Z822">
        <f>Y821*$G$51</f>
        <v/>
      </c>
      <c r="AA822">
        <f>IF(AA821&gt;1E-9,IF(AA821*(1+$G$52)-MAX($B$9,0.01*AA821+AA821*$G$52)&gt;1E-9,AA821*(1+$G$52)-MAX($B$9,0.01*AA821+AA821*$G$52),0),0)</f>
        <v/>
      </c>
      <c r="AB822">
        <f>AA821*$G$52</f>
        <v/>
      </c>
      <c r="AC822">
        <f>IF(AC821&gt;1E-9,IF(AC821*(1+$G$53)-MAX($B$9,0.01*AC821+AC821*$G$53)&gt;1E-9,AC821*(1+$G$53)-MAX($B$9,0.01*AC821+AC821*$G$53),0),0)</f>
        <v/>
      </c>
      <c r="AD822">
        <f>AC821*$G$53</f>
        <v/>
      </c>
      <c r="AE822">
        <f>IF(AE821&gt;1E-9,IF(AE821*(1+$G$54)-MAX($B$9,0.01*AE821+AE821*$G$54)&gt;1E-9,AE821*(1+$G$54)-MAX($B$9,0.01*AE821+AE821*$G$54),0),0)</f>
        <v/>
      </c>
      <c r="AF822">
        <f>AE821*$G$54</f>
        <v/>
      </c>
      <c r="AG822">
        <f>IF(AG821&gt;1E-9,IF(AG821*(1+$G$55)-MAX($B$9,0.01*AG821+AG821*$G$55)&gt;1E-9,AG821*(1+$G$55)-MAX($B$9,0.01*AG821+AG821*$G$55),0),0)</f>
        <v/>
      </c>
      <c r="AH822">
        <f>AG821*$G$55</f>
        <v/>
      </c>
      <c r="AI822">
        <f>G822+K822+O822+S822+W822</f>
        <v/>
      </c>
      <c r="AJ822">
        <f>AI821+AK822-AI822</f>
        <v/>
      </c>
      <c r="AK822">
        <f>H822+L822+P822+T822+X822</f>
        <v/>
      </c>
      <c r="AL822">
        <f>TEXT(EDATE($B$5,D822-1),"mmm yyyy")</f>
        <v/>
      </c>
      <c r="AM822">
        <f>AI822</f>
        <v/>
      </c>
    </row>
    <row r="823">
      <c r="D823" t="n">
        <v>762</v>
      </c>
      <c r="E823">
        <f>IF(G822&gt;0,MAX(0,G822*(1+$G$51)-$H$51),0)</f>
        <v/>
      </c>
      <c r="F823">
        <f>$B$6+IF($D823=$B$8,$B$7,0)</f>
        <v/>
      </c>
      <c r="G823">
        <f>IF(E823-F823&gt;1E-9,E823-F823,0)</f>
        <v/>
      </c>
      <c r="H823">
        <f>G822*$G$51</f>
        <v/>
      </c>
      <c r="I823">
        <f>IF(K822&gt;0,MAX(0,K822*(1+$G$52)-$H$52),0)</f>
        <v/>
      </c>
      <c r="J823">
        <f>MAX(0,F823-E823)</f>
        <v/>
      </c>
      <c r="K823">
        <f>IF(I823-J823&gt;1E-9,I823-J823,0)</f>
        <v/>
      </c>
      <c r="L823">
        <f>K822*$G$52</f>
        <v/>
      </c>
      <c r="M823">
        <f>IF(O822&gt;0,MAX(0,O822*(1+$G$53)-$H$53),0)</f>
        <v/>
      </c>
      <c r="N823">
        <f>MAX(0,J823-I823)</f>
        <v/>
      </c>
      <c r="O823">
        <f>IF(M823-N823&gt;1E-9,M823-N823,0)</f>
        <v/>
      </c>
      <c r="P823">
        <f>O822*$G$53</f>
        <v/>
      </c>
      <c r="Q823">
        <f>IF(S822&gt;0,MAX(0,S822*(1+$G$54)-$H$54),0)</f>
        <v/>
      </c>
      <c r="R823">
        <f>MAX(0,N823-M823)</f>
        <v/>
      </c>
      <c r="S823">
        <f>IF(Q823-R823&gt;1E-9,Q823-R823,0)</f>
        <v/>
      </c>
      <c r="T823">
        <f>S822*$G$54</f>
        <v/>
      </c>
      <c r="U823">
        <f>IF(W822&gt;0,MAX(0,W822*(1+$G$55)-$H$55),0)</f>
        <v/>
      </c>
      <c r="V823">
        <f>MAX(0,R823-Q823)</f>
        <v/>
      </c>
      <c r="W823">
        <f>IF(U823-V823&gt;1E-9,U823-V823,0)</f>
        <v/>
      </c>
      <c r="X823">
        <f>W822*$G$55</f>
        <v/>
      </c>
      <c r="Y823">
        <f>IF(Y822&gt;1E-9,IF(Y822*(1+$G$51)-MAX($B$9,0.01*Y822+Y822*$G$51)&gt;1E-9,Y822*(1+$G$51)-MAX($B$9,0.01*Y822+Y822*$G$51),0),0)</f>
        <v/>
      </c>
      <c r="Z823">
        <f>Y822*$G$51</f>
        <v/>
      </c>
      <c r="AA823">
        <f>IF(AA822&gt;1E-9,IF(AA822*(1+$G$52)-MAX($B$9,0.01*AA822+AA822*$G$52)&gt;1E-9,AA822*(1+$G$52)-MAX($B$9,0.01*AA822+AA822*$G$52),0),0)</f>
        <v/>
      </c>
      <c r="AB823">
        <f>AA822*$G$52</f>
        <v/>
      </c>
      <c r="AC823">
        <f>IF(AC822&gt;1E-9,IF(AC822*(1+$G$53)-MAX($B$9,0.01*AC822+AC822*$G$53)&gt;1E-9,AC822*(1+$G$53)-MAX($B$9,0.01*AC822+AC822*$G$53),0),0)</f>
        <v/>
      </c>
      <c r="AD823">
        <f>AC822*$G$53</f>
        <v/>
      </c>
      <c r="AE823">
        <f>IF(AE822&gt;1E-9,IF(AE822*(1+$G$54)-MAX($B$9,0.01*AE822+AE822*$G$54)&gt;1E-9,AE822*(1+$G$54)-MAX($B$9,0.01*AE822+AE822*$G$54),0),0)</f>
        <v/>
      </c>
      <c r="AF823">
        <f>AE822*$G$54</f>
        <v/>
      </c>
      <c r="AG823">
        <f>IF(AG822&gt;1E-9,IF(AG822*(1+$G$55)-MAX($B$9,0.01*AG822+AG822*$G$55)&gt;1E-9,AG822*(1+$G$55)-MAX($B$9,0.01*AG822+AG822*$G$55),0),0)</f>
        <v/>
      </c>
      <c r="AH823">
        <f>AG822*$G$55</f>
        <v/>
      </c>
      <c r="AI823">
        <f>G823+K823+O823+S823+W823</f>
        <v/>
      </c>
      <c r="AJ823">
        <f>AI822+AK823-AI823</f>
        <v/>
      </c>
      <c r="AK823">
        <f>H823+L823+P823+T823+X823</f>
        <v/>
      </c>
      <c r="AL823">
        <f>TEXT(EDATE($B$5,D823-1),"mmm yyyy")</f>
        <v/>
      </c>
      <c r="AM823">
        <f>AI823</f>
        <v/>
      </c>
    </row>
    <row r="824">
      <c r="D824" t="n">
        <v>763</v>
      </c>
      <c r="E824">
        <f>IF(G823&gt;0,MAX(0,G823*(1+$G$51)-$H$51),0)</f>
        <v/>
      </c>
      <c r="F824">
        <f>$B$6+IF($D824=$B$8,$B$7,0)</f>
        <v/>
      </c>
      <c r="G824">
        <f>IF(E824-F824&gt;1E-9,E824-F824,0)</f>
        <v/>
      </c>
      <c r="H824">
        <f>G823*$G$51</f>
        <v/>
      </c>
      <c r="I824">
        <f>IF(K823&gt;0,MAX(0,K823*(1+$G$52)-$H$52),0)</f>
        <v/>
      </c>
      <c r="J824">
        <f>MAX(0,F824-E824)</f>
        <v/>
      </c>
      <c r="K824">
        <f>IF(I824-J824&gt;1E-9,I824-J824,0)</f>
        <v/>
      </c>
      <c r="L824">
        <f>K823*$G$52</f>
        <v/>
      </c>
      <c r="M824">
        <f>IF(O823&gt;0,MAX(0,O823*(1+$G$53)-$H$53),0)</f>
        <v/>
      </c>
      <c r="N824">
        <f>MAX(0,J824-I824)</f>
        <v/>
      </c>
      <c r="O824">
        <f>IF(M824-N824&gt;1E-9,M824-N824,0)</f>
        <v/>
      </c>
      <c r="P824">
        <f>O823*$G$53</f>
        <v/>
      </c>
      <c r="Q824">
        <f>IF(S823&gt;0,MAX(0,S823*(1+$G$54)-$H$54),0)</f>
        <v/>
      </c>
      <c r="R824">
        <f>MAX(0,N824-M824)</f>
        <v/>
      </c>
      <c r="S824">
        <f>IF(Q824-R824&gt;1E-9,Q824-R824,0)</f>
        <v/>
      </c>
      <c r="T824">
        <f>S823*$G$54</f>
        <v/>
      </c>
      <c r="U824">
        <f>IF(W823&gt;0,MAX(0,W823*(1+$G$55)-$H$55),0)</f>
        <v/>
      </c>
      <c r="V824">
        <f>MAX(0,R824-Q824)</f>
        <v/>
      </c>
      <c r="W824">
        <f>IF(U824-V824&gt;1E-9,U824-V824,0)</f>
        <v/>
      </c>
      <c r="X824">
        <f>W823*$G$55</f>
        <v/>
      </c>
      <c r="Y824">
        <f>IF(Y823&gt;1E-9,IF(Y823*(1+$G$51)-MAX($B$9,0.01*Y823+Y823*$G$51)&gt;1E-9,Y823*(1+$G$51)-MAX($B$9,0.01*Y823+Y823*$G$51),0),0)</f>
        <v/>
      </c>
      <c r="Z824">
        <f>Y823*$G$51</f>
        <v/>
      </c>
      <c r="AA824">
        <f>IF(AA823&gt;1E-9,IF(AA823*(1+$G$52)-MAX($B$9,0.01*AA823+AA823*$G$52)&gt;1E-9,AA823*(1+$G$52)-MAX($B$9,0.01*AA823+AA823*$G$52),0),0)</f>
        <v/>
      </c>
      <c r="AB824">
        <f>AA823*$G$52</f>
        <v/>
      </c>
      <c r="AC824">
        <f>IF(AC823&gt;1E-9,IF(AC823*(1+$G$53)-MAX($B$9,0.01*AC823+AC823*$G$53)&gt;1E-9,AC823*(1+$G$53)-MAX($B$9,0.01*AC823+AC823*$G$53),0),0)</f>
        <v/>
      </c>
      <c r="AD824">
        <f>AC823*$G$53</f>
        <v/>
      </c>
      <c r="AE824">
        <f>IF(AE823&gt;1E-9,IF(AE823*(1+$G$54)-MAX($B$9,0.01*AE823+AE823*$G$54)&gt;1E-9,AE823*(1+$G$54)-MAX($B$9,0.01*AE823+AE823*$G$54),0),0)</f>
        <v/>
      </c>
      <c r="AF824">
        <f>AE823*$G$54</f>
        <v/>
      </c>
      <c r="AG824">
        <f>IF(AG823&gt;1E-9,IF(AG823*(1+$G$55)-MAX($B$9,0.01*AG823+AG823*$G$55)&gt;1E-9,AG823*(1+$G$55)-MAX($B$9,0.01*AG823+AG823*$G$55),0),0)</f>
        <v/>
      </c>
      <c r="AH824">
        <f>AG823*$G$55</f>
        <v/>
      </c>
      <c r="AI824">
        <f>G824+K824+O824+S824+W824</f>
        <v/>
      </c>
      <c r="AJ824">
        <f>AI823+AK824-AI824</f>
        <v/>
      </c>
      <c r="AK824">
        <f>H824+L824+P824+T824+X824</f>
        <v/>
      </c>
      <c r="AL824">
        <f>TEXT(EDATE($B$5,D824-1),"mmm yyyy")</f>
        <v/>
      </c>
      <c r="AM824">
        <f>AI824</f>
        <v/>
      </c>
    </row>
    <row r="825">
      <c r="D825" t="n">
        <v>764</v>
      </c>
      <c r="E825">
        <f>IF(G824&gt;0,MAX(0,G824*(1+$G$51)-$H$51),0)</f>
        <v/>
      </c>
      <c r="F825">
        <f>$B$6+IF($D825=$B$8,$B$7,0)</f>
        <v/>
      </c>
      <c r="G825">
        <f>IF(E825-F825&gt;1E-9,E825-F825,0)</f>
        <v/>
      </c>
      <c r="H825">
        <f>G824*$G$51</f>
        <v/>
      </c>
      <c r="I825">
        <f>IF(K824&gt;0,MAX(0,K824*(1+$G$52)-$H$52),0)</f>
        <v/>
      </c>
      <c r="J825">
        <f>MAX(0,F825-E825)</f>
        <v/>
      </c>
      <c r="K825">
        <f>IF(I825-J825&gt;1E-9,I825-J825,0)</f>
        <v/>
      </c>
      <c r="L825">
        <f>K824*$G$52</f>
        <v/>
      </c>
      <c r="M825">
        <f>IF(O824&gt;0,MAX(0,O824*(1+$G$53)-$H$53),0)</f>
        <v/>
      </c>
      <c r="N825">
        <f>MAX(0,J825-I825)</f>
        <v/>
      </c>
      <c r="O825">
        <f>IF(M825-N825&gt;1E-9,M825-N825,0)</f>
        <v/>
      </c>
      <c r="P825">
        <f>O824*$G$53</f>
        <v/>
      </c>
      <c r="Q825">
        <f>IF(S824&gt;0,MAX(0,S824*(1+$G$54)-$H$54),0)</f>
        <v/>
      </c>
      <c r="R825">
        <f>MAX(0,N825-M825)</f>
        <v/>
      </c>
      <c r="S825">
        <f>IF(Q825-R825&gt;1E-9,Q825-R825,0)</f>
        <v/>
      </c>
      <c r="T825">
        <f>S824*$G$54</f>
        <v/>
      </c>
      <c r="U825">
        <f>IF(W824&gt;0,MAX(0,W824*(1+$G$55)-$H$55),0)</f>
        <v/>
      </c>
      <c r="V825">
        <f>MAX(0,R825-Q825)</f>
        <v/>
      </c>
      <c r="W825">
        <f>IF(U825-V825&gt;1E-9,U825-V825,0)</f>
        <v/>
      </c>
      <c r="X825">
        <f>W824*$G$55</f>
        <v/>
      </c>
      <c r="Y825">
        <f>IF(Y824&gt;1E-9,IF(Y824*(1+$G$51)-MAX($B$9,0.01*Y824+Y824*$G$51)&gt;1E-9,Y824*(1+$G$51)-MAX($B$9,0.01*Y824+Y824*$G$51),0),0)</f>
        <v/>
      </c>
      <c r="Z825">
        <f>Y824*$G$51</f>
        <v/>
      </c>
      <c r="AA825">
        <f>IF(AA824&gt;1E-9,IF(AA824*(1+$G$52)-MAX($B$9,0.01*AA824+AA824*$G$52)&gt;1E-9,AA824*(1+$G$52)-MAX($B$9,0.01*AA824+AA824*$G$52),0),0)</f>
        <v/>
      </c>
      <c r="AB825">
        <f>AA824*$G$52</f>
        <v/>
      </c>
      <c r="AC825">
        <f>IF(AC824&gt;1E-9,IF(AC824*(1+$G$53)-MAX($B$9,0.01*AC824+AC824*$G$53)&gt;1E-9,AC824*(1+$G$53)-MAX($B$9,0.01*AC824+AC824*$G$53),0),0)</f>
        <v/>
      </c>
      <c r="AD825">
        <f>AC824*$G$53</f>
        <v/>
      </c>
      <c r="AE825">
        <f>IF(AE824&gt;1E-9,IF(AE824*(1+$G$54)-MAX($B$9,0.01*AE824+AE824*$G$54)&gt;1E-9,AE824*(1+$G$54)-MAX($B$9,0.01*AE824+AE824*$G$54),0),0)</f>
        <v/>
      </c>
      <c r="AF825">
        <f>AE824*$G$54</f>
        <v/>
      </c>
      <c r="AG825">
        <f>IF(AG824&gt;1E-9,IF(AG824*(1+$G$55)-MAX($B$9,0.01*AG824+AG824*$G$55)&gt;1E-9,AG824*(1+$G$55)-MAX($B$9,0.01*AG824+AG824*$G$55),0),0)</f>
        <v/>
      </c>
      <c r="AH825">
        <f>AG824*$G$55</f>
        <v/>
      </c>
      <c r="AI825">
        <f>G825+K825+O825+S825+W825</f>
        <v/>
      </c>
      <c r="AJ825">
        <f>AI824+AK825-AI825</f>
        <v/>
      </c>
      <c r="AK825">
        <f>H825+L825+P825+T825+X825</f>
        <v/>
      </c>
      <c r="AL825">
        <f>TEXT(EDATE($B$5,D825-1),"mmm yyyy")</f>
        <v/>
      </c>
      <c r="AM825">
        <f>AI825</f>
        <v/>
      </c>
    </row>
    <row r="826">
      <c r="D826" t="n">
        <v>765</v>
      </c>
      <c r="E826">
        <f>IF(G825&gt;0,MAX(0,G825*(1+$G$51)-$H$51),0)</f>
        <v/>
      </c>
      <c r="F826">
        <f>$B$6+IF($D826=$B$8,$B$7,0)</f>
        <v/>
      </c>
      <c r="G826">
        <f>IF(E826-F826&gt;1E-9,E826-F826,0)</f>
        <v/>
      </c>
      <c r="H826">
        <f>G825*$G$51</f>
        <v/>
      </c>
      <c r="I826">
        <f>IF(K825&gt;0,MAX(0,K825*(1+$G$52)-$H$52),0)</f>
        <v/>
      </c>
      <c r="J826">
        <f>MAX(0,F826-E826)</f>
        <v/>
      </c>
      <c r="K826">
        <f>IF(I826-J826&gt;1E-9,I826-J826,0)</f>
        <v/>
      </c>
      <c r="L826">
        <f>K825*$G$52</f>
        <v/>
      </c>
      <c r="M826">
        <f>IF(O825&gt;0,MAX(0,O825*(1+$G$53)-$H$53),0)</f>
        <v/>
      </c>
      <c r="N826">
        <f>MAX(0,J826-I826)</f>
        <v/>
      </c>
      <c r="O826">
        <f>IF(M826-N826&gt;1E-9,M826-N826,0)</f>
        <v/>
      </c>
      <c r="P826">
        <f>O825*$G$53</f>
        <v/>
      </c>
      <c r="Q826">
        <f>IF(S825&gt;0,MAX(0,S825*(1+$G$54)-$H$54),0)</f>
        <v/>
      </c>
      <c r="R826">
        <f>MAX(0,N826-M826)</f>
        <v/>
      </c>
      <c r="S826">
        <f>IF(Q826-R826&gt;1E-9,Q826-R826,0)</f>
        <v/>
      </c>
      <c r="T826">
        <f>S825*$G$54</f>
        <v/>
      </c>
      <c r="U826">
        <f>IF(W825&gt;0,MAX(0,W825*(1+$G$55)-$H$55),0)</f>
        <v/>
      </c>
      <c r="V826">
        <f>MAX(0,R826-Q826)</f>
        <v/>
      </c>
      <c r="W826">
        <f>IF(U826-V826&gt;1E-9,U826-V826,0)</f>
        <v/>
      </c>
      <c r="X826">
        <f>W825*$G$55</f>
        <v/>
      </c>
      <c r="Y826">
        <f>IF(Y825&gt;1E-9,IF(Y825*(1+$G$51)-MAX($B$9,0.01*Y825+Y825*$G$51)&gt;1E-9,Y825*(1+$G$51)-MAX($B$9,0.01*Y825+Y825*$G$51),0),0)</f>
        <v/>
      </c>
      <c r="Z826">
        <f>Y825*$G$51</f>
        <v/>
      </c>
      <c r="AA826">
        <f>IF(AA825&gt;1E-9,IF(AA825*(1+$G$52)-MAX($B$9,0.01*AA825+AA825*$G$52)&gt;1E-9,AA825*(1+$G$52)-MAX($B$9,0.01*AA825+AA825*$G$52),0),0)</f>
        <v/>
      </c>
      <c r="AB826">
        <f>AA825*$G$52</f>
        <v/>
      </c>
      <c r="AC826">
        <f>IF(AC825&gt;1E-9,IF(AC825*(1+$G$53)-MAX($B$9,0.01*AC825+AC825*$G$53)&gt;1E-9,AC825*(1+$G$53)-MAX($B$9,0.01*AC825+AC825*$G$53),0),0)</f>
        <v/>
      </c>
      <c r="AD826">
        <f>AC825*$G$53</f>
        <v/>
      </c>
      <c r="AE826">
        <f>IF(AE825&gt;1E-9,IF(AE825*(1+$G$54)-MAX($B$9,0.01*AE825+AE825*$G$54)&gt;1E-9,AE825*(1+$G$54)-MAX($B$9,0.01*AE825+AE825*$G$54),0),0)</f>
        <v/>
      </c>
      <c r="AF826">
        <f>AE825*$G$54</f>
        <v/>
      </c>
      <c r="AG826">
        <f>IF(AG825&gt;1E-9,IF(AG825*(1+$G$55)-MAX($B$9,0.01*AG825+AG825*$G$55)&gt;1E-9,AG825*(1+$G$55)-MAX($B$9,0.01*AG825+AG825*$G$55),0),0)</f>
        <v/>
      </c>
      <c r="AH826">
        <f>AG825*$G$55</f>
        <v/>
      </c>
      <c r="AI826">
        <f>G826+K826+O826+S826+W826</f>
        <v/>
      </c>
      <c r="AJ826">
        <f>AI825+AK826-AI826</f>
        <v/>
      </c>
      <c r="AK826">
        <f>H826+L826+P826+T826+X826</f>
        <v/>
      </c>
      <c r="AL826">
        <f>TEXT(EDATE($B$5,D826-1),"mmm yyyy")</f>
        <v/>
      </c>
      <c r="AM826">
        <f>AI826</f>
        <v/>
      </c>
    </row>
    <row r="827">
      <c r="D827" t="n">
        <v>766</v>
      </c>
      <c r="E827">
        <f>IF(G826&gt;0,MAX(0,G826*(1+$G$51)-$H$51),0)</f>
        <v/>
      </c>
      <c r="F827">
        <f>$B$6+IF($D827=$B$8,$B$7,0)</f>
        <v/>
      </c>
      <c r="G827">
        <f>IF(E827-F827&gt;1E-9,E827-F827,0)</f>
        <v/>
      </c>
      <c r="H827">
        <f>G826*$G$51</f>
        <v/>
      </c>
      <c r="I827">
        <f>IF(K826&gt;0,MAX(0,K826*(1+$G$52)-$H$52),0)</f>
        <v/>
      </c>
      <c r="J827">
        <f>MAX(0,F827-E827)</f>
        <v/>
      </c>
      <c r="K827">
        <f>IF(I827-J827&gt;1E-9,I827-J827,0)</f>
        <v/>
      </c>
      <c r="L827">
        <f>K826*$G$52</f>
        <v/>
      </c>
      <c r="M827">
        <f>IF(O826&gt;0,MAX(0,O826*(1+$G$53)-$H$53),0)</f>
        <v/>
      </c>
      <c r="N827">
        <f>MAX(0,J827-I827)</f>
        <v/>
      </c>
      <c r="O827">
        <f>IF(M827-N827&gt;1E-9,M827-N827,0)</f>
        <v/>
      </c>
      <c r="P827">
        <f>O826*$G$53</f>
        <v/>
      </c>
      <c r="Q827">
        <f>IF(S826&gt;0,MAX(0,S826*(1+$G$54)-$H$54),0)</f>
        <v/>
      </c>
      <c r="R827">
        <f>MAX(0,N827-M827)</f>
        <v/>
      </c>
      <c r="S827">
        <f>IF(Q827-R827&gt;1E-9,Q827-R827,0)</f>
        <v/>
      </c>
      <c r="T827">
        <f>S826*$G$54</f>
        <v/>
      </c>
      <c r="U827">
        <f>IF(W826&gt;0,MAX(0,W826*(1+$G$55)-$H$55),0)</f>
        <v/>
      </c>
      <c r="V827">
        <f>MAX(0,R827-Q827)</f>
        <v/>
      </c>
      <c r="W827">
        <f>IF(U827-V827&gt;1E-9,U827-V827,0)</f>
        <v/>
      </c>
      <c r="X827">
        <f>W826*$G$55</f>
        <v/>
      </c>
      <c r="Y827">
        <f>IF(Y826&gt;1E-9,IF(Y826*(1+$G$51)-MAX($B$9,0.01*Y826+Y826*$G$51)&gt;1E-9,Y826*(1+$G$51)-MAX($B$9,0.01*Y826+Y826*$G$51),0),0)</f>
        <v/>
      </c>
      <c r="Z827">
        <f>Y826*$G$51</f>
        <v/>
      </c>
      <c r="AA827">
        <f>IF(AA826&gt;1E-9,IF(AA826*(1+$G$52)-MAX($B$9,0.01*AA826+AA826*$G$52)&gt;1E-9,AA826*(1+$G$52)-MAX($B$9,0.01*AA826+AA826*$G$52),0),0)</f>
        <v/>
      </c>
      <c r="AB827">
        <f>AA826*$G$52</f>
        <v/>
      </c>
      <c r="AC827">
        <f>IF(AC826&gt;1E-9,IF(AC826*(1+$G$53)-MAX($B$9,0.01*AC826+AC826*$G$53)&gt;1E-9,AC826*(1+$G$53)-MAX($B$9,0.01*AC826+AC826*$G$53),0),0)</f>
        <v/>
      </c>
      <c r="AD827">
        <f>AC826*$G$53</f>
        <v/>
      </c>
      <c r="AE827">
        <f>IF(AE826&gt;1E-9,IF(AE826*(1+$G$54)-MAX($B$9,0.01*AE826+AE826*$G$54)&gt;1E-9,AE826*(1+$G$54)-MAX($B$9,0.01*AE826+AE826*$G$54),0),0)</f>
        <v/>
      </c>
      <c r="AF827">
        <f>AE826*$G$54</f>
        <v/>
      </c>
      <c r="AG827">
        <f>IF(AG826&gt;1E-9,IF(AG826*(1+$G$55)-MAX($B$9,0.01*AG826+AG826*$G$55)&gt;1E-9,AG826*(1+$G$55)-MAX($B$9,0.01*AG826+AG826*$G$55),0),0)</f>
        <v/>
      </c>
      <c r="AH827">
        <f>AG826*$G$55</f>
        <v/>
      </c>
      <c r="AI827">
        <f>G827+K827+O827+S827+W827</f>
        <v/>
      </c>
      <c r="AJ827">
        <f>AI826+AK827-AI827</f>
        <v/>
      </c>
      <c r="AK827">
        <f>H827+L827+P827+T827+X827</f>
        <v/>
      </c>
      <c r="AL827">
        <f>TEXT(EDATE($B$5,D827-1),"mmm yyyy")</f>
        <v/>
      </c>
      <c r="AM827">
        <f>AI827</f>
        <v/>
      </c>
    </row>
    <row r="828">
      <c r="D828" t="n">
        <v>767</v>
      </c>
      <c r="E828">
        <f>IF(G827&gt;0,MAX(0,G827*(1+$G$51)-$H$51),0)</f>
        <v/>
      </c>
      <c r="F828">
        <f>$B$6+IF($D828=$B$8,$B$7,0)</f>
        <v/>
      </c>
      <c r="G828">
        <f>IF(E828-F828&gt;1E-9,E828-F828,0)</f>
        <v/>
      </c>
      <c r="H828">
        <f>G827*$G$51</f>
        <v/>
      </c>
      <c r="I828">
        <f>IF(K827&gt;0,MAX(0,K827*(1+$G$52)-$H$52),0)</f>
        <v/>
      </c>
      <c r="J828">
        <f>MAX(0,F828-E828)</f>
        <v/>
      </c>
      <c r="K828">
        <f>IF(I828-J828&gt;1E-9,I828-J828,0)</f>
        <v/>
      </c>
      <c r="L828">
        <f>K827*$G$52</f>
        <v/>
      </c>
      <c r="M828">
        <f>IF(O827&gt;0,MAX(0,O827*(1+$G$53)-$H$53),0)</f>
        <v/>
      </c>
      <c r="N828">
        <f>MAX(0,J828-I828)</f>
        <v/>
      </c>
      <c r="O828">
        <f>IF(M828-N828&gt;1E-9,M828-N828,0)</f>
        <v/>
      </c>
      <c r="P828">
        <f>O827*$G$53</f>
        <v/>
      </c>
      <c r="Q828">
        <f>IF(S827&gt;0,MAX(0,S827*(1+$G$54)-$H$54),0)</f>
        <v/>
      </c>
      <c r="R828">
        <f>MAX(0,N828-M828)</f>
        <v/>
      </c>
      <c r="S828">
        <f>IF(Q828-R828&gt;1E-9,Q828-R828,0)</f>
        <v/>
      </c>
      <c r="T828">
        <f>S827*$G$54</f>
        <v/>
      </c>
      <c r="U828">
        <f>IF(W827&gt;0,MAX(0,W827*(1+$G$55)-$H$55),0)</f>
        <v/>
      </c>
      <c r="V828">
        <f>MAX(0,R828-Q828)</f>
        <v/>
      </c>
      <c r="W828">
        <f>IF(U828-V828&gt;1E-9,U828-V828,0)</f>
        <v/>
      </c>
      <c r="X828">
        <f>W827*$G$55</f>
        <v/>
      </c>
      <c r="Y828">
        <f>IF(Y827&gt;1E-9,IF(Y827*(1+$G$51)-MAX($B$9,0.01*Y827+Y827*$G$51)&gt;1E-9,Y827*(1+$G$51)-MAX($B$9,0.01*Y827+Y827*$G$51),0),0)</f>
        <v/>
      </c>
      <c r="Z828">
        <f>Y827*$G$51</f>
        <v/>
      </c>
      <c r="AA828">
        <f>IF(AA827&gt;1E-9,IF(AA827*(1+$G$52)-MAX($B$9,0.01*AA827+AA827*$G$52)&gt;1E-9,AA827*(1+$G$52)-MAX($B$9,0.01*AA827+AA827*$G$52),0),0)</f>
        <v/>
      </c>
      <c r="AB828">
        <f>AA827*$G$52</f>
        <v/>
      </c>
      <c r="AC828">
        <f>IF(AC827&gt;1E-9,IF(AC827*(1+$G$53)-MAX($B$9,0.01*AC827+AC827*$G$53)&gt;1E-9,AC827*(1+$G$53)-MAX($B$9,0.01*AC827+AC827*$G$53),0),0)</f>
        <v/>
      </c>
      <c r="AD828">
        <f>AC827*$G$53</f>
        <v/>
      </c>
      <c r="AE828">
        <f>IF(AE827&gt;1E-9,IF(AE827*(1+$G$54)-MAX($B$9,0.01*AE827+AE827*$G$54)&gt;1E-9,AE827*(1+$G$54)-MAX($B$9,0.01*AE827+AE827*$G$54),0),0)</f>
        <v/>
      </c>
      <c r="AF828">
        <f>AE827*$G$54</f>
        <v/>
      </c>
      <c r="AG828">
        <f>IF(AG827&gt;1E-9,IF(AG827*(1+$G$55)-MAX($B$9,0.01*AG827+AG827*$G$55)&gt;1E-9,AG827*(1+$G$55)-MAX($B$9,0.01*AG827+AG827*$G$55),0),0)</f>
        <v/>
      </c>
      <c r="AH828">
        <f>AG827*$G$55</f>
        <v/>
      </c>
      <c r="AI828">
        <f>G828+K828+O828+S828+W828</f>
        <v/>
      </c>
      <c r="AJ828">
        <f>AI827+AK828-AI828</f>
        <v/>
      </c>
      <c r="AK828">
        <f>H828+L828+P828+T828+X828</f>
        <v/>
      </c>
      <c r="AL828">
        <f>TEXT(EDATE($B$5,D828-1),"mmm yyyy")</f>
        <v/>
      </c>
      <c r="AM828">
        <f>AI828</f>
        <v/>
      </c>
    </row>
    <row r="829">
      <c r="D829" t="n">
        <v>768</v>
      </c>
      <c r="E829">
        <f>IF(G828&gt;0,MAX(0,G828*(1+$G$51)-$H$51),0)</f>
        <v/>
      </c>
      <c r="F829">
        <f>$B$6+IF($D829=$B$8,$B$7,0)</f>
        <v/>
      </c>
      <c r="G829">
        <f>IF(E829-F829&gt;1E-9,E829-F829,0)</f>
        <v/>
      </c>
      <c r="H829">
        <f>G828*$G$51</f>
        <v/>
      </c>
      <c r="I829">
        <f>IF(K828&gt;0,MAX(0,K828*(1+$G$52)-$H$52),0)</f>
        <v/>
      </c>
      <c r="J829">
        <f>MAX(0,F829-E829)</f>
        <v/>
      </c>
      <c r="K829">
        <f>IF(I829-J829&gt;1E-9,I829-J829,0)</f>
        <v/>
      </c>
      <c r="L829">
        <f>K828*$G$52</f>
        <v/>
      </c>
      <c r="M829">
        <f>IF(O828&gt;0,MAX(0,O828*(1+$G$53)-$H$53),0)</f>
        <v/>
      </c>
      <c r="N829">
        <f>MAX(0,J829-I829)</f>
        <v/>
      </c>
      <c r="O829">
        <f>IF(M829-N829&gt;1E-9,M829-N829,0)</f>
        <v/>
      </c>
      <c r="P829">
        <f>O828*$G$53</f>
        <v/>
      </c>
      <c r="Q829">
        <f>IF(S828&gt;0,MAX(0,S828*(1+$G$54)-$H$54),0)</f>
        <v/>
      </c>
      <c r="R829">
        <f>MAX(0,N829-M829)</f>
        <v/>
      </c>
      <c r="S829">
        <f>IF(Q829-R829&gt;1E-9,Q829-R829,0)</f>
        <v/>
      </c>
      <c r="T829">
        <f>S828*$G$54</f>
        <v/>
      </c>
      <c r="U829">
        <f>IF(W828&gt;0,MAX(0,W828*(1+$G$55)-$H$55),0)</f>
        <v/>
      </c>
      <c r="V829">
        <f>MAX(0,R829-Q829)</f>
        <v/>
      </c>
      <c r="W829">
        <f>IF(U829-V829&gt;1E-9,U829-V829,0)</f>
        <v/>
      </c>
      <c r="X829">
        <f>W828*$G$55</f>
        <v/>
      </c>
      <c r="Y829">
        <f>IF(Y828&gt;1E-9,IF(Y828*(1+$G$51)-MAX($B$9,0.01*Y828+Y828*$G$51)&gt;1E-9,Y828*(1+$G$51)-MAX($B$9,0.01*Y828+Y828*$G$51),0),0)</f>
        <v/>
      </c>
      <c r="Z829">
        <f>Y828*$G$51</f>
        <v/>
      </c>
      <c r="AA829">
        <f>IF(AA828&gt;1E-9,IF(AA828*(1+$G$52)-MAX($B$9,0.01*AA828+AA828*$G$52)&gt;1E-9,AA828*(1+$G$52)-MAX($B$9,0.01*AA828+AA828*$G$52),0),0)</f>
        <v/>
      </c>
      <c r="AB829">
        <f>AA828*$G$52</f>
        <v/>
      </c>
      <c r="AC829">
        <f>IF(AC828&gt;1E-9,IF(AC828*(1+$G$53)-MAX($B$9,0.01*AC828+AC828*$G$53)&gt;1E-9,AC828*(1+$G$53)-MAX($B$9,0.01*AC828+AC828*$G$53),0),0)</f>
        <v/>
      </c>
      <c r="AD829">
        <f>AC828*$G$53</f>
        <v/>
      </c>
      <c r="AE829">
        <f>IF(AE828&gt;1E-9,IF(AE828*(1+$G$54)-MAX($B$9,0.01*AE828+AE828*$G$54)&gt;1E-9,AE828*(1+$G$54)-MAX($B$9,0.01*AE828+AE828*$G$54),0),0)</f>
        <v/>
      </c>
      <c r="AF829">
        <f>AE828*$G$54</f>
        <v/>
      </c>
      <c r="AG829">
        <f>IF(AG828&gt;1E-9,IF(AG828*(1+$G$55)-MAX($B$9,0.01*AG828+AG828*$G$55)&gt;1E-9,AG828*(1+$G$55)-MAX($B$9,0.01*AG828+AG828*$G$55),0),0)</f>
        <v/>
      </c>
      <c r="AH829">
        <f>AG828*$G$55</f>
        <v/>
      </c>
      <c r="AI829">
        <f>G829+K829+O829+S829+W829</f>
        <v/>
      </c>
      <c r="AJ829">
        <f>AI828+AK829-AI829</f>
        <v/>
      </c>
      <c r="AK829">
        <f>H829+L829+P829+T829+X829</f>
        <v/>
      </c>
      <c r="AL829">
        <f>TEXT(EDATE($B$5,D829-1),"mmm yyyy")</f>
        <v/>
      </c>
      <c r="AM829">
        <f>AI829</f>
        <v/>
      </c>
    </row>
    <row r="830">
      <c r="D830" t="n">
        <v>769</v>
      </c>
      <c r="E830">
        <f>IF(G829&gt;0,MAX(0,G829*(1+$G$51)-$H$51),0)</f>
        <v/>
      </c>
      <c r="F830">
        <f>$B$6+IF($D830=$B$8,$B$7,0)</f>
        <v/>
      </c>
      <c r="G830">
        <f>IF(E830-F830&gt;1E-9,E830-F830,0)</f>
        <v/>
      </c>
      <c r="H830">
        <f>G829*$G$51</f>
        <v/>
      </c>
      <c r="I830">
        <f>IF(K829&gt;0,MAX(0,K829*(1+$G$52)-$H$52),0)</f>
        <v/>
      </c>
      <c r="J830">
        <f>MAX(0,F830-E830)</f>
        <v/>
      </c>
      <c r="K830">
        <f>IF(I830-J830&gt;1E-9,I830-J830,0)</f>
        <v/>
      </c>
      <c r="L830">
        <f>K829*$G$52</f>
        <v/>
      </c>
      <c r="M830">
        <f>IF(O829&gt;0,MAX(0,O829*(1+$G$53)-$H$53),0)</f>
        <v/>
      </c>
      <c r="N830">
        <f>MAX(0,J830-I830)</f>
        <v/>
      </c>
      <c r="O830">
        <f>IF(M830-N830&gt;1E-9,M830-N830,0)</f>
        <v/>
      </c>
      <c r="P830">
        <f>O829*$G$53</f>
        <v/>
      </c>
      <c r="Q830">
        <f>IF(S829&gt;0,MAX(0,S829*(1+$G$54)-$H$54),0)</f>
        <v/>
      </c>
      <c r="R830">
        <f>MAX(0,N830-M830)</f>
        <v/>
      </c>
      <c r="S830">
        <f>IF(Q830-R830&gt;1E-9,Q830-R830,0)</f>
        <v/>
      </c>
      <c r="T830">
        <f>S829*$G$54</f>
        <v/>
      </c>
      <c r="U830">
        <f>IF(W829&gt;0,MAX(0,W829*(1+$G$55)-$H$55),0)</f>
        <v/>
      </c>
      <c r="V830">
        <f>MAX(0,R830-Q830)</f>
        <v/>
      </c>
      <c r="W830">
        <f>IF(U830-V830&gt;1E-9,U830-V830,0)</f>
        <v/>
      </c>
      <c r="X830">
        <f>W829*$G$55</f>
        <v/>
      </c>
      <c r="Y830">
        <f>IF(Y829&gt;1E-9,IF(Y829*(1+$G$51)-MAX($B$9,0.01*Y829+Y829*$G$51)&gt;1E-9,Y829*(1+$G$51)-MAX($B$9,0.01*Y829+Y829*$G$51),0),0)</f>
        <v/>
      </c>
      <c r="Z830">
        <f>Y829*$G$51</f>
        <v/>
      </c>
      <c r="AA830">
        <f>IF(AA829&gt;1E-9,IF(AA829*(1+$G$52)-MAX($B$9,0.01*AA829+AA829*$G$52)&gt;1E-9,AA829*(1+$G$52)-MAX($B$9,0.01*AA829+AA829*$G$52),0),0)</f>
        <v/>
      </c>
      <c r="AB830">
        <f>AA829*$G$52</f>
        <v/>
      </c>
      <c r="AC830">
        <f>IF(AC829&gt;1E-9,IF(AC829*(1+$G$53)-MAX($B$9,0.01*AC829+AC829*$G$53)&gt;1E-9,AC829*(1+$G$53)-MAX($B$9,0.01*AC829+AC829*$G$53),0),0)</f>
        <v/>
      </c>
      <c r="AD830">
        <f>AC829*$G$53</f>
        <v/>
      </c>
      <c r="AE830">
        <f>IF(AE829&gt;1E-9,IF(AE829*(1+$G$54)-MAX($B$9,0.01*AE829+AE829*$G$54)&gt;1E-9,AE829*(1+$G$54)-MAX($B$9,0.01*AE829+AE829*$G$54),0),0)</f>
        <v/>
      </c>
      <c r="AF830">
        <f>AE829*$G$54</f>
        <v/>
      </c>
      <c r="AG830">
        <f>IF(AG829&gt;1E-9,IF(AG829*(1+$G$55)-MAX($B$9,0.01*AG829+AG829*$G$55)&gt;1E-9,AG829*(1+$G$55)-MAX($B$9,0.01*AG829+AG829*$G$55),0),0)</f>
        <v/>
      </c>
      <c r="AH830">
        <f>AG829*$G$55</f>
        <v/>
      </c>
      <c r="AI830">
        <f>G830+K830+O830+S830+W830</f>
        <v/>
      </c>
      <c r="AJ830">
        <f>AI829+AK830-AI830</f>
        <v/>
      </c>
      <c r="AK830">
        <f>H830+L830+P830+T830+X830</f>
        <v/>
      </c>
      <c r="AL830">
        <f>TEXT(EDATE($B$5,D830-1),"mmm yyyy")</f>
        <v/>
      </c>
      <c r="AM830">
        <f>AI830</f>
        <v/>
      </c>
    </row>
    <row r="831">
      <c r="D831" t="n">
        <v>770</v>
      </c>
      <c r="E831">
        <f>IF(G830&gt;0,MAX(0,G830*(1+$G$51)-$H$51),0)</f>
        <v/>
      </c>
      <c r="F831">
        <f>$B$6+IF($D831=$B$8,$B$7,0)</f>
        <v/>
      </c>
      <c r="G831">
        <f>IF(E831-F831&gt;1E-9,E831-F831,0)</f>
        <v/>
      </c>
      <c r="H831">
        <f>G830*$G$51</f>
        <v/>
      </c>
      <c r="I831">
        <f>IF(K830&gt;0,MAX(0,K830*(1+$G$52)-$H$52),0)</f>
        <v/>
      </c>
      <c r="J831">
        <f>MAX(0,F831-E831)</f>
        <v/>
      </c>
      <c r="K831">
        <f>IF(I831-J831&gt;1E-9,I831-J831,0)</f>
        <v/>
      </c>
      <c r="L831">
        <f>K830*$G$52</f>
        <v/>
      </c>
      <c r="M831">
        <f>IF(O830&gt;0,MAX(0,O830*(1+$G$53)-$H$53),0)</f>
        <v/>
      </c>
      <c r="N831">
        <f>MAX(0,J831-I831)</f>
        <v/>
      </c>
      <c r="O831">
        <f>IF(M831-N831&gt;1E-9,M831-N831,0)</f>
        <v/>
      </c>
      <c r="P831">
        <f>O830*$G$53</f>
        <v/>
      </c>
      <c r="Q831">
        <f>IF(S830&gt;0,MAX(0,S830*(1+$G$54)-$H$54),0)</f>
        <v/>
      </c>
      <c r="R831">
        <f>MAX(0,N831-M831)</f>
        <v/>
      </c>
      <c r="S831">
        <f>IF(Q831-R831&gt;1E-9,Q831-R831,0)</f>
        <v/>
      </c>
      <c r="T831">
        <f>S830*$G$54</f>
        <v/>
      </c>
      <c r="U831">
        <f>IF(W830&gt;0,MAX(0,W830*(1+$G$55)-$H$55),0)</f>
        <v/>
      </c>
      <c r="V831">
        <f>MAX(0,R831-Q831)</f>
        <v/>
      </c>
      <c r="W831">
        <f>IF(U831-V831&gt;1E-9,U831-V831,0)</f>
        <v/>
      </c>
      <c r="X831">
        <f>W830*$G$55</f>
        <v/>
      </c>
      <c r="Y831">
        <f>IF(Y830&gt;1E-9,IF(Y830*(1+$G$51)-MAX($B$9,0.01*Y830+Y830*$G$51)&gt;1E-9,Y830*(1+$G$51)-MAX($B$9,0.01*Y830+Y830*$G$51),0),0)</f>
        <v/>
      </c>
      <c r="Z831">
        <f>Y830*$G$51</f>
        <v/>
      </c>
      <c r="AA831">
        <f>IF(AA830&gt;1E-9,IF(AA830*(1+$G$52)-MAX($B$9,0.01*AA830+AA830*$G$52)&gt;1E-9,AA830*(1+$G$52)-MAX($B$9,0.01*AA830+AA830*$G$52),0),0)</f>
        <v/>
      </c>
      <c r="AB831">
        <f>AA830*$G$52</f>
        <v/>
      </c>
      <c r="AC831">
        <f>IF(AC830&gt;1E-9,IF(AC830*(1+$G$53)-MAX($B$9,0.01*AC830+AC830*$G$53)&gt;1E-9,AC830*(1+$G$53)-MAX($B$9,0.01*AC830+AC830*$G$53),0),0)</f>
        <v/>
      </c>
      <c r="AD831">
        <f>AC830*$G$53</f>
        <v/>
      </c>
      <c r="AE831">
        <f>IF(AE830&gt;1E-9,IF(AE830*(1+$G$54)-MAX($B$9,0.01*AE830+AE830*$G$54)&gt;1E-9,AE830*(1+$G$54)-MAX($B$9,0.01*AE830+AE830*$G$54),0),0)</f>
        <v/>
      </c>
      <c r="AF831">
        <f>AE830*$G$54</f>
        <v/>
      </c>
      <c r="AG831">
        <f>IF(AG830&gt;1E-9,IF(AG830*(1+$G$55)-MAX($B$9,0.01*AG830+AG830*$G$55)&gt;1E-9,AG830*(1+$G$55)-MAX($B$9,0.01*AG830+AG830*$G$55),0),0)</f>
        <v/>
      </c>
      <c r="AH831">
        <f>AG830*$G$55</f>
        <v/>
      </c>
      <c r="AI831">
        <f>G831+K831+O831+S831+W831</f>
        <v/>
      </c>
      <c r="AJ831">
        <f>AI830+AK831-AI831</f>
        <v/>
      </c>
      <c r="AK831">
        <f>H831+L831+P831+T831+X831</f>
        <v/>
      </c>
      <c r="AL831">
        <f>TEXT(EDATE($B$5,D831-1),"mmm yyyy")</f>
        <v/>
      </c>
      <c r="AM831">
        <f>AI831</f>
        <v/>
      </c>
    </row>
    <row r="832">
      <c r="D832" t="n">
        <v>771</v>
      </c>
      <c r="E832">
        <f>IF(G831&gt;0,MAX(0,G831*(1+$G$51)-$H$51),0)</f>
        <v/>
      </c>
      <c r="F832">
        <f>$B$6+IF($D832=$B$8,$B$7,0)</f>
        <v/>
      </c>
      <c r="G832">
        <f>IF(E832-F832&gt;1E-9,E832-F832,0)</f>
        <v/>
      </c>
      <c r="H832">
        <f>G831*$G$51</f>
        <v/>
      </c>
      <c r="I832">
        <f>IF(K831&gt;0,MAX(0,K831*(1+$G$52)-$H$52),0)</f>
        <v/>
      </c>
      <c r="J832">
        <f>MAX(0,F832-E832)</f>
        <v/>
      </c>
      <c r="K832">
        <f>IF(I832-J832&gt;1E-9,I832-J832,0)</f>
        <v/>
      </c>
      <c r="L832">
        <f>K831*$G$52</f>
        <v/>
      </c>
      <c r="M832">
        <f>IF(O831&gt;0,MAX(0,O831*(1+$G$53)-$H$53),0)</f>
        <v/>
      </c>
      <c r="N832">
        <f>MAX(0,J832-I832)</f>
        <v/>
      </c>
      <c r="O832">
        <f>IF(M832-N832&gt;1E-9,M832-N832,0)</f>
        <v/>
      </c>
      <c r="P832">
        <f>O831*$G$53</f>
        <v/>
      </c>
      <c r="Q832">
        <f>IF(S831&gt;0,MAX(0,S831*(1+$G$54)-$H$54),0)</f>
        <v/>
      </c>
      <c r="R832">
        <f>MAX(0,N832-M832)</f>
        <v/>
      </c>
      <c r="S832">
        <f>IF(Q832-R832&gt;1E-9,Q832-R832,0)</f>
        <v/>
      </c>
      <c r="T832">
        <f>S831*$G$54</f>
        <v/>
      </c>
      <c r="U832">
        <f>IF(W831&gt;0,MAX(0,W831*(1+$G$55)-$H$55),0)</f>
        <v/>
      </c>
      <c r="V832">
        <f>MAX(0,R832-Q832)</f>
        <v/>
      </c>
      <c r="W832">
        <f>IF(U832-V832&gt;1E-9,U832-V832,0)</f>
        <v/>
      </c>
      <c r="X832">
        <f>W831*$G$55</f>
        <v/>
      </c>
      <c r="Y832">
        <f>IF(Y831&gt;1E-9,IF(Y831*(1+$G$51)-MAX($B$9,0.01*Y831+Y831*$G$51)&gt;1E-9,Y831*(1+$G$51)-MAX($B$9,0.01*Y831+Y831*$G$51),0),0)</f>
        <v/>
      </c>
      <c r="Z832">
        <f>Y831*$G$51</f>
        <v/>
      </c>
      <c r="AA832">
        <f>IF(AA831&gt;1E-9,IF(AA831*(1+$G$52)-MAX($B$9,0.01*AA831+AA831*$G$52)&gt;1E-9,AA831*(1+$G$52)-MAX($B$9,0.01*AA831+AA831*$G$52),0),0)</f>
        <v/>
      </c>
      <c r="AB832">
        <f>AA831*$G$52</f>
        <v/>
      </c>
      <c r="AC832">
        <f>IF(AC831&gt;1E-9,IF(AC831*(1+$G$53)-MAX($B$9,0.01*AC831+AC831*$G$53)&gt;1E-9,AC831*(1+$G$53)-MAX($B$9,0.01*AC831+AC831*$G$53),0),0)</f>
        <v/>
      </c>
      <c r="AD832">
        <f>AC831*$G$53</f>
        <v/>
      </c>
      <c r="AE832">
        <f>IF(AE831&gt;1E-9,IF(AE831*(1+$G$54)-MAX($B$9,0.01*AE831+AE831*$G$54)&gt;1E-9,AE831*(1+$G$54)-MAX($B$9,0.01*AE831+AE831*$G$54),0),0)</f>
        <v/>
      </c>
      <c r="AF832">
        <f>AE831*$G$54</f>
        <v/>
      </c>
      <c r="AG832">
        <f>IF(AG831&gt;1E-9,IF(AG831*(1+$G$55)-MAX($B$9,0.01*AG831+AG831*$G$55)&gt;1E-9,AG831*(1+$G$55)-MAX($B$9,0.01*AG831+AG831*$G$55),0),0)</f>
        <v/>
      </c>
      <c r="AH832">
        <f>AG831*$G$55</f>
        <v/>
      </c>
      <c r="AI832">
        <f>G832+K832+O832+S832+W832</f>
        <v/>
      </c>
      <c r="AJ832">
        <f>AI831+AK832-AI832</f>
        <v/>
      </c>
      <c r="AK832">
        <f>H832+L832+P832+T832+X832</f>
        <v/>
      </c>
      <c r="AL832">
        <f>TEXT(EDATE($B$5,D832-1),"mmm yyyy")</f>
        <v/>
      </c>
      <c r="AM832">
        <f>AI832</f>
        <v/>
      </c>
    </row>
    <row r="833">
      <c r="D833" t="n">
        <v>772</v>
      </c>
      <c r="E833">
        <f>IF(G832&gt;0,MAX(0,G832*(1+$G$51)-$H$51),0)</f>
        <v/>
      </c>
      <c r="F833">
        <f>$B$6+IF($D833=$B$8,$B$7,0)</f>
        <v/>
      </c>
      <c r="G833">
        <f>IF(E833-F833&gt;1E-9,E833-F833,0)</f>
        <v/>
      </c>
      <c r="H833">
        <f>G832*$G$51</f>
        <v/>
      </c>
      <c r="I833">
        <f>IF(K832&gt;0,MAX(0,K832*(1+$G$52)-$H$52),0)</f>
        <v/>
      </c>
      <c r="J833">
        <f>MAX(0,F833-E833)</f>
        <v/>
      </c>
      <c r="K833">
        <f>IF(I833-J833&gt;1E-9,I833-J833,0)</f>
        <v/>
      </c>
      <c r="L833">
        <f>K832*$G$52</f>
        <v/>
      </c>
      <c r="M833">
        <f>IF(O832&gt;0,MAX(0,O832*(1+$G$53)-$H$53),0)</f>
        <v/>
      </c>
      <c r="N833">
        <f>MAX(0,J833-I833)</f>
        <v/>
      </c>
      <c r="O833">
        <f>IF(M833-N833&gt;1E-9,M833-N833,0)</f>
        <v/>
      </c>
      <c r="P833">
        <f>O832*$G$53</f>
        <v/>
      </c>
      <c r="Q833">
        <f>IF(S832&gt;0,MAX(0,S832*(1+$G$54)-$H$54),0)</f>
        <v/>
      </c>
      <c r="R833">
        <f>MAX(0,N833-M833)</f>
        <v/>
      </c>
      <c r="S833">
        <f>IF(Q833-R833&gt;1E-9,Q833-R833,0)</f>
        <v/>
      </c>
      <c r="T833">
        <f>S832*$G$54</f>
        <v/>
      </c>
      <c r="U833">
        <f>IF(W832&gt;0,MAX(0,W832*(1+$G$55)-$H$55),0)</f>
        <v/>
      </c>
      <c r="V833">
        <f>MAX(0,R833-Q833)</f>
        <v/>
      </c>
      <c r="W833">
        <f>IF(U833-V833&gt;1E-9,U833-V833,0)</f>
        <v/>
      </c>
      <c r="X833">
        <f>W832*$G$55</f>
        <v/>
      </c>
      <c r="Y833">
        <f>IF(Y832&gt;1E-9,IF(Y832*(1+$G$51)-MAX($B$9,0.01*Y832+Y832*$G$51)&gt;1E-9,Y832*(1+$G$51)-MAX($B$9,0.01*Y832+Y832*$G$51),0),0)</f>
        <v/>
      </c>
      <c r="Z833">
        <f>Y832*$G$51</f>
        <v/>
      </c>
      <c r="AA833">
        <f>IF(AA832&gt;1E-9,IF(AA832*(1+$G$52)-MAX($B$9,0.01*AA832+AA832*$G$52)&gt;1E-9,AA832*(1+$G$52)-MAX($B$9,0.01*AA832+AA832*$G$52),0),0)</f>
        <v/>
      </c>
      <c r="AB833">
        <f>AA832*$G$52</f>
        <v/>
      </c>
      <c r="AC833">
        <f>IF(AC832&gt;1E-9,IF(AC832*(1+$G$53)-MAX($B$9,0.01*AC832+AC832*$G$53)&gt;1E-9,AC832*(1+$G$53)-MAX($B$9,0.01*AC832+AC832*$G$53),0),0)</f>
        <v/>
      </c>
      <c r="AD833">
        <f>AC832*$G$53</f>
        <v/>
      </c>
      <c r="AE833">
        <f>IF(AE832&gt;1E-9,IF(AE832*(1+$G$54)-MAX($B$9,0.01*AE832+AE832*$G$54)&gt;1E-9,AE832*(1+$G$54)-MAX($B$9,0.01*AE832+AE832*$G$54),0),0)</f>
        <v/>
      </c>
      <c r="AF833">
        <f>AE832*$G$54</f>
        <v/>
      </c>
      <c r="AG833">
        <f>IF(AG832&gt;1E-9,IF(AG832*(1+$G$55)-MAX($B$9,0.01*AG832+AG832*$G$55)&gt;1E-9,AG832*(1+$G$55)-MAX($B$9,0.01*AG832+AG832*$G$55),0),0)</f>
        <v/>
      </c>
      <c r="AH833">
        <f>AG832*$G$55</f>
        <v/>
      </c>
      <c r="AI833">
        <f>G833+K833+O833+S833+W833</f>
        <v/>
      </c>
      <c r="AJ833">
        <f>AI832+AK833-AI833</f>
        <v/>
      </c>
      <c r="AK833">
        <f>H833+L833+P833+T833+X833</f>
        <v/>
      </c>
      <c r="AL833">
        <f>TEXT(EDATE($B$5,D833-1),"mmm yyyy")</f>
        <v/>
      </c>
      <c r="AM833">
        <f>AI833</f>
        <v/>
      </c>
    </row>
    <row r="834">
      <c r="D834" t="n">
        <v>773</v>
      </c>
      <c r="E834">
        <f>IF(G833&gt;0,MAX(0,G833*(1+$G$51)-$H$51),0)</f>
        <v/>
      </c>
      <c r="F834">
        <f>$B$6+IF($D834=$B$8,$B$7,0)</f>
        <v/>
      </c>
      <c r="G834">
        <f>IF(E834-F834&gt;1E-9,E834-F834,0)</f>
        <v/>
      </c>
      <c r="H834">
        <f>G833*$G$51</f>
        <v/>
      </c>
      <c r="I834">
        <f>IF(K833&gt;0,MAX(0,K833*(1+$G$52)-$H$52),0)</f>
        <v/>
      </c>
      <c r="J834">
        <f>MAX(0,F834-E834)</f>
        <v/>
      </c>
      <c r="K834">
        <f>IF(I834-J834&gt;1E-9,I834-J834,0)</f>
        <v/>
      </c>
      <c r="L834">
        <f>K833*$G$52</f>
        <v/>
      </c>
      <c r="M834">
        <f>IF(O833&gt;0,MAX(0,O833*(1+$G$53)-$H$53),0)</f>
        <v/>
      </c>
      <c r="N834">
        <f>MAX(0,J834-I834)</f>
        <v/>
      </c>
      <c r="O834">
        <f>IF(M834-N834&gt;1E-9,M834-N834,0)</f>
        <v/>
      </c>
      <c r="P834">
        <f>O833*$G$53</f>
        <v/>
      </c>
      <c r="Q834">
        <f>IF(S833&gt;0,MAX(0,S833*(1+$G$54)-$H$54),0)</f>
        <v/>
      </c>
      <c r="R834">
        <f>MAX(0,N834-M834)</f>
        <v/>
      </c>
      <c r="S834">
        <f>IF(Q834-R834&gt;1E-9,Q834-R834,0)</f>
        <v/>
      </c>
      <c r="T834">
        <f>S833*$G$54</f>
        <v/>
      </c>
      <c r="U834">
        <f>IF(W833&gt;0,MAX(0,W833*(1+$G$55)-$H$55),0)</f>
        <v/>
      </c>
      <c r="V834">
        <f>MAX(0,R834-Q834)</f>
        <v/>
      </c>
      <c r="W834">
        <f>IF(U834-V834&gt;1E-9,U834-V834,0)</f>
        <v/>
      </c>
      <c r="X834">
        <f>W833*$G$55</f>
        <v/>
      </c>
      <c r="Y834">
        <f>IF(Y833&gt;1E-9,IF(Y833*(1+$G$51)-MAX($B$9,0.01*Y833+Y833*$G$51)&gt;1E-9,Y833*(1+$G$51)-MAX($B$9,0.01*Y833+Y833*$G$51),0),0)</f>
        <v/>
      </c>
      <c r="Z834">
        <f>Y833*$G$51</f>
        <v/>
      </c>
      <c r="AA834">
        <f>IF(AA833&gt;1E-9,IF(AA833*(1+$G$52)-MAX($B$9,0.01*AA833+AA833*$G$52)&gt;1E-9,AA833*(1+$G$52)-MAX($B$9,0.01*AA833+AA833*$G$52),0),0)</f>
        <v/>
      </c>
      <c r="AB834">
        <f>AA833*$G$52</f>
        <v/>
      </c>
      <c r="AC834">
        <f>IF(AC833&gt;1E-9,IF(AC833*(1+$G$53)-MAX($B$9,0.01*AC833+AC833*$G$53)&gt;1E-9,AC833*(1+$G$53)-MAX($B$9,0.01*AC833+AC833*$G$53),0),0)</f>
        <v/>
      </c>
      <c r="AD834">
        <f>AC833*$G$53</f>
        <v/>
      </c>
      <c r="AE834">
        <f>IF(AE833&gt;1E-9,IF(AE833*(1+$G$54)-MAX($B$9,0.01*AE833+AE833*$G$54)&gt;1E-9,AE833*(1+$G$54)-MAX($B$9,0.01*AE833+AE833*$G$54),0),0)</f>
        <v/>
      </c>
      <c r="AF834">
        <f>AE833*$G$54</f>
        <v/>
      </c>
      <c r="AG834">
        <f>IF(AG833&gt;1E-9,IF(AG833*(1+$G$55)-MAX($B$9,0.01*AG833+AG833*$G$55)&gt;1E-9,AG833*(1+$G$55)-MAX($B$9,0.01*AG833+AG833*$G$55),0),0)</f>
        <v/>
      </c>
      <c r="AH834">
        <f>AG833*$G$55</f>
        <v/>
      </c>
      <c r="AI834">
        <f>G834+K834+O834+S834+W834</f>
        <v/>
      </c>
      <c r="AJ834">
        <f>AI833+AK834-AI834</f>
        <v/>
      </c>
      <c r="AK834">
        <f>H834+L834+P834+T834+X834</f>
        <v/>
      </c>
      <c r="AL834">
        <f>TEXT(EDATE($B$5,D834-1),"mmm yyyy")</f>
        <v/>
      </c>
      <c r="AM834">
        <f>AI834</f>
        <v/>
      </c>
    </row>
    <row r="835">
      <c r="D835" t="n">
        <v>774</v>
      </c>
      <c r="E835">
        <f>IF(G834&gt;0,MAX(0,G834*(1+$G$51)-$H$51),0)</f>
        <v/>
      </c>
      <c r="F835">
        <f>$B$6+IF($D835=$B$8,$B$7,0)</f>
        <v/>
      </c>
      <c r="G835">
        <f>IF(E835-F835&gt;1E-9,E835-F835,0)</f>
        <v/>
      </c>
      <c r="H835">
        <f>G834*$G$51</f>
        <v/>
      </c>
      <c r="I835">
        <f>IF(K834&gt;0,MAX(0,K834*(1+$G$52)-$H$52),0)</f>
        <v/>
      </c>
      <c r="J835">
        <f>MAX(0,F835-E835)</f>
        <v/>
      </c>
      <c r="K835">
        <f>IF(I835-J835&gt;1E-9,I835-J835,0)</f>
        <v/>
      </c>
      <c r="L835">
        <f>K834*$G$52</f>
        <v/>
      </c>
      <c r="M835">
        <f>IF(O834&gt;0,MAX(0,O834*(1+$G$53)-$H$53),0)</f>
        <v/>
      </c>
      <c r="N835">
        <f>MAX(0,J835-I835)</f>
        <v/>
      </c>
      <c r="O835">
        <f>IF(M835-N835&gt;1E-9,M835-N835,0)</f>
        <v/>
      </c>
      <c r="P835">
        <f>O834*$G$53</f>
        <v/>
      </c>
      <c r="Q835">
        <f>IF(S834&gt;0,MAX(0,S834*(1+$G$54)-$H$54),0)</f>
        <v/>
      </c>
      <c r="R835">
        <f>MAX(0,N835-M835)</f>
        <v/>
      </c>
      <c r="S835">
        <f>IF(Q835-R835&gt;1E-9,Q835-R835,0)</f>
        <v/>
      </c>
      <c r="T835">
        <f>S834*$G$54</f>
        <v/>
      </c>
      <c r="U835">
        <f>IF(W834&gt;0,MAX(0,W834*(1+$G$55)-$H$55),0)</f>
        <v/>
      </c>
      <c r="V835">
        <f>MAX(0,R835-Q835)</f>
        <v/>
      </c>
      <c r="W835">
        <f>IF(U835-V835&gt;1E-9,U835-V835,0)</f>
        <v/>
      </c>
      <c r="X835">
        <f>W834*$G$55</f>
        <v/>
      </c>
      <c r="Y835">
        <f>IF(Y834&gt;1E-9,IF(Y834*(1+$G$51)-MAX($B$9,0.01*Y834+Y834*$G$51)&gt;1E-9,Y834*(1+$G$51)-MAX($B$9,0.01*Y834+Y834*$G$51),0),0)</f>
        <v/>
      </c>
      <c r="Z835">
        <f>Y834*$G$51</f>
        <v/>
      </c>
      <c r="AA835">
        <f>IF(AA834&gt;1E-9,IF(AA834*(1+$G$52)-MAX($B$9,0.01*AA834+AA834*$G$52)&gt;1E-9,AA834*(1+$G$52)-MAX($B$9,0.01*AA834+AA834*$G$52),0),0)</f>
        <v/>
      </c>
      <c r="AB835">
        <f>AA834*$G$52</f>
        <v/>
      </c>
      <c r="AC835">
        <f>IF(AC834&gt;1E-9,IF(AC834*(1+$G$53)-MAX($B$9,0.01*AC834+AC834*$G$53)&gt;1E-9,AC834*(1+$G$53)-MAX($B$9,0.01*AC834+AC834*$G$53),0),0)</f>
        <v/>
      </c>
      <c r="AD835">
        <f>AC834*$G$53</f>
        <v/>
      </c>
      <c r="AE835">
        <f>IF(AE834&gt;1E-9,IF(AE834*(1+$G$54)-MAX($B$9,0.01*AE834+AE834*$G$54)&gt;1E-9,AE834*(1+$G$54)-MAX($B$9,0.01*AE834+AE834*$G$54),0),0)</f>
        <v/>
      </c>
      <c r="AF835">
        <f>AE834*$G$54</f>
        <v/>
      </c>
      <c r="AG835">
        <f>IF(AG834&gt;1E-9,IF(AG834*(1+$G$55)-MAX($B$9,0.01*AG834+AG834*$G$55)&gt;1E-9,AG834*(1+$G$55)-MAX($B$9,0.01*AG834+AG834*$G$55),0),0)</f>
        <v/>
      </c>
      <c r="AH835">
        <f>AG834*$G$55</f>
        <v/>
      </c>
      <c r="AI835">
        <f>G835+K835+O835+S835+W835</f>
        <v/>
      </c>
      <c r="AJ835">
        <f>AI834+AK835-AI835</f>
        <v/>
      </c>
      <c r="AK835">
        <f>H835+L835+P835+T835+X835</f>
        <v/>
      </c>
      <c r="AL835">
        <f>TEXT(EDATE($B$5,D835-1),"mmm yyyy")</f>
        <v/>
      </c>
      <c r="AM835">
        <f>AI835</f>
        <v/>
      </c>
    </row>
    <row r="836">
      <c r="D836" t="n">
        <v>775</v>
      </c>
      <c r="E836">
        <f>IF(G835&gt;0,MAX(0,G835*(1+$G$51)-$H$51),0)</f>
        <v/>
      </c>
      <c r="F836">
        <f>$B$6+IF($D836=$B$8,$B$7,0)</f>
        <v/>
      </c>
      <c r="G836">
        <f>IF(E836-F836&gt;1E-9,E836-F836,0)</f>
        <v/>
      </c>
      <c r="H836">
        <f>G835*$G$51</f>
        <v/>
      </c>
      <c r="I836">
        <f>IF(K835&gt;0,MAX(0,K835*(1+$G$52)-$H$52),0)</f>
        <v/>
      </c>
      <c r="J836">
        <f>MAX(0,F836-E836)</f>
        <v/>
      </c>
      <c r="K836">
        <f>IF(I836-J836&gt;1E-9,I836-J836,0)</f>
        <v/>
      </c>
      <c r="L836">
        <f>K835*$G$52</f>
        <v/>
      </c>
      <c r="M836">
        <f>IF(O835&gt;0,MAX(0,O835*(1+$G$53)-$H$53),0)</f>
        <v/>
      </c>
      <c r="N836">
        <f>MAX(0,J836-I836)</f>
        <v/>
      </c>
      <c r="O836">
        <f>IF(M836-N836&gt;1E-9,M836-N836,0)</f>
        <v/>
      </c>
      <c r="P836">
        <f>O835*$G$53</f>
        <v/>
      </c>
      <c r="Q836">
        <f>IF(S835&gt;0,MAX(0,S835*(1+$G$54)-$H$54),0)</f>
        <v/>
      </c>
      <c r="R836">
        <f>MAX(0,N836-M836)</f>
        <v/>
      </c>
      <c r="S836">
        <f>IF(Q836-R836&gt;1E-9,Q836-R836,0)</f>
        <v/>
      </c>
      <c r="T836">
        <f>S835*$G$54</f>
        <v/>
      </c>
      <c r="U836">
        <f>IF(W835&gt;0,MAX(0,W835*(1+$G$55)-$H$55),0)</f>
        <v/>
      </c>
      <c r="V836">
        <f>MAX(0,R836-Q836)</f>
        <v/>
      </c>
      <c r="W836">
        <f>IF(U836-V836&gt;1E-9,U836-V836,0)</f>
        <v/>
      </c>
      <c r="X836">
        <f>W835*$G$55</f>
        <v/>
      </c>
      <c r="Y836">
        <f>IF(Y835&gt;1E-9,IF(Y835*(1+$G$51)-MAX($B$9,0.01*Y835+Y835*$G$51)&gt;1E-9,Y835*(1+$G$51)-MAX($B$9,0.01*Y835+Y835*$G$51),0),0)</f>
        <v/>
      </c>
      <c r="Z836">
        <f>Y835*$G$51</f>
        <v/>
      </c>
      <c r="AA836">
        <f>IF(AA835&gt;1E-9,IF(AA835*(1+$G$52)-MAX($B$9,0.01*AA835+AA835*$G$52)&gt;1E-9,AA835*(1+$G$52)-MAX($B$9,0.01*AA835+AA835*$G$52),0),0)</f>
        <v/>
      </c>
      <c r="AB836">
        <f>AA835*$G$52</f>
        <v/>
      </c>
      <c r="AC836">
        <f>IF(AC835&gt;1E-9,IF(AC835*(1+$G$53)-MAX($B$9,0.01*AC835+AC835*$G$53)&gt;1E-9,AC835*(1+$G$53)-MAX($B$9,0.01*AC835+AC835*$G$53),0),0)</f>
        <v/>
      </c>
      <c r="AD836">
        <f>AC835*$G$53</f>
        <v/>
      </c>
      <c r="AE836">
        <f>IF(AE835&gt;1E-9,IF(AE835*(1+$G$54)-MAX($B$9,0.01*AE835+AE835*$G$54)&gt;1E-9,AE835*(1+$G$54)-MAX($B$9,0.01*AE835+AE835*$G$54),0),0)</f>
        <v/>
      </c>
      <c r="AF836">
        <f>AE835*$G$54</f>
        <v/>
      </c>
      <c r="AG836">
        <f>IF(AG835&gt;1E-9,IF(AG835*(1+$G$55)-MAX($B$9,0.01*AG835+AG835*$G$55)&gt;1E-9,AG835*(1+$G$55)-MAX($B$9,0.01*AG835+AG835*$G$55),0),0)</f>
        <v/>
      </c>
      <c r="AH836">
        <f>AG835*$G$55</f>
        <v/>
      </c>
      <c r="AI836">
        <f>G836+K836+O836+S836+W836</f>
        <v/>
      </c>
      <c r="AJ836">
        <f>AI835+AK836-AI836</f>
        <v/>
      </c>
      <c r="AK836">
        <f>H836+L836+P836+T836+X836</f>
        <v/>
      </c>
      <c r="AL836">
        <f>TEXT(EDATE($B$5,D836-1),"mmm yyyy")</f>
        <v/>
      </c>
      <c r="AM836">
        <f>AI836</f>
        <v/>
      </c>
    </row>
    <row r="837">
      <c r="D837" t="n">
        <v>776</v>
      </c>
      <c r="E837">
        <f>IF(G836&gt;0,MAX(0,G836*(1+$G$51)-$H$51),0)</f>
        <v/>
      </c>
      <c r="F837">
        <f>$B$6+IF($D837=$B$8,$B$7,0)</f>
        <v/>
      </c>
      <c r="G837">
        <f>IF(E837-F837&gt;1E-9,E837-F837,0)</f>
        <v/>
      </c>
      <c r="H837">
        <f>G836*$G$51</f>
        <v/>
      </c>
      <c r="I837">
        <f>IF(K836&gt;0,MAX(0,K836*(1+$G$52)-$H$52),0)</f>
        <v/>
      </c>
      <c r="J837">
        <f>MAX(0,F837-E837)</f>
        <v/>
      </c>
      <c r="K837">
        <f>IF(I837-J837&gt;1E-9,I837-J837,0)</f>
        <v/>
      </c>
      <c r="L837">
        <f>K836*$G$52</f>
        <v/>
      </c>
      <c r="M837">
        <f>IF(O836&gt;0,MAX(0,O836*(1+$G$53)-$H$53),0)</f>
        <v/>
      </c>
      <c r="N837">
        <f>MAX(0,J837-I837)</f>
        <v/>
      </c>
      <c r="O837">
        <f>IF(M837-N837&gt;1E-9,M837-N837,0)</f>
        <v/>
      </c>
      <c r="P837">
        <f>O836*$G$53</f>
        <v/>
      </c>
      <c r="Q837">
        <f>IF(S836&gt;0,MAX(0,S836*(1+$G$54)-$H$54),0)</f>
        <v/>
      </c>
      <c r="R837">
        <f>MAX(0,N837-M837)</f>
        <v/>
      </c>
      <c r="S837">
        <f>IF(Q837-R837&gt;1E-9,Q837-R837,0)</f>
        <v/>
      </c>
      <c r="T837">
        <f>S836*$G$54</f>
        <v/>
      </c>
      <c r="U837">
        <f>IF(W836&gt;0,MAX(0,W836*(1+$G$55)-$H$55),0)</f>
        <v/>
      </c>
      <c r="V837">
        <f>MAX(0,R837-Q837)</f>
        <v/>
      </c>
      <c r="W837">
        <f>IF(U837-V837&gt;1E-9,U837-V837,0)</f>
        <v/>
      </c>
      <c r="X837">
        <f>W836*$G$55</f>
        <v/>
      </c>
      <c r="Y837">
        <f>IF(Y836&gt;1E-9,IF(Y836*(1+$G$51)-MAX($B$9,0.01*Y836+Y836*$G$51)&gt;1E-9,Y836*(1+$G$51)-MAX($B$9,0.01*Y836+Y836*$G$51),0),0)</f>
        <v/>
      </c>
      <c r="Z837">
        <f>Y836*$G$51</f>
        <v/>
      </c>
      <c r="AA837">
        <f>IF(AA836&gt;1E-9,IF(AA836*(1+$G$52)-MAX($B$9,0.01*AA836+AA836*$G$52)&gt;1E-9,AA836*(1+$G$52)-MAX($B$9,0.01*AA836+AA836*$G$52),0),0)</f>
        <v/>
      </c>
      <c r="AB837">
        <f>AA836*$G$52</f>
        <v/>
      </c>
      <c r="AC837">
        <f>IF(AC836&gt;1E-9,IF(AC836*(1+$G$53)-MAX($B$9,0.01*AC836+AC836*$G$53)&gt;1E-9,AC836*(1+$G$53)-MAX($B$9,0.01*AC836+AC836*$G$53),0),0)</f>
        <v/>
      </c>
      <c r="AD837">
        <f>AC836*$G$53</f>
        <v/>
      </c>
      <c r="AE837">
        <f>IF(AE836&gt;1E-9,IF(AE836*(1+$G$54)-MAX($B$9,0.01*AE836+AE836*$G$54)&gt;1E-9,AE836*(1+$G$54)-MAX($B$9,0.01*AE836+AE836*$G$54),0),0)</f>
        <v/>
      </c>
      <c r="AF837">
        <f>AE836*$G$54</f>
        <v/>
      </c>
      <c r="AG837">
        <f>IF(AG836&gt;1E-9,IF(AG836*(1+$G$55)-MAX($B$9,0.01*AG836+AG836*$G$55)&gt;1E-9,AG836*(1+$G$55)-MAX($B$9,0.01*AG836+AG836*$G$55),0),0)</f>
        <v/>
      </c>
      <c r="AH837">
        <f>AG836*$G$55</f>
        <v/>
      </c>
      <c r="AI837">
        <f>G837+K837+O837+S837+W837</f>
        <v/>
      </c>
      <c r="AJ837">
        <f>AI836+AK837-AI837</f>
        <v/>
      </c>
      <c r="AK837">
        <f>H837+L837+P837+T837+X837</f>
        <v/>
      </c>
      <c r="AL837">
        <f>TEXT(EDATE($B$5,D837-1),"mmm yyyy")</f>
        <v/>
      </c>
      <c r="AM837">
        <f>AI837</f>
        <v/>
      </c>
    </row>
    <row r="838">
      <c r="D838" t="n">
        <v>777</v>
      </c>
      <c r="E838">
        <f>IF(G837&gt;0,MAX(0,G837*(1+$G$51)-$H$51),0)</f>
        <v/>
      </c>
      <c r="F838">
        <f>$B$6+IF($D838=$B$8,$B$7,0)</f>
        <v/>
      </c>
      <c r="G838">
        <f>IF(E838-F838&gt;1E-9,E838-F838,0)</f>
        <v/>
      </c>
      <c r="H838">
        <f>G837*$G$51</f>
        <v/>
      </c>
      <c r="I838">
        <f>IF(K837&gt;0,MAX(0,K837*(1+$G$52)-$H$52),0)</f>
        <v/>
      </c>
      <c r="J838">
        <f>MAX(0,F838-E838)</f>
        <v/>
      </c>
      <c r="K838">
        <f>IF(I838-J838&gt;1E-9,I838-J838,0)</f>
        <v/>
      </c>
      <c r="L838">
        <f>K837*$G$52</f>
        <v/>
      </c>
      <c r="M838">
        <f>IF(O837&gt;0,MAX(0,O837*(1+$G$53)-$H$53),0)</f>
        <v/>
      </c>
      <c r="N838">
        <f>MAX(0,J838-I838)</f>
        <v/>
      </c>
      <c r="O838">
        <f>IF(M838-N838&gt;1E-9,M838-N838,0)</f>
        <v/>
      </c>
      <c r="P838">
        <f>O837*$G$53</f>
        <v/>
      </c>
      <c r="Q838">
        <f>IF(S837&gt;0,MAX(0,S837*(1+$G$54)-$H$54),0)</f>
        <v/>
      </c>
      <c r="R838">
        <f>MAX(0,N838-M838)</f>
        <v/>
      </c>
      <c r="S838">
        <f>IF(Q838-R838&gt;1E-9,Q838-R838,0)</f>
        <v/>
      </c>
      <c r="T838">
        <f>S837*$G$54</f>
        <v/>
      </c>
      <c r="U838">
        <f>IF(W837&gt;0,MAX(0,W837*(1+$G$55)-$H$55),0)</f>
        <v/>
      </c>
      <c r="V838">
        <f>MAX(0,R838-Q838)</f>
        <v/>
      </c>
      <c r="W838">
        <f>IF(U838-V838&gt;1E-9,U838-V838,0)</f>
        <v/>
      </c>
      <c r="X838">
        <f>W837*$G$55</f>
        <v/>
      </c>
      <c r="Y838">
        <f>IF(Y837&gt;1E-9,IF(Y837*(1+$G$51)-MAX($B$9,0.01*Y837+Y837*$G$51)&gt;1E-9,Y837*(1+$G$51)-MAX($B$9,0.01*Y837+Y837*$G$51),0),0)</f>
        <v/>
      </c>
      <c r="Z838">
        <f>Y837*$G$51</f>
        <v/>
      </c>
      <c r="AA838">
        <f>IF(AA837&gt;1E-9,IF(AA837*(1+$G$52)-MAX($B$9,0.01*AA837+AA837*$G$52)&gt;1E-9,AA837*(1+$G$52)-MAX($B$9,0.01*AA837+AA837*$G$52),0),0)</f>
        <v/>
      </c>
      <c r="AB838">
        <f>AA837*$G$52</f>
        <v/>
      </c>
      <c r="AC838">
        <f>IF(AC837&gt;1E-9,IF(AC837*(1+$G$53)-MAX($B$9,0.01*AC837+AC837*$G$53)&gt;1E-9,AC837*(1+$G$53)-MAX($B$9,0.01*AC837+AC837*$G$53),0),0)</f>
        <v/>
      </c>
      <c r="AD838">
        <f>AC837*$G$53</f>
        <v/>
      </c>
      <c r="AE838">
        <f>IF(AE837&gt;1E-9,IF(AE837*(1+$G$54)-MAX($B$9,0.01*AE837+AE837*$G$54)&gt;1E-9,AE837*(1+$G$54)-MAX($B$9,0.01*AE837+AE837*$G$54),0),0)</f>
        <v/>
      </c>
      <c r="AF838">
        <f>AE837*$G$54</f>
        <v/>
      </c>
      <c r="AG838">
        <f>IF(AG837&gt;1E-9,IF(AG837*(1+$G$55)-MAX($B$9,0.01*AG837+AG837*$G$55)&gt;1E-9,AG837*(1+$G$55)-MAX($B$9,0.01*AG837+AG837*$G$55),0),0)</f>
        <v/>
      </c>
      <c r="AH838">
        <f>AG837*$G$55</f>
        <v/>
      </c>
      <c r="AI838">
        <f>G838+K838+O838+S838+W838</f>
        <v/>
      </c>
      <c r="AJ838">
        <f>AI837+AK838-AI838</f>
        <v/>
      </c>
      <c r="AK838">
        <f>H838+L838+P838+T838+X838</f>
        <v/>
      </c>
      <c r="AL838">
        <f>TEXT(EDATE($B$5,D838-1),"mmm yyyy")</f>
        <v/>
      </c>
      <c r="AM838">
        <f>AI838</f>
        <v/>
      </c>
    </row>
    <row r="839">
      <c r="D839" t="n">
        <v>778</v>
      </c>
      <c r="E839">
        <f>IF(G838&gt;0,MAX(0,G838*(1+$G$51)-$H$51),0)</f>
        <v/>
      </c>
      <c r="F839">
        <f>$B$6+IF($D839=$B$8,$B$7,0)</f>
        <v/>
      </c>
      <c r="G839">
        <f>IF(E839-F839&gt;1E-9,E839-F839,0)</f>
        <v/>
      </c>
      <c r="H839">
        <f>G838*$G$51</f>
        <v/>
      </c>
      <c r="I839">
        <f>IF(K838&gt;0,MAX(0,K838*(1+$G$52)-$H$52),0)</f>
        <v/>
      </c>
      <c r="J839">
        <f>MAX(0,F839-E839)</f>
        <v/>
      </c>
      <c r="K839">
        <f>IF(I839-J839&gt;1E-9,I839-J839,0)</f>
        <v/>
      </c>
      <c r="L839">
        <f>K838*$G$52</f>
        <v/>
      </c>
      <c r="M839">
        <f>IF(O838&gt;0,MAX(0,O838*(1+$G$53)-$H$53),0)</f>
        <v/>
      </c>
      <c r="N839">
        <f>MAX(0,J839-I839)</f>
        <v/>
      </c>
      <c r="O839">
        <f>IF(M839-N839&gt;1E-9,M839-N839,0)</f>
        <v/>
      </c>
      <c r="P839">
        <f>O838*$G$53</f>
        <v/>
      </c>
      <c r="Q839">
        <f>IF(S838&gt;0,MAX(0,S838*(1+$G$54)-$H$54),0)</f>
        <v/>
      </c>
      <c r="R839">
        <f>MAX(0,N839-M839)</f>
        <v/>
      </c>
      <c r="S839">
        <f>IF(Q839-R839&gt;1E-9,Q839-R839,0)</f>
        <v/>
      </c>
      <c r="T839">
        <f>S838*$G$54</f>
        <v/>
      </c>
      <c r="U839">
        <f>IF(W838&gt;0,MAX(0,W838*(1+$G$55)-$H$55),0)</f>
        <v/>
      </c>
      <c r="V839">
        <f>MAX(0,R839-Q839)</f>
        <v/>
      </c>
      <c r="W839">
        <f>IF(U839-V839&gt;1E-9,U839-V839,0)</f>
        <v/>
      </c>
      <c r="X839">
        <f>W838*$G$55</f>
        <v/>
      </c>
      <c r="Y839">
        <f>IF(Y838&gt;1E-9,IF(Y838*(1+$G$51)-MAX($B$9,0.01*Y838+Y838*$G$51)&gt;1E-9,Y838*(1+$G$51)-MAX($B$9,0.01*Y838+Y838*$G$51),0),0)</f>
        <v/>
      </c>
      <c r="Z839">
        <f>Y838*$G$51</f>
        <v/>
      </c>
      <c r="AA839">
        <f>IF(AA838&gt;1E-9,IF(AA838*(1+$G$52)-MAX($B$9,0.01*AA838+AA838*$G$52)&gt;1E-9,AA838*(1+$G$52)-MAX($B$9,0.01*AA838+AA838*$G$52),0),0)</f>
        <v/>
      </c>
      <c r="AB839">
        <f>AA838*$G$52</f>
        <v/>
      </c>
      <c r="AC839">
        <f>IF(AC838&gt;1E-9,IF(AC838*(1+$G$53)-MAX($B$9,0.01*AC838+AC838*$G$53)&gt;1E-9,AC838*(1+$G$53)-MAX($B$9,0.01*AC838+AC838*$G$53),0),0)</f>
        <v/>
      </c>
      <c r="AD839">
        <f>AC838*$G$53</f>
        <v/>
      </c>
      <c r="AE839">
        <f>IF(AE838&gt;1E-9,IF(AE838*(1+$G$54)-MAX($B$9,0.01*AE838+AE838*$G$54)&gt;1E-9,AE838*(1+$G$54)-MAX($B$9,0.01*AE838+AE838*$G$54),0),0)</f>
        <v/>
      </c>
      <c r="AF839">
        <f>AE838*$G$54</f>
        <v/>
      </c>
      <c r="AG839">
        <f>IF(AG838&gt;1E-9,IF(AG838*(1+$G$55)-MAX($B$9,0.01*AG838+AG838*$G$55)&gt;1E-9,AG838*(1+$G$55)-MAX($B$9,0.01*AG838+AG838*$G$55),0),0)</f>
        <v/>
      </c>
      <c r="AH839">
        <f>AG838*$G$55</f>
        <v/>
      </c>
      <c r="AI839">
        <f>G839+K839+O839+S839+W839</f>
        <v/>
      </c>
      <c r="AJ839">
        <f>AI838+AK839-AI839</f>
        <v/>
      </c>
      <c r="AK839">
        <f>H839+L839+P839+T839+X839</f>
        <v/>
      </c>
      <c r="AL839">
        <f>TEXT(EDATE($B$5,D839-1),"mmm yyyy")</f>
        <v/>
      </c>
      <c r="AM839">
        <f>AI839</f>
        <v/>
      </c>
    </row>
    <row r="840">
      <c r="D840" t="n">
        <v>779</v>
      </c>
      <c r="E840">
        <f>IF(G839&gt;0,MAX(0,G839*(1+$G$51)-$H$51),0)</f>
        <v/>
      </c>
      <c r="F840">
        <f>$B$6+IF($D840=$B$8,$B$7,0)</f>
        <v/>
      </c>
      <c r="G840">
        <f>IF(E840-F840&gt;1E-9,E840-F840,0)</f>
        <v/>
      </c>
      <c r="H840">
        <f>G839*$G$51</f>
        <v/>
      </c>
      <c r="I840">
        <f>IF(K839&gt;0,MAX(0,K839*(1+$G$52)-$H$52),0)</f>
        <v/>
      </c>
      <c r="J840">
        <f>MAX(0,F840-E840)</f>
        <v/>
      </c>
      <c r="K840">
        <f>IF(I840-J840&gt;1E-9,I840-J840,0)</f>
        <v/>
      </c>
      <c r="L840">
        <f>K839*$G$52</f>
        <v/>
      </c>
      <c r="M840">
        <f>IF(O839&gt;0,MAX(0,O839*(1+$G$53)-$H$53),0)</f>
        <v/>
      </c>
      <c r="N840">
        <f>MAX(0,J840-I840)</f>
        <v/>
      </c>
      <c r="O840">
        <f>IF(M840-N840&gt;1E-9,M840-N840,0)</f>
        <v/>
      </c>
      <c r="P840">
        <f>O839*$G$53</f>
        <v/>
      </c>
      <c r="Q840">
        <f>IF(S839&gt;0,MAX(0,S839*(1+$G$54)-$H$54),0)</f>
        <v/>
      </c>
      <c r="R840">
        <f>MAX(0,N840-M840)</f>
        <v/>
      </c>
      <c r="S840">
        <f>IF(Q840-R840&gt;1E-9,Q840-R840,0)</f>
        <v/>
      </c>
      <c r="T840">
        <f>S839*$G$54</f>
        <v/>
      </c>
      <c r="U840">
        <f>IF(W839&gt;0,MAX(0,W839*(1+$G$55)-$H$55),0)</f>
        <v/>
      </c>
      <c r="V840">
        <f>MAX(0,R840-Q840)</f>
        <v/>
      </c>
      <c r="W840">
        <f>IF(U840-V840&gt;1E-9,U840-V840,0)</f>
        <v/>
      </c>
      <c r="X840">
        <f>W839*$G$55</f>
        <v/>
      </c>
      <c r="Y840">
        <f>IF(Y839&gt;1E-9,IF(Y839*(1+$G$51)-MAX($B$9,0.01*Y839+Y839*$G$51)&gt;1E-9,Y839*(1+$G$51)-MAX($B$9,0.01*Y839+Y839*$G$51),0),0)</f>
        <v/>
      </c>
      <c r="Z840">
        <f>Y839*$G$51</f>
        <v/>
      </c>
      <c r="AA840">
        <f>IF(AA839&gt;1E-9,IF(AA839*(1+$G$52)-MAX($B$9,0.01*AA839+AA839*$G$52)&gt;1E-9,AA839*(1+$G$52)-MAX($B$9,0.01*AA839+AA839*$G$52),0),0)</f>
        <v/>
      </c>
      <c r="AB840">
        <f>AA839*$G$52</f>
        <v/>
      </c>
      <c r="AC840">
        <f>IF(AC839&gt;1E-9,IF(AC839*(1+$G$53)-MAX($B$9,0.01*AC839+AC839*$G$53)&gt;1E-9,AC839*(1+$G$53)-MAX($B$9,0.01*AC839+AC839*$G$53),0),0)</f>
        <v/>
      </c>
      <c r="AD840">
        <f>AC839*$G$53</f>
        <v/>
      </c>
      <c r="AE840">
        <f>IF(AE839&gt;1E-9,IF(AE839*(1+$G$54)-MAX($B$9,0.01*AE839+AE839*$G$54)&gt;1E-9,AE839*(1+$G$54)-MAX($B$9,0.01*AE839+AE839*$G$54),0),0)</f>
        <v/>
      </c>
      <c r="AF840">
        <f>AE839*$G$54</f>
        <v/>
      </c>
      <c r="AG840">
        <f>IF(AG839&gt;1E-9,IF(AG839*(1+$G$55)-MAX($B$9,0.01*AG839+AG839*$G$55)&gt;1E-9,AG839*(1+$G$55)-MAX($B$9,0.01*AG839+AG839*$G$55),0),0)</f>
        <v/>
      </c>
      <c r="AH840">
        <f>AG839*$G$55</f>
        <v/>
      </c>
      <c r="AI840">
        <f>G840+K840+O840+S840+W840</f>
        <v/>
      </c>
      <c r="AJ840">
        <f>AI839+AK840-AI840</f>
        <v/>
      </c>
      <c r="AK840">
        <f>H840+L840+P840+T840+X840</f>
        <v/>
      </c>
      <c r="AL840">
        <f>TEXT(EDATE($B$5,D840-1),"mmm yyyy")</f>
        <v/>
      </c>
      <c r="AM840">
        <f>AI840</f>
        <v/>
      </c>
    </row>
    <row r="841">
      <c r="D841" t="n">
        <v>780</v>
      </c>
      <c r="E841">
        <f>IF(G840&gt;0,MAX(0,G840*(1+$G$51)-$H$51),0)</f>
        <v/>
      </c>
      <c r="F841">
        <f>$B$6+IF($D841=$B$8,$B$7,0)</f>
        <v/>
      </c>
      <c r="G841">
        <f>IF(E841-F841&gt;1E-9,E841-F841,0)</f>
        <v/>
      </c>
      <c r="H841">
        <f>G840*$G$51</f>
        <v/>
      </c>
      <c r="I841">
        <f>IF(K840&gt;0,MAX(0,K840*(1+$G$52)-$H$52),0)</f>
        <v/>
      </c>
      <c r="J841">
        <f>MAX(0,F841-E841)</f>
        <v/>
      </c>
      <c r="K841">
        <f>IF(I841-J841&gt;1E-9,I841-J841,0)</f>
        <v/>
      </c>
      <c r="L841">
        <f>K840*$G$52</f>
        <v/>
      </c>
      <c r="M841">
        <f>IF(O840&gt;0,MAX(0,O840*(1+$G$53)-$H$53),0)</f>
        <v/>
      </c>
      <c r="N841">
        <f>MAX(0,J841-I841)</f>
        <v/>
      </c>
      <c r="O841">
        <f>IF(M841-N841&gt;1E-9,M841-N841,0)</f>
        <v/>
      </c>
      <c r="P841">
        <f>O840*$G$53</f>
        <v/>
      </c>
      <c r="Q841">
        <f>IF(S840&gt;0,MAX(0,S840*(1+$G$54)-$H$54),0)</f>
        <v/>
      </c>
      <c r="R841">
        <f>MAX(0,N841-M841)</f>
        <v/>
      </c>
      <c r="S841">
        <f>IF(Q841-R841&gt;1E-9,Q841-R841,0)</f>
        <v/>
      </c>
      <c r="T841">
        <f>S840*$G$54</f>
        <v/>
      </c>
      <c r="U841">
        <f>IF(W840&gt;0,MAX(0,W840*(1+$G$55)-$H$55),0)</f>
        <v/>
      </c>
      <c r="V841">
        <f>MAX(0,R841-Q841)</f>
        <v/>
      </c>
      <c r="W841">
        <f>IF(U841-V841&gt;1E-9,U841-V841,0)</f>
        <v/>
      </c>
      <c r="X841">
        <f>W840*$G$55</f>
        <v/>
      </c>
      <c r="Y841">
        <f>IF(Y840&gt;1E-9,IF(Y840*(1+$G$51)-MAX($B$9,0.01*Y840+Y840*$G$51)&gt;1E-9,Y840*(1+$G$51)-MAX($B$9,0.01*Y840+Y840*$G$51),0),0)</f>
        <v/>
      </c>
      <c r="Z841">
        <f>Y840*$G$51</f>
        <v/>
      </c>
      <c r="AA841">
        <f>IF(AA840&gt;1E-9,IF(AA840*(1+$G$52)-MAX($B$9,0.01*AA840+AA840*$G$52)&gt;1E-9,AA840*(1+$G$52)-MAX($B$9,0.01*AA840+AA840*$G$52),0),0)</f>
        <v/>
      </c>
      <c r="AB841">
        <f>AA840*$G$52</f>
        <v/>
      </c>
      <c r="AC841">
        <f>IF(AC840&gt;1E-9,IF(AC840*(1+$G$53)-MAX($B$9,0.01*AC840+AC840*$G$53)&gt;1E-9,AC840*(1+$G$53)-MAX($B$9,0.01*AC840+AC840*$G$53),0),0)</f>
        <v/>
      </c>
      <c r="AD841">
        <f>AC840*$G$53</f>
        <v/>
      </c>
      <c r="AE841">
        <f>IF(AE840&gt;1E-9,IF(AE840*(1+$G$54)-MAX($B$9,0.01*AE840+AE840*$G$54)&gt;1E-9,AE840*(1+$G$54)-MAX($B$9,0.01*AE840+AE840*$G$54),0),0)</f>
        <v/>
      </c>
      <c r="AF841">
        <f>AE840*$G$54</f>
        <v/>
      </c>
      <c r="AG841">
        <f>IF(AG840&gt;1E-9,IF(AG840*(1+$G$55)-MAX($B$9,0.01*AG840+AG840*$G$55)&gt;1E-9,AG840*(1+$G$55)-MAX($B$9,0.01*AG840+AG840*$G$55),0),0)</f>
        <v/>
      </c>
      <c r="AH841">
        <f>AG840*$G$55</f>
        <v/>
      </c>
      <c r="AI841">
        <f>G841+K841+O841+S841+W841</f>
        <v/>
      </c>
      <c r="AJ841">
        <f>AI840+AK841-AI841</f>
        <v/>
      </c>
      <c r="AK841">
        <f>H841+L841+P841+T841+X841</f>
        <v/>
      </c>
      <c r="AL841">
        <f>TEXT(EDATE($B$5,D841-1),"mmm yyyy")</f>
        <v/>
      </c>
      <c r="AM841">
        <f>AI841</f>
        <v/>
      </c>
    </row>
    <row r="842">
      <c r="D842" t="n">
        <v>781</v>
      </c>
      <c r="E842">
        <f>IF(G841&gt;0,MAX(0,G841*(1+$G$51)-$H$51),0)</f>
        <v/>
      </c>
      <c r="F842">
        <f>$B$6+IF($D842=$B$8,$B$7,0)</f>
        <v/>
      </c>
      <c r="G842">
        <f>IF(E842-F842&gt;1E-9,E842-F842,0)</f>
        <v/>
      </c>
      <c r="H842">
        <f>G841*$G$51</f>
        <v/>
      </c>
      <c r="I842">
        <f>IF(K841&gt;0,MAX(0,K841*(1+$G$52)-$H$52),0)</f>
        <v/>
      </c>
      <c r="J842">
        <f>MAX(0,F842-E842)</f>
        <v/>
      </c>
      <c r="K842">
        <f>IF(I842-J842&gt;1E-9,I842-J842,0)</f>
        <v/>
      </c>
      <c r="L842">
        <f>K841*$G$52</f>
        <v/>
      </c>
      <c r="M842">
        <f>IF(O841&gt;0,MAX(0,O841*(1+$G$53)-$H$53),0)</f>
        <v/>
      </c>
      <c r="N842">
        <f>MAX(0,J842-I842)</f>
        <v/>
      </c>
      <c r="O842">
        <f>IF(M842-N842&gt;1E-9,M842-N842,0)</f>
        <v/>
      </c>
      <c r="P842">
        <f>O841*$G$53</f>
        <v/>
      </c>
      <c r="Q842">
        <f>IF(S841&gt;0,MAX(0,S841*(1+$G$54)-$H$54),0)</f>
        <v/>
      </c>
      <c r="R842">
        <f>MAX(0,N842-M842)</f>
        <v/>
      </c>
      <c r="S842">
        <f>IF(Q842-R842&gt;1E-9,Q842-R842,0)</f>
        <v/>
      </c>
      <c r="T842">
        <f>S841*$G$54</f>
        <v/>
      </c>
      <c r="U842">
        <f>IF(W841&gt;0,MAX(0,W841*(1+$G$55)-$H$55),0)</f>
        <v/>
      </c>
      <c r="V842">
        <f>MAX(0,R842-Q842)</f>
        <v/>
      </c>
      <c r="W842">
        <f>IF(U842-V842&gt;1E-9,U842-V842,0)</f>
        <v/>
      </c>
      <c r="X842">
        <f>W841*$G$55</f>
        <v/>
      </c>
      <c r="Y842">
        <f>IF(Y841&gt;1E-9,IF(Y841*(1+$G$51)-MAX($B$9,0.01*Y841+Y841*$G$51)&gt;1E-9,Y841*(1+$G$51)-MAX($B$9,0.01*Y841+Y841*$G$51),0),0)</f>
        <v/>
      </c>
      <c r="Z842">
        <f>Y841*$G$51</f>
        <v/>
      </c>
      <c r="AA842">
        <f>IF(AA841&gt;1E-9,IF(AA841*(1+$G$52)-MAX($B$9,0.01*AA841+AA841*$G$52)&gt;1E-9,AA841*(1+$G$52)-MAX($B$9,0.01*AA841+AA841*$G$52),0),0)</f>
        <v/>
      </c>
      <c r="AB842">
        <f>AA841*$G$52</f>
        <v/>
      </c>
      <c r="AC842">
        <f>IF(AC841&gt;1E-9,IF(AC841*(1+$G$53)-MAX($B$9,0.01*AC841+AC841*$G$53)&gt;1E-9,AC841*(1+$G$53)-MAX($B$9,0.01*AC841+AC841*$G$53),0),0)</f>
        <v/>
      </c>
      <c r="AD842">
        <f>AC841*$G$53</f>
        <v/>
      </c>
      <c r="AE842">
        <f>IF(AE841&gt;1E-9,IF(AE841*(1+$G$54)-MAX($B$9,0.01*AE841+AE841*$G$54)&gt;1E-9,AE841*(1+$G$54)-MAX($B$9,0.01*AE841+AE841*$G$54),0),0)</f>
        <v/>
      </c>
      <c r="AF842">
        <f>AE841*$G$54</f>
        <v/>
      </c>
      <c r="AG842">
        <f>IF(AG841&gt;1E-9,IF(AG841*(1+$G$55)-MAX($B$9,0.01*AG841+AG841*$G$55)&gt;1E-9,AG841*(1+$G$55)-MAX($B$9,0.01*AG841+AG841*$G$55),0),0)</f>
        <v/>
      </c>
      <c r="AH842">
        <f>AG841*$G$55</f>
        <v/>
      </c>
      <c r="AI842">
        <f>G842+K842+O842+S842+W842</f>
        <v/>
      </c>
      <c r="AJ842">
        <f>AI841+AK842-AI842</f>
        <v/>
      </c>
      <c r="AK842">
        <f>H842+L842+P842+T842+X842</f>
        <v/>
      </c>
      <c r="AL842">
        <f>TEXT(EDATE($B$5,D842-1),"mmm yyyy")</f>
        <v/>
      </c>
      <c r="AM842">
        <f>AI842</f>
        <v/>
      </c>
    </row>
    <row r="843">
      <c r="D843" t="n">
        <v>782</v>
      </c>
      <c r="E843">
        <f>IF(G842&gt;0,MAX(0,G842*(1+$G$51)-$H$51),0)</f>
        <v/>
      </c>
      <c r="F843">
        <f>$B$6+IF($D843=$B$8,$B$7,0)</f>
        <v/>
      </c>
      <c r="G843">
        <f>IF(E843-F843&gt;1E-9,E843-F843,0)</f>
        <v/>
      </c>
      <c r="H843">
        <f>G842*$G$51</f>
        <v/>
      </c>
      <c r="I843">
        <f>IF(K842&gt;0,MAX(0,K842*(1+$G$52)-$H$52),0)</f>
        <v/>
      </c>
      <c r="J843">
        <f>MAX(0,F843-E843)</f>
        <v/>
      </c>
      <c r="K843">
        <f>IF(I843-J843&gt;1E-9,I843-J843,0)</f>
        <v/>
      </c>
      <c r="L843">
        <f>K842*$G$52</f>
        <v/>
      </c>
      <c r="M843">
        <f>IF(O842&gt;0,MAX(0,O842*(1+$G$53)-$H$53),0)</f>
        <v/>
      </c>
      <c r="N843">
        <f>MAX(0,J843-I843)</f>
        <v/>
      </c>
      <c r="O843">
        <f>IF(M843-N843&gt;1E-9,M843-N843,0)</f>
        <v/>
      </c>
      <c r="P843">
        <f>O842*$G$53</f>
        <v/>
      </c>
      <c r="Q843">
        <f>IF(S842&gt;0,MAX(0,S842*(1+$G$54)-$H$54),0)</f>
        <v/>
      </c>
      <c r="R843">
        <f>MAX(0,N843-M843)</f>
        <v/>
      </c>
      <c r="S843">
        <f>IF(Q843-R843&gt;1E-9,Q843-R843,0)</f>
        <v/>
      </c>
      <c r="T843">
        <f>S842*$G$54</f>
        <v/>
      </c>
      <c r="U843">
        <f>IF(W842&gt;0,MAX(0,W842*(1+$G$55)-$H$55),0)</f>
        <v/>
      </c>
      <c r="V843">
        <f>MAX(0,R843-Q843)</f>
        <v/>
      </c>
      <c r="W843">
        <f>IF(U843-V843&gt;1E-9,U843-V843,0)</f>
        <v/>
      </c>
      <c r="X843">
        <f>W842*$G$55</f>
        <v/>
      </c>
      <c r="Y843">
        <f>IF(Y842&gt;1E-9,IF(Y842*(1+$G$51)-MAX($B$9,0.01*Y842+Y842*$G$51)&gt;1E-9,Y842*(1+$G$51)-MAX($B$9,0.01*Y842+Y842*$G$51),0),0)</f>
        <v/>
      </c>
      <c r="Z843">
        <f>Y842*$G$51</f>
        <v/>
      </c>
      <c r="AA843">
        <f>IF(AA842&gt;1E-9,IF(AA842*(1+$G$52)-MAX($B$9,0.01*AA842+AA842*$G$52)&gt;1E-9,AA842*(1+$G$52)-MAX($B$9,0.01*AA842+AA842*$G$52),0),0)</f>
        <v/>
      </c>
      <c r="AB843">
        <f>AA842*$G$52</f>
        <v/>
      </c>
      <c r="AC843">
        <f>IF(AC842&gt;1E-9,IF(AC842*(1+$G$53)-MAX($B$9,0.01*AC842+AC842*$G$53)&gt;1E-9,AC842*(1+$G$53)-MAX($B$9,0.01*AC842+AC842*$G$53),0),0)</f>
        <v/>
      </c>
      <c r="AD843">
        <f>AC842*$G$53</f>
        <v/>
      </c>
      <c r="AE843">
        <f>IF(AE842&gt;1E-9,IF(AE842*(1+$G$54)-MAX($B$9,0.01*AE842+AE842*$G$54)&gt;1E-9,AE842*(1+$G$54)-MAX($B$9,0.01*AE842+AE842*$G$54),0),0)</f>
        <v/>
      </c>
      <c r="AF843">
        <f>AE842*$G$54</f>
        <v/>
      </c>
      <c r="AG843">
        <f>IF(AG842&gt;1E-9,IF(AG842*(1+$G$55)-MAX($B$9,0.01*AG842+AG842*$G$55)&gt;1E-9,AG842*(1+$G$55)-MAX($B$9,0.01*AG842+AG842*$G$55),0),0)</f>
        <v/>
      </c>
      <c r="AH843">
        <f>AG842*$G$55</f>
        <v/>
      </c>
      <c r="AI843">
        <f>G843+K843+O843+S843+W843</f>
        <v/>
      </c>
      <c r="AJ843">
        <f>AI842+AK843-AI843</f>
        <v/>
      </c>
      <c r="AK843">
        <f>H843+L843+P843+T843+X843</f>
        <v/>
      </c>
      <c r="AL843">
        <f>TEXT(EDATE($B$5,D843-1),"mmm yyyy")</f>
        <v/>
      </c>
      <c r="AM843">
        <f>AI843</f>
        <v/>
      </c>
    </row>
    <row r="844">
      <c r="D844" t="n">
        <v>783</v>
      </c>
      <c r="E844">
        <f>IF(G843&gt;0,MAX(0,G843*(1+$G$51)-$H$51),0)</f>
        <v/>
      </c>
      <c r="F844">
        <f>$B$6+IF($D844=$B$8,$B$7,0)</f>
        <v/>
      </c>
      <c r="G844">
        <f>IF(E844-F844&gt;1E-9,E844-F844,0)</f>
        <v/>
      </c>
      <c r="H844">
        <f>G843*$G$51</f>
        <v/>
      </c>
      <c r="I844">
        <f>IF(K843&gt;0,MAX(0,K843*(1+$G$52)-$H$52),0)</f>
        <v/>
      </c>
      <c r="J844">
        <f>MAX(0,F844-E844)</f>
        <v/>
      </c>
      <c r="K844">
        <f>IF(I844-J844&gt;1E-9,I844-J844,0)</f>
        <v/>
      </c>
      <c r="L844">
        <f>K843*$G$52</f>
        <v/>
      </c>
      <c r="M844">
        <f>IF(O843&gt;0,MAX(0,O843*(1+$G$53)-$H$53),0)</f>
        <v/>
      </c>
      <c r="N844">
        <f>MAX(0,J844-I844)</f>
        <v/>
      </c>
      <c r="O844">
        <f>IF(M844-N844&gt;1E-9,M844-N844,0)</f>
        <v/>
      </c>
      <c r="P844">
        <f>O843*$G$53</f>
        <v/>
      </c>
      <c r="Q844">
        <f>IF(S843&gt;0,MAX(0,S843*(1+$G$54)-$H$54),0)</f>
        <v/>
      </c>
      <c r="R844">
        <f>MAX(0,N844-M844)</f>
        <v/>
      </c>
      <c r="S844">
        <f>IF(Q844-R844&gt;1E-9,Q844-R844,0)</f>
        <v/>
      </c>
      <c r="T844">
        <f>S843*$G$54</f>
        <v/>
      </c>
      <c r="U844">
        <f>IF(W843&gt;0,MAX(0,W843*(1+$G$55)-$H$55),0)</f>
        <v/>
      </c>
      <c r="V844">
        <f>MAX(0,R844-Q844)</f>
        <v/>
      </c>
      <c r="W844">
        <f>IF(U844-V844&gt;1E-9,U844-V844,0)</f>
        <v/>
      </c>
      <c r="X844">
        <f>W843*$G$55</f>
        <v/>
      </c>
      <c r="Y844">
        <f>IF(Y843&gt;1E-9,IF(Y843*(1+$G$51)-MAX($B$9,0.01*Y843+Y843*$G$51)&gt;1E-9,Y843*(1+$G$51)-MAX($B$9,0.01*Y843+Y843*$G$51),0),0)</f>
        <v/>
      </c>
      <c r="Z844">
        <f>Y843*$G$51</f>
        <v/>
      </c>
      <c r="AA844">
        <f>IF(AA843&gt;1E-9,IF(AA843*(1+$G$52)-MAX($B$9,0.01*AA843+AA843*$G$52)&gt;1E-9,AA843*(1+$G$52)-MAX($B$9,0.01*AA843+AA843*$G$52),0),0)</f>
        <v/>
      </c>
      <c r="AB844">
        <f>AA843*$G$52</f>
        <v/>
      </c>
      <c r="AC844">
        <f>IF(AC843&gt;1E-9,IF(AC843*(1+$G$53)-MAX($B$9,0.01*AC843+AC843*$G$53)&gt;1E-9,AC843*(1+$G$53)-MAX($B$9,0.01*AC843+AC843*$G$53),0),0)</f>
        <v/>
      </c>
      <c r="AD844">
        <f>AC843*$G$53</f>
        <v/>
      </c>
      <c r="AE844">
        <f>IF(AE843&gt;1E-9,IF(AE843*(1+$G$54)-MAX($B$9,0.01*AE843+AE843*$G$54)&gt;1E-9,AE843*(1+$G$54)-MAX($B$9,0.01*AE843+AE843*$G$54),0),0)</f>
        <v/>
      </c>
      <c r="AF844">
        <f>AE843*$G$54</f>
        <v/>
      </c>
      <c r="AG844">
        <f>IF(AG843&gt;1E-9,IF(AG843*(1+$G$55)-MAX($B$9,0.01*AG843+AG843*$G$55)&gt;1E-9,AG843*(1+$G$55)-MAX($B$9,0.01*AG843+AG843*$G$55),0),0)</f>
        <v/>
      </c>
      <c r="AH844">
        <f>AG843*$G$55</f>
        <v/>
      </c>
      <c r="AI844">
        <f>G844+K844+O844+S844+W844</f>
        <v/>
      </c>
      <c r="AJ844">
        <f>AI843+AK844-AI844</f>
        <v/>
      </c>
      <c r="AK844">
        <f>H844+L844+P844+T844+X844</f>
        <v/>
      </c>
      <c r="AL844">
        <f>TEXT(EDATE($B$5,D844-1),"mmm yyyy")</f>
        <v/>
      </c>
      <c r="AM844">
        <f>AI844</f>
        <v/>
      </c>
    </row>
    <row r="845">
      <c r="D845" t="n">
        <v>784</v>
      </c>
      <c r="E845">
        <f>IF(G844&gt;0,MAX(0,G844*(1+$G$51)-$H$51),0)</f>
        <v/>
      </c>
      <c r="F845">
        <f>$B$6+IF($D845=$B$8,$B$7,0)</f>
        <v/>
      </c>
      <c r="G845">
        <f>IF(E845-F845&gt;1E-9,E845-F845,0)</f>
        <v/>
      </c>
      <c r="H845">
        <f>G844*$G$51</f>
        <v/>
      </c>
      <c r="I845">
        <f>IF(K844&gt;0,MAX(0,K844*(1+$G$52)-$H$52),0)</f>
        <v/>
      </c>
      <c r="J845">
        <f>MAX(0,F845-E845)</f>
        <v/>
      </c>
      <c r="K845">
        <f>IF(I845-J845&gt;1E-9,I845-J845,0)</f>
        <v/>
      </c>
      <c r="L845">
        <f>K844*$G$52</f>
        <v/>
      </c>
      <c r="M845">
        <f>IF(O844&gt;0,MAX(0,O844*(1+$G$53)-$H$53),0)</f>
        <v/>
      </c>
      <c r="N845">
        <f>MAX(0,J845-I845)</f>
        <v/>
      </c>
      <c r="O845">
        <f>IF(M845-N845&gt;1E-9,M845-N845,0)</f>
        <v/>
      </c>
      <c r="P845">
        <f>O844*$G$53</f>
        <v/>
      </c>
      <c r="Q845">
        <f>IF(S844&gt;0,MAX(0,S844*(1+$G$54)-$H$54),0)</f>
        <v/>
      </c>
      <c r="R845">
        <f>MAX(0,N845-M845)</f>
        <v/>
      </c>
      <c r="S845">
        <f>IF(Q845-R845&gt;1E-9,Q845-R845,0)</f>
        <v/>
      </c>
      <c r="T845">
        <f>S844*$G$54</f>
        <v/>
      </c>
      <c r="U845">
        <f>IF(W844&gt;0,MAX(0,W844*(1+$G$55)-$H$55),0)</f>
        <v/>
      </c>
      <c r="V845">
        <f>MAX(0,R845-Q845)</f>
        <v/>
      </c>
      <c r="W845">
        <f>IF(U845-V845&gt;1E-9,U845-V845,0)</f>
        <v/>
      </c>
      <c r="X845">
        <f>W844*$G$55</f>
        <v/>
      </c>
      <c r="Y845">
        <f>IF(Y844&gt;1E-9,IF(Y844*(1+$G$51)-MAX($B$9,0.01*Y844+Y844*$G$51)&gt;1E-9,Y844*(1+$G$51)-MAX($B$9,0.01*Y844+Y844*$G$51),0),0)</f>
        <v/>
      </c>
      <c r="Z845">
        <f>Y844*$G$51</f>
        <v/>
      </c>
      <c r="AA845">
        <f>IF(AA844&gt;1E-9,IF(AA844*(1+$G$52)-MAX($B$9,0.01*AA844+AA844*$G$52)&gt;1E-9,AA844*(1+$G$52)-MAX($B$9,0.01*AA844+AA844*$G$52),0),0)</f>
        <v/>
      </c>
      <c r="AB845">
        <f>AA844*$G$52</f>
        <v/>
      </c>
      <c r="AC845">
        <f>IF(AC844&gt;1E-9,IF(AC844*(1+$G$53)-MAX($B$9,0.01*AC844+AC844*$G$53)&gt;1E-9,AC844*(1+$G$53)-MAX($B$9,0.01*AC844+AC844*$G$53),0),0)</f>
        <v/>
      </c>
      <c r="AD845">
        <f>AC844*$G$53</f>
        <v/>
      </c>
      <c r="AE845">
        <f>IF(AE844&gt;1E-9,IF(AE844*(1+$G$54)-MAX($B$9,0.01*AE844+AE844*$G$54)&gt;1E-9,AE844*(1+$G$54)-MAX($B$9,0.01*AE844+AE844*$G$54),0),0)</f>
        <v/>
      </c>
      <c r="AF845">
        <f>AE844*$G$54</f>
        <v/>
      </c>
      <c r="AG845">
        <f>IF(AG844&gt;1E-9,IF(AG844*(1+$G$55)-MAX($B$9,0.01*AG844+AG844*$G$55)&gt;1E-9,AG844*(1+$G$55)-MAX($B$9,0.01*AG844+AG844*$G$55),0),0)</f>
        <v/>
      </c>
      <c r="AH845">
        <f>AG844*$G$55</f>
        <v/>
      </c>
      <c r="AI845">
        <f>G845+K845+O845+S845+W845</f>
        <v/>
      </c>
      <c r="AJ845">
        <f>AI844+AK845-AI845</f>
        <v/>
      </c>
      <c r="AK845">
        <f>H845+L845+P845+T845+X845</f>
        <v/>
      </c>
      <c r="AL845">
        <f>TEXT(EDATE($B$5,D845-1),"mmm yyyy")</f>
        <v/>
      </c>
      <c r="AM845">
        <f>AI845</f>
        <v/>
      </c>
    </row>
    <row r="846">
      <c r="D846" t="n">
        <v>785</v>
      </c>
      <c r="E846">
        <f>IF(G845&gt;0,MAX(0,G845*(1+$G$51)-$H$51),0)</f>
        <v/>
      </c>
      <c r="F846">
        <f>$B$6+IF($D846=$B$8,$B$7,0)</f>
        <v/>
      </c>
      <c r="G846">
        <f>IF(E846-F846&gt;1E-9,E846-F846,0)</f>
        <v/>
      </c>
      <c r="H846">
        <f>G845*$G$51</f>
        <v/>
      </c>
      <c r="I846">
        <f>IF(K845&gt;0,MAX(0,K845*(1+$G$52)-$H$52),0)</f>
        <v/>
      </c>
      <c r="J846">
        <f>MAX(0,F846-E846)</f>
        <v/>
      </c>
      <c r="K846">
        <f>IF(I846-J846&gt;1E-9,I846-J846,0)</f>
        <v/>
      </c>
      <c r="L846">
        <f>K845*$G$52</f>
        <v/>
      </c>
      <c r="M846">
        <f>IF(O845&gt;0,MAX(0,O845*(1+$G$53)-$H$53),0)</f>
        <v/>
      </c>
      <c r="N846">
        <f>MAX(0,J846-I846)</f>
        <v/>
      </c>
      <c r="O846">
        <f>IF(M846-N846&gt;1E-9,M846-N846,0)</f>
        <v/>
      </c>
      <c r="P846">
        <f>O845*$G$53</f>
        <v/>
      </c>
      <c r="Q846">
        <f>IF(S845&gt;0,MAX(0,S845*(1+$G$54)-$H$54),0)</f>
        <v/>
      </c>
      <c r="R846">
        <f>MAX(0,N846-M846)</f>
        <v/>
      </c>
      <c r="S846">
        <f>IF(Q846-R846&gt;1E-9,Q846-R846,0)</f>
        <v/>
      </c>
      <c r="T846">
        <f>S845*$G$54</f>
        <v/>
      </c>
      <c r="U846">
        <f>IF(W845&gt;0,MAX(0,W845*(1+$G$55)-$H$55),0)</f>
        <v/>
      </c>
      <c r="V846">
        <f>MAX(0,R846-Q846)</f>
        <v/>
      </c>
      <c r="W846">
        <f>IF(U846-V846&gt;1E-9,U846-V846,0)</f>
        <v/>
      </c>
      <c r="X846">
        <f>W845*$G$55</f>
        <v/>
      </c>
      <c r="Y846">
        <f>IF(Y845&gt;1E-9,IF(Y845*(1+$G$51)-MAX($B$9,0.01*Y845+Y845*$G$51)&gt;1E-9,Y845*(1+$G$51)-MAX($B$9,0.01*Y845+Y845*$G$51),0),0)</f>
        <v/>
      </c>
      <c r="Z846">
        <f>Y845*$G$51</f>
        <v/>
      </c>
      <c r="AA846">
        <f>IF(AA845&gt;1E-9,IF(AA845*(1+$G$52)-MAX($B$9,0.01*AA845+AA845*$G$52)&gt;1E-9,AA845*(1+$G$52)-MAX($B$9,0.01*AA845+AA845*$G$52),0),0)</f>
        <v/>
      </c>
      <c r="AB846">
        <f>AA845*$G$52</f>
        <v/>
      </c>
      <c r="AC846">
        <f>IF(AC845&gt;1E-9,IF(AC845*(1+$G$53)-MAX($B$9,0.01*AC845+AC845*$G$53)&gt;1E-9,AC845*(1+$G$53)-MAX($B$9,0.01*AC845+AC845*$G$53),0),0)</f>
        <v/>
      </c>
      <c r="AD846">
        <f>AC845*$G$53</f>
        <v/>
      </c>
      <c r="AE846">
        <f>IF(AE845&gt;1E-9,IF(AE845*(1+$G$54)-MAX($B$9,0.01*AE845+AE845*$G$54)&gt;1E-9,AE845*(1+$G$54)-MAX($B$9,0.01*AE845+AE845*$G$54),0),0)</f>
        <v/>
      </c>
      <c r="AF846">
        <f>AE845*$G$54</f>
        <v/>
      </c>
      <c r="AG846">
        <f>IF(AG845&gt;1E-9,IF(AG845*(1+$G$55)-MAX($B$9,0.01*AG845+AG845*$G$55)&gt;1E-9,AG845*(1+$G$55)-MAX($B$9,0.01*AG845+AG845*$G$55),0),0)</f>
        <v/>
      </c>
      <c r="AH846">
        <f>AG845*$G$55</f>
        <v/>
      </c>
      <c r="AI846">
        <f>G846+K846+O846+S846+W846</f>
        <v/>
      </c>
      <c r="AJ846">
        <f>AI845+AK846-AI846</f>
        <v/>
      </c>
      <c r="AK846">
        <f>H846+L846+P846+T846+X846</f>
        <v/>
      </c>
      <c r="AL846">
        <f>TEXT(EDATE($B$5,D846-1),"mmm yyyy")</f>
        <v/>
      </c>
      <c r="AM846">
        <f>AI846</f>
        <v/>
      </c>
    </row>
    <row r="847">
      <c r="D847" t="n">
        <v>786</v>
      </c>
      <c r="E847">
        <f>IF(G846&gt;0,MAX(0,G846*(1+$G$51)-$H$51),0)</f>
        <v/>
      </c>
      <c r="F847">
        <f>$B$6+IF($D847=$B$8,$B$7,0)</f>
        <v/>
      </c>
      <c r="G847">
        <f>IF(E847-F847&gt;1E-9,E847-F847,0)</f>
        <v/>
      </c>
      <c r="H847">
        <f>G846*$G$51</f>
        <v/>
      </c>
      <c r="I847">
        <f>IF(K846&gt;0,MAX(0,K846*(1+$G$52)-$H$52),0)</f>
        <v/>
      </c>
      <c r="J847">
        <f>MAX(0,F847-E847)</f>
        <v/>
      </c>
      <c r="K847">
        <f>IF(I847-J847&gt;1E-9,I847-J847,0)</f>
        <v/>
      </c>
      <c r="L847">
        <f>K846*$G$52</f>
        <v/>
      </c>
      <c r="M847">
        <f>IF(O846&gt;0,MAX(0,O846*(1+$G$53)-$H$53),0)</f>
        <v/>
      </c>
      <c r="N847">
        <f>MAX(0,J847-I847)</f>
        <v/>
      </c>
      <c r="O847">
        <f>IF(M847-N847&gt;1E-9,M847-N847,0)</f>
        <v/>
      </c>
      <c r="P847">
        <f>O846*$G$53</f>
        <v/>
      </c>
      <c r="Q847">
        <f>IF(S846&gt;0,MAX(0,S846*(1+$G$54)-$H$54),0)</f>
        <v/>
      </c>
      <c r="R847">
        <f>MAX(0,N847-M847)</f>
        <v/>
      </c>
      <c r="S847">
        <f>IF(Q847-R847&gt;1E-9,Q847-R847,0)</f>
        <v/>
      </c>
      <c r="T847">
        <f>S846*$G$54</f>
        <v/>
      </c>
      <c r="U847">
        <f>IF(W846&gt;0,MAX(0,W846*(1+$G$55)-$H$55),0)</f>
        <v/>
      </c>
      <c r="V847">
        <f>MAX(0,R847-Q847)</f>
        <v/>
      </c>
      <c r="W847">
        <f>IF(U847-V847&gt;1E-9,U847-V847,0)</f>
        <v/>
      </c>
      <c r="X847">
        <f>W846*$G$55</f>
        <v/>
      </c>
      <c r="Y847">
        <f>IF(Y846&gt;1E-9,IF(Y846*(1+$G$51)-MAX($B$9,0.01*Y846+Y846*$G$51)&gt;1E-9,Y846*(1+$G$51)-MAX($B$9,0.01*Y846+Y846*$G$51),0),0)</f>
        <v/>
      </c>
      <c r="Z847">
        <f>Y846*$G$51</f>
        <v/>
      </c>
      <c r="AA847">
        <f>IF(AA846&gt;1E-9,IF(AA846*(1+$G$52)-MAX($B$9,0.01*AA846+AA846*$G$52)&gt;1E-9,AA846*(1+$G$52)-MAX($B$9,0.01*AA846+AA846*$G$52),0),0)</f>
        <v/>
      </c>
      <c r="AB847">
        <f>AA846*$G$52</f>
        <v/>
      </c>
      <c r="AC847">
        <f>IF(AC846&gt;1E-9,IF(AC846*(1+$G$53)-MAX($B$9,0.01*AC846+AC846*$G$53)&gt;1E-9,AC846*(1+$G$53)-MAX($B$9,0.01*AC846+AC846*$G$53),0),0)</f>
        <v/>
      </c>
      <c r="AD847">
        <f>AC846*$G$53</f>
        <v/>
      </c>
      <c r="AE847">
        <f>IF(AE846&gt;1E-9,IF(AE846*(1+$G$54)-MAX($B$9,0.01*AE846+AE846*$G$54)&gt;1E-9,AE846*(1+$G$54)-MAX($B$9,0.01*AE846+AE846*$G$54),0),0)</f>
        <v/>
      </c>
      <c r="AF847">
        <f>AE846*$G$54</f>
        <v/>
      </c>
      <c r="AG847">
        <f>IF(AG846&gt;1E-9,IF(AG846*(1+$G$55)-MAX($B$9,0.01*AG846+AG846*$G$55)&gt;1E-9,AG846*(1+$G$55)-MAX($B$9,0.01*AG846+AG846*$G$55),0),0)</f>
        <v/>
      </c>
      <c r="AH847">
        <f>AG846*$G$55</f>
        <v/>
      </c>
      <c r="AI847">
        <f>G847+K847+O847+S847+W847</f>
        <v/>
      </c>
      <c r="AJ847">
        <f>AI846+AK847-AI847</f>
        <v/>
      </c>
      <c r="AK847">
        <f>H847+L847+P847+T847+X847</f>
        <v/>
      </c>
      <c r="AL847">
        <f>TEXT(EDATE($B$5,D847-1),"mmm yyyy")</f>
        <v/>
      </c>
      <c r="AM847">
        <f>AI847</f>
        <v/>
      </c>
    </row>
    <row r="848">
      <c r="D848" t="n">
        <v>787</v>
      </c>
      <c r="E848">
        <f>IF(G847&gt;0,MAX(0,G847*(1+$G$51)-$H$51),0)</f>
        <v/>
      </c>
      <c r="F848">
        <f>$B$6+IF($D848=$B$8,$B$7,0)</f>
        <v/>
      </c>
      <c r="G848">
        <f>IF(E848-F848&gt;1E-9,E848-F848,0)</f>
        <v/>
      </c>
      <c r="H848">
        <f>G847*$G$51</f>
        <v/>
      </c>
      <c r="I848">
        <f>IF(K847&gt;0,MAX(0,K847*(1+$G$52)-$H$52),0)</f>
        <v/>
      </c>
      <c r="J848">
        <f>MAX(0,F848-E848)</f>
        <v/>
      </c>
      <c r="K848">
        <f>IF(I848-J848&gt;1E-9,I848-J848,0)</f>
        <v/>
      </c>
      <c r="L848">
        <f>K847*$G$52</f>
        <v/>
      </c>
      <c r="M848">
        <f>IF(O847&gt;0,MAX(0,O847*(1+$G$53)-$H$53),0)</f>
        <v/>
      </c>
      <c r="N848">
        <f>MAX(0,J848-I848)</f>
        <v/>
      </c>
      <c r="O848">
        <f>IF(M848-N848&gt;1E-9,M848-N848,0)</f>
        <v/>
      </c>
      <c r="P848">
        <f>O847*$G$53</f>
        <v/>
      </c>
      <c r="Q848">
        <f>IF(S847&gt;0,MAX(0,S847*(1+$G$54)-$H$54),0)</f>
        <v/>
      </c>
      <c r="R848">
        <f>MAX(0,N848-M848)</f>
        <v/>
      </c>
      <c r="S848">
        <f>IF(Q848-R848&gt;1E-9,Q848-R848,0)</f>
        <v/>
      </c>
      <c r="T848">
        <f>S847*$G$54</f>
        <v/>
      </c>
      <c r="U848">
        <f>IF(W847&gt;0,MAX(0,W847*(1+$G$55)-$H$55),0)</f>
        <v/>
      </c>
      <c r="V848">
        <f>MAX(0,R848-Q848)</f>
        <v/>
      </c>
      <c r="W848">
        <f>IF(U848-V848&gt;1E-9,U848-V848,0)</f>
        <v/>
      </c>
      <c r="X848">
        <f>W847*$G$55</f>
        <v/>
      </c>
      <c r="Y848">
        <f>IF(Y847&gt;1E-9,IF(Y847*(1+$G$51)-MAX($B$9,0.01*Y847+Y847*$G$51)&gt;1E-9,Y847*(1+$G$51)-MAX($B$9,0.01*Y847+Y847*$G$51),0),0)</f>
        <v/>
      </c>
      <c r="Z848">
        <f>Y847*$G$51</f>
        <v/>
      </c>
      <c r="AA848">
        <f>IF(AA847&gt;1E-9,IF(AA847*(1+$G$52)-MAX($B$9,0.01*AA847+AA847*$G$52)&gt;1E-9,AA847*(1+$G$52)-MAX($B$9,0.01*AA847+AA847*$G$52),0),0)</f>
        <v/>
      </c>
      <c r="AB848">
        <f>AA847*$G$52</f>
        <v/>
      </c>
      <c r="AC848">
        <f>IF(AC847&gt;1E-9,IF(AC847*(1+$G$53)-MAX($B$9,0.01*AC847+AC847*$G$53)&gt;1E-9,AC847*(1+$G$53)-MAX($B$9,0.01*AC847+AC847*$G$53),0),0)</f>
        <v/>
      </c>
      <c r="AD848">
        <f>AC847*$G$53</f>
        <v/>
      </c>
      <c r="AE848">
        <f>IF(AE847&gt;1E-9,IF(AE847*(1+$G$54)-MAX($B$9,0.01*AE847+AE847*$G$54)&gt;1E-9,AE847*(1+$G$54)-MAX($B$9,0.01*AE847+AE847*$G$54),0),0)</f>
        <v/>
      </c>
      <c r="AF848">
        <f>AE847*$G$54</f>
        <v/>
      </c>
      <c r="AG848">
        <f>IF(AG847&gt;1E-9,IF(AG847*(1+$G$55)-MAX($B$9,0.01*AG847+AG847*$G$55)&gt;1E-9,AG847*(1+$G$55)-MAX($B$9,0.01*AG847+AG847*$G$55),0),0)</f>
        <v/>
      </c>
      <c r="AH848">
        <f>AG847*$G$55</f>
        <v/>
      </c>
      <c r="AI848">
        <f>G848+K848+O848+S848+W848</f>
        <v/>
      </c>
      <c r="AJ848">
        <f>AI847+AK848-AI848</f>
        <v/>
      </c>
      <c r="AK848">
        <f>H848+L848+P848+T848+X848</f>
        <v/>
      </c>
      <c r="AL848">
        <f>TEXT(EDATE($B$5,D848-1),"mmm yyyy")</f>
        <v/>
      </c>
      <c r="AM848">
        <f>AI848</f>
        <v/>
      </c>
    </row>
    <row r="849">
      <c r="D849" t="n">
        <v>788</v>
      </c>
      <c r="E849">
        <f>IF(G848&gt;0,MAX(0,G848*(1+$G$51)-$H$51),0)</f>
        <v/>
      </c>
      <c r="F849">
        <f>$B$6+IF($D849=$B$8,$B$7,0)</f>
        <v/>
      </c>
      <c r="G849">
        <f>IF(E849-F849&gt;1E-9,E849-F849,0)</f>
        <v/>
      </c>
      <c r="H849">
        <f>G848*$G$51</f>
        <v/>
      </c>
      <c r="I849">
        <f>IF(K848&gt;0,MAX(0,K848*(1+$G$52)-$H$52),0)</f>
        <v/>
      </c>
      <c r="J849">
        <f>MAX(0,F849-E849)</f>
        <v/>
      </c>
      <c r="K849">
        <f>IF(I849-J849&gt;1E-9,I849-J849,0)</f>
        <v/>
      </c>
      <c r="L849">
        <f>K848*$G$52</f>
        <v/>
      </c>
      <c r="M849">
        <f>IF(O848&gt;0,MAX(0,O848*(1+$G$53)-$H$53),0)</f>
        <v/>
      </c>
      <c r="N849">
        <f>MAX(0,J849-I849)</f>
        <v/>
      </c>
      <c r="O849">
        <f>IF(M849-N849&gt;1E-9,M849-N849,0)</f>
        <v/>
      </c>
      <c r="P849">
        <f>O848*$G$53</f>
        <v/>
      </c>
      <c r="Q849">
        <f>IF(S848&gt;0,MAX(0,S848*(1+$G$54)-$H$54),0)</f>
        <v/>
      </c>
      <c r="R849">
        <f>MAX(0,N849-M849)</f>
        <v/>
      </c>
      <c r="S849">
        <f>IF(Q849-R849&gt;1E-9,Q849-R849,0)</f>
        <v/>
      </c>
      <c r="T849">
        <f>S848*$G$54</f>
        <v/>
      </c>
      <c r="U849">
        <f>IF(W848&gt;0,MAX(0,W848*(1+$G$55)-$H$55),0)</f>
        <v/>
      </c>
      <c r="V849">
        <f>MAX(0,R849-Q849)</f>
        <v/>
      </c>
      <c r="W849">
        <f>IF(U849-V849&gt;1E-9,U849-V849,0)</f>
        <v/>
      </c>
      <c r="X849">
        <f>W848*$G$55</f>
        <v/>
      </c>
      <c r="Y849">
        <f>IF(Y848&gt;1E-9,IF(Y848*(1+$G$51)-MAX($B$9,0.01*Y848+Y848*$G$51)&gt;1E-9,Y848*(1+$G$51)-MAX($B$9,0.01*Y848+Y848*$G$51),0),0)</f>
        <v/>
      </c>
      <c r="Z849">
        <f>Y848*$G$51</f>
        <v/>
      </c>
      <c r="AA849">
        <f>IF(AA848&gt;1E-9,IF(AA848*(1+$G$52)-MAX($B$9,0.01*AA848+AA848*$G$52)&gt;1E-9,AA848*(1+$G$52)-MAX($B$9,0.01*AA848+AA848*$G$52),0),0)</f>
        <v/>
      </c>
      <c r="AB849">
        <f>AA848*$G$52</f>
        <v/>
      </c>
      <c r="AC849">
        <f>IF(AC848&gt;1E-9,IF(AC848*(1+$G$53)-MAX($B$9,0.01*AC848+AC848*$G$53)&gt;1E-9,AC848*(1+$G$53)-MAX($B$9,0.01*AC848+AC848*$G$53),0),0)</f>
        <v/>
      </c>
      <c r="AD849">
        <f>AC848*$G$53</f>
        <v/>
      </c>
      <c r="AE849">
        <f>IF(AE848&gt;1E-9,IF(AE848*(1+$G$54)-MAX($B$9,0.01*AE848+AE848*$G$54)&gt;1E-9,AE848*(1+$G$54)-MAX($B$9,0.01*AE848+AE848*$G$54),0),0)</f>
        <v/>
      </c>
      <c r="AF849">
        <f>AE848*$G$54</f>
        <v/>
      </c>
      <c r="AG849">
        <f>IF(AG848&gt;1E-9,IF(AG848*(1+$G$55)-MAX($B$9,0.01*AG848+AG848*$G$55)&gt;1E-9,AG848*(1+$G$55)-MAX($B$9,0.01*AG848+AG848*$G$55),0),0)</f>
        <v/>
      </c>
      <c r="AH849">
        <f>AG848*$G$55</f>
        <v/>
      </c>
      <c r="AI849">
        <f>G849+K849+O849+S849+W849</f>
        <v/>
      </c>
      <c r="AJ849">
        <f>AI848+AK849-AI849</f>
        <v/>
      </c>
      <c r="AK849">
        <f>H849+L849+P849+T849+X849</f>
        <v/>
      </c>
      <c r="AL849">
        <f>TEXT(EDATE($B$5,D849-1),"mmm yyyy")</f>
        <v/>
      </c>
      <c r="AM849">
        <f>AI849</f>
        <v/>
      </c>
    </row>
    <row r="850">
      <c r="D850" t="n">
        <v>789</v>
      </c>
      <c r="E850">
        <f>IF(G849&gt;0,MAX(0,G849*(1+$G$51)-$H$51),0)</f>
        <v/>
      </c>
      <c r="F850">
        <f>$B$6+IF($D850=$B$8,$B$7,0)</f>
        <v/>
      </c>
      <c r="G850">
        <f>IF(E850-F850&gt;1E-9,E850-F850,0)</f>
        <v/>
      </c>
      <c r="H850">
        <f>G849*$G$51</f>
        <v/>
      </c>
      <c r="I850">
        <f>IF(K849&gt;0,MAX(0,K849*(1+$G$52)-$H$52),0)</f>
        <v/>
      </c>
      <c r="J850">
        <f>MAX(0,F850-E850)</f>
        <v/>
      </c>
      <c r="K850">
        <f>IF(I850-J850&gt;1E-9,I850-J850,0)</f>
        <v/>
      </c>
      <c r="L850">
        <f>K849*$G$52</f>
        <v/>
      </c>
      <c r="M850">
        <f>IF(O849&gt;0,MAX(0,O849*(1+$G$53)-$H$53),0)</f>
        <v/>
      </c>
      <c r="N850">
        <f>MAX(0,J850-I850)</f>
        <v/>
      </c>
      <c r="O850">
        <f>IF(M850-N850&gt;1E-9,M850-N850,0)</f>
        <v/>
      </c>
      <c r="P850">
        <f>O849*$G$53</f>
        <v/>
      </c>
      <c r="Q850">
        <f>IF(S849&gt;0,MAX(0,S849*(1+$G$54)-$H$54),0)</f>
        <v/>
      </c>
      <c r="R850">
        <f>MAX(0,N850-M850)</f>
        <v/>
      </c>
      <c r="S850">
        <f>IF(Q850-R850&gt;1E-9,Q850-R850,0)</f>
        <v/>
      </c>
      <c r="T850">
        <f>S849*$G$54</f>
        <v/>
      </c>
      <c r="U850">
        <f>IF(W849&gt;0,MAX(0,W849*(1+$G$55)-$H$55),0)</f>
        <v/>
      </c>
      <c r="V850">
        <f>MAX(0,R850-Q850)</f>
        <v/>
      </c>
      <c r="W850">
        <f>IF(U850-V850&gt;1E-9,U850-V850,0)</f>
        <v/>
      </c>
      <c r="X850">
        <f>W849*$G$55</f>
        <v/>
      </c>
      <c r="Y850">
        <f>IF(Y849&gt;1E-9,IF(Y849*(1+$G$51)-MAX($B$9,0.01*Y849+Y849*$G$51)&gt;1E-9,Y849*(1+$G$51)-MAX($B$9,0.01*Y849+Y849*$G$51),0),0)</f>
        <v/>
      </c>
      <c r="Z850">
        <f>Y849*$G$51</f>
        <v/>
      </c>
      <c r="AA850">
        <f>IF(AA849&gt;1E-9,IF(AA849*(1+$G$52)-MAX($B$9,0.01*AA849+AA849*$G$52)&gt;1E-9,AA849*(1+$G$52)-MAX($B$9,0.01*AA849+AA849*$G$52),0),0)</f>
        <v/>
      </c>
      <c r="AB850">
        <f>AA849*$G$52</f>
        <v/>
      </c>
      <c r="AC850">
        <f>IF(AC849&gt;1E-9,IF(AC849*(1+$G$53)-MAX($B$9,0.01*AC849+AC849*$G$53)&gt;1E-9,AC849*(1+$G$53)-MAX($B$9,0.01*AC849+AC849*$G$53),0),0)</f>
        <v/>
      </c>
      <c r="AD850">
        <f>AC849*$G$53</f>
        <v/>
      </c>
      <c r="AE850">
        <f>IF(AE849&gt;1E-9,IF(AE849*(1+$G$54)-MAX($B$9,0.01*AE849+AE849*$G$54)&gt;1E-9,AE849*(1+$G$54)-MAX($B$9,0.01*AE849+AE849*$G$54),0),0)</f>
        <v/>
      </c>
      <c r="AF850">
        <f>AE849*$G$54</f>
        <v/>
      </c>
      <c r="AG850">
        <f>IF(AG849&gt;1E-9,IF(AG849*(1+$G$55)-MAX($B$9,0.01*AG849+AG849*$G$55)&gt;1E-9,AG849*(1+$G$55)-MAX($B$9,0.01*AG849+AG849*$G$55),0),0)</f>
        <v/>
      </c>
      <c r="AH850">
        <f>AG849*$G$55</f>
        <v/>
      </c>
      <c r="AI850">
        <f>G850+K850+O850+S850+W850</f>
        <v/>
      </c>
      <c r="AJ850">
        <f>AI849+AK850-AI850</f>
        <v/>
      </c>
      <c r="AK850">
        <f>H850+L850+P850+T850+X850</f>
        <v/>
      </c>
      <c r="AL850">
        <f>TEXT(EDATE($B$5,D850-1),"mmm yyyy")</f>
        <v/>
      </c>
      <c r="AM850">
        <f>AI850</f>
        <v/>
      </c>
    </row>
    <row r="851">
      <c r="D851" t="n">
        <v>790</v>
      </c>
      <c r="E851">
        <f>IF(G850&gt;0,MAX(0,G850*(1+$G$51)-$H$51),0)</f>
        <v/>
      </c>
      <c r="F851">
        <f>$B$6+IF($D851=$B$8,$B$7,0)</f>
        <v/>
      </c>
      <c r="G851">
        <f>IF(E851-F851&gt;1E-9,E851-F851,0)</f>
        <v/>
      </c>
      <c r="H851">
        <f>G850*$G$51</f>
        <v/>
      </c>
      <c r="I851">
        <f>IF(K850&gt;0,MAX(0,K850*(1+$G$52)-$H$52),0)</f>
        <v/>
      </c>
      <c r="J851">
        <f>MAX(0,F851-E851)</f>
        <v/>
      </c>
      <c r="K851">
        <f>IF(I851-J851&gt;1E-9,I851-J851,0)</f>
        <v/>
      </c>
      <c r="L851">
        <f>K850*$G$52</f>
        <v/>
      </c>
      <c r="M851">
        <f>IF(O850&gt;0,MAX(0,O850*(1+$G$53)-$H$53),0)</f>
        <v/>
      </c>
      <c r="N851">
        <f>MAX(0,J851-I851)</f>
        <v/>
      </c>
      <c r="O851">
        <f>IF(M851-N851&gt;1E-9,M851-N851,0)</f>
        <v/>
      </c>
      <c r="P851">
        <f>O850*$G$53</f>
        <v/>
      </c>
      <c r="Q851">
        <f>IF(S850&gt;0,MAX(0,S850*(1+$G$54)-$H$54),0)</f>
        <v/>
      </c>
      <c r="R851">
        <f>MAX(0,N851-M851)</f>
        <v/>
      </c>
      <c r="S851">
        <f>IF(Q851-R851&gt;1E-9,Q851-R851,0)</f>
        <v/>
      </c>
      <c r="T851">
        <f>S850*$G$54</f>
        <v/>
      </c>
      <c r="U851">
        <f>IF(W850&gt;0,MAX(0,W850*(1+$G$55)-$H$55),0)</f>
        <v/>
      </c>
      <c r="V851">
        <f>MAX(0,R851-Q851)</f>
        <v/>
      </c>
      <c r="W851">
        <f>IF(U851-V851&gt;1E-9,U851-V851,0)</f>
        <v/>
      </c>
      <c r="X851">
        <f>W850*$G$55</f>
        <v/>
      </c>
      <c r="Y851">
        <f>IF(Y850&gt;1E-9,IF(Y850*(1+$G$51)-MAX($B$9,0.01*Y850+Y850*$G$51)&gt;1E-9,Y850*(1+$G$51)-MAX($B$9,0.01*Y850+Y850*$G$51),0),0)</f>
        <v/>
      </c>
      <c r="Z851">
        <f>Y850*$G$51</f>
        <v/>
      </c>
      <c r="AA851">
        <f>IF(AA850&gt;1E-9,IF(AA850*(1+$G$52)-MAX($B$9,0.01*AA850+AA850*$G$52)&gt;1E-9,AA850*(1+$G$52)-MAX($B$9,0.01*AA850+AA850*$G$52),0),0)</f>
        <v/>
      </c>
      <c r="AB851">
        <f>AA850*$G$52</f>
        <v/>
      </c>
      <c r="AC851">
        <f>IF(AC850&gt;1E-9,IF(AC850*(1+$G$53)-MAX($B$9,0.01*AC850+AC850*$G$53)&gt;1E-9,AC850*(1+$G$53)-MAX($B$9,0.01*AC850+AC850*$G$53),0),0)</f>
        <v/>
      </c>
      <c r="AD851">
        <f>AC850*$G$53</f>
        <v/>
      </c>
      <c r="AE851">
        <f>IF(AE850&gt;1E-9,IF(AE850*(1+$G$54)-MAX($B$9,0.01*AE850+AE850*$G$54)&gt;1E-9,AE850*(1+$G$54)-MAX($B$9,0.01*AE850+AE850*$G$54),0),0)</f>
        <v/>
      </c>
      <c r="AF851">
        <f>AE850*$G$54</f>
        <v/>
      </c>
      <c r="AG851">
        <f>IF(AG850&gt;1E-9,IF(AG850*(1+$G$55)-MAX($B$9,0.01*AG850+AG850*$G$55)&gt;1E-9,AG850*(1+$G$55)-MAX($B$9,0.01*AG850+AG850*$G$55),0),0)</f>
        <v/>
      </c>
      <c r="AH851">
        <f>AG850*$G$55</f>
        <v/>
      </c>
      <c r="AI851">
        <f>G851+K851+O851+S851+W851</f>
        <v/>
      </c>
      <c r="AJ851">
        <f>AI850+AK851-AI851</f>
        <v/>
      </c>
      <c r="AK851">
        <f>H851+L851+P851+T851+X851</f>
        <v/>
      </c>
      <c r="AL851">
        <f>TEXT(EDATE($B$5,D851-1),"mmm yyyy")</f>
        <v/>
      </c>
      <c r="AM851">
        <f>AI851</f>
        <v/>
      </c>
    </row>
    <row r="852">
      <c r="D852" t="n">
        <v>791</v>
      </c>
      <c r="E852">
        <f>IF(G851&gt;0,MAX(0,G851*(1+$G$51)-$H$51),0)</f>
        <v/>
      </c>
      <c r="F852">
        <f>$B$6+IF($D852=$B$8,$B$7,0)</f>
        <v/>
      </c>
      <c r="G852">
        <f>IF(E852-F852&gt;1E-9,E852-F852,0)</f>
        <v/>
      </c>
      <c r="H852">
        <f>G851*$G$51</f>
        <v/>
      </c>
      <c r="I852">
        <f>IF(K851&gt;0,MAX(0,K851*(1+$G$52)-$H$52),0)</f>
        <v/>
      </c>
      <c r="J852">
        <f>MAX(0,F852-E852)</f>
        <v/>
      </c>
      <c r="K852">
        <f>IF(I852-J852&gt;1E-9,I852-J852,0)</f>
        <v/>
      </c>
      <c r="L852">
        <f>K851*$G$52</f>
        <v/>
      </c>
      <c r="M852">
        <f>IF(O851&gt;0,MAX(0,O851*(1+$G$53)-$H$53),0)</f>
        <v/>
      </c>
      <c r="N852">
        <f>MAX(0,J852-I852)</f>
        <v/>
      </c>
      <c r="O852">
        <f>IF(M852-N852&gt;1E-9,M852-N852,0)</f>
        <v/>
      </c>
      <c r="P852">
        <f>O851*$G$53</f>
        <v/>
      </c>
      <c r="Q852">
        <f>IF(S851&gt;0,MAX(0,S851*(1+$G$54)-$H$54),0)</f>
        <v/>
      </c>
      <c r="R852">
        <f>MAX(0,N852-M852)</f>
        <v/>
      </c>
      <c r="S852">
        <f>IF(Q852-R852&gt;1E-9,Q852-R852,0)</f>
        <v/>
      </c>
      <c r="T852">
        <f>S851*$G$54</f>
        <v/>
      </c>
      <c r="U852">
        <f>IF(W851&gt;0,MAX(0,W851*(1+$G$55)-$H$55),0)</f>
        <v/>
      </c>
      <c r="V852">
        <f>MAX(0,R852-Q852)</f>
        <v/>
      </c>
      <c r="W852">
        <f>IF(U852-V852&gt;1E-9,U852-V852,0)</f>
        <v/>
      </c>
      <c r="X852">
        <f>W851*$G$55</f>
        <v/>
      </c>
      <c r="Y852">
        <f>IF(Y851&gt;1E-9,IF(Y851*(1+$G$51)-MAX($B$9,0.01*Y851+Y851*$G$51)&gt;1E-9,Y851*(1+$G$51)-MAX($B$9,0.01*Y851+Y851*$G$51),0),0)</f>
        <v/>
      </c>
      <c r="Z852">
        <f>Y851*$G$51</f>
        <v/>
      </c>
      <c r="AA852">
        <f>IF(AA851&gt;1E-9,IF(AA851*(1+$G$52)-MAX($B$9,0.01*AA851+AA851*$G$52)&gt;1E-9,AA851*(1+$G$52)-MAX($B$9,0.01*AA851+AA851*$G$52),0),0)</f>
        <v/>
      </c>
      <c r="AB852">
        <f>AA851*$G$52</f>
        <v/>
      </c>
      <c r="AC852">
        <f>IF(AC851&gt;1E-9,IF(AC851*(1+$G$53)-MAX($B$9,0.01*AC851+AC851*$G$53)&gt;1E-9,AC851*(1+$G$53)-MAX($B$9,0.01*AC851+AC851*$G$53),0),0)</f>
        <v/>
      </c>
      <c r="AD852">
        <f>AC851*$G$53</f>
        <v/>
      </c>
      <c r="AE852">
        <f>IF(AE851&gt;1E-9,IF(AE851*(1+$G$54)-MAX($B$9,0.01*AE851+AE851*$G$54)&gt;1E-9,AE851*(1+$G$54)-MAX($B$9,0.01*AE851+AE851*$G$54),0),0)</f>
        <v/>
      </c>
      <c r="AF852">
        <f>AE851*$G$54</f>
        <v/>
      </c>
      <c r="AG852">
        <f>IF(AG851&gt;1E-9,IF(AG851*(1+$G$55)-MAX($B$9,0.01*AG851+AG851*$G$55)&gt;1E-9,AG851*(1+$G$55)-MAX($B$9,0.01*AG851+AG851*$G$55),0),0)</f>
        <v/>
      </c>
      <c r="AH852">
        <f>AG851*$G$55</f>
        <v/>
      </c>
      <c r="AI852">
        <f>G852+K852+O852+S852+W852</f>
        <v/>
      </c>
      <c r="AJ852">
        <f>AI851+AK852-AI852</f>
        <v/>
      </c>
      <c r="AK852">
        <f>H852+L852+P852+T852+X852</f>
        <v/>
      </c>
      <c r="AL852">
        <f>TEXT(EDATE($B$5,D852-1),"mmm yyyy")</f>
        <v/>
      </c>
      <c r="AM852">
        <f>AI852</f>
        <v/>
      </c>
    </row>
    <row r="853">
      <c r="D853" t="n">
        <v>792</v>
      </c>
      <c r="E853">
        <f>IF(G852&gt;0,MAX(0,G852*(1+$G$51)-$H$51),0)</f>
        <v/>
      </c>
      <c r="F853">
        <f>$B$6+IF($D853=$B$8,$B$7,0)</f>
        <v/>
      </c>
      <c r="G853">
        <f>IF(E853-F853&gt;1E-9,E853-F853,0)</f>
        <v/>
      </c>
      <c r="H853">
        <f>G852*$G$51</f>
        <v/>
      </c>
      <c r="I853">
        <f>IF(K852&gt;0,MAX(0,K852*(1+$G$52)-$H$52),0)</f>
        <v/>
      </c>
      <c r="J853">
        <f>MAX(0,F853-E853)</f>
        <v/>
      </c>
      <c r="K853">
        <f>IF(I853-J853&gt;1E-9,I853-J853,0)</f>
        <v/>
      </c>
      <c r="L853">
        <f>K852*$G$52</f>
        <v/>
      </c>
      <c r="M853">
        <f>IF(O852&gt;0,MAX(0,O852*(1+$G$53)-$H$53),0)</f>
        <v/>
      </c>
      <c r="N853">
        <f>MAX(0,J853-I853)</f>
        <v/>
      </c>
      <c r="O853">
        <f>IF(M853-N853&gt;1E-9,M853-N853,0)</f>
        <v/>
      </c>
      <c r="P853">
        <f>O852*$G$53</f>
        <v/>
      </c>
      <c r="Q853">
        <f>IF(S852&gt;0,MAX(0,S852*(1+$G$54)-$H$54),0)</f>
        <v/>
      </c>
      <c r="R853">
        <f>MAX(0,N853-M853)</f>
        <v/>
      </c>
      <c r="S853">
        <f>IF(Q853-R853&gt;1E-9,Q853-R853,0)</f>
        <v/>
      </c>
      <c r="T853">
        <f>S852*$G$54</f>
        <v/>
      </c>
      <c r="U853">
        <f>IF(W852&gt;0,MAX(0,W852*(1+$G$55)-$H$55),0)</f>
        <v/>
      </c>
      <c r="V853">
        <f>MAX(0,R853-Q853)</f>
        <v/>
      </c>
      <c r="W853">
        <f>IF(U853-V853&gt;1E-9,U853-V853,0)</f>
        <v/>
      </c>
      <c r="X853">
        <f>W852*$G$55</f>
        <v/>
      </c>
      <c r="Y853">
        <f>IF(Y852&gt;1E-9,IF(Y852*(1+$G$51)-MAX($B$9,0.01*Y852+Y852*$G$51)&gt;1E-9,Y852*(1+$G$51)-MAX($B$9,0.01*Y852+Y852*$G$51),0),0)</f>
        <v/>
      </c>
      <c r="Z853">
        <f>Y852*$G$51</f>
        <v/>
      </c>
      <c r="AA853">
        <f>IF(AA852&gt;1E-9,IF(AA852*(1+$G$52)-MAX($B$9,0.01*AA852+AA852*$G$52)&gt;1E-9,AA852*(1+$G$52)-MAX($B$9,0.01*AA852+AA852*$G$52),0),0)</f>
        <v/>
      </c>
      <c r="AB853">
        <f>AA852*$G$52</f>
        <v/>
      </c>
      <c r="AC853">
        <f>IF(AC852&gt;1E-9,IF(AC852*(1+$G$53)-MAX($B$9,0.01*AC852+AC852*$G$53)&gt;1E-9,AC852*(1+$G$53)-MAX($B$9,0.01*AC852+AC852*$G$53),0),0)</f>
        <v/>
      </c>
      <c r="AD853">
        <f>AC852*$G$53</f>
        <v/>
      </c>
      <c r="AE853">
        <f>IF(AE852&gt;1E-9,IF(AE852*(1+$G$54)-MAX($B$9,0.01*AE852+AE852*$G$54)&gt;1E-9,AE852*(1+$G$54)-MAX($B$9,0.01*AE852+AE852*$G$54),0),0)</f>
        <v/>
      </c>
      <c r="AF853">
        <f>AE852*$G$54</f>
        <v/>
      </c>
      <c r="AG853">
        <f>IF(AG852&gt;1E-9,IF(AG852*(1+$G$55)-MAX($B$9,0.01*AG852+AG852*$G$55)&gt;1E-9,AG852*(1+$G$55)-MAX($B$9,0.01*AG852+AG852*$G$55),0),0)</f>
        <v/>
      </c>
      <c r="AH853">
        <f>AG852*$G$55</f>
        <v/>
      </c>
      <c r="AI853">
        <f>G853+K853+O853+S853+W853</f>
        <v/>
      </c>
      <c r="AJ853">
        <f>AI852+AK853-AI853</f>
        <v/>
      </c>
      <c r="AK853">
        <f>H853+L853+P853+T853+X853</f>
        <v/>
      </c>
      <c r="AL853">
        <f>TEXT(EDATE($B$5,D853-1),"mmm yyyy")</f>
        <v/>
      </c>
      <c r="AM853">
        <f>AI853</f>
        <v/>
      </c>
    </row>
    <row r="854">
      <c r="D854" t="n">
        <v>793</v>
      </c>
      <c r="E854">
        <f>IF(G853&gt;0,MAX(0,G853*(1+$G$51)-$H$51),0)</f>
        <v/>
      </c>
      <c r="F854">
        <f>$B$6+IF($D854=$B$8,$B$7,0)</f>
        <v/>
      </c>
      <c r="G854">
        <f>IF(E854-F854&gt;1E-9,E854-F854,0)</f>
        <v/>
      </c>
      <c r="H854">
        <f>G853*$G$51</f>
        <v/>
      </c>
      <c r="I854">
        <f>IF(K853&gt;0,MAX(0,K853*(1+$G$52)-$H$52),0)</f>
        <v/>
      </c>
      <c r="J854">
        <f>MAX(0,F854-E854)</f>
        <v/>
      </c>
      <c r="K854">
        <f>IF(I854-J854&gt;1E-9,I854-J854,0)</f>
        <v/>
      </c>
      <c r="L854">
        <f>K853*$G$52</f>
        <v/>
      </c>
      <c r="M854">
        <f>IF(O853&gt;0,MAX(0,O853*(1+$G$53)-$H$53),0)</f>
        <v/>
      </c>
      <c r="N854">
        <f>MAX(0,J854-I854)</f>
        <v/>
      </c>
      <c r="O854">
        <f>IF(M854-N854&gt;1E-9,M854-N854,0)</f>
        <v/>
      </c>
      <c r="P854">
        <f>O853*$G$53</f>
        <v/>
      </c>
      <c r="Q854">
        <f>IF(S853&gt;0,MAX(0,S853*(1+$G$54)-$H$54),0)</f>
        <v/>
      </c>
      <c r="R854">
        <f>MAX(0,N854-M854)</f>
        <v/>
      </c>
      <c r="S854">
        <f>IF(Q854-R854&gt;1E-9,Q854-R854,0)</f>
        <v/>
      </c>
      <c r="T854">
        <f>S853*$G$54</f>
        <v/>
      </c>
      <c r="U854">
        <f>IF(W853&gt;0,MAX(0,W853*(1+$G$55)-$H$55),0)</f>
        <v/>
      </c>
      <c r="V854">
        <f>MAX(0,R854-Q854)</f>
        <v/>
      </c>
      <c r="W854">
        <f>IF(U854-V854&gt;1E-9,U854-V854,0)</f>
        <v/>
      </c>
      <c r="X854">
        <f>W853*$G$55</f>
        <v/>
      </c>
      <c r="Y854">
        <f>IF(Y853&gt;1E-9,IF(Y853*(1+$G$51)-MAX($B$9,0.01*Y853+Y853*$G$51)&gt;1E-9,Y853*(1+$G$51)-MAX($B$9,0.01*Y853+Y853*$G$51),0),0)</f>
        <v/>
      </c>
      <c r="Z854">
        <f>Y853*$G$51</f>
        <v/>
      </c>
      <c r="AA854">
        <f>IF(AA853&gt;1E-9,IF(AA853*(1+$G$52)-MAX($B$9,0.01*AA853+AA853*$G$52)&gt;1E-9,AA853*(1+$G$52)-MAX($B$9,0.01*AA853+AA853*$G$52),0),0)</f>
        <v/>
      </c>
      <c r="AB854">
        <f>AA853*$G$52</f>
        <v/>
      </c>
      <c r="AC854">
        <f>IF(AC853&gt;1E-9,IF(AC853*(1+$G$53)-MAX($B$9,0.01*AC853+AC853*$G$53)&gt;1E-9,AC853*(1+$G$53)-MAX($B$9,0.01*AC853+AC853*$G$53),0),0)</f>
        <v/>
      </c>
      <c r="AD854">
        <f>AC853*$G$53</f>
        <v/>
      </c>
      <c r="AE854">
        <f>IF(AE853&gt;1E-9,IF(AE853*(1+$G$54)-MAX($B$9,0.01*AE853+AE853*$G$54)&gt;1E-9,AE853*(1+$G$54)-MAX($B$9,0.01*AE853+AE853*$G$54),0),0)</f>
        <v/>
      </c>
      <c r="AF854">
        <f>AE853*$G$54</f>
        <v/>
      </c>
      <c r="AG854">
        <f>IF(AG853&gt;1E-9,IF(AG853*(1+$G$55)-MAX($B$9,0.01*AG853+AG853*$G$55)&gt;1E-9,AG853*(1+$G$55)-MAX($B$9,0.01*AG853+AG853*$G$55),0),0)</f>
        <v/>
      </c>
      <c r="AH854">
        <f>AG853*$G$55</f>
        <v/>
      </c>
      <c r="AI854">
        <f>G854+K854+O854+S854+W854</f>
        <v/>
      </c>
      <c r="AJ854">
        <f>AI853+AK854-AI854</f>
        <v/>
      </c>
      <c r="AK854">
        <f>H854+L854+P854+T854+X854</f>
        <v/>
      </c>
      <c r="AL854">
        <f>TEXT(EDATE($B$5,D854-1),"mmm yyyy")</f>
        <v/>
      </c>
      <c r="AM854">
        <f>AI854</f>
        <v/>
      </c>
    </row>
    <row r="855">
      <c r="D855" t="n">
        <v>794</v>
      </c>
      <c r="E855">
        <f>IF(G854&gt;0,MAX(0,G854*(1+$G$51)-$H$51),0)</f>
        <v/>
      </c>
      <c r="F855">
        <f>$B$6+IF($D855=$B$8,$B$7,0)</f>
        <v/>
      </c>
      <c r="G855">
        <f>IF(E855-F855&gt;1E-9,E855-F855,0)</f>
        <v/>
      </c>
      <c r="H855">
        <f>G854*$G$51</f>
        <v/>
      </c>
      <c r="I855">
        <f>IF(K854&gt;0,MAX(0,K854*(1+$G$52)-$H$52),0)</f>
        <v/>
      </c>
      <c r="J855">
        <f>MAX(0,F855-E855)</f>
        <v/>
      </c>
      <c r="K855">
        <f>IF(I855-J855&gt;1E-9,I855-J855,0)</f>
        <v/>
      </c>
      <c r="L855">
        <f>K854*$G$52</f>
        <v/>
      </c>
      <c r="M855">
        <f>IF(O854&gt;0,MAX(0,O854*(1+$G$53)-$H$53),0)</f>
        <v/>
      </c>
      <c r="N855">
        <f>MAX(0,J855-I855)</f>
        <v/>
      </c>
      <c r="O855">
        <f>IF(M855-N855&gt;1E-9,M855-N855,0)</f>
        <v/>
      </c>
      <c r="P855">
        <f>O854*$G$53</f>
        <v/>
      </c>
      <c r="Q855">
        <f>IF(S854&gt;0,MAX(0,S854*(1+$G$54)-$H$54),0)</f>
        <v/>
      </c>
      <c r="R855">
        <f>MAX(0,N855-M855)</f>
        <v/>
      </c>
      <c r="S855">
        <f>IF(Q855-R855&gt;1E-9,Q855-R855,0)</f>
        <v/>
      </c>
      <c r="T855">
        <f>S854*$G$54</f>
        <v/>
      </c>
      <c r="U855">
        <f>IF(W854&gt;0,MAX(0,W854*(1+$G$55)-$H$55),0)</f>
        <v/>
      </c>
      <c r="V855">
        <f>MAX(0,R855-Q855)</f>
        <v/>
      </c>
      <c r="W855">
        <f>IF(U855-V855&gt;1E-9,U855-V855,0)</f>
        <v/>
      </c>
      <c r="X855">
        <f>W854*$G$55</f>
        <v/>
      </c>
      <c r="Y855">
        <f>IF(Y854&gt;1E-9,IF(Y854*(1+$G$51)-MAX($B$9,0.01*Y854+Y854*$G$51)&gt;1E-9,Y854*(1+$G$51)-MAX($B$9,0.01*Y854+Y854*$G$51),0),0)</f>
        <v/>
      </c>
      <c r="Z855">
        <f>Y854*$G$51</f>
        <v/>
      </c>
      <c r="AA855">
        <f>IF(AA854&gt;1E-9,IF(AA854*(1+$G$52)-MAX($B$9,0.01*AA854+AA854*$G$52)&gt;1E-9,AA854*(1+$G$52)-MAX($B$9,0.01*AA854+AA854*$G$52),0),0)</f>
        <v/>
      </c>
      <c r="AB855">
        <f>AA854*$G$52</f>
        <v/>
      </c>
      <c r="AC855">
        <f>IF(AC854&gt;1E-9,IF(AC854*(1+$G$53)-MAX($B$9,0.01*AC854+AC854*$G$53)&gt;1E-9,AC854*(1+$G$53)-MAX($B$9,0.01*AC854+AC854*$G$53),0),0)</f>
        <v/>
      </c>
      <c r="AD855">
        <f>AC854*$G$53</f>
        <v/>
      </c>
      <c r="AE855">
        <f>IF(AE854&gt;1E-9,IF(AE854*(1+$G$54)-MAX($B$9,0.01*AE854+AE854*$G$54)&gt;1E-9,AE854*(1+$G$54)-MAX($B$9,0.01*AE854+AE854*$G$54),0),0)</f>
        <v/>
      </c>
      <c r="AF855">
        <f>AE854*$G$54</f>
        <v/>
      </c>
      <c r="AG855">
        <f>IF(AG854&gt;1E-9,IF(AG854*(1+$G$55)-MAX($B$9,0.01*AG854+AG854*$G$55)&gt;1E-9,AG854*(1+$G$55)-MAX($B$9,0.01*AG854+AG854*$G$55),0),0)</f>
        <v/>
      </c>
      <c r="AH855">
        <f>AG854*$G$55</f>
        <v/>
      </c>
      <c r="AI855">
        <f>G855+K855+O855+S855+W855</f>
        <v/>
      </c>
      <c r="AJ855">
        <f>AI854+AK855-AI855</f>
        <v/>
      </c>
      <c r="AK855">
        <f>H855+L855+P855+T855+X855</f>
        <v/>
      </c>
      <c r="AL855">
        <f>TEXT(EDATE($B$5,D855-1),"mmm yyyy")</f>
        <v/>
      </c>
      <c r="AM855">
        <f>AI855</f>
        <v/>
      </c>
    </row>
    <row r="856">
      <c r="D856" t="n">
        <v>795</v>
      </c>
      <c r="E856">
        <f>IF(G855&gt;0,MAX(0,G855*(1+$G$51)-$H$51),0)</f>
        <v/>
      </c>
      <c r="F856">
        <f>$B$6+IF($D856=$B$8,$B$7,0)</f>
        <v/>
      </c>
      <c r="G856">
        <f>IF(E856-F856&gt;1E-9,E856-F856,0)</f>
        <v/>
      </c>
      <c r="H856">
        <f>G855*$G$51</f>
        <v/>
      </c>
      <c r="I856">
        <f>IF(K855&gt;0,MAX(0,K855*(1+$G$52)-$H$52),0)</f>
        <v/>
      </c>
      <c r="J856">
        <f>MAX(0,F856-E856)</f>
        <v/>
      </c>
      <c r="K856">
        <f>IF(I856-J856&gt;1E-9,I856-J856,0)</f>
        <v/>
      </c>
      <c r="L856">
        <f>K855*$G$52</f>
        <v/>
      </c>
      <c r="M856">
        <f>IF(O855&gt;0,MAX(0,O855*(1+$G$53)-$H$53),0)</f>
        <v/>
      </c>
      <c r="N856">
        <f>MAX(0,J856-I856)</f>
        <v/>
      </c>
      <c r="O856">
        <f>IF(M856-N856&gt;1E-9,M856-N856,0)</f>
        <v/>
      </c>
      <c r="P856">
        <f>O855*$G$53</f>
        <v/>
      </c>
      <c r="Q856">
        <f>IF(S855&gt;0,MAX(0,S855*(1+$G$54)-$H$54),0)</f>
        <v/>
      </c>
      <c r="R856">
        <f>MAX(0,N856-M856)</f>
        <v/>
      </c>
      <c r="S856">
        <f>IF(Q856-R856&gt;1E-9,Q856-R856,0)</f>
        <v/>
      </c>
      <c r="T856">
        <f>S855*$G$54</f>
        <v/>
      </c>
      <c r="U856">
        <f>IF(W855&gt;0,MAX(0,W855*(1+$G$55)-$H$55),0)</f>
        <v/>
      </c>
      <c r="V856">
        <f>MAX(0,R856-Q856)</f>
        <v/>
      </c>
      <c r="W856">
        <f>IF(U856-V856&gt;1E-9,U856-V856,0)</f>
        <v/>
      </c>
      <c r="X856">
        <f>W855*$G$55</f>
        <v/>
      </c>
      <c r="Y856">
        <f>IF(Y855&gt;1E-9,IF(Y855*(1+$G$51)-MAX($B$9,0.01*Y855+Y855*$G$51)&gt;1E-9,Y855*(1+$G$51)-MAX($B$9,0.01*Y855+Y855*$G$51),0),0)</f>
        <v/>
      </c>
      <c r="Z856">
        <f>Y855*$G$51</f>
        <v/>
      </c>
      <c r="AA856">
        <f>IF(AA855&gt;1E-9,IF(AA855*(1+$G$52)-MAX($B$9,0.01*AA855+AA855*$G$52)&gt;1E-9,AA855*(1+$G$52)-MAX($B$9,0.01*AA855+AA855*$G$52),0),0)</f>
        <v/>
      </c>
      <c r="AB856">
        <f>AA855*$G$52</f>
        <v/>
      </c>
      <c r="AC856">
        <f>IF(AC855&gt;1E-9,IF(AC855*(1+$G$53)-MAX($B$9,0.01*AC855+AC855*$G$53)&gt;1E-9,AC855*(1+$G$53)-MAX($B$9,0.01*AC855+AC855*$G$53),0),0)</f>
        <v/>
      </c>
      <c r="AD856">
        <f>AC855*$G$53</f>
        <v/>
      </c>
      <c r="AE856">
        <f>IF(AE855&gt;1E-9,IF(AE855*(1+$G$54)-MAX($B$9,0.01*AE855+AE855*$G$54)&gt;1E-9,AE855*(1+$G$54)-MAX($B$9,0.01*AE855+AE855*$G$54),0),0)</f>
        <v/>
      </c>
      <c r="AF856">
        <f>AE855*$G$54</f>
        <v/>
      </c>
      <c r="AG856">
        <f>IF(AG855&gt;1E-9,IF(AG855*(1+$G$55)-MAX($B$9,0.01*AG855+AG855*$G$55)&gt;1E-9,AG855*(1+$G$55)-MAX($B$9,0.01*AG855+AG855*$G$55),0),0)</f>
        <v/>
      </c>
      <c r="AH856">
        <f>AG855*$G$55</f>
        <v/>
      </c>
      <c r="AI856">
        <f>G856+K856+O856+S856+W856</f>
        <v/>
      </c>
      <c r="AJ856">
        <f>AI855+AK856-AI856</f>
        <v/>
      </c>
      <c r="AK856">
        <f>H856+L856+P856+T856+X856</f>
        <v/>
      </c>
      <c r="AL856">
        <f>TEXT(EDATE($B$5,D856-1),"mmm yyyy")</f>
        <v/>
      </c>
      <c r="AM856">
        <f>AI856</f>
        <v/>
      </c>
    </row>
    <row r="857">
      <c r="D857" t="n">
        <v>796</v>
      </c>
      <c r="E857">
        <f>IF(G856&gt;0,MAX(0,G856*(1+$G$51)-$H$51),0)</f>
        <v/>
      </c>
      <c r="F857">
        <f>$B$6+IF($D857=$B$8,$B$7,0)</f>
        <v/>
      </c>
      <c r="G857">
        <f>IF(E857-F857&gt;1E-9,E857-F857,0)</f>
        <v/>
      </c>
      <c r="H857">
        <f>G856*$G$51</f>
        <v/>
      </c>
      <c r="I857">
        <f>IF(K856&gt;0,MAX(0,K856*(1+$G$52)-$H$52),0)</f>
        <v/>
      </c>
      <c r="J857">
        <f>MAX(0,F857-E857)</f>
        <v/>
      </c>
      <c r="K857">
        <f>IF(I857-J857&gt;1E-9,I857-J857,0)</f>
        <v/>
      </c>
      <c r="L857">
        <f>K856*$G$52</f>
        <v/>
      </c>
      <c r="M857">
        <f>IF(O856&gt;0,MAX(0,O856*(1+$G$53)-$H$53),0)</f>
        <v/>
      </c>
      <c r="N857">
        <f>MAX(0,J857-I857)</f>
        <v/>
      </c>
      <c r="O857">
        <f>IF(M857-N857&gt;1E-9,M857-N857,0)</f>
        <v/>
      </c>
      <c r="P857">
        <f>O856*$G$53</f>
        <v/>
      </c>
      <c r="Q857">
        <f>IF(S856&gt;0,MAX(0,S856*(1+$G$54)-$H$54),0)</f>
        <v/>
      </c>
      <c r="R857">
        <f>MAX(0,N857-M857)</f>
        <v/>
      </c>
      <c r="S857">
        <f>IF(Q857-R857&gt;1E-9,Q857-R857,0)</f>
        <v/>
      </c>
      <c r="T857">
        <f>S856*$G$54</f>
        <v/>
      </c>
      <c r="U857">
        <f>IF(W856&gt;0,MAX(0,W856*(1+$G$55)-$H$55),0)</f>
        <v/>
      </c>
      <c r="V857">
        <f>MAX(0,R857-Q857)</f>
        <v/>
      </c>
      <c r="W857">
        <f>IF(U857-V857&gt;1E-9,U857-V857,0)</f>
        <v/>
      </c>
      <c r="X857">
        <f>W856*$G$55</f>
        <v/>
      </c>
      <c r="Y857">
        <f>IF(Y856&gt;1E-9,IF(Y856*(1+$G$51)-MAX($B$9,0.01*Y856+Y856*$G$51)&gt;1E-9,Y856*(1+$G$51)-MAX($B$9,0.01*Y856+Y856*$G$51),0),0)</f>
        <v/>
      </c>
      <c r="Z857">
        <f>Y856*$G$51</f>
        <v/>
      </c>
      <c r="AA857">
        <f>IF(AA856&gt;1E-9,IF(AA856*(1+$G$52)-MAX($B$9,0.01*AA856+AA856*$G$52)&gt;1E-9,AA856*(1+$G$52)-MAX($B$9,0.01*AA856+AA856*$G$52),0),0)</f>
        <v/>
      </c>
      <c r="AB857">
        <f>AA856*$G$52</f>
        <v/>
      </c>
      <c r="AC857">
        <f>IF(AC856&gt;1E-9,IF(AC856*(1+$G$53)-MAX($B$9,0.01*AC856+AC856*$G$53)&gt;1E-9,AC856*(1+$G$53)-MAX($B$9,0.01*AC856+AC856*$G$53),0),0)</f>
        <v/>
      </c>
      <c r="AD857">
        <f>AC856*$G$53</f>
        <v/>
      </c>
      <c r="AE857">
        <f>IF(AE856&gt;1E-9,IF(AE856*(1+$G$54)-MAX($B$9,0.01*AE856+AE856*$G$54)&gt;1E-9,AE856*(1+$G$54)-MAX($B$9,0.01*AE856+AE856*$G$54),0),0)</f>
        <v/>
      </c>
      <c r="AF857">
        <f>AE856*$G$54</f>
        <v/>
      </c>
      <c r="AG857">
        <f>IF(AG856&gt;1E-9,IF(AG856*(1+$G$55)-MAX($B$9,0.01*AG856+AG856*$G$55)&gt;1E-9,AG856*(1+$G$55)-MAX($B$9,0.01*AG856+AG856*$G$55),0),0)</f>
        <v/>
      </c>
      <c r="AH857">
        <f>AG856*$G$55</f>
        <v/>
      </c>
      <c r="AI857">
        <f>G857+K857+O857+S857+W857</f>
        <v/>
      </c>
      <c r="AJ857">
        <f>AI856+AK857-AI857</f>
        <v/>
      </c>
      <c r="AK857">
        <f>H857+L857+P857+T857+X857</f>
        <v/>
      </c>
      <c r="AL857">
        <f>TEXT(EDATE($B$5,D857-1),"mmm yyyy")</f>
        <v/>
      </c>
      <c r="AM857">
        <f>AI857</f>
        <v/>
      </c>
    </row>
    <row r="858">
      <c r="D858" t="n">
        <v>797</v>
      </c>
      <c r="E858">
        <f>IF(G857&gt;0,MAX(0,G857*(1+$G$51)-$H$51),0)</f>
        <v/>
      </c>
      <c r="F858">
        <f>$B$6+IF($D858=$B$8,$B$7,0)</f>
        <v/>
      </c>
      <c r="G858">
        <f>IF(E858-F858&gt;1E-9,E858-F858,0)</f>
        <v/>
      </c>
      <c r="H858">
        <f>G857*$G$51</f>
        <v/>
      </c>
      <c r="I858">
        <f>IF(K857&gt;0,MAX(0,K857*(1+$G$52)-$H$52),0)</f>
        <v/>
      </c>
      <c r="J858">
        <f>MAX(0,F858-E858)</f>
        <v/>
      </c>
      <c r="K858">
        <f>IF(I858-J858&gt;1E-9,I858-J858,0)</f>
        <v/>
      </c>
      <c r="L858">
        <f>K857*$G$52</f>
        <v/>
      </c>
      <c r="M858">
        <f>IF(O857&gt;0,MAX(0,O857*(1+$G$53)-$H$53),0)</f>
        <v/>
      </c>
      <c r="N858">
        <f>MAX(0,J858-I858)</f>
        <v/>
      </c>
      <c r="O858">
        <f>IF(M858-N858&gt;1E-9,M858-N858,0)</f>
        <v/>
      </c>
      <c r="P858">
        <f>O857*$G$53</f>
        <v/>
      </c>
      <c r="Q858">
        <f>IF(S857&gt;0,MAX(0,S857*(1+$G$54)-$H$54),0)</f>
        <v/>
      </c>
      <c r="R858">
        <f>MAX(0,N858-M858)</f>
        <v/>
      </c>
      <c r="S858">
        <f>IF(Q858-R858&gt;1E-9,Q858-R858,0)</f>
        <v/>
      </c>
      <c r="T858">
        <f>S857*$G$54</f>
        <v/>
      </c>
      <c r="U858">
        <f>IF(W857&gt;0,MAX(0,W857*(1+$G$55)-$H$55),0)</f>
        <v/>
      </c>
      <c r="V858">
        <f>MAX(0,R858-Q858)</f>
        <v/>
      </c>
      <c r="W858">
        <f>IF(U858-V858&gt;1E-9,U858-V858,0)</f>
        <v/>
      </c>
      <c r="X858">
        <f>W857*$G$55</f>
        <v/>
      </c>
      <c r="Y858">
        <f>IF(Y857&gt;1E-9,IF(Y857*(1+$G$51)-MAX($B$9,0.01*Y857+Y857*$G$51)&gt;1E-9,Y857*(1+$G$51)-MAX($B$9,0.01*Y857+Y857*$G$51),0),0)</f>
        <v/>
      </c>
      <c r="Z858">
        <f>Y857*$G$51</f>
        <v/>
      </c>
      <c r="AA858">
        <f>IF(AA857&gt;1E-9,IF(AA857*(1+$G$52)-MAX($B$9,0.01*AA857+AA857*$G$52)&gt;1E-9,AA857*(1+$G$52)-MAX($B$9,0.01*AA857+AA857*$G$52),0),0)</f>
        <v/>
      </c>
      <c r="AB858">
        <f>AA857*$G$52</f>
        <v/>
      </c>
      <c r="AC858">
        <f>IF(AC857&gt;1E-9,IF(AC857*(1+$G$53)-MAX($B$9,0.01*AC857+AC857*$G$53)&gt;1E-9,AC857*(1+$G$53)-MAX($B$9,0.01*AC857+AC857*$G$53),0),0)</f>
        <v/>
      </c>
      <c r="AD858">
        <f>AC857*$G$53</f>
        <v/>
      </c>
      <c r="AE858">
        <f>IF(AE857&gt;1E-9,IF(AE857*(1+$G$54)-MAX($B$9,0.01*AE857+AE857*$G$54)&gt;1E-9,AE857*(1+$G$54)-MAX($B$9,0.01*AE857+AE857*$G$54),0),0)</f>
        <v/>
      </c>
      <c r="AF858">
        <f>AE857*$G$54</f>
        <v/>
      </c>
      <c r="AG858">
        <f>IF(AG857&gt;1E-9,IF(AG857*(1+$G$55)-MAX($B$9,0.01*AG857+AG857*$G$55)&gt;1E-9,AG857*(1+$G$55)-MAX($B$9,0.01*AG857+AG857*$G$55),0),0)</f>
        <v/>
      </c>
      <c r="AH858">
        <f>AG857*$G$55</f>
        <v/>
      </c>
      <c r="AI858">
        <f>G858+K858+O858+S858+W858</f>
        <v/>
      </c>
      <c r="AJ858">
        <f>AI857+AK858-AI858</f>
        <v/>
      </c>
      <c r="AK858">
        <f>H858+L858+P858+T858+X858</f>
        <v/>
      </c>
      <c r="AL858">
        <f>TEXT(EDATE($B$5,D858-1),"mmm yyyy")</f>
        <v/>
      </c>
      <c r="AM858">
        <f>AI858</f>
        <v/>
      </c>
    </row>
    <row r="859">
      <c r="D859" t="n">
        <v>798</v>
      </c>
      <c r="E859">
        <f>IF(G858&gt;0,MAX(0,G858*(1+$G$51)-$H$51),0)</f>
        <v/>
      </c>
      <c r="F859">
        <f>$B$6+IF($D859=$B$8,$B$7,0)</f>
        <v/>
      </c>
      <c r="G859">
        <f>IF(E859-F859&gt;1E-9,E859-F859,0)</f>
        <v/>
      </c>
      <c r="H859">
        <f>G858*$G$51</f>
        <v/>
      </c>
      <c r="I859">
        <f>IF(K858&gt;0,MAX(0,K858*(1+$G$52)-$H$52),0)</f>
        <v/>
      </c>
      <c r="J859">
        <f>MAX(0,F859-E859)</f>
        <v/>
      </c>
      <c r="K859">
        <f>IF(I859-J859&gt;1E-9,I859-J859,0)</f>
        <v/>
      </c>
      <c r="L859">
        <f>K858*$G$52</f>
        <v/>
      </c>
      <c r="M859">
        <f>IF(O858&gt;0,MAX(0,O858*(1+$G$53)-$H$53),0)</f>
        <v/>
      </c>
      <c r="N859">
        <f>MAX(0,J859-I859)</f>
        <v/>
      </c>
      <c r="O859">
        <f>IF(M859-N859&gt;1E-9,M859-N859,0)</f>
        <v/>
      </c>
      <c r="P859">
        <f>O858*$G$53</f>
        <v/>
      </c>
      <c r="Q859">
        <f>IF(S858&gt;0,MAX(0,S858*(1+$G$54)-$H$54),0)</f>
        <v/>
      </c>
      <c r="R859">
        <f>MAX(0,N859-M859)</f>
        <v/>
      </c>
      <c r="S859">
        <f>IF(Q859-R859&gt;1E-9,Q859-R859,0)</f>
        <v/>
      </c>
      <c r="T859">
        <f>S858*$G$54</f>
        <v/>
      </c>
      <c r="U859">
        <f>IF(W858&gt;0,MAX(0,W858*(1+$G$55)-$H$55),0)</f>
        <v/>
      </c>
      <c r="V859">
        <f>MAX(0,R859-Q859)</f>
        <v/>
      </c>
      <c r="W859">
        <f>IF(U859-V859&gt;1E-9,U859-V859,0)</f>
        <v/>
      </c>
      <c r="X859">
        <f>W858*$G$55</f>
        <v/>
      </c>
      <c r="Y859">
        <f>IF(Y858&gt;1E-9,IF(Y858*(1+$G$51)-MAX($B$9,0.01*Y858+Y858*$G$51)&gt;1E-9,Y858*(1+$G$51)-MAX($B$9,0.01*Y858+Y858*$G$51),0),0)</f>
        <v/>
      </c>
      <c r="Z859">
        <f>Y858*$G$51</f>
        <v/>
      </c>
      <c r="AA859">
        <f>IF(AA858&gt;1E-9,IF(AA858*(1+$G$52)-MAX($B$9,0.01*AA858+AA858*$G$52)&gt;1E-9,AA858*(1+$G$52)-MAX($B$9,0.01*AA858+AA858*$G$52),0),0)</f>
        <v/>
      </c>
      <c r="AB859">
        <f>AA858*$G$52</f>
        <v/>
      </c>
      <c r="AC859">
        <f>IF(AC858&gt;1E-9,IF(AC858*(1+$G$53)-MAX($B$9,0.01*AC858+AC858*$G$53)&gt;1E-9,AC858*(1+$G$53)-MAX($B$9,0.01*AC858+AC858*$G$53),0),0)</f>
        <v/>
      </c>
      <c r="AD859">
        <f>AC858*$G$53</f>
        <v/>
      </c>
      <c r="AE859">
        <f>IF(AE858&gt;1E-9,IF(AE858*(1+$G$54)-MAX($B$9,0.01*AE858+AE858*$G$54)&gt;1E-9,AE858*(1+$G$54)-MAX($B$9,0.01*AE858+AE858*$G$54),0),0)</f>
        <v/>
      </c>
      <c r="AF859">
        <f>AE858*$G$54</f>
        <v/>
      </c>
      <c r="AG859">
        <f>IF(AG858&gt;1E-9,IF(AG858*(1+$G$55)-MAX($B$9,0.01*AG858+AG858*$G$55)&gt;1E-9,AG858*(1+$G$55)-MAX($B$9,0.01*AG858+AG858*$G$55),0),0)</f>
        <v/>
      </c>
      <c r="AH859">
        <f>AG858*$G$55</f>
        <v/>
      </c>
      <c r="AI859">
        <f>G859+K859+O859+S859+W859</f>
        <v/>
      </c>
      <c r="AJ859">
        <f>AI858+AK859-AI859</f>
        <v/>
      </c>
      <c r="AK859">
        <f>H859+L859+P859+T859+X859</f>
        <v/>
      </c>
      <c r="AL859">
        <f>TEXT(EDATE($B$5,D859-1),"mmm yyyy")</f>
        <v/>
      </c>
      <c r="AM859">
        <f>AI859</f>
        <v/>
      </c>
    </row>
    <row r="860">
      <c r="D860" t="n">
        <v>799</v>
      </c>
      <c r="E860">
        <f>IF(G859&gt;0,MAX(0,G859*(1+$G$51)-$H$51),0)</f>
        <v/>
      </c>
      <c r="F860">
        <f>$B$6+IF($D860=$B$8,$B$7,0)</f>
        <v/>
      </c>
      <c r="G860">
        <f>IF(E860-F860&gt;1E-9,E860-F860,0)</f>
        <v/>
      </c>
      <c r="H860">
        <f>G859*$G$51</f>
        <v/>
      </c>
      <c r="I860">
        <f>IF(K859&gt;0,MAX(0,K859*(1+$G$52)-$H$52),0)</f>
        <v/>
      </c>
      <c r="J860">
        <f>MAX(0,F860-E860)</f>
        <v/>
      </c>
      <c r="K860">
        <f>IF(I860-J860&gt;1E-9,I860-J860,0)</f>
        <v/>
      </c>
      <c r="L860">
        <f>K859*$G$52</f>
        <v/>
      </c>
      <c r="M860">
        <f>IF(O859&gt;0,MAX(0,O859*(1+$G$53)-$H$53),0)</f>
        <v/>
      </c>
      <c r="N860">
        <f>MAX(0,J860-I860)</f>
        <v/>
      </c>
      <c r="O860">
        <f>IF(M860-N860&gt;1E-9,M860-N860,0)</f>
        <v/>
      </c>
      <c r="P860">
        <f>O859*$G$53</f>
        <v/>
      </c>
      <c r="Q860">
        <f>IF(S859&gt;0,MAX(0,S859*(1+$G$54)-$H$54),0)</f>
        <v/>
      </c>
      <c r="R860">
        <f>MAX(0,N860-M860)</f>
        <v/>
      </c>
      <c r="S860">
        <f>IF(Q860-R860&gt;1E-9,Q860-R860,0)</f>
        <v/>
      </c>
      <c r="T860">
        <f>S859*$G$54</f>
        <v/>
      </c>
      <c r="U860">
        <f>IF(W859&gt;0,MAX(0,W859*(1+$G$55)-$H$55),0)</f>
        <v/>
      </c>
      <c r="V860">
        <f>MAX(0,R860-Q860)</f>
        <v/>
      </c>
      <c r="W860">
        <f>IF(U860-V860&gt;1E-9,U860-V860,0)</f>
        <v/>
      </c>
      <c r="X860">
        <f>W859*$G$55</f>
        <v/>
      </c>
      <c r="Y860">
        <f>IF(Y859&gt;1E-9,IF(Y859*(1+$G$51)-MAX($B$9,0.01*Y859+Y859*$G$51)&gt;1E-9,Y859*(1+$G$51)-MAX($B$9,0.01*Y859+Y859*$G$51),0),0)</f>
        <v/>
      </c>
      <c r="Z860">
        <f>Y859*$G$51</f>
        <v/>
      </c>
      <c r="AA860">
        <f>IF(AA859&gt;1E-9,IF(AA859*(1+$G$52)-MAX($B$9,0.01*AA859+AA859*$G$52)&gt;1E-9,AA859*(1+$G$52)-MAX($B$9,0.01*AA859+AA859*$G$52),0),0)</f>
        <v/>
      </c>
      <c r="AB860">
        <f>AA859*$G$52</f>
        <v/>
      </c>
      <c r="AC860">
        <f>IF(AC859&gt;1E-9,IF(AC859*(1+$G$53)-MAX($B$9,0.01*AC859+AC859*$G$53)&gt;1E-9,AC859*(1+$G$53)-MAX($B$9,0.01*AC859+AC859*$G$53),0),0)</f>
        <v/>
      </c>
      <c r="AD860">
        <f>AC859*$G$53</f>
        <v/>
      </c>
      <c r="AE860">
        <f>IF(AE859&gt;1E-9,IF(AE859*(1+$G$54)-MAX($B$9,0.01*AE859+AE859*$G$54)&gt;1E-9,AE859*(1+$G$54)-MAX($B$9,0.01*AE859+AE859*$G$54),0),0)</f>
        <v/>
      </c>
      <c r="AF860">
        <f>AE859*$G$54</f>
        <v/>
      </c>
      <c r="AG860">
        <f>IF(AG859&gt;1E-9,IF(AG859*(1+$G$55)-MAX($B$9,0.01*AG859+AG859*$G$55)&gt;1E-9,AG859*(1+$G$55)-MAX($B$9,0.01*AG859+AG859*$G$55),0),0)</f>
        <v/>
      </c>
      <c r="AH860">
        <f>AG859*$G$55</f>
        <v/>
      </c>
      <c r="AI860">
        <f>G860+K860+O860+S860+W860</f>
        <v/>
      </c>
      <c r="AJ860">
        <f>AI859+AK860-AI860</f>
        <v/>
      </c>
      <c r="AK860">
        <f>H860+L860+P860+T860+X860</f>
        <v/>
      </c>
      <c r="AL860">
        <f>TEXT(EDATE($B$5,D860-1),"mmm yyyy")</f>
        <v/>
      </c>
      <c r="AM860">
        <f>AI860</f>
        <v/>
      </c>
    </row>
    <row r="861">
      <c r="D861" t="n">
        <v>800</v>
      </c>
      <c r="E861">
        <f>IF(G860&gt;0,MAX(0,G860*(1+$G$51)-$H$51),0)</f>
        <v/>
      </c>
      <c r="F861">
        <f>$B$6+IF($D861=$B$8,$B$7,0)</f>
        <v/>
      </c>
      <c r="G861">
        <f>IF(E861-F861&gt;1E-9,E861-F861,0)</f>
        <v/>
      </c>
      <c r="H861">
        <f>G860*$G$51</f>
        <v/>
      </c>
      <c r="I861">
        <f>IF(K860&gt;0,MAX(0,K860*(1+$G$52)-$H$52),0)</f>
        <v/>
      </c>
      <c r="J861">
        <f>MAX(0,F861-E861)</f>
        <v/>
      </c>
      <c r="K861">
        <f>IF(I861-J861&gt;1E-9,I861-J861,0)</f>
        <v/>
      </c>
      <c r="L861">
        <f>K860*$G$52</f>
        <v/>
      </c>
      <c r="M861">
        <f>IF(O860&gt;0,MAX(0,O860*(1+$G$53)-$H$53),0)</f>
        <v/>
      </c>
      <c r="N861">
        <f>MAX(0,J861-I861)</f>
        <v/>
      </c>
      <c r="O861">
        <f>IF(M861-N861&gt;1E-9,M861-N861,0)</f>
        <v/>
      </c>
      <c r="P861">
        <f>O860*$G$53</f>
        <v/>
      </c>
      <c r="Q861">
        <f>IF(S860&gt;0,MAX(0,S860*(1+$G$54)-$H$54),0)</f>
        <v/>
      </c>
      <c r="R861">
        <f>MAX(0,N861-M861)</f>
        <v/>
      </c>
      <c r="S861">
        <f>IF(Q861-R861&gt;1E-9,Q861-R861,0)</f>
        <v/>
      </c>
      <c r="T861">
        <f>S860*$G$54</f>
        <v/>
      </c>
      <c r="U861">
        <f>IF(W860&gt;0,MAX(0,W860*(1+$G$55)-$H$55),0)</f>
        <v/>
      </c>
      <c r="V861">
        <f>MAX(0,R861-Q861)</f>
        <v/>
      </c>
      <c r="W861">
        <f>IF(U861-V861&gt;1E-9,U861-V861,0)</f>
        <v/>
      </c>
      <c r="X861">
        <f>W860*$G$55</f>
        <v/>
      </c>
      <c r="Y861">
        <f>IF(Y860&gt;1E-9,IF(Y860*(1+$G$51)-MAX($B$9,0.01*Y860+Y860*$G$51)&gt;1E-9,Y860*(1+$G$51)-MAX($B$9,0.01*Y860+Y860*$G$51),0),0)</f>
        <v/>
      </c>
      <c r="Z861">
        <f>Y860*$G$51</f>
        <v/>
      </c>
      <c r="AA861">
        <f>IF(AA860&gt;1E-9,IF(AA860*(1+$G$52)-MAX($B$9,0.01*AA860+AA860*$G$52)&gt;1E-9,AA860*(1+$G$52)-MAX($B$9,0.01*AA860+AA860*$G$52),0),0)</f>
        <v/>
      </c>
      <c r="AB861">
        <f>AA860*$G$52</f>
        <v/>
      </c>
      <c r="AC861">
        <f>IF(AC860&gt;1E-9,IF(AC860*(1+$G$53)-MAX($B$9,0.01*AC860+AC860*$G$53)&gt;1E-9,AC860*(1+$G$53)-MAX($B$9,0.01*AC860+AC860*$G$53),0),0)</f>
        <v/>
      </c>
      <c r="AD861">
        <f>AC860*$G$53</f>
        <v/>
      </c>
      <c r="AE861">
        <f>IF(AE860&gt;1E-9,IF(AE860*(1+$G$54)-MAX($B$9,0.01*AE860+AE860*$G$54)&gt;1E-9,AE860*(1+$G$54)-MAX($B$9,0.01*AE860+AE860*$G$54),0),0)</f>
        <v/>
      </c>
      <c r="AF861">
        <f>AE860*$G$54</f>
        <v/>
      </c>
      <c r="AG861">
        <f>IF(AG860&gt;1E-9,IF(AG860*(1+$G$55)-MAX($B$9,0.01*AG860+AG860*$G$55)&gt;1E-9,AG860*(1+$G$55)-MAX($B$9,0.01*AG860+AG860*$G$55),0),0)</f>
        <v/>
      </c>
      <c r="AH861">
        <f>AG860*$G$55</f>
        <v/>
      </c>
      <c r="AI861">
        <f>G861+K861+O861+S861+W861</f>
        <v/>
      </c>
      <c r="AJ861">
        <f>AI860+AK861-AI861</f>
        <v/>
      </c>
      <c r="AK861">
        <f>H861+L861+P861+T861+X861</f>
        <v/>
      </c>
      <c r="AL861">
        <f>TEXT(EDATE($B$5,D861-1),"mmm yyyy")</f>
        <v/>
      </c>
      <c r="AM861">
        <f>AI861</f>
        <v/>
      </c>
    </row>
    <row r="862">
      <c r="D862" t="n">
        <v>801</v>
      </c>
      <c r="E862">
        <f>IF(G861&gt;0,MAX(0,G861*(1+$G$51)-$H$51),0)</f>
        <v/>
      </c>
      <c r="F862">
        <f>$B$6+IF($D862=$B$8,$B$7,0)</f>
        <v/>
      </c>
      <c r="G862">
        <f>IF(E862-F862&gt;1E-9,E862-F862,0)</f>
        <v/>
      </c>
      <c r="H862">
        <f>G861*$G$51</f>
        <v/>
      </c>
      <c r="I862">
        <f>IF(K861&gt;0,MAX(0,K861*(1+$G$52)-$H$52),0)</f>
        <v/>
      </c>
      <c r="J862">
        <f>MAX(0,F862-E862)</f>
        <v/>
      </c>
      <c r="K862">
        <f>IF(I862-J862&gt;1E-9,I862-J862,0)</f>
        <v/>
      </c>
      <c r="L862">
        <f>K861*$G$52</f>
        <v/>
      </c>
      <c r="M862">
        <f>IF(O861&gt;0,MAX(0,O861*(1+$G$53)-$H$53),0)</f>
        <v/>
      </c>
      <c r="N862">
        <f>MAX(0,J862-I862)</f>
        <v/>
      </c>
      <c r="O862">
        <f>IF(M862-N862&gt;1E-9,M862-N862,0)</f>
        <v/>
      </c>
      <c r="P862">
        <f>O861*$G$53</f>
        <v/>
      </c>
      <c r="Q862">
        <f>IF(S861&gt;0,MAX(0,S861*(1+$G$54)-$H$54),0)</f>
        <v/>
      </c>
      <c r="R862">
        <f>MAX(0,N862-M862)</f>
        <v/>
      </c>
      <c r="S862">
        <f>IF(Q862-R862&gt;1E-9,Q862-R862,0)</f>
        <v/>
      </c>
      <c r="T862">
        <f>S861*$G$54</f>
        <v/>
      </c>
      <c r="U862">
        <f>IF(W861&gt;0,MAX(0,W861*(1+$G$55)-$H$55),0)</f>
        <v/>
      </c>
      <c r="V862">
        <f>MAX(0,R862-Q862)</f>
        <v/>
      </c>
      <c r="W862">
        <f>IF(U862-V862&gt;1E-9,U862-V862,0)</f>
        <v/>
      </c>
      <c r="X862">
        <f>W861*$G$55</f>
        <v/>
      </c>
      <c r="Y862">
        <f>IF(Y861&gt;1E-9,IF(Y861*(1+$G$51)-MAX($B$9,0.01*Y861+Y861*$G$51)&gt;1E-9,Y861*(1+$G$51)-MAX($B$9,0.01*Y861+Y861*$G$51),0),0)</f>
        <v/>
      </c>
      <c r="Z862">
        <f>Y861*$G$51</f>
        <v/>
      </c>
      <c r="AA862">
        <f>IF(AA861&gt;1E-9,IF(AA861*(1+$G$52)-MAX($B$9,0.01*AA861+AA861*$G$52)&gt;1E-9,AA861*(1+$G$52)-MAX($B$9,0.01*AA861+AA861*$G$52),0),0)</f>
        <v/>
      </c>
      <c r="AB862">
        <f>AA861*$G$52</f>
        <v/>
      </c>
      <c r="AC862">
        <f>IF(AC861&gt;1E-9,IF(AC861*(1+$G$53)-MAX($B$9,0.01*AC861+AC861*$G$53)&gt;1E-9,AC861*(1+$G$53)-MAX($B$9,0.01*AC861+AC861*$G$53),0),0)</f>
        <v/>
      </c>
      <c r="AD862">
        <f>AC861*$G$53</f>
        <v/>
      </c>
      <c r="AE862">
        <f>IF(AE861&gt;1E-9,IF(AE861*(1+$G$54)-MAX($B$9,0.01*AE861+AE861*$G$54)&gt;1E-9,AE861*(1+$G$54)-MAX($B$9,0.01*AE861+AE861*$G$54),0),0)</f>
        <v/>
      </c>
      <c r="AF862">
        <f>AE861*$G$54</f>
        <v/>
      </c>
      <c r="AG862">
        <f>IF(AG861&gt;1E-9,IF(AG861*(1+$G$55)-MAX($B$9,0.01*AG861+AG861*$G$55)&gt;1E-9,AG861*(1+$G$55)-MAX($B$9,0.01*AG861+AG861*$G$55),0),0)</f>
        <v/>
      </c>
      <c r="AH862">
        <f>AG861*$G$55</f>
        <v/>
      </c>
      <c r="AI862">
        <f>G862+K862+O862+S862+W862</f>
        <v/>
      </c>
      <c r="AJ862">
        <f>AI861+AK862-AI862</f>
        <v/>
      </c>
      <c r="AK862">
        <f>H862+L862+P862+T862+X862</f>
        <v/>
      </c>
      <c r="AL862">
        <f>TEXT(EDATE($B$5,D862-1),"mmm yyyy")</f>
        <v/>
      </c>
      <c r="AM862">
        <f>AI862</f>
        <v/>
      </c>
    </row>
    <row r="863">
      <c r="D863" t="n">
        <v>802</v>
      </c>
      <c r="E863">
        <f>IF(G862&gt;0,MAX(0,G862*(1+$G$51)-$H$51),0)</f>
        <v/>
      </c>
      <c r="F863">
        <f>$B$6+IF($D863=$B$8,$B$7,0)</f>
        <v/>
      </c>
      <c r="G863">
        <f>IF(E863-F863&gt;1E-9,E863-F863,0)</f>
        <v/>
      </c>
      <c r="H863">
        <f>G862*$G$51</f>
        <v/>
      </c>
      <c r="I863">
        <f>IF(K862&gt;0,MAX(0,K862*(1+$G$52)-$H$52),0)</f>
        <v/>
      </c>
      <c r="J863">
        <f>MAX(0,F863-E863)</f>
        <v/>
      </c>
      <c r="K863">
        <f>IF(I863-J863&gt;1E-9,I863-J863,0)</f>
        <v/>
      </c>
      <c r="L863">
        <f>K862*$G$52</f>
        <v/>
      </c>
      <c r="M863">
        <f>IF(O862&gt;0,MAX(0,O862*(1+$G$53)-$H$53),0)</f>
        <v/>
      </c>
      <c r="N863">
        <f>MAX(0,J863-I863)</f>
        <v/>
      </c>
      <c r="O863">
        <f>IF(M863-N863&gt;1E-9,M863-N863,0)</f>
        <v/>
      </c>
      <c r="P863">
        <f>O862*$G$53</f>
        <v/>
      </c>
      <c r="Q863">
        <f>IF(S862&gt;0,MAX(0,S862*(1+$G$54)-$H$54),0)</f>
        <v/>
      </c>
      <c r="R863">
        <f>MAX(0,N863-M863)</f>
        <v/>
      </c>
      <c r="S863">
        <f>IF(Q863-R863&gt;1E-9,Q863-R863,0)</f>
        <v/>
      </c>
      <c r="T863">
        <f>S862*$G$54</f>
        <v/>
      </c>
      <c r="U863">
        <f>IF(W862&gt;0,MAX(0,W862*(1+$G$55)-$H$55),0)</f>
        <v/>
      </c>
      <c r="V863">
        <f>MAX(0,R863-Q863)</f>
        <v/>
      </c>
      <c r="W863">
        <f>IF(U863-V863&gt;1E-9,U863-V863,0)</f>
        <v/>
      </c>
      <c r="X863">
        <f>W862*$G$55</f>
        <v/>
      </c>
      <c r="Y863">
        <f>IF(Y862&gt;1E-9,IF(Y862*(1+$G$51)-MAX($B$9,0.01*Y862+Y862*$G$51)&gt;1E-9,Y862*(1+$G$51)-MAX($B$9,0.01*Y862+Y862*$G$51),0),0)</f>
        <v/>
      </c>
      <c r="Z863">
        <f>Y862*$G$51</f>
        <v/>
      </c>
      <c r="AA863">
        <f>IF(AA862&gt;1E-9,IF(AA862*(1+$G$52)-MAX($B$9,0.01*AA862+AA862*$G$52)&gt;1E-9,AA862*(1+$G$52)-MAX($B$9,0.01*AA862+AA862*$G$52),0),0)</f>
        <v/>
      </c>
      <c r="AB863">
        <f>AA862*$G$52</f>
        <v/>
      </c>
      <c r="AC863">
        <f>IF(AC862&gt;1E-9,IF(AC862*(1+$G$53)-MAX($B$9,0.01*AC862+AC862*$G$53)&gt;1E-9,AC862*(1+$G$53)-MAX($B$9,0.01*AC862+AC862*$G$53),0),0)</f>
        <v/>
      </c>
      <c r="AD863">
        <f>AC862*$G$53</f>
        <v/>
      </c>
      <c r="AE863">
        <f>IF(AE862&gt;1E-9,IF(AE862*(1+$G$54)-MAX($B$9,0.01*AE862+AE862*$G$54)&gt;1E-9,AE862*(1+$G$54)-MAX($B$9,0.01*AE862+AE862*$G$54),0),0)</f>
        <v/>
      </c>
      <c r="AF863">
        <f>AE862*$G$54</f>
        <v/>
      </c>
      <c r="AG863">
        <f>IF(AG862&gt;1E-9,IF(AG862*(1+$G$55)-MAX($B$9,0.01*AG862+AG862*$G$55)&gt;1E-9,AG862*(1+$G$55)-MAX($B$9,0.01*AG862+AG862*$G$55),0),0)</f>
        <v/>
      </c>
      <c r="AH863">
        <f>AG862*$G$55</f>
        <v/>
      </c>
      <c r="AI863">
        <f>G863+K863+O863+S863+W863</f>
        <v/>
      </c>
      <c r="AJ863">
        <f>AI862+AK863-AI863</f>
        <v/>
      </c>
      <c r="AK863">
        <f>H863+L863+P863+T863+X863</f>
        <v/>
      </c>
      <c r="AL863">
        <f>TEXT(EDATE($B$5,D863-1),"mmm yyyy")</f>
        <v/>
      </c>
      <c r="AM863">
        <f>AI863</f>
        <v/>
      </c>
    </row>
    <row r="864">
      <c r="D864" t="n">
        <v>803</v>
      </c>
      <c r="E864">
        <f>IF(G863&gt;0,MAX(0,G863*(1+$G$51)-$H$51),0)</f>
        <v/>
      </c>
      <c r="F864">
        <f>$B$6+IF($D864=$B$8,$B$7,0)</f>
        <v/>
      </c>
      <c r="G864">
        <f>IF(E864-F864&gt;1E-9,E864-F864,0)</f>
        <v/>
      </c>
      <c r="H864">
        <f>G863*$G$51</f>
        <v/>
      </c>
      <c r="I864">
        <f>IF(K863&gt;0,MAX(0,K863*(1+$G$52)-$H$52),0)</f>
        <v/>
      </c>
      <c r="J864">
        <f>MAX(0,F864-E864)</f>
        <v/>
      </c>
      <c r="K864">
        <f>IF(I864-J864&gt;1E-9,I864-J864,0)</f>
        <v/>
      </c>
      <c r="L864">
        <f>K863*$G$52</f>
        <v/>
      </c>
      <c r="M864">
        <f>IF(O863&gt;0,MAX(0,O863*(1+$G$53)-$H$53),0)</f>
        <v/>
      </c>
      <c r="N864">
        <f>MAX(0,J864-I864)</f>
        <v/>
      </c>
      <c r="O864">
        <f>IF(M864-N864&gt;1E-9,M864-N864,0)</f>
        <v/>
      </c>
      <c r="P864">
        <f>O863*$G$53</f>
        <v/>
      </c>
      <c r="Q864">
        <f>IF(S863&gt;0,MAX(0,S863*(1+$G$54)-$H$54),0)</f>
        <v/>
      </c>
      <c r="R864">
        <f>MAX(0,N864-M864)</f>
        <v/>
      </c>
      <c r="S864">
        <f>IF(Q864-R864&gt;1E-9,Q864-R864,0)</f>
        <v/>
      </c>
      <c r="T864">
        <f>S863*$G$54</f>
        <v/>
      </c>
      <c r="U864">
        <f>IF(W863&gt;0,MAX(0,W863*(1+$G$55)-$H$55),0)</f>
        <v/>
      </c>
      <c r="V864">
        <f>MAX(0,R864-Q864)</f>
        <v/>
      </c>
      <c r="W864">
        <f>IF(U864-V864&gt;1E-9,U864-V864,0)</f>
        <v/>
      </c>
      <c r="X864">
        <f>W863*$G$55</f>
        <v/>
      </c>
      <c r="Y864">
        <f>IF(Y863&gt;1E-9,IF(Y863*(1+$G$51)-MAX($B$9,0.01*Y863+Y863*$G$51)&gt;1E-9,Y863*(1+$G$51)-MAX($B$9,0.01*Y863+Y863*$G$51),0),0)</f>
        <v/>
      </c>
      <c r="Z864">
        <f>Y863*$G$51</f>
        <v/>
      </c>
      <c r="AA864">
        <f>IF(AA863&gt;1E-9,IF(AA863*(1+$G$52)-MAX($B$9,0.01*AA863+AA863*$G$52)&gt;1E-9,AA863*(1+$G$52)-MAX($B$9,0.01*AA863+AA863*$G$52),0),0)</f>
        <v/>
      </c>
      <c r="AB864">
        <f>AA863*$G$52</f>
        <v/>
      </c>
      <c r="AC864">
        <f>IF(AC863&gt;1E-9,IF(AC863*(1+$G$53)-MAX($B$9,0.01*AC863+AC863*$G$53)&gt;1E-9,AC863*(1+$G$53)-MAX($B$9,0.01*AC863+AC863*$G$53),0),0)</f>
        <v/>
      </c>
      <c r="AD864">
        <f>AC863*$G$53</f>
        <v/>
      </c>
      <c r="AE864">
        <f>IF(AE863&gt;1E-9,IF(AE863*(1+$G$54)-MAX($B$9,0.01*AE863+AE863*$G$54)&gt;1E-9,AE863*(1+$G$54)-MAX($B$9,0.01*AE863+AE863*$G$54),0),0)</f>
        <v/>
      </c>
      <c r="AF864">
        <f>AE863*$G$54</f>
        <v/>
      </c>
      <c r="AG864">
        <f>IF(AG863&gt;1E-9,IF(AG863*(1+$G$55)-MAX($B$9,0.01*AG863+AG863*$G$55)&gt;1E-9,AG863*(1+$G$55)-MAX($B$9,0.01*AG863+AG863*$G$55),0),0)</f>
        <v/>
      </c>
      <c r="AH864">
        <f>AG863*$G$55</f>
        <v/>
      </c>
      <c r="AI864">
        <f>G864+K864+O864+S864+W864</f>
        <v/>
      </c>
      <c r="AJ864">
        <f>AI863+AK864-AI864</f>
        <v/>
      </c>
      <c r="AK864">
        <f>H864+L864+P864+T864+X864</f>
        <v/>
      </c>
      <c r="AL864">
        <f>TEXT(EDATE($B$5,D864-1),"mmm yyyy")</f>
        <v/>
      </c>
      <c r="AM864">
        <f>AI864</f>
        <v/>
      </c>
    </row>
    <row r="865">
      <c r="D865" t="n">
        <v>804</v>
      </c>
      <c r="E865">
        <f>IF(G864&gt;0,MAX(0,G864*(1+$G$51)-$H$51),0)</f>
        <v/>
      </c>
      <c r="F865">
        <f>$B$6+IF($D865=$B$8,$B$7,0)</f>
        <v/>
      </c>
      <c r="G865">
        <f>IF(E865-F865&gt;1E-9,E865-F865,0)</f>
        <v/>
      </c>
      <c r="H865">
        <f>G864*$G$51</f>
        <v/>
      </c>
      <c r="I865">
        <f>IF(K864&gt;0,MAX(0,K864*(1+$G$52)-$H$52),0)</f>
        <v/>
      </c>
      <c r="J865">
        <f>MAX(0,F865-E865)</f>
        <v/>
      </c>
      <c r="K865">
        <f>IF(I865-J865&gt;1E-9,I865-J865,0)</f>
        <v/>
      </c>
      <c r="L865">
        <f>K864*$G$52</f>
        <v/>
      </c>
      <c r="M865">
        <f>IF(O864&gt;0,MAX(0,O864*(1+$G$53)-$H$53),0)</f>
        <v/>
      </c>
      <c r="N865">
        <f>MAX(0,J865-I865)</f>
        <v/>
      </c>
      <c r="O865">
        <f>IF(M865-N865&gt;1E-9,M865-N865,0)</f>
        <v/>
      </c>
      <c r="P865">
        <f>O864*$G$53</f>
        <v/>
      </c>
      <c r="Q865">
        <f>IF(S864&gt;0,MAX(0,S864*(1+$G$54)-$H$54),0)</f>
        <v/>
      </c>
      <c r="R865">
        <f>MAX(0,N865-M865)</f>
        <v/>
      </c>
      <c r="S865">
        <f>IF(Q865-R865&gt;1E-9,Q865-R865,0)</f>
        <v/>
      </c>
      <c r="T865">
        <f>S864*$G$54</f>
        <v/>
      </c>
      <c r="U865">
        <f>IF(W864&gt;0,MAX(0,W864*(1+$G$55)-$H$55),0)</f>
        <v/>
      </c>
      <c r="V865">
        <f>MAX(0,R865-Q865)</f>
        <v/>
      </c>
      <c r="W865">
        <f>IF(U865-V865&gt;1E-9,U865-V865,0)</f>
        <v/>
      </c>
      <c r="X865">
        <f>W864*$G$55</f>
        <v/>
      </c>
      <c r="Y865">
        <f>IF(Y864&gt;1E-9,IF(Y864*(1+$G$51)-MAX($B$9,0.01*Y864+Y864*$G$51)&gt;1E-9,Y864*(1+$G$51)-MAX($B$9,0.01*Y864+Y864*$G$51),0),0)</f>
        <v/>
      </c>
      <c r="Z865">
        <f>Y864*$G$51</f>
        <v/>
      </c>
      <c r="AA865">
        <f>IF(AA864&gt;1E-9,IF(AA864*(1+$G$52)-MAX($B$9,0.01*AA864+AA864*$G$52)&gt;1E-9,AA864*(1+$G$52)-MAX($B$9,0.01*AA864+AA864*$G$52),0),0)</f>
        <v/>
      </c>
      <c r="AB865">
        <f>AA864*$G$52</f>
        <v/>
      </c>
      <c r="AC865">
        <f>IF(AC864&gt;1E-9,IF(AC864*(1+$G$53)-MAX($B$9,0.01*AC864+AC864*$G$53)&gt;1E-9,AC864*(1+$G$53)-MAX($B$9,0.01*AC864+AC864*$G$53),0),0)</f>
        <v/>
      </c>
      <c r="AD865">
        <f>AC864*$G$53</f>
        <v/>
      </c>
      <c r="AE865">
        <f>IF(AE864&gt;1E-9,IF(AE864*(1+$G$54)-MAX($B$9,0.01*AE864+AE864*$G$54)&gt;1E-9,AE864*(1+$G$54)-MAX($B$9,0.01*AE864+AE864*$G$54),0),0)</f>
        <v/>
      </c>
      <c r="AF865">
        <f>AE864*$G$54</f>
        <v/>
      </c>
      <c r="AG865">
        <f>IF(AG864&gt;1E-9,IF(AG864*(1+$G$55)-MAX($B$9,0.01*AG864+AG864*$G$55)&gt;1E-9,AG864*(1+$G$55)-MAX($B$9,0.01*AG864+AG864*$G$55),0),0)</f>
        <v/>
      </c>
      <c r="AH865">
        <f>AG864*$G$55</f>
        <v/>
      </c>
      <c r="AI865">
        <f>G865+K865+O865+S865+W865</f>
        <v/>
      </c>
      <c r="AJ865">
        <f>AI864+AK865-AI865</f>
        <v/>
      </c>
      <c r="AK865">
        <f>H865+L865+P865+T865+X865</f>
        <v/>
      </c>
      <c r="AL865">
        <f>TEXT(EDATE($B$5,D865-1),"mmm yyyy")</f>
        <v/>
      </c>
      <c r="AM865">
        <f>AI865</f>
        <v/>
      </c>
    </row>
    <row r="866">
      <c r="D866" t="n">
        <v>805</v>
      </c>
      <c r="E866">
        <f>IF(G865&gt;0,MAX(0,G865*(1+$G$51)-$H$51),0)</f>
        <v/>
      </c>
      <c r="F866">
        <f>$B$6+IF($D866=$B$8,$B$7,0)</f>
        <v/>
      </c>
      <c r="G866">
        <f>IF(E866-F866&gt;1E-9,E866-F866,0)</f>
        <v/>
      </c>
      <c r="H866">
        <f>G865*$G$51</f>
        <v/>
      </c>
      <c r="I866">
        <f>IF(K865&gt;0,MAX(0,K865*(1+$G$52)-$H$52),0)</f>
        <v/>
      </c>
      <c r="J866">
        <f>MAX(0,F866-E866)</f>
        <v/>
      </c>
      <c r="K866">
        <f>IF(I866-J866&gt;1E-9,I866-J866,0)</f>
        <v/>
      </c>
      <c r="L866">
        <f>K865*$G$52</f>
        <v/>
      </c>
      <c r="M866">
        <f>IF(O865&gt;0,MAX(0,O865*(1+$G$53)-$H$53),0)</f>
        <v/>
      </c>
      <c r="N866">
        <f>MAX(0,J866-I866)</f>
        <v/>
      </c>
      <c r="O866">
        <f>IF(M866-N866&gt;1E-9,M866-N866,0)</f>
        <v/>
      </c>
      <c r="P866">
        <f>O865*$G$53</f>
        <v/>
      </c>
      <c r="Q866">
        <f>IF(S865&gt;0,MAX(0,S865*(1+$G$54)-$H$54),0)</f>
        <v/>
      </c>
      <c r="R866">
        <f>MAX(0,N866-M866)</f>
        <v/>
      </c>
      <c r="S866">
        <f>IF(Q866-R866&gt;1E-9,Q866-R866,0)</f>
        <v/>
      </c>
      <c r="T866">
        <f>S865*$G$54</f>
        <v/>
      </c>
      <c r="U866">
        <f>IF(W865&gt;0,MAX(0,W865*(1+$G$55)-$H$55),0)</f>
        <v/>
      </c>
      <c r="V866">
        <f>MAX(0,R866-Q866)</f>
        <v/>
      </c>
      <c r="W866">
        <f>IF(U866-V866&gt;1E-9,U866-V866,0)</f>
        <v/>
      </c>
      <c r="X866">
        <f>W865*$G$55</f>
        <v/>
      </c>
      <c r="Y866">
        <f>IF(Y865&gt;1E-9,IF(Y865*(1+$G$51)-MAX($B$9,0.01*Y865+Y865*$G$51)&gt;1E-9,Y865*(1+$G$51)-MAX($B$9,0.01*Y865+Y865*$G$51),0),0)</f>
        <v/>
      </c>
      <c r="Z866">
        <f>Y865*$G$51</f>
        <v/>
      </c>
      <c r="AA866">
        <f>IF(AA865&gt;1E-9,IF(AA865*(1+$G$52)-MAX($B$9,0.01*AA865+AA865*$G$52)&gt;1E-9,AA865*(1+$G$52)-MAX($B$9,0.01*AA865+AA865*$G$52),0),0)</f>
        <v/>
      </c>
      <c r="AB866">
        <f>AA865*$G$52</f>
        <v/>
      </c>
      <c r="AC866">
        <f>IF(AC865&gt;1E-9,IF(AC865*(1+$G$53)-MAX($B$9,0.01*AC865+AC865*$G$53)&gt;1E-9,AC865*(1+$G$53)-MAX($B$9,0.01*AC865+AC865*$G$53),0),0)</f>
        <v/>
      </c>
      <c r="AD866">
        <f>AC865*$G$53</f>
        <v/>
      </c>
      <c r="AE866">
        <f>IF(AE865&gt;1E-9,IF(AE865*(1+$G$54)-MAX($B$9,0.01*AE865+AE865*$G$54)&gt;1E-9,AE865*(1+$G$54)-MAX($B$9,0.01*AE865+AE865*$G$54),0),0)</f>
        <v/>
      </c>
      <c r="AF866">
        <f>AE865*$G$54</f>
        <v/>
      </c>
      <c r="AG866">
        <f>IF(AG865&gt;1E-9,IF(AG865*(1+$G$55)-MAX($B$9,0.01*AG865+AG865*$G$55)&gt;1E-9,AG865*(1+$G$55)-MAX($B$9,0.01*AG865+AG865*$G$55),0),0)</f>
        <v/>
      </c>
      <c r="AH866">
        <f>AG865*$G$55</f>
        <v/>
      </c>
      <c r="AI866">
        <f>G866+K866+O866+S866+W866</f>
        <v/>
      </c>
      <c r="AJ866">
        <f>AI865+AK866-AI866</f>
        <v/>
      </c>
      <c r="AK866">
        <f>H866+L866+P866+T866+X866</f>
        <v/>
      </c>
      <c r="AL866">
        <f>TEXT(EDATE($B$5,D866-1),"mmm yyyy")</f>
        <v/>
      </c>
      <c r="AM866">
        <f>AI866</f>
        <v/>
      </c>
    </row>
    <row r="867">
      <c r="D867" t="n">
        <v>806</v>
      </c>
      <c r="E867">
        <f>IF(G866&gt;0,MAX(0,G866*(1+$G$51)-$H$51),0)</f>
        <v/>
      </c>
      <c r="F867">
        <f>$B$6+IF($D867=$B$8,$B$7,0)</f>
        <v/>
      </c>
      <c r="G867">
        <f>IF(E867-F867&gt;1E-9,E867-F867,0)</f>
        <v/>
      </c>
      <c r="H867">
        <f>G866*$G$51</f>
        <v/>
      </c>
      <c r="I867">
        <f>IF(K866&gt;0,MAX(0,K866*(1+$G$52)-$H$52),0)</f>
        <v/>
      </c>
      <c r="J867">
        <f>MAX(0,F867-E867)</f>
        <v/>
      </c>
      <c r="K867">
        <f>IF(I867-J867&gt;1E-9,I867-J867,0)</f>
        <v/>
      </c>
      <c r="L867">
        <f>K866*$G$52</f>
        <v/>
      </c>
      <c r="M867">
        <f>IF(O866&gt;0,MAX(0,O866*(1+$G$53)-$H$53),0)</f>
        <v/>
      </c>
      <c r="N867">
        <f>MAX(0,J867-I867)</f>
        <v/>
      </c>
      <c r="O867">
        <f>IF(M867-N867&gt;1E-9,M867-N867,0)</f>
        <v/>
      </c>
      <c r="P867">
        <f>O866*$G$53</f>
        <v/>
      </c>
      <c r="Q867">
        <f>IF(S866&gt;0,MAX(0,S866*(1+$G$54)-$H$54),0)</f>
        <v/>
      </c>
      <c r="R867">
        <f>MAX(0,N867-M867)</f>
        <v/>
      </c>
      <c r="S867">
        <f>IF(Q867-R867&gt;1E-9,Q867-R867,0)</f>
        <v/>
      </c>
      <c r="T867">
        <f>S866*$G$54</f>
        <v/>
      </c>
      <c r="U867">
        <f>IF(W866&gt;0,MAX(0,W866*(1+$G$55)-$H$55),0)</f>
        <v/>
      </c>
      <c r="V867">
        <f>MAX(0,R867-Q867)</f>
        <v/>
      </c>
      <c r="W867">
        <f>IF(U867-V867&gt;1E-9,U867-V867,0)</f>
        <v/>
      </c>
      <c r="X867">
        <f>W866*$G$55</f>
        <v/>
      </c>
      <c r="Y867">
        <f>IF(Y866&gt;1E-9,IF(Y866*(1+$G$51)-MAX($B$9,0.01*Y866+Y866*$G$51)&gt;1E-9,Y866*(1+$G$51)-MAX($B$9,0.01*Y866+Y866*$G$51),0),0)</f>
        <v/>
      </c>
      <c r="Z867">
        <f>Y866*$G$51</f>
        <v/>
      </c>
      <c r="AA867">
        <f>IF(AA866&gt;1E-9,IF(AA866*(1+$G$52)-MAX($B$9,0.01*AA866+AA866*$G$52)&gt;1E-9,AA866*(1+$G$52)-MAX($B$9,0.01*AA866+AA866*$G$52),0),0)</f>
        <v/>
      </c>
      <c r="AB867">
        <f>AA866*$G$52</f>
        <v/>
      </c>
      <c r="AC867">
        <f>IF(AC866&gt;1E-9,IF(AC866*(1+$G$53)-MAX($B$9,0.01*AC866+AC866*$G$53)&gt;1E-9,AC866*(1+$G$53)-MAX($B$9,0.01*AC866+AC866*$G$53),0),0)</f>
        <v/>
      </c>
      <c r="AD867">
        <f>AC866*$G$53</f>
        <v/>
      </c>
      <c r="AE867">
        <f>IF(AE866&gt;1E-9,IF(AE866*(1+$G$54)-MAX($B$9,0.01*AE866+AE866*$G$54)&gt;1E-9,AE866*(1+$G$54)-MAX($B$9,0.01*AE866+AE866*$G$54),0),0)</f>
        <v/>
      </c>
      <c r="AF867">
        <f>AE866*$G$54</f>
        <v/>
      </c>
      <c r="AG867">
        <f>IF(AG866&gt;1E-9,IF(AG866*(1+$G$55)-MAX($B$9,0.01*AG866+AG866*$G$55)&gt;1E-9,AG866*(1+$G$55)-MAX($B$9,0.01*AG866+AG866*$G$55),0),0)</f>
        <v/>
      </c>
      <c r="AH867">
        <f>AG866*$G$55</f>
        <v/>
      </c>
      <c r="AI867">
        <f>G867+K867+O867+S867+W867</f>
        <v/>
      </c>
      <c r="AJ867">
        <f>AI866+AK867-AI867</f>
        <v/>
      </c>
      <c r="AK867">
        <f>H867+L867+P867+T867+X867</f>
        <v/>
      </c>
      <c r="AL867">
        <f>TEXT(EDATE($B$5,D867-1),"mmm yyyy")</f>
        <v/>
      </c>
      <c r="AM867">
        <f>AI867</f>
        <v/>
      </c>
    </row>
    <row r="868">
      <c r="D868" t="n">
        <v>807</v>
      </c>
      <c r="E868">
        <f>IF(G867&gt;0,MAX(0,G867*(1+$G$51)-$H$51),0)</f>
        <v/>
      </c>
      <c r="F868">
        <f>$B$6+IF($D868=$B$8,$B$7,0)</f>
        <v/>
      </c>
      <c r="G868">
        <f>IF(E868-F868&gt;1E-9,E868-F868,0)</f>
        <v/>
      </c>
      <c r="H868">
        <f>G867*$G$51</f>
        <v/>
      </c>
      <c r="I868">
        <f>IF(K867&gt;0,MAX(0,K867*(1+$G$52)-$H$52),0)</f>
        <v/>
      </c>
      <c r="J868">
        <f>MAX(0,F868-E868)</f>
        <v/>
      </c>
      <c r="K868">
        <f>IF(I868-J868&gt;1E-9,I868-J868,0)</f>
        <v/>
      </c>
      <c r="L868">
        <f>K867*$G$52</f>
        <v/>
      </c>
      <c r="M868">
        <f>IF(O867&gt;0,MAX(0,O867*(1+$G$53)-$H$53),0)</f>
        <v/>
      </c>
      <c r="N868">
        <f>MAX(0,J868-I868)</f>
        <v/>
      </c>
      <c r="O868">
        <f>IF(M868-N868&gt;1E-9,M868-N868,0)</f>
        <v/>
      </c>
      <c r="P868">
        <f>O867*$G$53</f>
        <v/>
      </c>
      <c r="Q868">
        <f>IF(S867&gt;0,MAX(0,S867*(1+$G$54)-$H$54),0)</f>
        <v/>
      </c>
      <c r="R868">
        <f>MAX(0,N868-M868)</f>
        <v/>
      </c>
      <c r="S868">
        <f>IF(Q868-R868&gt;1E-9,Q868-R868,0)</f>
        <v/>
      </c>
      <c r="T868">
        <f>S867*$G$54</f>
        <v/>
      </c>
      <c r="U868">
        <f>IF(W867&gt;0,MAX(0,W867*(1+$G$55)-$H$55),0)</f>
        <v/>
      </c>
      <c r="V868">
        <f>MAX(0,R868-Q868)</f>
        <v/>
      </c>
      <c r="W868">
        <f>IF(U868-V868&gt;1E-9,U868-V868,0)</f>
        <v/>
      </c>
      <c r="X868">
        <f>W867*$G$55</f>
        <v/>
      </c>
      <c r="Y868">
        <f>IF(Y867&gt;1E-9,IF(Y867*(1+$G$51)-MAX($B$9,0.01*Y867+Y867*$G$51)&gt;1E-9,Y867*(1+$G$51)-MAX($B$9,0.01*Y867+Y867*$G$51),0),0)</f>
        <v/>
      </c>
      <c r="Z868">
        <f>Y867*$G$51</f>
        <v/>
      </c>
      <c r="AA868">
        <f>IF(AA867&gt;1E-9,IF(AA867*(1+$G$52)-MAX($B$9,0.01*AA867+AA867*$G$52)&gt;1E-9,AA867*(1+$G$52)-MAX($B$9,0.01*AA867+AA867*$G$52),0),0)</f>
        <v/>
      </c>
      <c r="AB868">
        <f>AA867*$G$52</f>
        <v/>
      </c>
      <c r="AC868">
        <f>IF(AC867&gt;1E-9,IF(AC867*(1+$G$53)-MAX($B$9,0.01*AC867+AC867*$G$53)&gt;1E-9,AC867*(1+$G$53)-MAX($B$9,0.01*AC867+AC867*$G$53),0),0)</f>
        <v/>
      </c>
      <c r="AD868">
        <f>AC867*$G$53</f>
        <v/>
      </c>
      <c r="AE868">
        <f>IF(AE867&gt;1E-9,IF(AE867*(1+$G$54)-MAX($B$9,0.01*AE867+AE867*$G$54)&gt;1E-9,AE867*(1+$G$54)-MAX($B$9,0.01*AE867+AE867*$G$54),0),0)</f>
        <v/>
      </c>
      <c r="AF868">
        <f>AE867*$G$54</f>
        <v/>
      </c>
      <c r="AG868">
        <f>IF(AG867&gt;1E-9,IF(AG867*(1+$G$55)-MAX($B$9,0.01*AG867+AG867*$G$55)&gt;1E-9,AG867*(1+$G$55)-MAX($B$9,0.01*AG867+AG867*$G$55),0),0)</f>
        <v/>
      </c>
      <c r="AH868">
        <f>AG867*$G$55</f>
        <v/>
      </c>
      <c r="AI868">
        <f>G868+K868+O868+S868+W868</f>
        <v/>
      </c>
      <c r="AJ868">
        <f>AI867+AK868-AI868</f>
        <v/>
      </c>
      <c r="AK868">
        <f>H868+L868+P868+T868+X868</f>
        <v/>
      </c>
      <c r="AL868">
        <f>TEXT(EDATE($B$5,D868-1),"mmm yyyy")</f>
        <v/>
      </c>
      <c r="AM868">
        <f>AI868</f>
        <v/>
      </c>
    </row>
    <row r="869">
      <c r="D869" t="n">
        <v>808</v>
      </c>
      <c r="E869">
        <f>IF(G868&gt;0,MAX(0,G868*(1+$G$51)-$H$51),0)</f>
        <v/>
      </c>
      <c r="F869">
        <f>$B$6+IF($D869=$B$8,$B$7,0)</f>
        <v/>
      </c>
      <c r="G869">
        <f>IF(E869-F869&gt;1E-9,E869-F869,0)</f>
        <v/>
      </c>
      <c r="H869">
        <f>G868*$G$51</f>
        <v/>
      </c>
      <c r="I869">
        <f>IF(K868&gt;0,MAX(0,K868*(1+$G$52)-$H$52),0)</f>
        <v/>
      </c>
      <c r="J869">
        <f>MAX(0,F869-E869)</f>
        <v/>
      </c>
      <c r="K869">
        <f>IF(I869-J869&gt;1E-9,I869-J869,0)</f>
        <v/>
      </c>
      <c r="L869">
        <f>K868*$G$52</f>
        <v/>
      </c>
      <c r="M869">
        <f>IF(O868&gt;0,MAX(0,O868*(1+$G$53)-$H$53),0)</f>
        <v/>
      </c>
      <c r="N869">
        <f>MAX(0,J869-I869)</f>
        <v/>
      </c>
      <c r="O869">
        <f>IF(M869-N869&gt;1E-9,M869-N869,0)</f>
        <v/>
      </c>
      <c r="P869">
        <f>O868*$G$53</f>
        <v/>
      </c>
      <c r="Q869">
        <f>IF(S868&gt;0,MAX(0,S868*(1+$G$54)-$H$54),0)</f>
        <v/>
      </c>
      <c r="R869">
        <f>MAX(0,N869-M869)</f>
        <v/>
      </c>
      <c r="S869">
        <f>IF(Q869-R869&gt;1E-9,Q869-R869,0)</f>
        <v/>
      </c>
      <c r="T869">
        <f>S868*$G$54</f>
        <v/>
      </c>
      <c r="U869">
        <f>IF(W868&gt;0,MAX(0,W868*(1+$G$55)-$H$55),0)</f>
        <v/>
      </c>
      <c r="V869">
        <f>MAX(0,R869-Q869)</f>
        <v/>
      </c>
      <c r="W869">
        <f>IF(U869-V869&gt;1E-9,U869-V869,0)</f>
        <v/>
      </c>
      <c r="X869">
        <f>W868*$G$55</f>
        <v/>
      </c>
      <c r="Y869">
        <f>IF(Y868&gt;1E-9,IF(Y868*(1+$G$51)-MAX($B$9,0.01*Y868+Y868*$G$51)&gt;1E-9,Y868*(1+$G$51)-MAX($B$9,0.01*Y868+Y868*$G$51),0),0)</f>
        <v/>
      </c>
      <c r="Z869">
        <f>Y868*$G$51</f>
        <v/>
      </c>
      <c r="AA869">
        <f>IF(AA868&gt;1E-9,IF(AA868*(1+$G$52)-MAX($B$9,0.01*AA868+AA868*$G$52)&gt;1E-9,AA868*(1+$G$52)-MAX($B$9,0.01*AA868+AA868*$G$52),0),0)</f>
        <v/>
      </c>
      <c r="AB869">
        <f>AA868*$G$52</f>
        <v/>
      </c>
      <c r="AC869">
        <f>IF(AC868&gt;1E-9,IF(AC868*(1+$G$53)-MAX($B$9,0.01*AC868+AC868*$G$53)&gt;1E-9,AC868*(1+$G$53)-MAX($B$9,0.01*AC868+AC868*$G$53),0),0)</f>
        <v/>
      </c>
      <c r="AD869">
        <f>AC868*$G$53</f>
        <v/>
      </c>
      <c r="AE869">
        <f>IF(AE868&gt;1E-9,IF(AE868*(1+$G$54)-MAX($B$9,0.01*AE868+AE868*$G$54)&gt;1E-9,AE868*(1+$G$54)-MAX($B$9,0.01*AE868+AE868*$G$54),0),0)</f>
        <v/>
      </c>
      <c r="AF869">
        <f>AE868*$G$54</f>
        <v/>
      </c>
      <c r="AG869">
        <f>IF(AG868&gt;1E-9,IF(AG868*(1+$G$55)-MAX($B$9,0.01*AG868+AG868*$G$55)&gt;1E-9,AG868*(1+$G$55)-MAX($B$9,0.01*AG868+AG868*$G$55),0),0)</f>
        <v/>
      </c>
      <c r="AH869">
        <f>AG868*$G$55</f>
        <v/>
      </c>
      <c r="AI869">
        <f>G869+K869+O869+S869+W869</f>
        <v/>
      </c>
      <c r="AJ869">
        <f>AI868+AK869-AI869</f>
        <v/>
      </c>
      <c r="AK869">
        <f>H869+L869+P869+T869+X869</f>
        <v/>
      </c>
      <c r="AL869">
        <f>TEXT(EDATE($B$5,D869-1),"mmm yyyy")</f>
        <v/>
      </c>
      <c r="AM869">
        <f>AI869</f>
        <v/>
      </c>
    </row>
    <row r="870">
      <c r="D870" t="n">
        <v>809</v>
      </c>
      <c r="E870">
        <f>IF(G869&gt;0,MAX(0,G869*(1+$G$51)-$H$51),0)</f>
        <v/>
      </c>
      <c r="F870">
        <f>$B$6+IF($D870=$B$8,$B$7,0)</f>
        <v/>
      </c>
      <c r="G870">
        <f>IF(E870-F870&gt;1E-9,E870-F870,0)</f>
        <v/>
      </c>
      <c r="H870">
        <f>G869*$G$51</f>
        <v/>
      </c>
      <c r="I870">
        <f>IF(K869&gt;0,MAX(0,K869*(1+$G$52)-$H$52),0)</f>
        <v/>
      </c>
      <c r="J870">
        <f>MAX(0,F870-E870)</f>
        <v/>
      </c>
      <c r="K870">
        <f>IF(I870-J870&gt;1E-9,I870-J870,0)</f>
        <v/>
      </c>
      <c r="L870">
        <f>K869*$G$52</f>
        <v/>
      </c>
      <c r="M870">
        <f>IF(O869&gt;0,MAX(0,O869*(1+$G$53)-$H$53),0)</f>
        <v/>
      </c>
      <c r="N870">
        <f>MAX(0,J870-I870)</f>
        <v/>
      </c>
      <c r="O870">
        <f>IF(M870-N870&gt;1E-9,M870-N870,0)</f>
        <v/>
      </c>
      <c r="P870">
        <f>O869*$G$53</f>
        <v/>
      </c>
      <c r="Q870">
        <f>IF(S869&gt;0,MAX(0,S869*(1+$G$54)-$H$54),0)</f>
        <v/>
      </c>
      <c r="R870">
        <f>MAX(0,N870-M870)</f>
        <v/>
      </c>
      <c r="S870">
        <f>IF(Q870-R870&gt;1E-9,Q870-R870,0)</f>
        <v/>
      </c>
      <c r="T870">
        <f>S869*$G$54</f>
        <v/>
      </c>
      <c r="U870">
        <f>IF(W869&gt;0,MAX(0,W869*(1+$G$55)-$H$55),0)</f>
        <v/>
      </c>
      <c r="V870">
        <f>MAX(0,R870-Q870)</f>
        <v/>
      </c>
      <c r="W870">
        <f>IF(U870-V870&gt;1E-9,U870-V870,0)</f>
        <v/>
      </c>
      <c r="X870">
        <f>W869*$G$55</f>
        <v/>
      </c>
      <c r="Y870">
        <f>IF(Y869&gt;1E-9,IF(Y869*(1+$G$51)-MAX($B$9,0.01*Y869+Y869*$G$51)&gt;1E-9,Y869*(1+$G$51)-MAX($B$9,0.01*Y869+Y869*$G$51),0),0)</f>
        <v/>
      </c>
      <c r="Z870">
        <f>Y869*$G$51</f>
        <v/>
      </c>
      <c r="AA870">
        <f>IF(AA869&gt;1E-9,IF(AA869*(1+$G$52)-MAX($B$9,0.01*AA869+AA869*$G$52)&gt;1E-9,AA869*(1+$G$52)-MAX($B$9,0.01*AA869+AA869*$G$52),0),0)</f>
        <v/>
      </c>
      <c r="AB870">
        <f>AA869*$G$52</f>
        <v/>
      </c>
      <c r="AC870">
        <f>IF(AC869&gt;1E-9,IF(AC869*(1+$G$53)-MAX($B$9,0.01*AC869+AC869*$G$53)&gt;1E-9,AC869*(1+$G$53)-MAX($B$9,0.01*AC869+AC869*$G$53),0),0)</f>
        <v/>
      </c>
      <c r="AD870">
        <f>AC869*$G$53</f>
        <v/>
      </c>
      <c r="AE870">
        <f>IF(AE869&gt;1E-9,IF(AE869*(1+$G$54)-MAX($B$9,0.01*AE869+AE869*$G$54)&gt;1E-9,AE869*(1+$G$54)-MAX($B$9,0.01*AE869+AE869*$G$54),0),0)</f>
        <v/>
      </c>
      <c r="AF870">
        <f>AE869*$G$54</f>
        <v/>
      </c>
      <c r="AG870">
        <f>IF(AG869&gt;1E-9,IF(AG869*(1+$G$55)-MAX($B$9,0.01*AG869+AG869*$G$55)&gt;1E-9,AG869*(1+$G$55)-MAX($B$9,0.01*AG869+AG869*$G$55),0),0)</f>
        <v/>
      </c>
      <c r="AH870">
        <f>AG869*$G$55</f>
        <v/>
      </c>
      <c r="AI870">
        <f>G870+K870+O870+S870+W870</f>
        <v/>
      </c>
      <c r="AJ870">
        <f>AI869+AK870-AI870</f>
        <v/>
      </c>
      <c r="AK870">
        <f>H870+L870+P870+T870+X870</f>
        <v/>
      </c>
      <c r="AL870">
        <f>TEXT(EDATE($B$5,D870-1),"mmm yyyy")</f>
        <v/>
      </c>
      <c r="AM870">
        <f>AI870</f>
        <v/>
      </c>
    </row>
    <row r="871">
      <c r="D871" t="n">
        <v>810</v>
      </c>
      <c r="E871">
        <f>IF(G870&gt;0,MAX(0,G870*(1+$G$51)-$H$51),0)</f>
        <v/>
      </c>
      <c r="F871">
        <f>$B$6+IF($D871=$B$8,$B$7,0)</f>
        <v/>
      </c>
      <c r="G871">
        <f>IF(E871-F871&gt;1E-9,E871-F871,0)</f>
        <v/>
      </c>
      <c r="H871">
        <f>G870*$G$51</f>
        <v/>
      </c>
      <c r="I871">
        <f>IF(K870&gt;0,MAX(0,K870*(1+$G$52)-$H$52),0)</f>
        <v/>
      </c>
      <c r="J871">
        <f>MAX(0,F871-E871)</f>
        <v/>
      </c>
      <c r="K871">
        <f>IF(I871-J871&gt;1E-9,I871-J871,0)</f>
        <v/>
      </c>
      <c r="L871">
        <f>K870*$G$52</f>
        <v/>
      </c>
      <c r="M871">
        <f>IF(O870&gt;0,MAX(0,O870*(1+$G$53)-$H$53),0)</f>
        <v/>
      </c>
      <c r="N871">
        <f>MAX(0,J871-I871)</f>
        <v/>
      </c>
      <c r="O871">
        <f>IF(M871-N871&gt;1E-9,M871-N871,0)</f>
        <v/>
      </c>
      <c r="P871">
        <f>O870*$G$53</f>
        <v/>
      </c>
      <c r="Q871">
        <f>IF(S870&gt;0,MAX(0,S870*(1+$G$54)-$H$54),0)</f>
        <v/>
      </c>
      <c r="R871">
        <f>MAX(0,N871-M871)</f>
        <v/>
      </c>
      <c r="S871">
        <f>IF(Q871-R871&gt;1E-9,Q871-R871,0)</f>
        <v/>
      </c>
      <c r="T871">
        <f>S870*$G$54</f>
        <v/>
      </c>
      <c r="U871">
        <f>IF(W870&gt;0,MAX(0,W870*(1+$G$55)-$H$55),0)</f>
        <v/>
      </c>
      <c r="V871">
        <f>MAX(0,R871-Q871)</f>
        <v/>
      </c>
      <c r="W871">
        <f>IF(U871-V871&gt;1E-9,U871-V871,0)</f>
        <v/>
      </c>
      <c r="X871">
        <f>W870*$G$55</f>
        <v/>
      </c>
      <c r="Y871">
        <f>IF(Y870&gt;1E-9,IF(Y870*(1+$G$51)-MAX($B$9,0.01*Y870+Y870*$G$51)&gt;1E-9,Y870*(1+$G$51)-MAX($B$9,0.01*Y870+Y870*$G$51),0),0)</f>
        <v/>
      </c>
      <c r="Z871">
        <f>Y870*$G$51</f>
        <v/>
      </c>
      <c r="AA871">
        <f>IF(AA870&gt;1E-9,IF(AA870*(1+$G$52)-MAX($B$9,0.01*AA870+AA870*$G$52)&gt;1E-9,AA870*(1+$G$52)-MAX($B$9,0.01*AA870+AA870*$G$52),0),0)</f>
        <v/>
      </c>
      <c r="AB871">
        <f>AA870*$G$52</f>
        <v/>
      </c>
      <c r="AC871">
        <f>IF(AC870&gt;1E-9,IF(AC870*(1+$G$53)-MAX($B$9,0.01*AC870+AC870*$G$53)&gt;1E-9,AC870*(1+$G$53)-MAX($B$9,0.01*AC870+AC870*$G$53),0),0)</f>
        <v/>
      </c>
      <c r="AD871">
        <f>AC870*$G$53</f>
        <v/>
      </c>
      <c r="AE871">
        <f>IF(AE870&gt;1E-9,IF(AE870*(1+$G$54)-MAX($B$9,0.01*AE870+AE870*$G$54)&gt;1E-9,AE870*(1+$G$54)-MAX($B$9,0.01*AE870+AE870*$G$54),0),0)</f>
        <v/>
      </c>
      <c r="AF871">
        <f>AE870*$G$54</f>
        <v/>
      </c>
      <c r="AG871">
        <f>IF(AG870&gt;1E-9,IF(AG870*(1+$G$55)-MAX($B$9,0.01*AG870+AG870*$G$55)&gt;1E-9,AG870*(1+$G$55)-MAX($B$9,0.01*AG870+AG870*$G$55),0),0)</f>
        <v/>
      </c>
      <c r="AH871">
        <f>AG870*$G$55</f>
        <v/>
      </c>
      <c r="AI871">
        <f>G871+K871+O871+S871+W871</f>
        <v/>
      </c>
      <c r="AJ871">
        <f>AI870+AK871-AI871</f>
        <v/>
      </c>
      <c r="AK871">
        <f>H871+L871+P871+T871+X871</f>
        <v/>
      </c>
      <c r="AL871">
        <f>TEXT(EDATE($B$5,D871-1),"mmm yyyy")</f>
        <v/>
      </c>
      <c r="AM871">
        <f>AI871</f>
        <v/>
      </c>
    </row>
    <row r="872">
      <c r="D872" t="n">
        <v>811</v>
      </c>
      <c r="E872">
        <f>IF(G871&gt;0,MAX(0,G871*(1+$G$51)-$H$51),0)</f>
        <v/>
      </c>
      <c r="F872">
        <f>$B$6+IF($D872=$B$8,$B$7,0)</f>
        <v/>
      </c>
      <c r="G872">
        <f>IF(E872-F872&gt;1E-9,E872-F872,0)</f>
        <v/>
      </c>
      <c r="H872">
        <f>G871*$G$51</f>
        <v/>
      </c>
      <c r="I872">
        <f>IF(K871&gt;0,MAX(0,K871*(1+$G$52)-$H$52),0)</f>
        <v/>
      </c>
      <c r="J872">
        <f>MAX(0,F872-E872)</f>
        <v/>
      </c>
      <c r="K872">
        <f>IF(I872-J872&gt;1E-9,I872-J872,0)</f>
        <v/>
      </c>
      <c r="L872">
        <f>K871*$G$52</f>
        <v/>
      </c>
      <c r="M872">
        <f>IF(O871&gt;0,MAX(0,O871*(1+$G$53)-$H$53),0)</f>
        <v/>
      </c>
      <c r="N872">
        <f>MAX(0,J872-I872)</f>
        <v/>
      </c>
      <c r="O872">
        <f>IF(M872-N872&gt;1E-9,M872-N872,0)</f>
        <v/>
      </c>
      <c r="P872">
        <f>O871*$G$53</f>
        <v/>
      </c>
      <c r="Q872">
        <f>IF(S871&gt;0,MAX(0,S871*(1+$G$54)-$H$54),0)</f>
        <v/>
      </c>
      <c r="R872">
        <f>MAX(0,N872-M872)</f>
        <v/>
      </c>
      <c r="S872">
        <f>IF(Q872-R872&gt;1E-9,Q872-R872,0)</f>
        <v/>
      </c>
      <c r="T872">
        <f>S871*$G$54</f>
        <v/>
      </c>
      <c r="U872">
        <f>IF(W871&gt;0,MAX(0,W871*(1+$G$55)-$H$55),0)</f>
        <v/>
      </c>
      <c r="V872">
        <f>MAX(0,R872-Q872)</f>
        <v/>
      </c>
      <c r="W872">
        <f>IF(U872-V872&gt;1E-9,U872-V872,0)</f>
        <v/>
      </c>
      <c r="X872">
        <f>W871*$G$55</f>
        <v/>
      </c>
      <c r="Y872">
        <f>IF(Y871&gt;1E-9,IF(Y871*(1+$G$51)-MAX($B$9,0.01*Y871+Y871*$G$51)&gt;1E-9,Y871*(1+$G$51)-MAX($B$9,0.01*Y871+Y871*$G$51),0),0)</f>
        <v/>
      </c>
      <c r="Z872">
        <f>Y871*$G$51</f>
        <v/>
      </c>
      <c r="AA872">
        <f>IF(AA871&gt;1E-9,IF(AA871*(1+$G$52)-MAX($B$9,0.01*AA871+AA871*$G$52)&gt;1E-9,AA871*(1+$G$52)-MAX($B$9,0.01*AA871+AA871*$G$52),0),0)</f>
        <v/>
      </c>
      <c r="AB872">
        <f>AA871*$G$52</f>
        <v/>
      </c>
      <c r="AC872">
        <f>IF(AC871&gt;1E-9,IF(AC871*(1+$G$53)-MAX($B$9,0.01*AC871+AC871*$G$53)&gt;1E-9,AC871*(1+$G$53)-MAX($B$9,0.01*AC871+AC871*$G$53),0),0)</f>
        <v/>
      </c>
      <c r="AD872">
        <f>AC871*$G$53</f>
        <v/>
      </c>
      <c r="AE872">
        <f>IF(AE871&gt;1E-9,IF(AE871*(1+$G$54)-MAX($B$9,0.01*AE871+AE871*$G$54)&gt;1E-9,AE871*(1+$G$54)-MAX($B$9,0.01*AE871+AE871*$G$54),0),0)</f>
        <v/>
      </c>
      <c r="AF872">
        <f>AE871*$G$54</f>
        <v/>
      </c>
      <c r="AG872">
        <f>IF(AG871&gt;1E-9,IF(AG871*(1+$G$55)-MAX($B$9,0.01*AG871+AG871*$G$55)&gt;1E-9,AG871*(1+$G$55)-MAX($B$9,0.01*AG871+AG871*$G$55),0),0)</f>
        <v/>
      </c>
      <c r="AH872">
        <f>AG871*$G$55</f>
        <v/>
      </c>
      <c r="AI872">
        <f>G872+K872+O872+S872+W872</f>
        <v/>
      </c>
      <c r="AJ872">
        <f>AI871+AK872-AI872</f>
        <v/>
      </c>
      <c r="AK872">
        <f>H872+L872+P872+T872+X872</f>
        <v/>
      </c>
      <c r="AL872">
        <f>TEXT(EDATE($B$5,D872-1),"mmm yyyy")</f>
        <v/>
      </c>
      <c r="AM872">
        <f>AI872</f>
        <v/>
      </c>
    </row>
    <row r="873">
      <c r="D873" t="n">
        <v>812</v>
      </c>
      <c r="E873">
        <f>IF(G872&gt;0,MAX(0,G872*(1+$G$51)-$H$51),0)</f>
        <v/>
      </c>
      <c r="F873">
        <f>$B$6+IF($D873=$B$8,$B$7,0)</f>
        <v/>
      </c>
      <c r="G873">
        <f>IF(E873-F873&gt;1E-9,E873-F873,0)</f>
        <v/>
      </c>
      <c r="H873">
        <f>G872*$G$51</f>
        <v/>
      </c>
      <c r="I873">
        <f>IF(K872&gt;0,MAX(0,K872*(1+$G$52)-$H$52),0)</f>
        <v/>
      </c>
      <c r="J873">
        <f>MAX(0,F873-E873)</f>
        <v/>
      </c>
      <c r="K873">
        <f>IF(I873-J873&gt;1E-9,I873-J873,0)</f>
        <v/>
      </c>
      <c r="L873">
        <f>K872*$G$52</f>
        <v/>
      </c>
      <c r="M873">
        <f>IF(O872&gt;0,MAX(0,O872*(1+$G$53)-$H$53),0)</f>
        <v/>
      </c>
      <c r="N873">
        <f>MAX(0,J873-I873)</f>
        <v/>
      </c>
      <c r="O873">
        <f>IF(M873-N873&gt;1E-9,M873-N873,0)</f>
        <v/>
      </c>
      <c r="P873">
        <f>O872*$G$53</f>
        <v/>
      </c>
      <c r="Q873">
        <f>IF(S872&gt;0,MAX(0,S872*(1+$G$54)-$H$54),0)</f>
        <v/>
      </c>
      <c r="R873">
        <f>MAX(0,N873-M873)</f>
        <v/>
      </c>
      <c r="S873">
        <f>IF(Q873-R873&gt;1E-9,Q873-R873,0)</f>
        <v/>
      </c>
      <c r="T873">
        <f>S872*$G$54</f>
        <v/>
      </c>
      <c r="U873">
        <f>IF(W872&gt;0,MAX(0,W872*(1+$G$55)-$H$55),0)</f>
        <v/>
      </c>
      <c r="V873">
        <f>MAX(0,R873-Q873)</f>
        <v/>
      </c>
      <c r="W873">
        <f>IF(U873-V873&gt;1E-9,U873-V873,0)</f>
        <v/>
      </c>
      <c r="X873">
        <f>W872*$G$55</f>
        <v/>
      </c>
      <c r="Y873">
        <f>IF(Y872&gt;1E-9,IF(Y872*(1+$G$51)-MAX($B$9,0.01*Y872+Y872*$G$51)&gt;1E-9,Y872*(1+$G$51)-MAX($B$9,0.01*Y872+Y872*$G$51),0),0)</f>
        <v/>
      </c>
      <c r="Z873">
        <f>Y872*$G$51</f>
        <v/>
      </c>
      <c r="AA873">
        <f>IF(AA872&gt;1E-9,IF(AA872*(1+$G$52)-MAX($B$9,0.01*AA872+AA872*$G$52)&gt;1E-9,AA872*(1+$G$52)-MAX($B$9,0.01*AA872+AA872*$G$52),0),0)</f>
        <v/>
      </c>
      <c r="AB873">
        <f>AA872*$G$52</f>
        <v/>
      </c>
      <c r="AC873">
        <f>IF(AC872&gt;1E-9,IF(AC872*(1+$G$53)-MAX($B$9,0.01*AC872+AC872*$G$53)&gt;1E-9,AC872*(1+$G$53)-MAX($B$9,0.01*AC872+AC872*$G$53),0),0)</f>
        <v/>
      </c>
      <c r="AD873">
        <f>AC872*$G$53</f>
        <v/>
      </c>
      <c r="AE873">
        <f>IF(AE872&gt;1E-9,IF(AE872*(1+$G$54)-MAX($B$9,0.01*AE872+AE872*$G$54)&gt;1E-9,AE872*(1+$G$54)-MAX($B$9,0.01*AE872+AE872*$G$54),0),0)</f>
        <v/>
      </c>
      <c r="AF873">
        <f>AE872*$G$54</f>
        <v/>
      </c>
      <c r="AG873">
        <f>IF(AG872&gt;1E-9,IF(AG872*(1+$G$55)-MAX($B$9,0.01*AG872+AG872*$G$55)&gt;1E-9,AG872*(1+$G$55)-MAX($B$9,0.01*AG872+AG872*$G$55),0),0)</f>
        <v/>
      </c>
      <c r="AH873">
        <f>AG872*$G$55</f>
        <v/>
      </c>
      <c r="AI873">
        <f>G873+K873+O873+S873+W873</f>
        <v/>
      </c>
      <c r="AJ873">
        <f>AI872+AK873-AI873</f>
        <v/>
      </c>
      <c r="AK873">
        <f>H873+L873+P873+T873+X873</f>
        <v/>
      </c>
      <c r="AL873">
        <f>TEXT(EDATE($B$5,D873-1),"mmm yyyy")</f>
        <v/>
      </c>
      <c r="AM873">
        <f>AI873</f>
        <v/>
      </c>
    </row>
    <row r="874">
      <c r="D874" t="n">
        <v>813</v>
      </c>
      <c r="E874">
        <f>IF(G873&gt;0,MAX(0,G873*(1+$G$51)-$H$51),0)</f>
        <v/>
      </c>
      <c r="F874">
        <f>$B$6+IF($D874=$B$8,$B$7,0)</f>
        <v/>
      </c>
      <c r="G874">
        <f>IF(E874-F874&gt;1E-9,E874-F874,0)</f>
        <v/>
      </c>
      <c r="H874">
        <f>G873*$G$51</f>
        <v/>
      </c>
      <c r="I874">
        <f>IF(K873&gt;0,MAX(0,K873*(1+$G$52)-$H$52),0)</f>
        <v/>
      </c>
      <c r="J874">
        <f>MAX(0,F874-E874)</f>
        <v/>
      </c>
      <c r="K874">
        <f>IF(I874-J874&gt;1E-9,I874-J874,0)</f>
        <v/>
      </c>
      <c r="L874">
        <f>K873*$G$52</f>
        <v/>
      </c>
      <c r="M874">
        <f>IF(O873&gt;0,MAX(0,O873*(1+$G$53)-$H$53),0)</f>
        <v/>
      </c>
      <c r="N874">
        <f>MAX(0,J874-I874)</f>
        <v/>
      </c>
      <c r="O874">
        <f>IF(M874-N874&gt;1E-9,M874-N874,0)</f>
        <v/>
      </c>
      <c r="P874">
        <f>O873*$G$53</f>
        <v/>
      </c>
      <c r="Q874">
        <f>IF(S873&gt;0,MAX(0,S873*(1+$G$54)-$H$54),0)</f>
        <v/>
      </c>
      <c r="R874">
        <f>MAX(0,N874-M874)</f>
        <v/>
      </c>
      <c r="S874">
        <f>IF(Q874-R874&gt;1E-9,Q874-R874,0)</f>
        <v/>
      </c>
      <c r="T874">
        <f>S873*$G$54</f>
        <v/>
      </c>
      <c r="U874">
        <f>IF(W873&gt;0,MAX(0,W873*(1+$G$55)-$H$55),0)</f>
        <v/>
      </c>
      <c r="V874">
        <f>MAX(0,R874-Q874)</f>
        <v/>
      </c>
      <c r="W874">
        <f>IF(U874-V874&gt;1E-9,U874-V874,0)</f>
        <v/>
      </c>
      <c r="X874">
        <f>W873*$G$55</f>
        <v/>
      </c>
      <c r="Y874">
        <f>IF(Y873&gt;1E-9,IF(Y873*(1+$G$51)-MAX($B$9,0.01*Y873+Y873*$G$51)&gt;1E-9,Y873*(1+$G$51)-MAX($B$9,0.01*Y873+Y873*$G$51),0),0)</f>
        <v/>
      </c>
      <c r="Z874">
        <f>Y873*$G$51</f>
        <v/>
      </c>
      <c r="AA874">
        <f>IF(AA873&gt;1E-9,IF(AA873*(1+$G$52)-MAX($B$9,0.01*AA873+AA873*$G$52)&gt;1E-9,AA873*(1+$G$52)-MAX($B$9,0.01*AA873+AA873*$G$52),0),0)</f>
        <v/>
      </c>
      <c r="AB874">
        <f>AA873*$G$52</f>
        <v/>
      </c>
      <c r="AC874">
        <f>IF(AC873&gt;1E-9,IF(AC873*(1+$G$53)-MAX($B$9,0.01*AC873+AC873*$G$53)&gt;1E-9,AC873*(1+$G$53)-MAX($B$9,0.01*AC873+AC873*$G$53),0),0)</f>
        <v/>
      </c>
      <c r="AD874">
        <f>AC873*$G$53</f>
        <v/>
      </c>
      <c r="AE874">
        <f>IF(AE873&gt;1E-9,IF(AE873*(1+$G$54)-MAX($B$9,0.01*AE873+AE873*$G$54)&gt;1E-9,AE873*(1+$G$54)-MAX($B$9,0.01*AE873+AE873*$G$54),0),0)</f>
        <v/>
      </c>
      <c r="AF874">
        <f>AE873*$G$54</f>
        <v/>
      </c>
      <c r="AG874">
        <f>IF(AG873&gt;1E-9,IF(AG873*(1+$G$55)-MAX($B$9,0.01*AG873+AG873*$G$55)&gt;1E-9,AG873*(1+$G$55)-MAX($B$9,0.01*AG873+AG873*$G$55),0),0)</f>
        <v/>
      </c>
      <c r="AH874">
        <f>AG873*$G$55</f>
        <v/>
      </c>
      <c r="AI874">
        <f>G874+K874+O874+S874+W874</f>
        <v/>
      </c>
      <c r="AJ874">
        <f>AI873+AK874-AI874</f>
        <v/>
      </c>
      <c r="AK874">
        <f>H874+L874+P874+T874+X874</f>
        <v/>
      </c>
      <c r="AL874">
        <f>TEXT(EDATE($B$5,D874-1),"mmm yyyy")</f>
        <v/>
      </c>
      <c r="AM874">
        <f>AI874</f>
        <v/>
      </c>
    </row>
    <row r="875">
      <c r="D875" t="n">
        <v>814</v>
      </c>
      <c r="E875">
        <f>IF(G874&gt;0,MAX(0,G874*(1+$G$51)-$H$51),0)</f>
        <v/>
      </c>
      <c r="F875">
        <f>$B$6+IF($D875=$B$8,$B$7,0)</f>
        <v/>
      </c>
      <c r="G875">
        <f>IF(E875-F875&gt;1E-9,E875-F875,0)</f>
        <v/>
      </c>
      <c r="H875">
        <f>G874*$G$51</f>
        <v/>
      </c>
      <c r="I875">
        <f>IF(K874&gt;0,MAX(0,K874*(1+$G$52)-$H$52),0)</f>
        <v/>
      </c>
      <c r="J875">
        <f>MAX(0,F875-E875)</f>
        <v/>
      </c>
      <c r="K875">
        <f>IF(I875-J875&gt;1E-9,I875-J875,0)</f>
        <v/>
      </c>
      <c r="L875">
        <f>K874*$G$52</f>
        <v/>
      </c>
      <c r="M875">
        <f>IF(O874&gt;0,MAX(0,O874*(1+$G$53)-$H$53),0)</f>
        <v/>
      </c>
      <c r="N875">
        <f>MAX(0,J875-I875)</f>
        <v/>
      </c>
      <c r="O875">
        <f>IF(M875-N875&gt;1E-9,M875-N875,0)</f>
        <v/>
      </c>
      <c r="P875">
        <f>O874*$G$53</f>
        <v/>
      </c>
      <c r="Q875">
        <f>IF(S874&gt;0,MAX(0,S874*(1+$G$54)-$H$54),0)</f>
        <v/>
      </c>
      <c r="R875">
        <f>MAX(0,N875-M875)</f>
        <v/>
      </c>
      <c r="S875">
        <f>IF(Q875-R875&gt;1E-9,Q875-R875,0)</f>
        <v/>
      </c>
      <c r="T875">
        <f>S874*$G$54</f>
        <v/>
      </c>
      <c r="U875">
        <f>IF(W874&gt;0,MAX(0,W874*(1+$G$55)-$H$55),0)</f>
        <v/>
      </c>
      <c r="V875">
        <f>MAX(0,R875-Q875)</f>
        <v/>
      </c>
      <c r="W875">
        <f>IF(U875-V875&gt;1E-9,U875-V875,0)</f>
        <v/>
      </c>
      <c r="X875">
        <f>W874*$G$55</f>
        <v/>
      </c>
      <c r="Y875">
        <f>IF(Y874&gt;1E-9,IF(Y874*(1+$G$51)-MAX($B$9,0.01*Y874+Y874*$G$51)&gt;1E-9,Y874*(1+$G$51)-MAX($B$9,0.01*Y874+Y874*$G$51),0),0)</f>
        <v/>
      </c>
      <c r="Z875">
        <f>Y874*$G$51</f>
        <v/>
      </c>
      <c r="AA875">
        <f>IF(AA874&gt;1E-9,IF(AA874*(1+$G$52)-MAX($B$9,0.01*AA874+AA874*$G$52)&gt;1E-9,AA874*(1+$G$52)-MAX($B$9,0.01*AA874+AA874*$G$52),0),0)</f>
        <v/>
      </c>
      <c r="AB875">
        <f>AA874*$G$52</f>
        <v/>
      </c>
      <c r="AC875">
        <f>IF(AC874&gt;1E-9,IF(AC874*(1+$G$53)-MAX($B$9,0.01*AC874+AC874*$G$53)&gt;1E-9,AC874*(1+$G$53)-MAX($B$9,0.01*AC874+AC874*$G$53),0),0)</f>
        <v/>
      </c>
      <c r="AD875">
        <f>AC874*$G$53</f>
        <v/>
      </c>
      <c r="AE875">
        <f>IF(AE874&gt;1E-9,IF(AE874*(1+$G$54)-MAX($B$9,0.01*AE874+AE874*$G$54)&gt;1E-9,AE874*(1+$G$54)-MAX($B$9,0.01*AE874+AE874*$G$54),0),0)</f>
        <v/>
      </c>
      <c r="AF875">
        <f>AE874*$G$54</f>
        <v/>
      </c>
      <c r="AG875">
        <f>IF(AG874&gt;1E-9,IF(AG874*(1+$G$55)-MAX($B$9,0.01*AG874+AG874*$G$55)&gt;1E-9,AG874*(1+$G$55)-MAX($B$9,0.01*AG874+AG874*$G$55),0),0)</f>
        <v/>
      </c>
      <c r="AH875">
        <f>AG874*$G$55</f>
        <v/>
      </c>
      <c r="AI875">
        <f>G875+K875+O875+S875+W875</f>
        <v/>
      </c>
      <c r="AJ875">
        <f>AI874+AK875-AI875</f>
        <v/>
      </c>
      <c r="AK875">
        <f>H875+L875+P875+T875+X875</f>
        <v/>
      </c>
      <c r="AL875">
        <f>TEXT(EDATE($B$5,D875-1),"mmm yyyy")</f>
        <v/>
      </c>
      <c r="AM875">
        <f>AI875</f>
        <v/>
      </c>
    </row>
    <row r="876">
      <c r="D876" t="n">
        <v>815</v>
      </c>
      <c r="E876">
        <f>IF(G875&gt;0,MAX(0,G875*(1+$G$51)-$H$51),0)</f>
        <v/>
      </c>
      <c r="F876">
        <f>$B$6+IF($D876=$B$8,$B$7,0)</f>
        <v/>
      </c>
      <c r="G876">
        <f>IF(E876-F876&gt;1E-9,E876-F876,0)</f>
        <v/>
      </c>
      <c r="H876">
        <f>G875*$G$51</f>
        <v/>
      </c>
      <c r="I876">
        <f>IF(K875&gt;0,MAX(0,K875*(1+$G$52)-$H$52),0)</f>
        <v/>
      </c>
      <c r="J876">
        <f>MAX(0,F876-E876)</f>
        <v/>
      </c>
      <c r="K876">
        <f>IF(I876-J876&gt;1E-9,I876-J876,0)</f>
        <v/>
      </c>
      <c r="L876">
        <f>K875*$G$52</f>
        <v/>
      </c>
      <c r="M876">
        <f>IF(O875&gt;0,MAX(0,O875*(1+$G$53)-$H$53),0)</f>
        <v/>
      </c>
      <c r="N876">
        <f>MAX(0,J876-I876)</f>
        <v/>
      </c>
      <c r="O876">
        <f>IF(M876-N876&gt;1E-9,M876-N876,0)</f>
        <v/>
      </c>
      <c r="P876">
        <f>O875*$G$53</f>
        <v/>
      </c>
      <c r="Q876">
        <f>IF(S875&gt;0,MAX(0,S875*(1+$G$54)-$H$54),0)</f>
        <v/>
      </c>
      <c r="R876">
        <f>MAX(0,N876-M876)</f>
        <v/>
      </c>
      <c r="S876">
        <f>IF(Q876-R876&gt;1E-9,Q876-R876,0)</f>
        <v/>
      </c>
      <c r="T876">
        <f>S875*$G$54</f>
        <v/>
      </c>
      <c r="U876">
        <f>IF(W875&gt;0,MAX(0,W875*(1+$G$55)-$H$55),0)</f>
        <v/>
      </c>
      <c r="V876">
        <f>MAX(0,R876-Q876)</f>
        <v/>
      </c>
      <c r="W876">
        <f>IF(U876-V876&gt;1E-9,U876-V876,0)</f>
        <v/>
      </c>
      <c r="X876">
        <f>W875*$G$55</f>
        <v/>
      </c>
      <c r="Y876">
        <f>IF(Y875&gt;1E-9,IF(Y875*(1+$G$51)-MAX($B$9,0.01*Y875+Y875*$G$51)&gt;1E-9,Y875*(1+$G$51)-MAX($B$9,0.01*Y875+Y875*$G$51),0),0)</f>
        <v/>
      </c>
      <c r="Z876">
        <f>Y875*$G$51</f>
        <v/>
      </c>
      <c r="AA876">
        <f>IF(AA875&gt;1E-9,IF(AA875*(1+$G$52)-MAX($B$9,0.01*AA875+AA875*$G$52)&gt;1E-9,AA875*(1+$G$52)-MAX($B$9,0.01*AA875+AA875*$G$52),0),0)</f>
        <v/>
      </c>
      <c r="AB876">
        <f>AA875*$G$52</f>
        <v/>
      </c>
      <c r="AC876">
        <f>IF(AC875&gt;1E-9,IF(AC875*(1+$G$53)-MAX($B$9,0.01*AC875+AC875*$G$53)&gt;1E-9,AC875*(1+$G$53)-MAX($B$9,0.01*AC875+AC875*$G$53),0),0)</f>
        <v/>
      </c>
      <c r="AD876">
        <f>AC875*$G$53</f>
        <v/>
      </c>
      <c r="AE876">
        <f>IF(AE875&gt;1E-9,IF(AE875*(1+$G$54)-MAX($B$9,0.01*AE875+AE875*$G$54)&gt;1E-9,AE875*(1+$G$54)-MAX($B$9,0.01*AE875+AE875*$G$54),0),0)</f>
        <v/>
      </c>
      <c r="AF876">
        <f>AE875*$G$54</f>
        <v/>
      </c>
      <c r="AG876">
        <f>IF(AG875&gt;1E-9,IF(AG875*(1+$G$55)-MAX($B$9,0.01*AG875+AG875*$G$55)&gt;1E-9,AG875*(1+$G$55)-MAX($B$9,0.01*AG875+AG875*$G$55),0),0)</f>
        <v/>
      </c>
      <c r="AH876">
        <f>AG875*$G$55</f>
        <v/>
      </c>
      <c r="AI876">
        <f>G876+K876+O876+S876+W876</f>
        <v/>
      </c>
      <c r="AJ876">
        <f>AI875+AK876-AI876</f>
        <v/>
      </c>
      <c r="AK876">
        <f>H876+L876+P876+T876+X876</f>
        <v/>
      </c>
      <c r="AL876">
        <f>TEXT(EDATE($B$5,D876-1),"mmm yyyy")</f>
        <v/>
      </c>
      <c r="AM876">
        <f>AI876</f>
        <v/>
      </c>
    </row>
    <row r="877">
      <c r="D877" t="n">
        <v>816</v>
      </c>
      <c r="E877">
        <f>IF(G876&gt;0,MAX(0,G876*(1+$G$51)-$H$51),0)</f>
        <v/>
      </c>
      <c r="F877">
        <f>$B$6+IF($D877=$B$8,$B$7,0)</f>
        <v/>
      </c>
      <c r="G877">
        <f>IF(E877-F877&gt;1E-9,E877-F877,0)</f>
        <v/>
      </c>
      <c r="H877">
        <f>G876*$G$51</f>
        <v/>
      </c>
      <c r="I877">
        <f>IF(K876&gt;0,MAX(0,K876*(1+$G$52)-$H$52),0)</f>
        <v/>
      </c>
      <c r="J877">
        <f>MAX(0,F877-E877)</f>
        <v/>
      </c>
      <c r="K877">
        <f>IF(I877-J877&gt;1E-9,I877-J877,0)</f>
        <v/>
      </c>
      <c r="L877">
        <f>K876*$G$52</f>
        <v/>
      </c>
      <c r="M877">
        <f>IF(O876&gt;0,MAX(0,O876*(1+$G$53)-$H$53),0)</f>
        <v/>
      </c>
      <c r="N877">
        <f>MAX(0,J877-I877)</f>
        <v/>
      </c>
      <c r="O877">
        <f>IF(M877-N877&gt;1E-9,M877-N877,0)</f>
        <v/>
      </c>
      <c r="P877">
        <f>O876*$G$53</f>
        <v/>
      </c>
      <c r="Q877">
        <f>IF(S876&gt;0,MAX(0,S876*(1+$G$54)-$H$54),0)</f>
        <v/>
      </c>
      <c r="R877">
        <f>MAX(0,N877-M877)</f>
        <v/>
      </c>
      <c r="S877">
        <f>IF(Q877-R877&gt;1E-9,Q877-R877,0)</f>
        <v/>
      </c>
      <c r="T877">
        <f>S876*$G$54</f>
        <v/>
      </c>
      <c r="U877">
        <f>IF(W876&gt;0,MAX(0,W876*(1+$G$55)-$H$55),0)</f>
        <v/>
      </c>
      <c r="V877">
        <f>MAX(0,R877-Q877)</f>
        <v/>
      </c>
      <c r="W877">
        <f>IF(U877-V877&gt;1E-9,U877-V877,0)</f>
        <v/>
      </c>
      <c r="X877">
        <f>W876*$G$55</f>
        <v/>
      </c>
      <c r="Y877">
        <f>IF(Y876&gt;1E-9,IF(Y876*(1+$G$51)-MAX($B$9,0.01*Y876+Y876*$G$51)&gt;1E-9,Y876*(1+$G$51)-MAX($B$9,0.01*Y876+Y876*$G$51),0),0)</f>
        <v/>
      </c>
      <c r="Z877">
        <f>Y876*$G$51</f>
        <v/>
      </c>
      <c r="AA877">
        <f>IF(AA876&gt;1E-9,IF(AA876*(1+$G$52)-MAX($B$9,0.01*AA876+AA876*$G$52)&gt;1E-9,AA876*(1+$G$52)-MAX($B$9,0.01*AA876+AA876*$G$52),0),0)</f>
        <v/>
      </c>
      <c r="AB877">
        <f>AA876*$G$52</f>
        <v/>
      </c>
      <c r="AC877">
        <f>IF(AC876&gt;1E-9,IF(AC876*(1+$G$53)-MAX($B$9,0.01*AC876+AC876*$G$53)&gt;1E-9,AC876*(1+$G$53)-MAX($B$9,0.01*AC876+AC876*$G$53),0),0)</f>
        <v/>
      </c>
      <c r="AD877">
        <f>AC876*$G$53</f>
        <v/>
      </c>
      <c r="AE877">
        <f>IF(AE876&gt;1E-9,IF(AE876*(1+$G$54)-MAX($B$9,0.01*AE876+AE876*$G$54)&gt;1E-9,AE876*(1+$G$54)-MAX($B$9,0.01*AE876+AE876*$G$54),0),0)</f>
        <v/>
      </c>
      <c r="AF877">
        <f>AE876*$G$54</f>
        <v/>
      </c>
      <c r="AG877">
        <f>IF(AG876&gt;1E-9,IF(AG876*(1+$G$55)-MAX($B$9,0.01*AG876+AG876*$G$55)&gt;1E-9,AG876*(1+$G$55)-MAX($B$9,0.01*AG876+AG876*$G$55),0),0)</f>
        <v/>
      </c>
      <c r="AH877">
        <f>AG876*$G$55</f>
        <v/>
      </c>
      <c r="AI877">
        <f>G877+K877+O877+S877+W877</f>
        <v/>
      </c>
      <c r="AJ877">
        <f>AI876+AK877-AI877</f>
        <v/>
      </c>
      <c r="AK877">
        <f>H877+L877+P877+T877+X877</f>
        <v/>
      </c>
      <c r="AL877">
        <f>TEXT(EDATE($B$5,D877-1),"mmm yyyy")</f>
        <v/>
      </c>
      <c r="AM877">
        <f>AI877</f>
        <v/>
      </c>
    </row>
    <row r="878">
      <c r="D878" t="n">
        <v>817</v>
      </c>
      <c r="E878">
        <f>IF(G877&gt;0,MAX(0,G877*(1+$G$51)-$H$51),0)</f>
        <v/>
      </c>
      <c r="F878">
        <f>$B$6+IF($D878=$B$8,$B$7,0)</f>
        <v/>
      </c>
      <c r="G878">
        <f>IF(E878-F878&gt;1E-9,E878-F878,0)</f>
        <v/>
      </c>
      <c r="H878">
        <f>G877*$G$51</f>
        <v/>
      </c>
      <c r="I878">
        <f>IF(K877&gt;0,MAX(0,K877*(1+$G$52)-$H$52),0)</f>
        <v/>
      </c>
      <c r="J878">
        <f>MAX(0,F878-E878)</f>
        <v/>
      </c>
      <c r="K878">
        <f>IF(I878-J878&gt;1E-9,I878-J878,0)</f>
        <v/>
      </c>
      <c r="L878">
        <f>K877*$G$52</f>
        <v/>
      </c>
      <c r="M878">
        <f>IF(O877&gt;0,MAX(0,O877*(1+$G$53)-$H$53),0)</f>
        <v/>
      </c>
      <c r="N878">
        <f>MAX(0,J878-I878)</f>
        <v/>
      </c>
      <c r="O878">
        <f>IF(M878-N878&gt;1E-9,M878-N878,0)</f>
        <v/>
      </c>
      <c r="P878">
        <f>O877*$G$53</f>
        <v/>
      </c>
      <c r="Q878">
        <f>IF(S877&gt;0,MAX(0,S877*(1+$G$54)-$H$54),0)</f>
        <v/>
      </c>
      <c r="R878">
        <f>MAX(0,N878-M878)</f>
        <v/>
      </c>
      <c r="S878">
        <f>IF(Q878-R878&gt;1E-9,Q878-R878,0)</f>
        <v/>
      </c>
      <c r="T878">
        <f>S877*$G$54</f>
        <v/>
      </c>
      <c r="U878">
        <f>IF(W877&gt;0,MAX(0,W877*(1+$G$55)-$H$55),0)</f>
        <v/>
      </c>
      <c r="V878">
        <f>MAX(0,R878-Q878)</f>
        <v/>
      </c>
      <c r="W878">
        <f>IF(U878-V878&gt;1E-9,U878-V878,0)</f>
        <v/>
      </c>
      <c r="X878">
        <f>W877*$G$55</f>
        <v/>
      </c>
      <c r="Y878">
        <f>IF(Y877&gt;1E-9,IF(Y877*(1+$G$51)-MAX($B$9,0.01*Y877+Y877*$G$51)&gt;1E-9,Y877*(1+$G$51)-MAX($B$9,0.01*Y877+Y877*$G$51),0),0)</f>
        <v/>
      </c>
      <c r="Z878">
        <f>Y877*$G$51</f>
        <v/>
      </c>
      <c r="AA878">
        <f>IF(AA877&gt;1E-9,IF(AA877*(1+$G$52)-MAX($B$9,0.01*AA877+AA877*$G$52)&gt;1E-9,AA877*(1+$G$52)-MAX($B$9,0.01*AA877+AA877*$G$52),0),0)</f>
        <v/>
      </c>
      <c r="AB878">
        <f>AA877*$G$52</f>
        <v/>
      </c>
      <c r="AC878">
        <f>IF(AC877&gt;1E-9,IF(AC877*(1+$G$53)-MAX($B$9,0.01*AC877+AC877*$G$53)&gt;1E-9,AC877*(1+$G$53)-MAX($B$9,0.01*AC877+AC877*$G$53),0),0)</f>
        <v/>
      </c>
      <c r="AD878">
        <f>AC877*$G$53</f>
        <v/>
      </c>
      <c r="AE878">
        <f>IF(AE877&gt;1E-9,IF(AE877*(1+$G$54)-MAX($B$9,0.01*AE877+AE877*$G$54)&gt;1E-9,AE877*(1+$G$54)-MAX($B$9,0.01*AE877+AE877*$G$54),0),0)</f>
        <v/>
      </c>
      <c r="AF878">
        <f>AE877*$G$54</f>
        <v/>
      </c>
      <c r="AG878">
        <f>IF(AG877&gt;1E-9,IF(AG877*(1+$G$55)-MAX($B$9,0.01*AG877+AG877*$G$55)&gt;1E-9,AG877*(1+$G$55)-MAX($B$9,0.01*AG877+AG877*$G$55),0),0)</f>
        <v/>
      </c>
      <c r="AH878">
        <f>AG877*$G$55</f>
        <v/>
      </c>
      <c r="AI878">
        <f>G878+K878+O878+S878+W878</f>
        <v/>
      </c>
      <c r="AJ878">
        <f>AI877+AK878-AI878</f>
        <v/>
      </c>
      <c r="AK878">
        <f>H878+L878+P878+T878+X878</f>
        <v/>
      </c>
      <c r="AL878">
        <f>TEXT(EDATE($B$5,D878-1),"mmm yyyy")</f>
        <v/>
      </c>
      <c r="AM878">
        <f>AI878</f>
        <v/>
      </c>
    </row>
    <row r="879">
      <c r="D879" t="n">
        <v>818</v>
      </c>
      <c r="E879">
        <f>IF(G878&gt;0,MAX(0,G878*(1+$G$51)-$H$51),0)</f>
        <v/>
      </c>
      <c r="F879">
        <f>$B$6+IF($D879=$B$8,$B$7,0)</f>
        <v/>
      </c>
      <c r="G879">
        <f>IF(E879-F879&gt;1E-9,E879-F879,0)</f>
        <v/>
      </c>
      <c r="H879">
        <f>G878*$G$51</f>
        <v/>
      </c>
      <c r="I879">
        <f>IF(K878&gt;0,MAX(0,K878*(1+$G$52)-$H$52),0)</f>
        <v/>
      </c>
      <c r="J879">
        <f>MAX(0,F879-E879)</f>
        <v/>
      </c>
      <c r="K879">
        <f>IF(I879-J879&gt;1E-9,I879-J879,0)</f>
        <v/>
      </c>
      <c r="L879">
        <f>K878*$G$52</f>
        <v/>
      </c>
      <c r="M879">
        <f>IF(O878&gt;0,MAX(0,O878*(1+$G$53)-$H$53),0)</f>
        <v/>
      </c>
      <c r="N879">
        <f>MAX(0,J879-I879)</f>
        <v/>
      </c>
      <c r="O879">
        <f>IF(M879-N879&gt;1E-9,M879-N879,0)</f>
        <v/>
      </c>
      <c r="P879">
        <f>O878*$G$53</f>
        <v/>
      </c>
      <c r="Q879">
        <f>IF(S878&gt;0,MAX(0,S878*(1+$G$54)-$H$54),0)</f>
        <v/>
      </c>
      <c r="R879">
        <f>MAX(0,N879-M879)</f>
        <v/>
      </c>
      <c r="S879">
        <f>IF(Q879-R879&gt;1E-9,Q879-R879,0)</f>
        <v/>
      </c>
      <c r="T879">
        <f>S878*$G$54</f>
        <v/>
      </c>
      <c r="U879">
        <f>IF(W878&gt;0,MAX(0,W878*(1+$G$55)-$H$55),0)</f>
        <v/>
      </c>
      <c r="V879">
        <f>MAX(0,R879-Q879)</f>
        <v/>
      </c>
      <c r="W879">
        <f>IF(U879-V879&gt;1E-9,U879-V879,0)</f>
        <v/>
      </c>
      <c r="X879">
        <f>W878*$G$55</f>
        <v/>
      </c>
      <c r="Y879">
        <f>IF(Y878&gt;1E-9,IF(Y878*(1+$G$51)-MAX($B$9,0.01*Y878+Y878*$G$51)&gt;1E-9,Y878*(1+$G$51)-MAX($B$9,0.01*Y878+Y878*$G$51),0),0)</f>
        <v/>
      </c>
      <c r="Z879">
        <f>Y878*$G$51</f>
        <v/>
      </c>
      <c r="AA879">
        <f>IF(AA878&gt;1E-9,IF(AA878*(1+$G$52)-MAX($B$9,0.01*AA878+AA878*$G$52)&gt;1E-9,AA878*(1+$G$52)-MAX($B$9,0.01*AA878+AA878*$G$52),0),0)</f>
        <v/>
      </c>
      <c r="AB879">
        <f>AA878*$G$52</f>
        <v/>
      </c>
      <c r="AC879">
        <f>IF(AC878&gt;1E-9,IF(AC878*(1+$G$53)-MAX($B$9,0.01*AC878+AC878*$G$53)&gt;1E-9,AC878*(1+$G$53)-MAX($B$9,0.01*AC878+AC878*$G$53),0),0)</f>
        <v/>
      </c>
      <c r="AD879">
        <f>AC878*$G$53</f>
        <v/>
      </c>
      <c r="AE879">
        <f>IF(AE878&gt;1E-9,IF(AE878*(1+$G$54)-MAX($B$9,0.01*AE878+AE878*$G$54)&gt;1E-9,AE878*(1+$G$54)-MAX($B$9,0.01*AE878+AE878*$G$54),0),0)</f>
        <v/>
      </c>
      <c r="AF879">
        <f>AE878*$G$54</f>
        <v/>
      </c>
      <c r="AG879">
        <f>IF(AG878&gt;1E-9,IF(AG878*(1+$G$55)-MAX($B$9,0.01*AG878+AG878*$G$55)&gt;1E-9,AG878*(1+$G$55)-MAX($B$9,0.01*AG878+AG878*$G$55),0),0)</f>
        <v/>
      </c>
      <c r="AH879">
        <f>AG878*$G$55</f>
        <v/>
      </c>
      <c r="AI879">
        <f>G879+K879+O879+S879+W879</f>
        <v/>
      </c>
      <c r="AJ879">
        <f>AI878+AK879-AI879</f>
        <v/>
      </c>
      <c r="AK879">
        <f>H879+L879+P879+T879+X879</f>
        <v/>
      </c>
      <c r="AL879">
        <f>TEXT(EDATE($B$5,D879-1),"mmm yyyy")</f>
        <v/>
      </c>
      <c r="AM879">
        <f>AI879</f>
        <v/>
      </c>
    </row>
    <row r="880">
      <c r="D880" t="n">
        <v>819</v>
      </c>
      <c r="E880">
        <f>IF(G879&gt;0,MAX(0,G879*(1+$G$51)-$H$51),0)</f>
        <v/>
      </c>
      <c r="F880">
        <f>$B$6+IF($D880=$B$8,$B$7,0)</f>
        <v/>
      </c>
      <c r="G880">
        <f>IF(E880-F880&gt;1E-9,E880-F880,0)</f>
        <v/>
      </c>
      <c r="H880">
        <f>G879*$G$51</f>
        <v/>
      </c>
      <c r="I880">
        <f>IF(K879&gt;0,MAX(0,K879*(1+$G$52)-$H$52),0)</f>
        <v/>
      </c>
      <c r="J880">
        <f>MAX(0,F880-E880)</f>
        <v/>
      </c>
      <c r="K880">
        <f>IF(I880-J880&gt;1E-9,I880-J880,0)</f>
        <v/>
      </c>
      <c r="L880">
        <f>K879*$G$52</f>
        <v/>
      </c>
      <c r="M880">
        <f>IF(O879&gt;0,MAX(0,O879*(1+$G$53)-$H$53),0)</f>
        <v/>
      </c>
      <c r="N880">
        <f>MAX(0,J880-I880)</f>
        <v/>
      </c>
      <c r="O880">
        <f>IF(M880-N880&gt;1E-9,M880-N880,0)</f>
        <v/>
      </c>
      <c r="P880">
        <f>O879*$G$53</f>
        <v/>
      </c>
      <c r="Q880">
        <f>IF(S879&gt;0,MAX(0,S879*(1+$G$54)-$H$54),0)</f>
        <v/>
      </c>
      <c r="R880">
        <f>MAX(0,N880-M880)</f>
        <v/>
      </c>
      <c r="S880">
        <f>IF(Q880-R880&gt;1E-9,Q880-R880,0)</f>
        <v/>
      </c>
      <c r="T880">
        <f>S879*$G$54</f>
        <v/>
      </c>
      <c r="U880">
        <f>IF(W879&gt;0,MAX(0,W879*(1+$G$55)-$H$55),0)</f>
        <v/>
      </c>
      <c r="V880">
        <f>MAX(0,R880-Q880)</f>
        <v/>
      </c>
      <c r="W880">
        <f>IF(U880-V880&gt;1E-9,U880-V880,0)</f>
        <v/>
      </c>
      <c r="X880">
        <f>W879*$G$55</f>
        <v/>
      </c>
      <c r="Y880">
        <f>IF(Y879&gt;1E-9,IF(Y879*(1+$G$51)-MAX($B$9,0.01*Y879+Y879*$G$51)&gt;1E-9,Y879*(1+$G$51)-MAX($B$9,0.01*Y879+Y879*$G$51),0),0)</f>
        <v/>
      </c>
      <c r="Z880">
        <f>Y879*$G$51</f>
        <v/>
      </c>
      <c r="AA880">
        <f>IF(AA879&gt;1E-9,IF(AA879*(1+$G$52)-MAX($B$9,0.01*AA879+AA879*$G$52)&gt;1E-9,AA879*(1+$G$52)-MAX($B$9,0.01*AA879+AA879*$G$52),0),0)</f>
        <v/>
      </c>
      <c r="AB880">
        <f>AA879*$G$52</f>
        <v/>
      </c>
      <c r="AC880">
        <f>IF(AC879&gt;1E-9,IF(AC879*(1+$G$53)-MAX($B$9,0.01*AC879+AC879*$G$53)&gt;1E-9,AC879*(1+$G$53)-MAX($B$9,0.01*AC879+AC879*$G$53),0),0)</f>
        <v/>
      </c>
      <c r="AD880">
        <f>AC879*$G$53</f>
        <v/>
      </c>
      <c r="AE880">
        <f>IF(AE879&gt;1E-9,IF(AE879*(1+$G$54)-MAX($B$9,0.01*AE879+AE879*$G$54)&gt;1E-9,AE879*(1+$G$54)-MAX($B$9,0.01*AE879+AE879*$G$54),0),0)</f>
        <v/>
      </c>
      <c r="AF880">
        <f>AE879*$G$54</f>
        <v/>
      </c>
      <c r="AG880">
        <f>IF(AG879&gt;1E-9,IF(AG879*(1+$G$55)-MAX($B$9,0.01*AG879+AG879*$G$55)&gt;1E-9,AG879*(1+$G$55)-MAX($B$9,0.01*AG879+AG879*$G$55),0),0)</f>
        <v/>
      </c>
      <c r="AH880">
        <f>AG879*$G$55</f>
        <v/>
      </c>
      <c r="AI880">
        <f>G880+K880+O880+S880+W880</f>
        <v/>
      </c>
      <c r="AJ880">
        <f>AI879+AK880-AI880</f>
        <v/>
      </c>
      <c r="AK880">
        <f>H880+L880+P880+T880+X880</f>
        <v/>
      </c>
      <c r="AL880">
        <f>TEXT(EDATE($B$5,D880-1),"mmm yyyy")</f>
        <v/>
      </c>
      <c r="AM880">
        <f>AI880</f>
        <v/>
      </c>
    </row>
    <row r="881">
      <c r="D881" t="n">
        <v>820</v>
      </c>
      <c r="E881">
        <f>IF(G880&gt;0,MAX(0,G880*(1+$G$51)-$H$51),0)</f>
        <v/>
      </c>
      <c r="F881">
        <f>$B$6+IF($D881=$B$8,$B$7,0)</f>
        <v/>
      </c>
      <c r="G881">
        <f>IF(E881-F881&gt;1E-9,E881-F881,0)</f>
        <v/>
      </c>
      <c r="H881">
        <f>G880*$G$51</f>
        <v/>
      </c>
      <c r="I881">
        <f>IF(K880&gt;0,MAX(0,K880*(1+$G$52)-$H$52),0)</f>
        <v/>
      </c>
      <c r="J881">
        <f>MAX(0,F881-E881)</f>
        <v/>
      </c>
      <c r="K881">
        <f>IF(I881-J881&gt;1E-9,I881-J881,0)</f>
        <v/>
      </c>
      <c r="L881">
        <f>K880*$G$52</f>
        <v/>
      </c>
      <c r="M881">
        <f>IF(O880&gt;0,MAX(0,O880*(1+$G$53)-$H$53),0)</f>
        <v/>
      </c>
      <c r="N881">
        <f>MAX(0,J881-I881)</f>
        <v/>
      </c>
      <c r="O881">
        <f>IF(M881-N881&gt;1E-9,M881-N881,0)</f>
        <v/>
      </c>
      <c r="P881">
        <f>O880*$G$53</f>
        <v/>
      </c>
      <c r="Q881">
        <f>IF(S880&gt;0,MAX(0,S880*(1+$G$54)-$H$54),0)</f>
        <v/>
      </c>
      <c r="R881">
        <f>MAX(0,N881-M881)</f>
        <v/>
      </c>
      <c r="S881">
        <f>IF(Q881-R881&gt;1E-9,Q881-R881,0)</f>
        <v/>
      </c>
      <c r="T881">
        <f>S880*$G$54</f>
        <v/>
      </c>
      <c r="U881">
        <f>IF(W880&gt;0,MAX(0,W880*(1+$G$55)-$H$55),0)</f>
        <v/>
      </c>
      <c r="V881">
        <f>MAX(0,R881-Q881)</f>
        <v/>
      </c>
      <c r="W881">
        <f>IF(U881-V881&gt;1E-9,U881-V881,0)</f>
        <v/>
      </c>
      <c r="X881">
        <f>W880*$G$55</f>
        <v/>
      </c>
      <c r="Y881">
        <f>IF(Y880&gt;1E-9,IF(Y880*(1+$G$51)-MAX($B$9,0.01*Y880+Y880*$G$51)&gt;1E-9,Y880*(1+$G$51)-MAX($B$9,0.01*Y880+Y880*$G$51),0),0)</f>
        <v/>
      </c>
      <c r="Z881">
        <f>Y880*$G$51</f>
        <v/>
      </c>
      <c r="AA881">
        <f>IF(AA880&gt;1E-9,IF(AA880*(1+$G$52)-MAX($B$9,0.01*AA880+AA880*$G$52)&gt;1E-9,AA880*(1+$G$52)-MAX($B$9,0.01*AA880+AA880*$G$52),0),0)</f>
        <v/>
      </c>
      <c r="AB881">
        <f>AA880*$G$52</f>
        <v/>
      </c>
      <c r="AC881">
        <f>IF(AC880&gt;1E-9,IF(AC880*(1+$G$53)-MAX($B$9,0.01*AC880+AC880*$G$53)&gt;1E-9,AC880*(1+$G$53)-MAX($B$9,0.01*AC880+AC880*$G$53),0),0)</f>
        <v/>
      </c>
      <c r="AD881">
        <f>AC880*$G$53</f>
        <v/>
      </c>
      <c r="AE881">
        <f>IF(AE880&gt;1E-9,IF(AE880*(1+$G$54)-MAX($B$9,0.01*AE880+AE880*$G$54)&gt;1E-9,AE880*(1+$G$54)-MAX($B$9,0.01*AE880+AE880*$G$54),0),0)</f>
        <v/>
      </c>
      <c r="AF881">
        <f>AE880*$G$54</f>
        <v/>
      </c>
      <c r="AG881">
        <f>IF(AG880&gt;1E-9,IF(AG880*(1+$G$55)-MAX($B$9,0.01*AG880+AG880*$G$55)&gt;1E-9,AG880*(1+$G$55)-MAX($B$9,0.01*AG880+AG880*$G$55),0),0)</f>
        <v/>
      </c>
      <c r="AH881">
        <f>AG880*$G$55</f>
        <v/>
      </c>
      <c r="AI881">
        <f>G881+K881+O881+S881+W881</f>
        <v/>
      </c>
      <c r="AJ881">
        <f>AI880+AK881-AI881</f>
        <v/>
      </c>
      <c r="AK881">
        <f>H881+L881+P881+T881+X881</f>
        <v/>
      </c>
      <c r="AL881">
        <f>TEXT(EDATE($B$5,D881-1),"mmm yyyy")</f>
        <v/>
      </c>
      <c r="AM881">
        <f>AI881</f>
        <v/>
      </c>
    </row>
    <row r="882">
      <c r="D882" t="n">
        <v>821</v>
      </c>
      <c r="E882">
        <f>IF(G881&gt;0,MAX(0,G881*(1+$G$51)-$H$51),0)</f>
        <v/>
      </c>
      <c r="F882">
        <f>$B$6+IF($D882=$B$8,$B$7,0)</f>
        <v/>
      </c>
      <c r="G882">
        <f>IF(E882-F882&gt;1E-9,E882-F882,0)</f>
        <v/>
      </c>
      <c r="H882">
        <f>G881*$G$51</f>
        <v/>
      </c>
      <c r="I882">
        <f>IF(K881&gt;0,MAX(0,K881*(1+$G$52)-$H$52),0)</f>
        <v/>
      </c>
      <c r="J882">
        <f>MAX(0,F882-E882)</f>
        <v/>
      </c>
      <c r="K882">
        <f>IF(I882-J882&gt;1E-9,I882-J882,0)</f>
        <v/>
      </c>
      <c r="L882">
        <f>K881*$G$52</f>
        <v/>
      </c>
      <c r="M882">
        <f>IF(O881&gt;0,MAX(0,O881*(1+$G$53)-$H$53),0)</f>
        <v/>
      </c>
      <c r="N882">
        <f>MAX(0,J882-I882)</f>
        <v/>
      </c>
      <c r="O882">
        <f>IF(M882-N882&gt;1E-9,M882-N882,0)</f>
        <v/>
      </c>
      <c r="P882">
        <f>O881*$G$53</f>
        <v/>
      </c>
      <c r="Q882">
        <f>IF(S881&gt;0,MAX(0,S881*(1+$G$54)-$H$54),0)</f>
        <v/>
      </c>
      <c r="R882">
        <f>MAX(0,N882-M882)</f>
        <v/>
      </c>
      <c r="S882">
        <f>IF(Q882-R882&gt;1E-9,Q882-R882,0)</f>
        <v/>
      </c>
      <c r="T882">
        <f>S881*$G$54</f>
        <v/>
      </c>
      <c r="U882">
        <f>IF(W881&gt;0,MAX(0,W881*(1+$G$55)-$H$55),0)</f>
        <v/>
      </c>
      <c r="V882">
        <f>MAX(0,R882-Q882)</f>
        <v/>
      </c>
      <c r="W882">
        <f>IF(U882-V882&gt;1E-9,U882-V882,0)</f>
        <v/>
      </c>
      <c r="X882">
        <f>W881*$G$55</f>
        <v/>
      </c>
      <c r="Y882">
        <f>IF(Y881&gt;1E-9,IF(Y881*(1+$G$51)-MAX($B$9,0.01*Y881+Y881*$G$51)&gt;1E-9,Y881*(1+$G$51)-MAX($B$9,0.01*Y881+Y881*$G$51),0),0)</f>
        <v/>
      </c>
      <c r="Z882">
        <f>Y881*$G$51</f>
        <v/>
      </c>
      <c r="AA882">
        <f>IF(AA881&gt;1E-9,IF(AA881*(1+$G$52)-MAX($B$9,0.01*AA881+AA881*$G$52)&gt;1E-9,AA881*(1+$G$52)-MAX($B$9,0.01*AA881+AA881*$G$52),0),0)</f>
        <v/>
      </c>
      <c r="AB882">
        <f>AA881*$G$52</f>
        <v/>
      </c>
      <c r="AC882">
        <f>IF(AC881&gt;1E-9,IF(AC881*(1+$G$53)-MAX($B$9,0.01*AC881+AC881*$G$53)&gt;1E-9,AC881*(1+$G$53)-MAX($B$9,0.01*AC881+AC881*$G$53),0),0)</f>
        <v/>
      </c>
      <c r="AD882">
        <f>AC881*$G$53</f>
        <v/>
      </c>
      <c r="AE882">
        <f>IF(AE881&gt;1E-9,IF(AE881*(1+$G$54)-MAX($B$9,0.01*AE881+AE881*$G$54)&gt;1E-9,AE881*(1+$G$54)-MAX($B$9,0.01*AE881+AE881*$G$54),0),0)</f>
        <v/>
      </c>
      <c r="AF882">
        <f>AE881*$G$54</f>
        <v/>
      </c>
      <c r="AG882">
        <f>IF(AG881&gt;1E-9,IF(AG881*(1+$G$55)-MAX($B$9,0.01*AG881+AG881*$G$55)&gt;1E-9,AG881*(1+$G$55)-MAX($B$9,0.01*AG881+AG881*$G$55),0),0)</f>
        <v/>
      </c>
      <c r="AH882">
        <f>AG881*$G$55</f>
        <v/>
      </c>
      <c r="AI882">
        <f>G882+K882+O882+S882+W882</f>
        <v/>
      </c>
      <c r="AJ882">
        <f>AI881+AK882-AI882</f>
        <v/>
      </c>
      <c r="AK882">
        <f>H882+L882+P882+T882+X882</f>
        <v/>
      </c>
      <c r="AL882">
        <f>TEXT(EDATE($B$5,D882-1),"mmm yyyy")</f>
        <v/>
      </c>
      <c r="AM882">
        <f>AI882</f>
        <v/>
      </c>
    </row>
    <row r="883">
      <c r="D883" t="n">
        <v>822</v>
      </c>
      <c r="E883">
        <f>IF(G882&gt;0,MAX(0,G882*(1+$G$51)-$H$51),0)</f>
        <v/>
      </c>
      <c r="F883">
        <f>$B$6+IF($D883=$B$8,$B$7,0)</f>
        <v/>
      </c>
      <c r="G883">
        <f>IF(E883-F883&gt;1E-9,E883-F883,0)</f>
        <v/>
      </c>
      <c r="H883">
        <f>G882*$G$51</f>
        <v/>
      </c>
      <c r="I883">
        <f>IF(K882&gt;0,MAX(0,K882*(1+$G$52)-$H$52),0)</f>
        <v/>
      </c>
      <c r="J883">
        <f>MAX(0,F883-E883)</f>
        <v/>
      </c>
      <c r="K883">
        <f>IF(I883-J883&gt;1E-9,I883-J883,0)</f>
        <v/>
      </c>
      <c r="L883">
        <f>K882*$G$52</f>
        <v/>
      </c>
      <c r="M883">
        <f>IF(O882&gt;0,MAX(0,O882*(1+$G$53)-$H$53),0)</f>
        <v/>
      </c>
      <c r="N883">
        <f>MAX(0,J883-I883)</f>
        <v/>
      </c>
      <c r="O883">
        <f>IF(M883-N883&gt;1E-9,M883-N883,0)</f>
        <v/>
      </c>
      <c r="P883">
        <f>O882*$G$53</f>
        <v/>
      </c>
      <c r="Q883">
        <f>IF(S882&gt;0,MAX(0,S882*(1+$G$54)-$H$54),0)</f>
        <v/>
      </c>
      <c r="R883">
        <f>MAX(0,N883-M883)</f>
        <v/>
      </c>
      <c r="S883">
        <f>IF(Q883-R883&gt;1E-9,Q883-R883,0)</f>
        <v/>
      </c>
      <c r="T883">
        <f>S882*$G$54</f>
        <v/>
      </c>
      <c r="U883">
        <f>IF(W882&gt;0,MAX(0,W882*(1+$G$55)-$H$55),0)</f>
        <v/>
      </c>
      <c r="V883">
        <f>MAX(0,R883-Q883)</f>
        <v/>
      </c>
      <c r="W883">
        <f>IF(U883-V883&gt;1E-9,U883-V883,0)</f>
        <v/>
      </c>
      <c r="X883">
        <f>W882*$G$55</f>
        <v/>
      </c>
      <c r="Y883">
        <f>IF(Y882&gt;1E-9,IF(Y882*(1+$G$51)-MAX($B$9,0.01*Y882+Y882*$G$51)&gt;1E-9,Y882*(1+$G$51)-MAX($B$9,0.01*Y882+Y882*$G$51),0),0)</f>
        <v/>
      </c>
      <c r="Z883">
        <f>Y882*$G$51</f>
        <v/>
      </c>
      <c r="AA883">
        <f>IF(AA882&gt;1E-9,IF(AA882*(1+$G$52)-MAX($B$9,0.01*AA882+AA882*$G$52)&gt;1E-9,AA882*(1+$G$52)-MAX($B$9,0.01*AA882+AA882*$G$52),0),0)</f>
        <v/>
      </c>
      <c r="AB883">
        <f>AA882*$G$52</f>
        <v/>
      </c>
      <c r="AC883">
        <f>IF(AC882&gt;1E-9,IF(AC882*(1+$G$53)-MAX($B$9,0.01*AC882+AC882*$G$53)&gt;1E-9,AC882*(1+$G$53)-MAX($B$9,0.01*AC882+AC882*$G$53),0),0)</f>
        <v/>
      </c>
      <c r="AD883">
        <f>AC882*$G$53</f>
        <v/>
      </c>
      <c r="AE883">
        <f>IF(AE882&gt;1E-9,IF(AE882*(1+$G$54)-MAX($B$9,0.01*AE882+AE882*$G$54)&gt;1E-9,AE882*(1+$G$54)-MAX($B$9,0.01*AE882+AE882*$G$54),0),0)</f>
        <v/>
      </c>
      <c r="AF883">
        <f>AE882*$G$54</f>
        <v/>
      </c>
      <c r="AG883">
        <f>IF(AG882&gt;1E-9,IF(AG882*(1+$G$55)-MAX($B$9,0.01*AG882+AG882*$G$55)&gt;1E-9,AG882*(1+$G$55)-MAX($B$9,0.01*AG882+AG882*$G$55),0),0)</f>
        <v/>
      </c>
      <c r="AH883">
        <f>AG882*$G$55</f>
        <v/>
      </c>
      <c r="AI883">
        <f>G883+K883+O883+S883+W883</f>
        <v/>
      </c>
      <c r="AJ883">
        <f>AI882+AK883-AI883</f>
        <v/>
      </c>
      <c r="AK883">
        <f>H883+L883+P883+T883+X883</f>
        <v/>
      </c>
      <c r="AL883">
        <f>TEXT(EDATE($B$5,D883-1),"mmm yyyy")</f>
        <v/>
      </c>
      <c r="AM883">
        <f>AI883</f>
        <v/>
      </c>
    </row>
    <row r="884">
      <c r="D884" t="n">
        <v>823</v>
      </c>
      <c r="E884">
        <f>IF(G883&gt;0,MAX(0,G883*(1+$G$51)-$H$51),0)</f>
        <v/>
      </c>
      <c r="F884">
        <f>$B$6+IF($D884=$B$8,$B$7,0)</f>
        <v/>
      </c>
      <c r="G884">
        <f>IF(E884-F884&gt;1E-9,E884-F884,0)</f>
        <v/>
      </c>
      <c r="H884">
        <f>G883*$G$51</f>
        <v/>
      </c>
      <c r="I884">
        <f>IF(K883&gt;0,MAX(0,K883*(1+$G$52)-$H$52),0)</f>
        <v/>
      </c>
      <c r="J884">
        <f>MAX(0,F884-E884)</f>
        <v/>
      </c>
      <c r="K884">
        <f>IF(I884-J884&gt;1E-9,I884-J884,0)</f>
        <v/>
      </c>
      <c r="L884">
        <f>K883*$G$52</f>
        <v/>
      </c>
      <c r="M884">
        <f>IF(O883&gt;0,MAX(0,O883*(1+$G$53)-$H$53),0)</f>
        <v/>
      </c>
      <c r="N884">
        <f>MAX(0,J884-I884)</f>
        <v/>
      </c>
      <c r="O884">
        <f>IF(M884-N884&gt;1E-9,M884-N884,0)</f>
        <v/>
      </c>
      <c r="P884">
        <f>O883*$G$53</f>
        <v/>
      </c>
      <c r="Q884">
        <f>IF(S883&gt;0,MAX(0,S883*(1+$G$54)-$H$54),0)</f>
        <v/>
      </c>
      <c r="R884">
        <f>MAX(0,N884-M884)</f>
        <v/>
      </c>
      <c r="S884">
        <f>IF(Q884-R884&gt;1E-9,Q884-R884,0)</f>
        <v/>
      </c>
      <c r="T884">
        <f>S883*$G$54</f>
        <v/>
      </c>
      <c r="U884">
        <f>IF(W883&gt;0,MAX(0,W883*(1+$G$55)-$H$55),0)</f>
        <v/>
      </c>
      <c r="V884">
        <f>MAX(0,R884-Q884)</f>
        <v/>
      </c>
      <c r="W884">
        <f>IF(U884-V884&gt;1E-9,U884-V884,0)</f>
        <v/>
      </c>
      <c r="X884">
        <f>W883*$G$55</f>
        <v/>
      </c>
      <c r="Y884">
        <f>IF(Y883&gt;1E-9,IF(Y883*(1+$G$51)-MAX($B$9,0.01*Y883+Y883*$G$51)&gt;1E-9,Y883*(1+$G$51)-MAX($B$9,0.01*Y883+Y883*$G$51),0),0)</f>
        <v/>
      </c>
      <c r="Z884">
        <f>Y883*$G$51</f>
        <v/>
      </c>
      <c r="AA884">
        <f>IF(AA883&gt;1E-9,IF(AA883*(1+$G$52)-MAX($B$9,0.01*AA883+AA883*$G$52)&gt;1E-9,AA883*(1+$G$52)-MAX($B$9,0.01*AA883+AA883*$G$52),0),0)</f>
        <v/>
      </c>
      <c r="AB884">
        <f>AA883*$G$52</f>
        <v/>
      </c>
      <c r="AC884">
        <f>IF(AC883&gt;1E-9,IF(AC883*(1+$G$53)-MAX($B$9,0.01*AC883+AC883*$G$53)&gt;1E-9,AC883*(1+$G$53)-MAX($B$9,0.01*AC883+AC883*$G$53),0),0)</f>
        <v/>
      </c>
      <c r="AD884">
        <f>AC883*$G$53</f>
        <v/>
      </c>
      <c r="AE884">
        <f>IF(AE883&gt;1E-9,IF(AE883*(1+$G$54)-MAX($B$9,0.01*AE883+AE883*$G$54)&gt;1E-9,AE883*(1+$G$54)-MAX($B$9,0.01*AE883+AE883*$G$54),0),0)</f>
        <v/>
      </c>
      <c r="AF884">
        <f>AE883*$G$54</f>
        <v/>
      </c>
      <c r="AG884">
        <f>IF(AG883&gt;1E-9,IF(AG883*(1+$G$55)-MAX($B$9,0.01*AG883+AG883*$G$55)&gt;1E-9,AG883*(1+$G$55)-MAX($B$9,0.01*AG883+AG883*$G$55),0),0)</f>
        <v/>
      </c>
      <c r="AH884">
        <f>AG883*$G$55</f>
        <v/>
      </c>
      <c r="AI884">
        <f>G884+K884+O884+S884+W884</f>
        <v/>
      </c>
      <c r="AJ884">
        <f>AI883+AK884-AI884</f>
        <v/>
      </c>
      <c r="AK884">
        <f>H884+L884+P884+T884+X884</f>
        <v/>
      </c>
      <c r="AL884">
        <f>TEXT(EDATE($B$5,D884-1),"mmm yyyy")</f>
        <v/>
      </c>
      <c r="AM884">
        <f>AI884</f>
        <v/>
      </c>
    </row>
    <row r="885">
      <c r="D885" t="n">
        <v>824</v>
      </c>
      <c r="E885">
        <f>IF(G884&gt;0,MAX(0,G884*(1+$G$51)-$H$51),0)</f>
        <v/>
      </c>
      <c r="F885">
        <f>$B$6+IF($D885=$B$8,$B$7,0)</f>
        <v/>
      </c>
      <c r="G885">
        <f>IF(E885-F885&gt;1E-9,E885-F885,0)</f>
        <v/>
      </c>
      <c r="H885">
        <f>G884*$G$51</f>
        <v/>
      </c>
      <c r="I885">
        <f>IF(K884&gt;0,MAX(0,K884*(1+$G$52)-$H$52),0)</f>
        <v/>
      </c>
      <c r="J885">
        <f>MAX(0,F885-E885)</f>
        <v/>
      </c>
      <c r="K885">
        <f>IF(I885-J885&gt;1E-9,I885-J885,0)</f>
        <v/>
      </c>
      <c r="L885">
        <f>K884*$G$52</f>
        <v/>
      </c>
      <c r="M885">
        <f>IF(O884&gt;0,MAX(0,O884*(1+$G$53)-$H$53),0)</f>
        <v/>
      </c>
      <c r="N885">
        <f>MAX(0,J885-I885)</f>
        <v/>
      </c>
      <c r="O885">
        <f>IF(M885-N885&gt;1E-9,M885-N885,0)</f>
        <v/>
      </c>
      <c r="P885">
        <f>O884*$G$53</f>
        <v/>
      </c>
      <c r="Q885">
        <f>IF(S884&gt;0,MAX(0,S884*(1+$G$54)-$H$54),0)</f>
        <v/>
      </c>
      <c r="R885">
        <f>MAX(0,N885-M885)</f>
        <v/>
      </c>
      <c r="S885">
        <f>IF(Q885-R885&gt;1E-9,Q885-R885,0)</f>
        <v/>
      </c>
      <c r="T885">
        <f>S884*$G$54</f>
        <v/>
      </c>
      <c r="U885">
        <f>IF(W884&gt;0,MAX(0,W884*(1+$G$55)-$H$55),0)</f>
        <v/>
      </c>
      <c r="V885">
        <f>MAX(0,R885-Q885)</f>
        <v/>
      </c>
      <c r="W885">
        <f>IF(U885-V885&gt;1E-9,U885-V885,0)</f>
        <v/>
      </c>
      <c r="X885">
        <f>W884*$G$55</f>
        <v/>
      </c>
      <c r="Y885">
        <f>IF(Y884&gt;1E-9,IF(Y884*(1+$G$51)-MAX($B$9,0.01*Y884+Y884*$G$51)&gt;1E-9,Y884*(1+$G$51)-MAX($B$9,0.01*Y884+Y884*$G$51),0),0)</f>
        <v/>
      </c>
      <c r="Z885">
        <f>Y884*$G$51</f>
        <v/>
      </c>
      <c r="AA885">
        <f>IF(AA884&gt;1E-9,IF(AA884*(1+$G$52)-MAX($B$9,0.01*AA884+AA884*$G$52)&gt;1E-9,AA884*(1+$G$52)-MAX($B$9,0.01*AA884+AA884*$G$52),0),0)</f>
        <v/>
      </c>
      <c r="AB885">
        <f>AA884*$G$52</f>
        <v/>
      </c>
      <c r="AC885">
        <f>IF(AC884&gt;1E-9,IF(AC884*(1+$G$53)-MAX($B$9,0.01*AC884+AC884*$G$53)&gt;1E-9,AC884*(1+$G$53)-MAX($B$9,0.01*AC884+AC884*$G$53),0),0)</f>
        <v/>
      </c>
      <c r="AD885">
        <f>AC884*$G$53</f>
        <v/>
      </c>
      <c r="AE885">
        <f>IF(AE884&gt;1E-9,IF(AE884*(1+$G$54)-MAX($B$9,0.01*AE884+AE884*$G$54)&gt;1E-9,AE884*(1+$G$54)-MAX($B$9,0.01*AE884+AE884*$G$54),0),0)</f>
        <v/>
      </c>
      <c r="AF885">
        <f>AE884*$G$54</f>
        <v/>
      </c>
      <c r="AG885">
        <f>IF(AG884&gt;1E-9,IF(AG884*(1+$G$55)-MAX($B$9,0.01*AG884+AG884*$G$55)&gt;1E-9,AG884*(1+$G$55)-MAX($B$9,0.01*AG884+AG884*$G$55),0),0)</f>
        <v/>
      </c>
      <c r="AH885">
        <f>AG884*$G$55</f>
        <v/>
      </c>
      <c r="AI885">
        <f>G885+K885+O885+S885+W885</f>
        <v/>
      </c>
      <c r="AJ885">
        <f>AI884+AK885-AI885</f>
        <v/>
      </c>
      <c r="AK885">
        <f>H885+L885+P885+T885+X885</f>
        <v/>
      </c>
      <c r="AL885">
        <f>TEXT(EDATE($B$5,D885-1),"mmm yyyy")</f>
        <v/>
      </c>
      <c r="AM885">
        <f>AI885</f>
        <v/>
      </c>
    </row>
    <row r="886">
      <c r="D886" t="n">
        <v>825</v>
      </c>
      <c r="E886">
        <f>IF(G885&gt;0,MAX(0,G885*(1+$G$51)-$H$51),0)</f>
        <v/>
      </c>
      <c r="F886">
        <f>$B$6+IF($D886=$B$8,$B$7,0)</f>
        <v/>
      </c>
      <c r="G886">
        <f>IF(E886-F886&gt;1E-9,E886-F886,0)</f>
        <v/>
      </c>
      <c r="H886">
        <f>G885*$G$51</f>
        <v/>
      </c>
      <c r="I886">
        <f>IF(K885&gt;0,MAX(0,K885*(1+$G$52)-$H$52),0)</f>
        <v/>
      </c>
      <c r="J886">
        <f>MAX(0,F886-E886)</f>
        <v/>
      </c>
      <c r="K886">
        <f>IF(I886-J886&gt;1E-9,I886-J886,0)</f>
        <v/>
      </c>
      <c r="L886">
        <f>K885*$G$52</f>
        <v/>
      </c>
      <c r="M886">
        <f>IF(O885&gt;0,MAX(0,O885*(1+$G$53)-$H$53),0)</f>
        <v/>
      </c>
      <c r="N886">
        <f>MAX(0,J886-I886)</f>
        <v/>
      </c>
      <c r="O886">
        <f>IF(M886-N886&gt;1E-9,M886-N886,0)</f>
        <v/>
      </c>
      <c r="P886">
        <f>O885*$G$53</f>
        <v/>
      </c>
      <c r="Q886">
        <f>IF(S885&gt;0,MAX(0,S885*(1+$G$54)-$H$54),0)</f>
        <v/>
      </c>
      <c r="R886">
        <f>MAX(0,N886-M886)</f>
        <v/>
      </c>
      <c r="S886">
        <f>IF(Q886-R886&gt;1E-9,Q886-R886,0)</f>
        <v/>
      </c>
      <c r="T886">
        <f>S885*$G$54</f>
        <v/>
      </c>
      <c r="U886">
        <f>IF(W885&gt;0,MAX(0,W885*(1+$G$55)-$H$55),0)</f>
        <v/>
      </c>
      <c r="V886">
        <f>MAX(0,R886-Q886)</f>
        <v/>
      </c>
      <c r="W886">
        <f>IF(U886-V886&gt;1E-9,U886-V886,0)</f>
        <v/>
      </c>
      <c r="X886">
        <f>W885*$G$55</f>
        <v/>
      </c>
      <c r="Y886">
        <f>IF(Y885&gt;1E-9,IF(Y885*(1+$G$51)-MAX($B$9,0.01*Y885+Y885*$G$51)&gt;1E-9,Y885*(1+$G$51)-MAX($B$9,0.01*Y885+Y885*$G$51),0),0)</f>
        <v/>
      </c>
      <c r="Z886">
        <f>Y885*$G$51</f>
        <v/>
      </c>
      <c r="AA886">
        <f>IF(AA885&gt;1E-9,IF(AA885*(1+$G$52)-MAX($B$9,0.01*AA885+AA885*$G$52)&gt;1E-9,AA885*(1+$G$52)-MAX($B$9,0.01*AA885+AA885*$G$52),0),0)</f>
        <v/>
      </c>
      <c r="AB886">
        <f>AA885*$G$52</f>
        <v/>
      </c>
      <c r="AC886">
        <f>IF(AC885&gt;1E-9,IF(AC885*(1+$G$53)-MAX($B$9,0.01*AC885+AC885*$G$53)&gt;1E-9,AC885*(1+$G$53)-MAX($B$9,0.01*AC885+AC885*$G$53),0),0)</f>
        <v/>
      </c>
      <c r="AD886">
        <f>AC885*$G$53</f>
        <v/>
      </c>
      <c r="AE886">
        <f>IF(AE885&gt;1E-9,IF(AE885*(1+$G$54)-MAX($B$9,0.01*AE885+AE885*$G$54)&gt;1E-9,AE885*(1+$G$54)-MAX($B$9,0.01*AE885+AE885*$G$54),0),0)</f>
        <v/>
      </c>
      <c r="AF886">
        <f>AE885*$G$54</f>
        <v/>
      </c>
      <c r="AG886">
        <f>IF(AG885&gt;1E-9,IF(AG885*(1+$G$55)-MAX($B$9,0.01*AG885+AG885*$G$55)&gt;1E-9,AG885*(1+$G$55)-MAX($B$9,0.01*AG885+AG885*$G$55),0),0)</f>
        <v/>
      </c>
      <c r="AH886">
        <f>AG885*$G$55</f>
        <v/>
      </c>
      <c r="AI886">
        <f>G886+K886+O886+S886+W886</f>
        <v/>
      </c>
      <c r="AJ886">
        <f>AI885+AK886-AI886</f>
        <v/>
      </c>
      <c r="AK886">
        <f>H886+L886+P886+T886+X886</f>
        <v/>
      </c>
      <c r="AL886">
        <f>TEXT(EDATE($B$5,D886-1),"mmm yyyy")</f>
        <v/>
      </c>
      <c r="AM886">
        <f>AI886</f>
        <v/>
      </c>
    </row>
    <row r="887">
      <c r="D887" t="n">
        <v>826</v>
      </c>
      <c r="E887">
        <f>IF(G886&gt;0,MAX(0,G886*(1+$G$51)-$H$51),0)</f>
        <v/>
      </c>
      <c r="F887">
        <f>$B$6+IF($D887=$B$8,$B$7,0)</f>
        <v/>
      </c>
      <c r="G887">
        <f>IF(E887-F887&gt;1E-9,E887-F887,0)</f>
        <v/>
      </c>
      <c r="H887">
        <f>G886*$G$51</f>
        <v/>
      </c>
      <c r="I887">
        <f>IF(K886&gt;0,MAX(0,K886*(1+$G$52)-$H$52),0)</f>
        <v/>
      </c>
      <c r="J887">
        <f>MAX(0,F887-E887)</f>
        <v/>
      </c>
      <c r="K887">
        <f>IF(I887-J887&gt;1E-9,I887-J887,0)</f>
        <v/>
      </c>
      <c r="L887">
        <f>K886*$G$52</f>
        <v/>
      </c>
      <c r="M887">
        <f>IF(O886&gt;0,MAX(0,O886*(1+$G$53)-$H$53),0)</f>
        <v/>
      </c>
      <c r="N887">
        <f>MAX(0,J887-I887)</f>
        <v/>
      </c>
      <c r="O887">
        <f>IF(M887-N887&gt;1E-9,M887-N887,0)</f>
        <v/>
      </c>
      <c r="P887">
        <f>O886*$G$53</f>
        <v/>
      </c>
      <c r="Q887">
        <f>IF(S886&gt;0,MAX(0,S886*(1+$G$54)-$H$54),0)</f>
        <v/>
      </c>
      <c r="R887">
        <f>MAX(0,N887-M887)</f>
        <v/>
      </c>
      <c r="S887">
        <f>IF(Q887-R887&gt;1E-9,Q887-R887,0)</f>
        <v/>
      </c>
      <c r="T887">
        <f>S886*$G$54</f>
        <v/>
      </c>
      <c r="U887">
        <f>IF(W886&gt;0,MAX(0,W886*(1+$G$55)-$H$55),0)</f>
        <v/>
      </c>
      <c r="V887">
        <f>MAX(0,R887-Q887)</f>
        <v/>
      </c>
      <c r="W887">
        <f>IF(U887-V887&gt;1E-9,U887-V887,0)</f>
        <v/>
      </c>
      <c r="X887">
        <f>W886*$G$55</f>
        <v/>
      </c>
      <c r="Y887">
        <f>IF(Y886&gt;1E-9,IF(Y886*(1+$G$51)-MAX($B$9,0.01*Y886+Y886*$G$51)&gt;1E-9,Y886*(1+$G$51)-MAX($B$9,0.01*Y886+Y886*$G$51),0),0)</f>
        <v/>
      </c>
      <c r="Z887">
        <f>Y886*$G$51</f>
        <v/>
      </c>
      <c r="AA887">
        <f>IF(AA886&gt;1E-9,IF(AA886*(1+$G$52)-MAX($B$9,0.01*AA886+AA886*$G$52)&gt;1E-9,AA886*(1+$G$52)-MAX($B$9,0.01*AA886+AA886*$G$52),0),0)</f>
        <v/>
      </c>
      <c r="AB887">
        <f>AA886*$G$52</f>
        <v/>
      </c>
      <c r="AC887">
        <f>IF(AC886&gt;1E-9,IF(AC886*(1+$G$53)-MAX($B$9,0.01*AC886+AC886*$G$53)&gt;1E-9,AC886*(1+$G$53)-MAX($B$9,0.01*AC886+AC886*$G$53),0),0)</f>
        <v/>
      </c>
      <c r="AD887">
        <f>AC886*$G$53</f>
        <v/>
      </c>
      <c r="AE887">
        <f>IF(AE886&gt;1E-9,IF(AE886*(1+$G$54)-MAX($B$9,0.01*AE886+AE886*$G$54)&gt;1E-9,AE886*(1+$G$54)-MAX($B$9,0.01*AE886+AE886*$G$54),0),0)</f>
        <v/>
      </c>
      <c r="AF887">
        <f>AE886*$G$54</f>
        <v/>
      </c>
      <c r="AG887">
        <f>IF(AG886&gt;1E-9,IF(AG886*(1+$G$55)-MAX($B$9,0.01*AG886+AG886*$G$55)&gt;1E-9,AG886*(1+$G$55)-MAX($B$9,0.01*AG886+AG886*$G$55),0),0)</f>
        <v/>
      </c>
      <c r="AH887">
        <f>AG886*$G$55</f>
        <v/>
      </c>
      <c r="AI887">
        <f>G887+K887+O887+S887+W887</f>
        <v/>
      </c>
      <c r="AJ887">
        <f>AI886+AK887-AI887</f>
        <v/>
      </c>
      <c r="AK887">
        <f>H887+L887+P887+T887+X887</f>
        <v/>
      </c>
      <c r="AL887">
        <f>TEXT(EDATE($B$5,D887-1),"mmm yyyy")</f>
        <v/>
      </c>
      <c r="AM887">
        <f>AI887</f>
        <v/>
      </c>
    </row>
    <row r="888">
      <c r="D888" t="n">
        <v>827</v>
      </c>
      <c r="E888">
        <f>IF(G887&gt;0,MAX(0,G887*(1+$G$51)-$H$51),0)</f>
        <v/>
      </c>
      <c r="F888">
        <f>$B$6+IF($D888=$B$8,$B$7,0)</f>
        <v/>
      </c>
      <c r="G888">
        <f>IF(E888-F888&gt;1E-9,E888-F888,0)</f>
        <v/>
      </c>
      <c r="H888">
        <f>G887*$G$51</f>
        <v/>
      </c>
      <c r="I888">
        <f>IF(K887&gt;0,MAX(0,K887*(1+$G$52)-$H$52),0)</f>
        <v/>
      </c>
      <c r="J888">
        <f>MAX(0,F888-E888)</f>
        <v/>
      </c>
      <c r="K888">
        <f>IF(I888-J888&gt;1E-9,I888-J888,0)</f>
        <v/>
      </c>
      <c r="L888">
        <f>K887*$G$52</f>
        <v/>
      </c>
      <c r="M888">
        <f>IF(O887&gt;0,MAX(0,O887*(1+$G$53)-$H$53),0)</f>
        <v/>
      </c>
      <c r="N888">
        <f>MAX(0,J888-I888)</f>
        <v/>
      </c>
      <c r="O888">
        <f>IF(M888-N888&gt;1E-9,M888-N888,0)</f>
        <v/>
      </c>
      <c r="P888">
        <f>O887*$G$53</f>
        <v/>
      </c>
      <c r="Q888">
        <f>IF(S887&gt;0,MAX(0,S887*(1+$G$54)-$H$54),0)</f>
        <v/>
      </c>
      <c r="R888">
        <f>MAX(0,N888-M888)</f>
        <v/>
      </c>
      <c r="S888">
        <f>IF(Q888-R888&gt;1E-9,Q888-R888,0)</f>
        <v/>
      </c>
      <c r="T888">
        <f>S887*$G$54</f>
        <v/>
      </c>
      <c r="U888">
        <f>IF(W887&gt;0,MAX(0,W887*(1+$G$55)-$H$55),0)</f>
        <v/>
      </c>
      <c r="V888">
        <f>MAX(0,R888-Q888)</f>
        <v/>
      </c>
      <c r="W888">
        <f>IF(U888-V888&gt;1E-9,U888-V888,0)</f>
        <v/>
      </c>
      <c r="X888">
        <f>W887*$G$55</f>
        <v/>
      </c>
      <c r="Y888">
        <f>IF(Y887&gt;1E-9,IF(Y887*(1+$G$51)-MAX($B$9,0.01*Y887+Y887*$G$51)&gt;1E-9,Y887*(1+$G$51)-MAX($B$9,0.01*Y887+Y887*$G$51),0),0)</f>
        <v/>
      </c>
      <c r="Z888">
        <f>Y887*$G$51</f>
        <v/>
      </c>
      <c r="AA888">
        <f>IF(AA887&gt;1E-9,IF(AA887*(1+$G$52)-MAX($B$9,0.01*AA887+AA887*$G$52)&gt;1E-9,AA887*(1+$G$52)-MAX($B$9,0.01*AA887+AA887*$G$52),0),0)</f>
        <v/>
      </c>
      <c r="AB888">
        <f>AA887*$G$52</f>
        <v/>
      </c>
      <c r="AC888">
        <f>IF(AC887&gt;1E-9,IF(AC887*(1+$G$53)-MAX($B$9,0.01*AC887+AC887*$G$53)&gt;1E-9,AC887*(1+$G$53)-MAX($B$9,0.01*AC887+AC887*$G$53),0),0)</f>
        <v/>
      </c>
      <c r="AD888">
        <f>AC887*$G$53</f>
        <v/>
      </c>
      <c r="AE888">
        <f>IF(AE887&gt;1E-9,IF(AE887*(1+$G$54)-MAX($B$9,0.01*AE887+AE887*$G$54)&gt;1E-9,AE887*(1+$G$54)-MAX($B$9,0.01*AE887+AE887*$G$54),0),0)</f>
        <v/>
      </c>
      <c r="AF888">
        <f>AE887*$G$54</f>
        <v/>
      </c>
      <c r="AG888">
        <f>IF(AG887&gt;1E-9,IF(AG887*(1+$G$55)-MAX($B$9,0.01*AG887+AG887*$G$55)&gt;1E-9,AG887*(1+$G$55)-MAX($B$9,0.01*AG887+AG887*$G$55),0),0)</f>
        <v/>
      </c>
      <c r="AH888">
        <f>AG887*$G$55</f>
        <v/>
      </c>
      <c r="AI888">
        <f>G888+K888+O888+S888+W888</f>
        <v/>
      </c>
      <c r="AJ888">
        <f>AI887+AK888-AI888</f>
        <v/>
      </c>
      <c r="AK888">
        <f>H888+L888+P888+T888+X888</f>
        <v/>
      </c>
      <c r="AL888">
        <f>TEXT(EDATE($B$5,D888-1),"mmm yyyy")</f>
        <v/>
      </c>
      <c r="AM888">
        <f>AI888</f>
        <v/>
      </c>
    </row>
    <row r="889">
      <c r="D889" t="n">
        <v>828</v>
      </c>
      <c r="E889">
        <f>IF(G888&gt;0,MAX(0,G888*(1+$G$51)-$H$51),0)</f>
        <v/>
      </c>
      <c r="F889">
        <f>$B$6+IF($D889=$B$8,$B$7,0)</f>
        <v/>
      </c>
      <c r="G889">
        <f>IF(E889-F889&gt;1E-9,E889-F889,0)</f>
        <v/>
      </c>
      <c r="H889">
        <f>G888*$G$51</f>
        <v/>
      </c>
      <c r="I889">
        <f>IF(K888&gt;0,MAX(0,K888*(1+$G$52)-$H$52),0)</f>
        <v/>
      </c>
      <c r="J889">
        <f>MAX(0,F889-E889)</f>
        <v/>
      </c>
      <c r="K889">
        <f>IF(I889-J889&gt;1E-9,I889-J889,0)</f>
        <v/>
      </c>
      <c r="L889">
        <f>K888*$G$52</f>
        <v/>
      </c>
      <c r="M889">
        <f>IF(O888&gt;0,MAX(0,O888*(1+$G$53)-$H$53),0)</f>
        <v/>
      </c>
      <c r="N889">
        <f>MAX(0,J889-I889)</f>
        <v/>
      </c>
      <c r="O889">
        <f>IF(M889-N889&gt;1E-9,M889-N889,0)</f>
        <v/>
      </c>
      <c r="P889">
        <f>O888*$G$53</f>
        <v/>
      </c>
      <c r="Q889">
        <f>IF(S888&gt;0,MAX(0,S888*(1+$G$54)-$H$54),0)</f>
        <v/>
      </c>
      <c r="R889">
        <f>MAX(0,N889-M889)</f>
        <v/>
      </c>
      <c r="S889">
        <f>IF(Q889-R889&gt;1E-9,Q889-R889,0)</f>
        <v/>
      </c>
      <c r="T889">
        <f>S888*$G$54</f>
        <v/>
      </c>
      <c r="U889">
        <f>IF(W888&gt;0,MAX(0,W888*(1+$G$55)-$H$55),0)</f>
        <v/>
      </c>
      <c r="V889">
        <f>MAX(0,R889-Q889)</f>
        <v/>
      </c>
      <c r="W889">
        <f>IF(U889-V889&gt;1E-9,U889-V889,0)</f>
        <v/>
      </c>
      <c r="X889">
        <f>W888*$G$55</f>
        <v/>
      </c>
      <c r="Y889">
        <f>IF(Y888&gt;1E-9,IF(Y888*(1+$G$51)-MAX($B$9,0.01*Y888+Y888*$G$51)&gt;1E-9,Y888*(1+$G$51)-MAX($B$9,0.01*Y888+Y888*$G$51),0),0)</f>
        <v/>
      </c>
      <c r="Z889">
        <f>Y888*$G$51</f>
        <v/>
      </c>
      <c r="AA889">
        <f>IF(AA888&gt;1E-9,IF(AA888*(1+$G$52)-MAX($B$9,0.01*AA888+AA888*$G$52)&gt;1E-9,AA888*(1+$G$52)-MAX($B$9,0.01*AA888+AA888*$G$52),0),0)</f>
        <v/>
      </c>
      <c r="AB889">
        <f>AA888*$G$52</f>
        <v/>
      </c>
      <c r="AC889">
        <f>IF(AC888&gt;1E-9,IF(AC888*(1+$G$53)-MAX($B$9,0.01*AC888+AC888*$G$53)&gt;1E-9,AC888*(1+$G$53)-MAX($B$9,0.01*AC888+AC888*$G$53),0),0)</f>
        <v/>
      </c>
      <c r="AD889">
        <f>AC888*$G$53</f>
        <v/>
      </c>
      <c r="AE889">
        <f>IF(AE888&gt;1E-9,IF(AE888*(1+$G$54)-MAX($B$9,0.01*AE888+AE888*$G$54)&gt;1E-9,AE888*(1+$G$54)-MAX($B$9,0.01*AE888+AE888*$G$54),0),0)</f>
        <v/>
      </c>
      <c r="AF889">
        <f>AE888*$G$54</f>
        <v/>
      </c>
      <c r="AG889">
        <f>IF(AG888&gt;1E-9,IF(AG888*(1+$G$55)-MAX($B$9,0.01*AG888+AG888*$G$55)&gt;1E-9,AG888*(1+$G$55)-MAX($B$9,0.01*AG888+AG888*$G$55),0),0)</f>
        <v/>
      </c>
      <c r="AH889">
        <f>AG888*$G$55</f>
        <v/>
      </c>
      <c r="AI889">
        <f>G889+K889+O889+S889+W889</f>
        <v/>
      </c>
      <c r="AJ889">
        <f>AI888+AK889-AI889</f>
        <v/>
      </c>
      <c r="AK889">
        <f>H889+L889+P889+T889+X889</f>
        <v/>
      </c>
      <c r="AL889">
        <f>TEXT(EDATE($B$5,D889-1),"mmm yyyy")</f>
        <v/>
      </c>
      <c r="AM889">
        <f>AI889</f>
        <v/>
      </c>
    </row>
    <row r="890">
      <c r="D890" t="n">
        <v>829</v>
      </c>
      <c r="E890">
        <f>IF(G889&gt;0,MAX(0,G889*(1+$G$51)-$H$51),0)</f>
        <v/>
      </c>
      <c r="F890">
        <f>$B$6+IF($D890=$B$8,$B$7,0)</f>
        <v/>
      </c>
      <c r="G890">
        <f>IF(E890-F890&gt;1E-9,E890-F890,0)</f>
        <v/>
      </c>
      <c r="H890">
        <f>G889*$G$51</f>
        <v/>
      </c>
      <c r="I890">
        <f>IF(K889&gt;0,MAX(0,K889*(1+$G$52)-$H$52),0)</f>
        <v/>
      </c>
      <c r="J890">
        <f>MAX(0,F890-E890)</f>
        <v/>
      </c>
      <c r="K890">
        <f>IF(I890-J890&gt;1E-9,I890-J890,0)</f>
        <v/>
      </c>
      <c r="L890">
        <f>K889*$G$52</f>
        <v/>
      </c>
      <c r="M890">
        <f>IF(O889&gt;0,MAX(0,O889*(1+$G$53)-$H$53),0)</f>
        <v/>
      </c>
      <c r="N890">
        <f>MAX(0,J890-I890)</f>
        <v/>
      </c>
      <c r="O890">
        <f>IF(M890-N890&gt;1E-9,M890-N890,0)</f>
        <v/>
      </c>
      <c r="P890">
        <f>O889*$G$53</f>
        <v/>
      </c>
      <c r="Q890">
        <f>IF(S889&gt;0,MAX(0,S889*(1+$G$54)-$H$54),0)</f>
        <v/>
      </c>
      <c r="R890">
        <f>MAX(0,N890-M890)</f>
        <v/>
      </c>
      <c r="S890">
        <f>IF(Q890-R890&gt;1E-9,Q890-R890,0)</f>
        <v/>
      </c>
      <c r="T890">
        <f>S889*$G$54</f>
        <v/>
      </c>
      <c r="U890">
        <f>IF(W889&gt;0,MAX(0,W889*(1+$G$55)-$H$55),0)</f>
        <v/>
      </c>
      <c r="V890">
        <f>MAX(0,R890-Q890)</f>
        <v/>
      </c>
      <c r="W890">
        <f>IF(U890-V890&gt;1E-9,U890-V890,0)</f>
        <v/>
      </c>
      <c r="X890">
        <f>W889*$G$55</f>
        <v/>
      </c>
      <c r="Y890">
        <f>IF(Y889&gt;1E-9,IF(Y889*(1+$G$51)-MAX($B$9,0.01*Y889+Y889*$G$51)&gt;1E-9,Y889*(1+$G$51)-MAX($B$9,0.01*Y889+Y889*$G$51),0),0)</f>
        <v/>
      </c>
      <c r="Z890">
        <f>Y889*$G$51</f>
        <v/>
      </c>
      <c r="AA890">
        <f>IF(AA889&gt;1E-9,IF(AA889*(1+$G$52)-MAX($B$9,0.01*AA889+AA889*$G$52)&gt;1E-9,AA889*(1+$G$52)-MAX($B$9,0.01*AA889+AA889*$G$52),0),0)</f>
        <v/>
      </c>
      <c r="AB890">
        <f>AA889*$G$52</f>
        <v/>
      </c>
      <c r="AC890">
        <f>IF(AC889&gt;1E-9,IF(AC889*(1+$G$53)-MAX($B$9,0.01*AC889+AC889*$G$53)&gt;1E-9,AC889*(1+$G$53)-MAX($B$9,0.01*AC889+AC889*$G$53),0),0)</f>
        <v/>
      </c>
      <c r="AD890">
        <f>AC889*$G$53</f>
        <v/>
      </c>
      <c r="AE890">
        <f>IF(AE889&gt;1E-9,IF(AE889*(1+$G$54)-MAX($B$9,0.01*AE889+AE889*$G$54)&gt;1E-9,AE889*(1+$G$54)-MAX($B$9,0.01*AE889+AE889*$G$54),0),0)</f>
        <v/>
      </c>
      <c r="AF890">
        <f>AE889*$G$54</f>
        <v/>
      </c>
      <c r="AG890">
        <f>IF(AG889&gt;1E-9,IF(AG889*(1+$G$55)-MAX($B$9,0.01*AG889+AG889*$G$55)&gt;1E-9,AG889*(1+$G$55)-MAX($B$9,0.01*AG889+AG889*$G$55),0),0)</f>
        <v/>
      </c>
      <c r="AH890">
        <f>AG889*$G$55</f>
        <v/>
      </c>
      <c r="AI890">
        <f>G890+K890+O890+S890+W890</f>
        <v/>
      </c>
      <c r="AJ890">
        <f>AI889+AK890-AI890</f>
        <v/>
      </c>
      <c r="AK890">
        <f>H890+L890+P890+T890+X890</f>
        <v/>
      </c>
      <c r="AL890">
        <f>TEXT(EDATE($B$5,D890-1),"mmm yyyy")</f>
        <v/>
      </c>
      <c r="AM890">
        <f>AI890</f>
        <v/>
      </c>
    </row>
    <row r="891">
      <c r="D891" t="n">
        <v>830</v>
      </c>
      <c r="E891">
        <f>IF(G890&gt;0,MAX(0,G890*(1+$G$51)-$H$51),0)</f>
        <v/>
      </c>
      <c r="F891">
        <f>$B$6+IF($D891=$B$8,$B$7,0)</f>
        <v/>
      </c>
      <c r="G891">
        <f>IF(E891-F891&gt;1E-9,E891-F891,0)</f>
        <v/>
      </c>
      <c r="H891">
        <f>G890*$G$51</f>
        <v/>
      </c>
      <c r="I891">
        <f>IF(K890&gt;0,MAX(0,K890*(1+$G$52)-$H$52),0)</f>
        <v/>
      </c>
      <c r="J891">
        <f>MAX(0,F891-E891)</f>
        <v/>
      </c>
      <c r="K891">
        <f>IF(I891-J891&gt;1E-9,I891-J891,0)</f>
        <v/>
      </c>
      <c r="L891">
        <f>K890*$G$52</f>
        <v/>
      </c>
      <c r="M891">
        <f>IF(O890&gt;0,MAX(0,O890*(1+$G$53)-$H$53),0)</f>
        <v/>
      </c>
      <c r="N891">
        <f>MAX(0,J891-I891)</f>
        <v/>
      </c>
      <c r="O891">
        <f>IF(M891-N891&gt;1E-9,M891-N891,0)</f>
        <v/>
      </c>
      <c r="P891">
        <f>O890*$G$53</f>
        <v/>
      </c>
      <c r="Q891">
        <f>IF(S890&gt;0,MAX(0,S890*(1+$G$54)-$H$54),0)</f>
        <v/>
      </c>
      <c r="R891">
        <f>MAX(0,N891-M891)</f>
        <v/>
      </c>
      <c r="S891">
        <f>IF(Q891-R891&gt;1E-9,Q891-R891,0)</f>
        <v/>
      </c>
      <c r="T891">
        <f>S890*$G$54</f>
        <v/>
      </c>
      <c r="U891">
        <f>IF(W890&gt;0,MAX(0,W890*(1+$G$55)-$H$55),0)</f>
        <v/>
      </c>
      <c r="V891">
        <f>MAX(0,R891-Q891)</f>
        <v/>
      </c>
      <c r="W891">
        <f>IF(U891-V891&gt;1E-9,U891-V891,0)</f>
        <v/>
      </c>
      <c r="X891">
        <f>W890*$G$55</f>
        <v/>
      </c>
      <c r="Y891">
        <f>IF(Y890&gt;1E-9,IF(Y890*(1+$G$51)-MAX($B$9,0.01*Y890+Y890*$G$51)&gt;1E-9,Y890*(1+$G$51)-MAX($B$9,0.01*Y890+Y890*$G$51),0),0)</f>
        <v/>
      </c>
      <c r="Z891">
        <f>Y890*$G$51</f>
        <v/>
      </c>
      <c r="AA891">
        <f>IF(AA890&gt;1E-9,IF(AA890*(1+$G$52)-MAX($B$9,0.01*AA890+AA890*$G$52)&gt;1E-9,AA890*(1+$G$52)-MAX($B$9,0.01*AA890+AA890*$G$52),0),0)</f>
        <v/>
      </c>
      <c r="AB891">
        <f>AA890*$G$52</f>
        <v/>
      </c>
      <c r="AC891">
        <f>IF(AC890&gt;1E-9,IF(AC890*(1+$G$53)-MAX($B$9,0.01*AC890+AC890*$G$53)&gt;1E-9,AC890*(1+$G$53)-MAX($B$9,0.01*AC890+AC890*$G$53),0),0)</f>
        <v/>
      </c>
      <c r="AD891">
        <f>AC890*$G$53</f>
        <v/>
      </c>
      <c r="AE891">
        <f>IF(AE890&gt;1E-9,IF(AE890*(1+$G$54)-MAX($B$9,0.01*AE890+AE890*$G$54)&gt;1E-9,AE890*(1+$G$54)-MAX($B$9,0.01*AE890+AE890*$G$54),0),0)</f>
        <v/>
      </c>
      <c r="AF891">
        <f>AE890*$G$54</f>
        <v/>
      </c>
      <c r="AG891">
        <f>IF(AG890&gt;1E-9,IF(AG890*(1+$G$55)-MAX($B$9,0.01*AG890+AG890*$G$55)&gt;1E-9,AG890*(1+$G$55)-MAX($B$9,0.01*AG890+AG890*$G$55),0),0)</f>
        <v/>
      </c>
      <c r="AH891">
        <f>AG890*$G$55</f>
        <v/>
      </c>
      <c r="AI891">
        <f>G891+K891+O891+S891+W891</f>
        <v/>
      </c>
      <c r="AJ891">
        <f>AI890+AK891-AI891</f>
        <v/>
      </c>
      <c r="AK891">
        <f>H891+L891+P891+T891+X891</f>
        <v/>
      </c>
      <c r="AL891">
        <f>TEXT(EDATE($B$5,D891-1),"mmm yyyy")</f>
        <v/>
      </c>
      <c r="AM891">
        <f>AI891</f>
        <v/>
      </c>
    </row>
    <row r="892">
      <c r="D892" t="n">
        <v>831</v>
      </c>
      <c r="E892">
        <f>IF(G891&gt;0,MAX(0,G891*(1+$G$51)-$H$51),0)</f>
        <v/>
      </c>
      <c r="F892">
        <f>$B$6+IF($D892=$B$8,$B$7,0)</f>
        <v/>
      </c>
      <c r="G892">
        <f>IF(E892-F892&gt;1E-9,E892-F892,0)</f>
        <v/>
      </c>
      <c r="H892">
        <f>G891*$G$51</f>
        <v/>
      </c>
      <c r="I892">
        <f>IF(K891&gt;0,MAX(0,K891*(1+$G$52)-$H$52),0)</f>
        <v/>
      </c>
      <c r="J892">
        <f>MAX(0,F892-E892)</f>
        <v/>
      </c>
      <c r="K892">
        <f>IF(I892-J892&gt;1E-9,I892-J892,0)</f>
        <v/>
      </c>
      <c r="L892">
        <f>K891*$G$52</f>
        <v/>
      </c>
      <c r="M892">
        <f>IF(O891&gt;0,MAX(0,O891*(1+$G$53)-$H$53),0)</f>
        <v/>
      </c>
      <c r="N892">
        <f>MAX(0,J892-I892)</f>
        <v/>
      </c>
      <c r="O892">
        <f>IF(M892-N892&gt;1E-9,M892-N892,0)</f>
        <v/>
      </c>
      <c r="P892">
        <f>O891*$G$53</f>
        <v/>
      </c>
      <c r="Q892">
        <f>IF(S891&gt;0,MAX(0,S891*(1+$G$54)-$H$54),0)</f>
        <v/>
      </c>
      <c r="R892">
        <f>MAX(0,N892-M892)</f>
        <v/>
      </c>
      <c r="S892">
        <f>IF(Q892-R892&gt;1E-9,Q892-R892,0)</f>
        <v/>
      </c>
      <c r="T892">
        <f>S891*$G$54</f>
        <v/>
      </c>
      <c r="U892">
        <f>IF(W891&gt;0,MAX(0,W891*(1+$G$55)-$H$55),0)</f>
        <v/>
      </c>
      <c r="V892">
        <f>MAX(0,R892-Q892)</f>
        <v/>
      </c>
      <c r="W892">
        <f>IF(U892-V892&gt;1E-9,U892-V892,0)</f>
        <v/>
      </c>
      <c r="X892">
        <f>W891*$G$55</f>
        <v/>
      </c>
      <c r="Y892">
        <f>IF(Y891&gt;1E-9,IF(Y891*(1+$G$51)-MAX($B$9,0.01*Y891+Y891*$G$51)&gt;1E-9,Y891*(1+$G$51)-MAX($B$9,0.01*Y891+Y891*$G$51),0),0)</f>
        <v/>
      </c>
      <c r="Z892">
        <f>Y891*$G$51</f>
        <v/>
      </c>
      <c r="AA892">
        <f>IF(AA891&gt;1E-9,IF(AA891*(1+$G$52)-MAX($B$9,0.01*AA891+AA891*$G$52)&gt;1E-9,AA891*(1+$G$52)-MAX($B$9,0.01*AA891+AA891*$G$52),0),0)</f>
        <v/>
      </c>
      <c r="AB892">
        <f>AA891*$G$52</f>
        <v/>
      </c>
      <c r="AC892">
        <f>IF(AC891&gt;1E-9,IF(AC891*(1+$G$53)-MAX($B$9,0.01*AC891+AC891*$G$53)&gt;1E-9,AC891*(1+$G$53)-MAX($B$9,0.01*AC891+AC891*$G$53),0),0)</f>
        <v/>
      </c>
      <c r="AD892">
        <f>AC891*$G$53</f>
        <v/>
      </c>
      <c r="AE892">
        <f>IF(AE891&gt;1E-9,IF(AE891*(1+$G$54)-MAX($B$9,0.01*AE891+AE891*$G$54)&gt;1E-9,AE891*(1+$G$54)-MAX($B$9,0.01*AE891+AE891*$G$54),0),0)</f>
        <v/>
      </c>
      <c r="AF892">
        <f>AE891*$G$54</f>
        <v/>
      </c>
      <c r="AG892">
        <f>IF(AG891&gt;1E-9,IF(AG891*(1+$G$55)-MAX($B$9,0.01*AG891+AG891*$G$55)&gt;1E-9,AG891*(1+$G$55)-MAX($B$9,0.01*AG891+AG891*$G$55),0),0)</f>
        <v/>
      </c>
      <c r="AH892">
        <f>AG891*$G$55</f>
        <v/>
      </c>
      <c r="AI892">
        <f>G892+K892+O892+S892+W892</f>
        <v/>
      </c>
      <c r="AJ892">
        <f>AI891+AK892-AI892</f>
        <v/>
      </c>
      <c r="AK892">
        <f>H892+L892+P892+T892+X892</f>
        <v/>
      </c>
      <c r="AL892">
        <f>TEXT(EDATE($B$5,D892-1),"mmm yyyy")</f>
        <v/>
      </c>
      <c r="AM892">
        <f>AI892</f>
        <v/>
      </c>
    </row>
    <row r="893">
      <c r="D893" t="n">
        <v>832</v>
      </c>
      <c r="E893">
        <f>IF(G892&gt;0,MAX(0,G892*(1+$G$51)-$H$51),0)</f>
        <v/>
      </c>
      <c r="F893">
        <f>$B$6+IF($D893=$B$8,$B$7,0)</f>
        <v/>
      </c>
      <c r="G893">
        <f>IF(E893-F893&gt;1E-9,E893-F893,0)</f>
        <v/>
      </c>
      <c r="H893">
        <f>G892*$G$51</f>
        <v/>
      </c>
      <c r="I893">
        <f>IF(K892&gt;0,MAX(0,K892*(1+$G$52)-$H$52),0)</f>
        <v/>
      </c>
      <c r="J893">
        <f>MAX(0,F893-E893)</f>
        <v/>
      </c>
      <c r="K893">
        <f>IF(I893-J893&gt;1E-9,I893-J893,0)</f>
        <v/>
      </c>
      <c r="L893">
        <f>K892*$G$52</f>
        <v/>
      </c>
      <c r="M893">
        <f>IF(O892&gt;0,MAX(0,O892*(1+$G$53)-$H$53),0)</f>
        <v/>
      </c>
      <c r="N893">
        <f>MAX(0,J893-I893)</f>
        <v/>
      </c>
      <c r="O893">
        <f>IF(M893-N893&gt;1E-9,M893-N893,0)</f>
        <v/>
      </c>
      <c r="P893">
        <f>O892*$G$53</f>
        <v/>
      </c>
      <c r="Q893">
        <f>IF(S892&gt;0,MAX(0,S892*(1+$G$54)-$H$54),0)</f>
        <v/>
      </c>
      <c r="R893">
        <f>MAX(0,N893-M893)</f>
        <v/>
      </c>
      <c r="S893">
        <f>IF(Q893-R893&gt;1E-9,Q893-R893,0)</f>
        <v/>
      </c>
      <c r="T893">
        <f>S892*$G$54</f>
        <v/>
      </c>
      <c r="U893">
        <f>IF(W892&gt;0,MAX(0,W892*(1+$G$55)-$H$55),0)</f>
        <v/>
      </c>
      <c r="V893">
        <f>MAX(0,R893-Q893)</f>
        <v/>
      </c>
      <c r="W893">
        <f>IF(U893-V893&gt;1E-9,U893-V893,0)</f>
        <v/>
      </c>
      <c r="X893">
        <f>W892*$G$55</f>
        <v/>
      </c>
      <c r="Y893">
        <f>IF(Y892&gt;1E-9,IF(Y892*(1+$G$51)-MAX($B$9,0.01*Y892+Y892*$G$51)&gt;1E-9,Y892*(1+$G$51)-MAX($B$9,0.01*Y892+Y892*$G$51),0),0)</f>
        <v/>
      </c>
      <c r="Z893">
        <f>Y892*$G$51</f>
        <v/>
      </c>
      <c r="AA893">
        <f>IF(AA892&gt;1E-9,IF(AA892*(1+$G$52)-MAX($B$9,0.01*AA892+AA892*$G$52)&gt;1E-9,AA892*(1+$G$52)-MAX($B$9,0.01*AA892+AA892*$G$52),0),0)</f>
        <v/>
      </c>
      <c r="AB893">
        <f>AA892*$G$52</f>
        <v/>
      </c>
      <c r="AC893">
        <f>IF(AC892&gt;1E-9,IF(AC892*(1+$G$53)-MAX($B$9,0.01*AC892+AC892*$G$53)&gt;1E-9,AC892*(1+$G$53)-MAX($B$9,0.01*AC892+AC892*$G$53),0),0)</f>
        <v/>
      </c>
      <c r="AD893">
        <f>AC892*$G$53</f>
        <v/>
      </c>
      <c r="AE893">
        <f>IF(AE892&gt;1E-9,IF(AE892*(1+$G$54)-MAX($B$9,0.01*AE892+AE892*$G$54)&gt;1E-9,AE892*(1+$G$54)-MAX($B$9,0.01*AE892+AE892*$G$54),0),0)</f>
        <v/>
      </c>
      <c r="AF893">
        <f>AE892*$G$54</f>
        <v/>
      </c>
      <c r="AG893">
        <f>IF(AG892&gt;1E-9,IF(AG892*(1+$G$55)-MAX($B$9,0.01*AG892+AG892*$G$55)&gt;1E-9,AG892*(1+$G$55)-MAX($B$9,0.01*AG892+AG892*$G$55),0),0)</f>
        <v/>
      </c>
      <c r="AH893">
        <f>AG892*$G$55</f>
        <v/>
      </c>
      <c r="AI893">
        <f>G893+K893+O893+S893+W893</f>
        <v/>
      </c>
      <c r="AJ893">
        <f>AI892+AK893-AI893</f>
        <v/>
      </c>
      <c r="AK893">
        <f>H893+L893+P893+T893+X893</f>
        <v/>
      </c>
      <c r="AL893">
        <f>TEXT(EDATE($B$5,D893-1),"mmm yyyy")</f>
        <v/>
      </c>
      <c r="AM893">
        <f>AI893</f>
        <v/>
      </c>
    </row>
    <row r="894">
      <c r="D894" t="n">
        <v>833</v>
      </c>
      <c r="E894">
        <f>IF(G893&gt;0,MAX(0,G893*(1+$G$51)-$H$51),0)</f>
        <v/>
      </c>
      <c r="F894">
        <f>$B$6+IF($D894=$B$8,$B$7,0)</f>
        <v/>
      </c>
      <c r="G894">
        <f>IF(E894-F894&gt;1E-9,E894-F894,0)</f>
        <v/>
      </c>
      <c r="H894">
        <f>G893*$G$51</f>
        <v/>
      </c>
      <c r="I894">
        <f>IF(K893&gt;0,MAX(0,K893*(1+$G$52)-$H$52),0)</f>
        <v/>
      </c>
      <c r="J894">
        <f>MAX(0,F894-E894)</f>
        <v/>
      </c>
      <c r="K894">
        <f>IF(I894-J894&gt;1E-9,I894-J894,0)</f>
        <v/>
      </c>
      <c r="L894">
        <f>K893*$G$52</f>
        <v/>
      </c>
      <c r="M894">
        <f>IF(O893&gt;0,MAX(0,O893*(1+$G$53)-$H$53),0)</f>
        <v/>
      </c>
      <c r="N894">
        <f>MAX(0,J894-I894)</f>
        <v/>
      </c>
      <c r="O894">
        <f>IF(M894-N894&gt;1E-9,M894-N894,0)</f>
        <v/>
      </c>
      <c r="P894">
        <f>O893*$G$53</f>
        <v/>
      </c>
      <c r="Q894">
        <f>IF(S893&gt;0,MAX(0,S893*(1+$G$54)-$H$54),0)</f>
        <v/>
      </c>
      <c r="R894">
        <f>MAX(0,N894-M894)</f>
        <v/>
      </c>
      <c r="S894">
        <f>IF(Q894-R894&gt;1E-9,Q894-R894,0)</f>
        <v/>
      </c>
      <c r="T894">
        <f>S893*$G$54</f>
        <v/>
      </c>
      <c r="U894">
        <f>IF(W893&gt;0,MAX(0,W893*(1+$G$55)-$H$55),0)</f>
        <v/>
      </c>
      <c r="V894">
        <f>MAX(0,R894-Q894)</f>
        <v/>
      </c>
      <c r="W894">
        <f>IF(U894-V894&gt;1E-9,U894-V894,0)</f>
        <v/>
      </c>
      <c r="X894">
        <f>W893*$G$55</f>
        <v/>
      </c>
      <c r="Y894">
        <f>IF(Y893&gt;1E-9,IF(Y893*(1+$G$51)-MAX($B$9,0.01*Y893+Y893*$G$51)&gt;1E-9,Y893*(1+$G$51)-MAX($B$9,0.01*Y893+Y893*$G$51),0),0)</f>
        <v/>
      </c>
      <c r="Z894">
        <f>Y893*$G$51</f>
        <v/>
      </c>
      <c r="AA894">
        <f>IF(AA893&gt;1E-9,IF(AA893*(1+$G$52)-MAX($B$9,0.01*AA893+AA893*$G$52)&gt;1E-9,AA893*(1+$G$52)-MAX($B$9,0.01*AA893+AA893*$G$52),0),0)</f>
        <v/>
      </c>
      <c r="AB894">
        <f>AA893*$G$52</f>
        <v/>
      </c>
      <c r="AC894">
        <f>IF(AC893&gt;1E-9,IF(AC893*(1+$G$53)-MAX($B$9,0.01*AC893+AC893*$G$53)&gt;1E-9,AC893*(1+$G$53)-MAX($B$9,0.01*AC893+AC893*$G$53),0),0)</f>
        <v/>
      </c>
      <c r="AD894">
        <f>AC893*$G$53</f>
        <v/>
      </c>
      <c r="AE894">
        <f>IF(AE893&gt;1E-9,IF(AE893*(1+$G$54)-MAX($B$9,0.01*AE893+AE893*$G$54)&gt;1E-9,AE893*(1+$G$54)-MAX($B$9,0.01*AE893+AE893*$G$54),0),0)</f>
        <v/>
      </c>
      <c r="AF894">
        <f>AE893*$G$54</f>
        <v/>
      </c>
      <c r="AG894">
        <f>IF(AG893&gt;1E-9,IF(AG893*(1+$G$55)-MAX($B$9,0.01*AG893+AG893*$G$55)&gt;1E-9,AG893*(1+$G$55)-MAX($B$9,0.01*AG893+AG893*$G$55),0),0)</f>
        <v/>
      </c>
      <c r="AH894">
        <f>AG893*$G$55</f>
        <v/>
      </c>
      <c r="AI894">
        <f>G894+K894+O894+S894+W894</f>
        <v/>
      </c>
      <c r="AJ894">
        <f>AI893+AK894-AI894</f>
        <v/>
      </c>
      <c r="AK894">
        <f>H894+L894+P894+T894+X894</f>
        <v/>
      </c>
      <c r="AL894">
        <f>TEXT(EDATE($B$5,D894-1),"mmm yyyy")</f>
        <v/>
      </c>
      <c r="AM894">
        <f>AI894</f>
        <v/>
      </c>
    </row>
    <row r="895">
      <c r="D895" t="n">
        <v>834</v>
      </c>
      <c r="E895">
        <f>IF(G894&gt;0,MAX(0,G894*(1+$G$51)-$H$51),0)</f>
        <v/>
      </c>
      <c r="F895">
        <f>$B$6+IF($D895=$B$8,$B$7,0)</f>
        <v/>
      </c>
      <c r="G895">
        <f>IF(E895-F895&gt;1E-9,E895-F895,0)</f>
        <v/>
      </c>
      <c r="H895">
        <f>G894*$G$51</f>
        <v/>
      </c>
      <c r="I895">
        <f>IF(K894&gt;0,MAX(0,K894*(1+$G$52)-$H$52),0)</f>
        <v/>
      </c>
      <c r="J895">
        <f>MAX(0,F895-E895)</f>
        <v/>
      </c>
      <c r="K895">
        <f>IF(I895-J895&gt;1E-9,I895-J895,0)</f>
        <v/>
      </c>
      <c r="L895">
        <f>K894*$G$52</f>
        <v/>
      </c>
      <c r="M895">
        <f>IF(O894&gt;0,MAX(0,O894*(1+$G$53)-$H$53),0)</f>
        <v/>
      </c>
      <c r="N895">
        <f>MAX(0,J895-I895)</f>
        <v/>
      </c>
      <c r="O895">
        <f>IF(M895-N895&gt;1E-9,M895-N895,0)</f>
        <v/>
      </c>
      <c r="P895">
        <f>O894*$G$53</f>
        <v/>
      </c>
      <c r="Q895">
        <f>IF(S894&gt;0,MAX(0,S894*(1+$G$54)-$H$54),0)</f>
        <v/>
      </c>
      <c r="R895">
        <f>MAX(0,N895-M895)</f>
        <v/>
      </c>
      <c r="S895">
        <f>IF(Q895-R895&gt;1E-9,Q895-R895,0)</f>
        <v/>
      </c>
      <c r="T895">
        <f>S894*$G$54</f>
        <v/>
      </c>
      <c r="U895">
        <f>IF(W894&gt;0,MAX(0,W894*(1+$G$55)-$H$55),0)</f>
        <v/>
      </c>
      <c r="V895">
        <f>MAX(0,R895-Q895)</f>
        <v/>
      </c>
      <c r="W895">
        <f>IF(U895-V895&gt;1E-9,U895-V895,0)</f>
        <v/>
      </c>
      <c r="X895">
        <f>W894*$G$55</f>
        <v/>
      </c>
      <c r="Y895">
        <f>IF(Y894&gt;1E-9,IF(Y894*(1+$G$51)-MAX($B$9,0.01*Y894+Y894*$G$51)&gt;1E-9,Y894*(1+$G$51)-MAX($B$9,0.01*Y894+Y894*$G$51),0),0)</f>
        <v/>
      </c>
      <c r="Z895">
        <f>Y894*$G$51</f>
        <v/>
      </c>
      <c r="AA895">
        <f>IF(AA894&gt;1E-9,IF(AA894*(1+$G$52)-MAX($B$9,0.01*AA894+AA894*$G$52)&gt;1E-9,AA894*(1+$G$52)-MAX($B$9,0.01*AA894+AA894*$G$52),0),0)</f>
        <v/>
      </c>
      <c r="AB895">
        <f>AA894*$G$52</f>
        <v/>
      </c>
      <c r="AC895">
        <f>IF(AC894&gt;1E-9,IF(AC894*(1+$G$53)-MAX($B$9,0.01*AC894+AC894*$G$53)&gt;1E-9,AC894*(1+$G$53)-MAX($B$9,0.01*AC894+AC894*$G$53),0),0)</f>
        <v/>
      </c>
      <c r="AD895">
        <f>AC894*$G$53</f>
        <v/>
      </c>
      <c r="AE895">
        <f>IF(AE894&gt;1E-9,IF(AE894*(1+$G$54)-MAX($B$9,0.01*AE894+AE894*$G$54)&gt;1E-9,AE894*(1+$G$54)-MAX($B$9,0.01*AE894+AE894*$G$54),0),0)</f>
        <v/>
      </c>
      <c r="AF895">
        <f>AE894*$G$54</f>
        <v/>
      </c>
      <c r="AG895">
        <f>IF(AG894&gt;1E-9,IF(AG894*(1+$G$55)-MAX($B$9,0.01*AG894+AG894*$G$55)&gt;1E-9,AG894*(1+$G$55)-MAX($B$9,0.01*AG894+AG894*$G$55),0),0)</f>
        <v/>
      </c>
      <c r="AH895">
        <f>AG894*$G$55</f>
        <v/>
      </c>
      <c r="AI895">
        <f>G895+K895+O895+S895+W895</f>
        <v/>
      </c>
      <c r="AJ895">
        <f>AI894+AK895-AI895</f>
        <v/>
      </c>
      <c r="AK895">
        <f>H895+L895+P895+T895+X895</f>
        <v/>
      </c>
      <c r="AL895">
        <f>TEXT(EDATE($B$5,D895-1),"mmm yyyy")</f>
        <v/>
      </c>
      <c r="AM895">
        <f>AI895</f>
        <v/>
      </c>
    </row>
    <row r="896">
      <c r="D896" t="n">
        <v>835</v>
      </c>
      <c r="E896">
        <f>IF(G895&gt;0,MAX(0,G895*(1+$G$51)-$H$51),0)</f>
        <v/>
      </c>
      <c r="F896">
        <f>$B$6+IF($D896=$B$8,$B$7,0)</f>
        <v/>
      </c>
      <c r="G896">
        <f>IF(E896-F896&gt;1E-9,E896-F896,0)</f>
        <v/>
      </c>
      <c r="H896">
        <f>G895*$G$51</f>
        <v/>
      </c>
      <c r="I896">
        <f>IF(K895&gt;0,MAX(0,K895*(1+$G$52)-$H$52),0)</f>
        <v/>
      </c>
      <c r="J896">
        <f>MAX(0,F896-E896)</f>
        <v/>
      </c>
      <c r="K896">
        <f>IF(I896-J896&gt;1E-9,I896-J896,0)</f>
        <v/>
      </c>
      <c r="L896">
        <f>K895*$G$52</f>
        <v/>
      </c>
      <c r="M896">
        <f>IF(O895&gt;0,MAX(0,O895*(1+$G$53)-$H$53),0)</f>
        <v/>
      </c>
      <c r="N896">
        <f>MAX(0,J896-I896)</f>
        <v/>
      </c>
      <c r="O896">
        <f>IF(M896-N896&gt;1E-9,M896-N896,0)</f>
        <v/>
      </c>
      <c r="P896">
        <f>O895*$G$53</f>
        <v/>
      </c>
      <c r="Q896">
        <f>IF(S895&gt;0,MAX(0,S895*(1+$G$54)-$H$54),0)</f>
        <v/>
      </c>
      <c r="R896">
        <f>MAX(0,N896-M896)</f>
        <v/>
      </c>
      <c r="S896">
        <f>IF(Q896-R896&gt;1E-9,Q896-R896,0)</f>
        <v/>
      </c>
      <c r="T896">
        <f>S895*$G$54</f>
        <v/>
      </c>
      <c r="U896">
        <f>IF(W895&gt;0,MAX(0,W895*(1+$G$55)-$H$55),0)</f>
        <v/>
      </c>
      <c r="V896">
        <f>MAX(0,R896-Q896)</f>
        <v/>
      </c>
      <c r="W896">
        <f>IF(U896-V896&gt;1E-9,U896-V896,0)</f>
        <v/>
      </c>
      <c r="X896">
        <f>W895*$G$55</f>
        <v/>
      </c>
      <c r="Y896">
        <f>IF(Y895&gt;1E-9,IF(Y895*(1+$G$51)-MAX($B$9,0.01*Y895+Y895*$G$51)&gt;1E-9,Y895*(1+$G$51)-MAX($B$9,0.01*Y895+Y895*$G$51),0),0)</f>
        <v/>
      </c>
      <c r="Z896">
        <f>Y895*$G$51</f>
        <v/>
      </c>
      <c r="AA896">
        <f>IF(AA895&gt;1E-9,IF(AA895*(1+$G$52)-MAX($B$9,0.01*AA895+AA895*$G$52)&gt;1E-9,AA895*(1+$G$52)-MAX($B$9,0.01*AA895+AA895*$G$52),0),0)</f>
        <v/>
      </c>
      <c r="AB896">
        <f>AA895*$G$52</f>
        <v/>
      </c>
      <c r="AC896">
        <f>IF(AC895&gt;1E-9,IF(AC895*(1+$G$53)-MAX($B$9,0.01*AC895+AC895*$G$53)&gt;1E-9,AC895*(1+$G$53)-MAX($B$9,0.01*AC895+AC895*$G$53),0),0)</f>
        <v/>
      </c>
      <c r="AD896">
        <f>AC895*$G$53</f>
        <v/>
      </c>
      <c r="AE896">
        <f>IF(AE895&gt;1E-9,IF(AE895*(1+$G$54)-MAX($B$9,0.01*AE895+AE895*$G$54)&gt;1E-9,AE895*(1+$G$54)-MAX($B$9,0.01*AE895+AE895*$G$54),0),0)</f>
        <v/>
      </c>
      <c r="AF896">
        <f>AE895*$G$54</f>
        <v/>
      </c>
      <c r="AG896">
        <f>IF(AG895&gt;1E-9,IF(AG895*(1+$G$55)-MAX($B$9,0.01*AG895+AG895*$G$55)&gt;1E-9,AG895*(1+$G$55)-MAX($B$9,0.01*AG895+AG895*$G$55),0),0)</f>
        <v/>
      </c>
      <c r="AH896">
        <f>AG895*$G$55</f>
        <v/>
      </c>
      <c r="AI896">
        <f>G896+K896+O896+S896+W896</f>
        <v/>
      </c>
      <c r="AJ896">
        <f>AI895+AK896-AI896</f>
        <v/>
      </c>
      <c r="AK896">
        <f>H896+L896+P896+T896+X896</f>
        <v/>
      </c>
      <c r="AL896">
        <f>TEXT(EDATE($B$5,D896-1),"mmm yyyy")</f>
        <v/>
      </c>
      <c r="AM896">
        <f>AI896</f>
        <v/>
      </c>
    </row>
    <row r="897">
      <c r="D897" t="n">
        <v>836</v>
      </c>
      <c r="E897">
        <f>IF(G896&gt;0,MAX(0,G896*(1+$G$51)-$H$51),0)</f>
        <v/>
      </c>
      <c r="F897">
        <f>$B$6+IF($D897=$B$8,$B$7,0)</f>
        <v/>
      </c>
      <c r="G897">
        <f>IF(E897-F897&gt;1E-9,E897-F897,0)</f>
        <v/>
      </c>
      <c r="H897">
        <f>G896*$G$51</f>
        <v/>
      </c>
      <c r="I897">
        <f>IF(K896&gt;0,MAX(0,K896*(1+$G$52)-$H$52),0)</f>
        <v/>
      </c>
      <c r="J897">
        <f>MAX(0,F897-E897)</f>
        <v/>
      </c>
      <c r="K897">
        <f>IF(I897-J897&gt;1E-9,I897-J897,0)</f>
        <v/>
      </c>
      <c r="L897">
        <f>K896*$G$52</f>
        <v/>
      </c>
      <c r="M897">
        <f>IF(O896&gt;0,MAX(0,O896*(1+$G$53)-$H$53),0)</f>
        <v/>
      </c>
      <c r="N897">
        <f>MAX(0,J897-I897)</f>
        <v/>
      </c>
      <c r="O897">
        <f>IF(M897-N897&gt;1E-9,M897-N897,0)</f>
        <v/>
      </c>
      <c r="P897">
        <f>O896*$G$53</f>
        <v/>
      </c>
      <c r="Q897">
        <f>IF(S896&gt;0,MAX(0,S896*(1+$G$54)-$H$54),0)</f>
        <v/>
      </c>
      <c r="R897">
        <f>MAX(0,N897-M897)</f>
        <v/>
      </c>
      <c r="S897">
        <f>IF(Q897-R897&gt;1E-9,Q897-R897,0)</f>
        <v/>
      </c>
      <c r="T897">
        <f>S896*$G$54</f>
        <v/>
      </c>
      <c r="U897">
        <f>IF(W896&gt;0,MAX(0,W896*(1+$G$55)-$H$55),0)</f>
        <v/>
      </c>
      <c r="V897">
        <f>MAX(0,R897-Q897)</f>
        <v/>
      </c>
      <c r="W897">
        <f>IF(U897-V897&gt;1E-9,U897-V897,0)</f>
        <v/>
      </c>
      <c r="X897">
        <f>W896*$G$55</f>
        <v/>
      </c>
      <c r="Y897">
        <f>IF(Y896&gt;1E-9,IF(Y896*(1+$G$51)-MAX($B$9,0.01*Y896+Y896*$G$51)&gt;1E-9,Y896*(1+$G$51)-MAX($B$9,0.01*Y896+Y896*$G$51),0),0)</f>
        <v/>
      </c>
      <c r="Z897">
        <f>Y896*$G$51</f>
        <v/>
      </c>
      <c r="AA897">
        <f>IF(AA896&gt;1E-9,IF(AA896*(1+$G$52)-MAX($B$9,0.01*AA896+AA896*$G$52)&gt;1E-9,AA896*(1+$G$52)-MAX($B$9,0.01*AA896+AA896*$G$52),0),0)</f>
        <v/>
      </c>
      <c r="AB897">
        <f>AA896*$G$52</f>
        <v/>
      </c>
      <c r="AC897">
        <f>IF(AC896&gt;1E-9,IF(AC896*(1+$G$53)-MAX($B$9,0.01*AC896+AC896*$G$53)&gt;1E-9,AC896*(1+$G$53)-MAX($B$9,0.01*AC896+AC896*$G$53),0),0)</f>
        <v/>
      </c>
      <c r="AD897">
        <f>AC896*$G$53</f>
        <v/>
      </c>
      <c r="AE897">
        <f>IF(AE896&gt;1E-9,IF(AE896*(1+$G$54)-MAX($B$9,0.01*AE896+AE896*$G$54)&gt;1E-9,AE896*(1+$G$54)-MAX($B$9,0.01*AE896+AE896*$G$54),0),0)</f>
        <v/>
      </c>
      <c r="AF897">
        <f>AE896*$G$54</f>
        <v/>
      </c>
      <c r="AG897">
        <f>IF(AG896&gt;1E-9,IF(AG896*(1+$G$55)-MAX($B$9,0.01*AG896+AG896*$G$55)&gt;1E-9,AG896*(1+$G$55)-MAX($B$9,0.01*AG896+AG896*$G$55),0),0)</f>
        <v/>
      </c>
      <c r="AH897">
        <f>AG896*$G$55</f>
        <v/>
      </c>
      <c r="AI897">
        <f>G897+K897+O897+S897+W897</f>
        <v/>
      </c>
      <c r="AJ897">
        <f>AI896+AK897-AI897</f>
        <v/>
      </c>
      <c r="AK897">
        <f>H897+L897+P897+T897+X897</f>
        <v/>
      </c>
      <c r="AL897">
        <f>TEXT(EDATE($B$5,D897-1),"mmm yyyy")</f>
        <v/>
      </c>
      <c r="AM897">
        <f>AI897</f>
        <v/>
      </c>
    </row>
    <row r="898">
      <c r="D898" t="n">
        <v>837</v>
      </c>
      <c r="E898">
        <f>IF(G897&gt;0,MAX(0,G897*(1+$G$51)-$H$51),0)</f>
        <v/>
      </c>
      <c r="F898">
        <f>$B$6+IF($D898=$B$8,$B$7,0)</f>
        <v/>
      </c>
      <c r="G898">
        <f>IF(E898-F898&gt;1E-9,E898-F898,0)</f>
        <v/>
      </c>
      <c r="H898">
        <f>G897*$G$51</f>
        <v/>
      </c>
      <c r="I898">
        <f>IF(K897&gt;0,MAX(0,K897*(1+$G$52)-$H$52),0)</f>
        <v/>
      </c>
      <c r="J898">
        <f>MAX(0,F898-E898)</f>
        <v/>
      </c>
      <c r="K898">
        <f>IF(I898-J898&gt;1E-9,I898-J898,0)</f>
        <v/>
      </c>
      <c r="L898">
        <f>K897*$G$52</f>
        <v/>
      </c>
      <c r="M898">
        <f>IF(O897&gt;0,MAX(0,O897*(1+$G$53)-$H$53),0)</f>
        <v/>
      </c>
      <c r="N898">
        <f>MAX(0,J898-I898)</f>
        <v/>
      </c>
      <c r="O898">
        <f>IF(M898-N898&gt;1E-9,M898-N898,0)</f>
        <v/>
      </c>
      <c r="P898">
        <f>O897*$G$53</f>
        <v/>
      </c>
      <c r="Q898">
        <f>IF(S897&gt;0,MAX(0,S897*(1+$G$54)-$H$54),0)</f>
        <v/>
      </c>
      <c r="R898">
        <f>MAX(0,N898-M898)</f>
        <v/>
      </c>
      <c r="S898">
        <f>IF(Q898-R898&gt;1E-9,Q898-R898,0)</f>
        <v/>
      </c>
      <c r="T898">
        <f>S897*$G$54</f>
        <v/>
      </c>
      <c r="U898">
        <f>IF(W897&gt;0,MAX(0,W897*(1+$G$55)-$H$55),0)</f>
        <v/>
      </c>
      <c r="V898">
        <f>MAX(0,R898-Q898)</f>
        <v/>
      </c>
      <c r="W898">
        <f>IF(U898-V898&gt;1E-9,U898-V898,0)</f>
        <v/>
      </c>
      <c r="X898">
        <f>W897*$G$55</f>
        <v/>
      </c>
      <c r="Y898">
        <f>IF(Y897&gt;1E-9,IF(Y897*(1+$G$51)-MAX($B$9,0.01*Y897+Y897*$G$51)&gt;1E-9,Y897*(1+$G$51)-MAX($B$9,0.01*Y897+Y897*$G$51),0),0)</f>
        <v/>
      </c>
      <c r="Z898">
        <f>Y897*$G$51</f>
        <v/>
      </c>
      <c r="AA898">
        <f>IF(AA897&gt;1E-9,IF(AA897*(1+$G$52)-MAX($B$9,0.01*AA897+AA897*$G$52)&gt;1E-9,AA897*(1+$G$52)-MAX($B$9,0.01*AA897+AA897*$G$52),0),0)</f>
        <v/>
      </c>
      <c r="AB898">
        <f>AA897*$G$52</f>
        <v/>
      </c>
      <c r="AC898">
        <f>IF(AC897&gt;1E-9,IF(AC897*(1+$G$53)-MAX($B$9,0.01*AC897+AC897*$G$53)&gt;1E-9,AC897*(1+$G$53)-MAX($B$9,0.01*AC897+AC897*$G$53),0),0)</f>
        <v/>
      </c>
      <c r="AD898">
        <f>AC897*$G$53</f>
        <v/>
      </c>
      <c r="AE898">
        <f>IF(AE897&gt;1E-9,IF(AE897*(1+$G$54)-MAX($B$9,0.01*AE897+AE897*$G$54)&gt;1E-9,AE897*(1+$G$54)-MAX($B$9,0.01*AE897+AE897*$G$54),0),0)</f>
        <v/>
      </c>
      <c r="AF898">
        <f>AE897*$G$54</f>
        <v/>
      </c>
      <c r="AG898">
        <f>IF(AG897&gt;1E-9,IF(AG897*(1+$G$55)-MAX($B$9,0.01*AG897+AG897*$G$55)&gt;1E-9,AG897*(1+$G$55)-MAX($B$9,0.01*AG897+AG897*$G$55),0),0)</f>
        <v/>
      </c>
      <c r="AH898">
        <f>AG897*$G$55</f>
        <v/>
      </c>
      <c r="AI898">
        <f>G898+K898+O898+S898+W898</f>
        <v/>
      </c>
      <c r="AJ898">
        <f>AI897+AK898-AI898</f>
        <v/>
      </c>
      <c r="AK898">
        <f>H898+L898+P898+T898+X898</f>
        <v/>
      </c>
      <c r="AL898">
        <f>TEXT(EDATE($B$5,D898-1),"mmm yyyy")</f>
        <v/>
      </c>
      <c r="AM898">
        <f>AI898</f>
        <v/>
      </c>
    </row>
    <row r="899">
      <c r="D899" t="n">
        <v>838</v>
      </c>
      <c r="E899">
        <f>IF(G898&gt;0,MAX(0,G898*(1+$G$51)-$H$51),0)</f>
        <v/>
      </c>
      <c r="F899">
        <f>$B$6+IF($D899=$B$8,$B$7,0)</f>
        <v/>
      </c>
      <c r="G899">
        <f>IF(E899-F899&gt;1E-9,E899-F899,0)</f>
        <v/>
      </c>
      <c r="H899">
        <f>G898*$G$51</f>
        <v/>
      </c>
      <c r="I899">
        <f>IF(K898&gt;0,MAX(0,K898*(1+$G$52)-$H$52),0)</f>
        <v/>
      </c>
      <c r="J899">
        <f>MAX(0,F899-E899)</f>
        <v/>
      </c>
      <c r="K899">
        <f>IF(I899-J899&gt;1E-9,I899-J899,0)</f>
        <v/>
      </c>
      <c r="L899">
        <f>K898*$G$52</f>
        <v/>
      </c>
      <c r="M899">
        <f>IF(O898&gt;0,MAX(0,O898*(1+$G$53)-$H$53),0)</f>
        <v/>
      </c>
      <c r="N899">
        <f>MAX(0,J899-I899)</f>
        <v/>
      </c>
      <c r="O899">
        <f>IF(M899-N899&gt;1E-9,M899-N899,0)</f>
        <v/>
      </c>
      <c r="P899">
        <f>O898*$G$53</f>
        <v/>
      </c>
      <c r="Q899">
        <f>IF(S898&gt;0,MAX(0,S898*(1+$G$54)-$H$54),0)</f>
        <v/>
      </c>
      <c r="R899">
        <f>MAX(0,N899-M899)</f>
        <v/>
      </c>
      <c r="S899">
        <f>IF(Q899-R899&gt;1E-9,Q899-R899,0)</f>
        <v/>
      </c>
      <c r="T899">
        <f>S898*$G$54</f>
        <v/>
      </c>
      <c r="U899">
        <f>IF(W898&gt;0,MAX(0,W898*(1+$G$55)-$H$55),0)</f>
        <v/>
      </c>
      <c r="V899">
        <f>MAX(0,R899-Q899)</f>
        <v/>
      </c>
      <c r="W899">
        <f>IF(U899-V899&gt;1E-9,U899-V899,0)</f>
        <v/>
      </c>
      <c r="X899">
        <f>W898*$G$55</f>
        <v/>
      </c>
      <c r="Y899">
        <f>IF(Y898&gt;1E-9,IF(Y898*(1+$G$51)-MAX($B$9,0.01*Y898+Y898*$G$51)&gt;1E-9,Y898*(1+$G$51)-MAX($B$9,0.01*Y898+Y898*$G$51),0),0)</f>
        <v/>
      </c>
      <c r="Z899">
        <f>Y898*$G$51</f>
        <v/>
      </c>
      <c r="AA899">
        <f>IF(AA898&gt;1E-9,IF(AA898*(1+$G$52)-MAX($B$9,0.01*AA898+AA898*$G$52)&gt;1E-9,AA898*(1+$G$52)-MAX($B$9,0.01*AA898+AA898*$G$52),0),0)</f>
        <v/>
      </c>
      <c r="AB899">
        <f>AA898*$G$52</f>
        <v/>
      </c>
      <c r="AC899">
        <f>IF(AC898&gt;1E-9,IF(AC898*(1+$G$53)-MAX($B$9,0.01*AC898+AC898*$G$53)&gt;1E-9,AC898*(1+$G$53)-MAX($B$9,0.01*AC898+AC898*$G$53),0),0)</f>
        <v/>
      </c>
      <c r="AD899">
        <f>AC898*$G$53</f>
        <v/>
      </c>
      <c r="AE899">
        <f>IF(AE898&gt;1E-9,IF(AE898*(1+$G$54)-MAX($B$9,0.01*AE898+AE898*$G$54)&gt;1E-9,AE898*(1+$G$54)-MAX($B$9,0.01*AE898+AE898*$G$54),0),0)</f>
        <v/>
      </c>
      <c r="AF899">
        <f>AE898*$G$54</f>
        <v/>
      </c>
      <c r="AG899">
        <f>IF(AG898&gt;1E-9,IF(AG898*(1+$G$55)-MAX($B$9,0.01*AG898+AG898*$G$55)&gt;1E-9,AG898*(1+$G$55)-MAX($B$9,0.01*AG898+AG898*$G$55),0),0)</f>
        <v/>
      </c>
      <c r="AH899">
        <f>AG898*$G$55</f>
        <v/>
      </c>
      <c r="AI899">
        <f>G899+K899+O899+S899+W899</f>
        <v/>
      </c>
      <c r="AJ899">
        <f>AI898+AK899-AI899</f>
        <v/>
      </c>
      <c r="AK899">
        <f>H899+L899+P899+T899+X899</f>
        <v/>
      </c>
      <c r="AL899">
        <f>TEXT(EDATE($B$5,D899-1),"mmm yyyy")</f>
        <v/>
      </c>
      <c r="AM899">
        <f>AI899</f>
        <v/>
      </c>
    </row>
    <row r="900">
      <c r="D900" t="n">
        <v>839</v>
      </c>
      <c r="E900">
        <f>IF(G899&gt;0,MAX(0,G899*(1+$G$51)-$H$51),0)</f>
        <v/>
      </c>
      <c r="F900">
        <f>$B$6+IF($D900=$B$8,$B$7,0)</f>
        <v/>
      </c>
      <c r="G900">
        <f>IF(E900-F900&gt;1E-9,E900-F900,0)</f>
        <v/>
      </c>
      <c r="H900">
        <f>G899*$G$51</f>
        <v/>
      </c>
      <c r="I900">
        <f>IF(K899&gt;0,MAX(0,K899*(1+$G$52)-$H$52),0)</f>
        <v/>
      </c>
      <c r="J900">
        <f>MAX(0,F900-E900)</f>
        <v/>
      </c>
      <c r="K900">
        <f>IF(I900-J900&gt;1E-9,I900-J900,0)</f>
        <v/>
      </c>
      <c r="L900">
        <f>K899*$G$52</f>
        <v/>
      </c>
      <c r="M900">
        <f>IF(O899&gt;0,MAX(0,O899*(1+$G$53)-$H$53),0)</f>
        <v/>
      </c>
      <c r="N900">
        <f>MAX(0,J900-I900)</f>
        <v/>
      </c>
      <c r="O900">
        <f>IF(M900-N900&gt;1E-9,M900-N900,0)</f>
        <v/>
      </c>
      <c r="P900">
        <f>O899*$G$53</f>
        <v/>
      </c>
      <c r="Q900">
        <f>IF(S899&gt;0,MAX(0,S899*(1+$G$54)-$H$54),0)</f>
        <v/>
      </c>
      <c r="R900">
        <f>MAX(0,N900-M900)</f>
        <v/>
      </c>
      <c r="S900">
        <f>IF(Q900-R900&gt;1E-9,Q900-R900,0)</f>
        <v/>
      </c>
      <c r="T900">
        <f>S899*$G$54</f>
        <v/>
      </c>
      <c r="U900">
        <f>IF(W899&gt;0,MAX(0,W899*(1+$G$55)-$H$55),0)</f>
        <v/>
      </c>
      <c r="V900">
        <f>MAX(0,R900-Q900)</f>
        <v/>
      </c>
      <c r="W900">
        <f>IF(U900-V900&gt;1E-9,U900-V900,0)</f>
        <v/>
      </c>
      <c r="X900">
        <f>W899*$G$55</f>
        <v/>
      </c>
      <c r="Y900">
        <f>IF(Y899&gt;1E-9,IF(Y899*(1+$G$51)-MAX($B$9,0.01*Y899+Y899*$G$51)&gt;1E-9,Y899*(1+$G$51)-MAX($B$9,0.01*Y899+Y899*$G$51),0),0)</f>
        <v/>
      </c>
      <c r="Z900">
        <f>Y899*$G$51</f>
        <v/>
      </c>
      <c r="AA900">
        <f>IF(AA899&gt;1E-9,IF(AA899*(1+$G$52)-MAX($B$9,0.01*AA899+AA899*$G$52)&gt;1E-9,AA899*(1+$G$52)-MAX($B$9,0.01*AA899+AA899*$G$52),0),0)</f>
        <v/>
      </c>
      <c r="AB900">
        <f>AA899*$G$52</f>
        <v/>
      </c>
      <c r="AC900">
        <f>IF(AC899&gt;1E-9,IF(AC899*(1+$G$53)-MAX($B$9,0.01*AC899+AC899*$G$53)&gt;1E-9,AC899*(1+$G$53)-MAX($B$9,0.01*AC899+AC899*$G$53),0),0)</f>
        <v/>
      </c>
      <c r="AD900">
        <f>AC899*$G$53</f>
        <v/>
      </c>
      <c r="AE900">
        <f>IF(AE899&gt;1E-9,IF(AE899*(1+$G$54)-MAX($B$9,0.01*AE899+AE899*$G$54)&gt;1E-9,AE899*(1+$G$54)-MAX($B$9,0.01*AE899+AE899*$G$54),0),0)</f>
        <v/>
      </c>
      <c r="AF900">
        <f>AE899*$G$54</f>
        <v/>
      </c>
      <c r="AG900">
        <f>IF(AG899&gt;1E-9,IF(AG899*(1+$G$55)-MAX($B$9,0.01*AG899+AG899*$G$55)&gt;1E-9,AG899*(1+$G$55)-MAX($B$9,0.01*AG899+AG899*$G$55),0),0)</f>
        <v/>
      </c>
      <c r="AH900">
        <f>AG899*$G$55</f>
        <v/>
      </c>
      <c r="AI900">
        <f>G900+K900+O900+S900+W900</f>
        <v/>
      </c>
      <c r="AJ900">
        <f>AI899+AK900-AI900</f>
        <v/>
      </c>
      <c r="AK900">
        <f>H900+L900+P900+T900+X900</f>
        <v/>
      </c>
      <c r="AL900">
        <f>TEXT(EDATE($B$5,D900-1),"mmm yyyy")</f>
        <v/>
      </c>
      <c r="AM900">
        <f>AI900</f>
        <v/>
      </c>
    </row>
    <row r="901">
      <c r="D901" t="n">
        <v>840</v>
      </c>
      <c r="E901">
        <f>IF(G900&gt;0,MAX(0,G900*(1+$G$51)-$H$51),0)</f>
        <v/>
      </c>
      <c r="F901">
        <f>$B$6+IF($D901=$B$8,$B$7,0)</f>
        <v/>
      </c>
      <c r="G901">
        <f>IF(E901-F901&gt;1E-9,E901-F901,0)</f>
        <v/>
      </c>
      <c r="H901">
        <f>G900*$G$51</f>
        <v/>
      </c>
      <c r="I901">
        <f>IF(K900&gt;0,MAX(0,K900*(1+$G$52)-$H$52),0)</f>
        <v/>
      </c>
      <c r="J901">
        <f>MAX(0,F901-E901)</f>
        <v/>
      </c>
      <c r="K901">
        <f>IF(I901-J901&gt;1E-9,I901-J901,0)</f>
        <v/>
      </c>
      <c r="L901">
        <f>K900*$G$52</f>
        <v/>
      </c>
      <c r="M901">
        <f>IF(O900&gt;0,MAX(0,O900*(1+$G$53)-$H$53),0)</f>
        <v/>
      </c>
      <c r="N901">
        <f>MAX(0,J901-I901)</f>
        <v/>
      </c>
      <c r="O901">
        <f>IF(M901-N901&gt;1E-9,M901-N901,0)</f>
        <v/>
      </c>
      <c r="P901">
        <f>O900*$G$53</f>
        <v/>
      </c>
      <c r="Q901">
        <f>IF(S900&gt;0,MAX(0,S900*(1+$G$54)-$H$54),0)</f>
        <v/>
      </c>
      <c r="R901">
        <f>MAX(0,N901-M901)</f>
        <v/>
      </c>
      <c r="S901">
        <f>IF(Q901-R901&gt;1E-9,Q901-R901,0)</f>
        <v/>
      </c>
      <c r="T901">
        <f>S900*$G$54</f>
        <v/>
      </c>
      <c r="U901">
        <f>IF(W900&gt;0,MAX(0,W900*(1+$G$55)-$H$55),0)</f>
        <v/>
      </c>
      <c r="V901">
        <f>MAX(0,R901-Q901)</f>
        <v/>
      </c>
      <c r="W901">
        <f>IF(U901-V901&gt;1E-9,U901-V901,0)</f>
        <v/>
      </c>
      <c r="X901">
        <f>W900*$G$55</f>
        <v/>
      </c>
      <c r="Y901">
        <f>IF(Y900&gt;1E-9,IF(Y900*(1+$G$51)-MAX($B$9,0.01*Y900+Y900*$G$51)&gt;1E-9,Y900*(1+$G$51)-MAX($B$9,0.01*Y900+Y900*$G$51),0),0)</f>
        <v/>
      </c>
      <c r="Z901">
        <f>Y900*$G$51</f>
        <v/>
      </c>
      <c r="AA901">
        <f>IF(AA900&gt;1E-9,IF(AA900*(1+$G$52)-MAX($B$9,0.01*AA900+AA900*$G$52)&gt;1E-9,AA900*(1+$G$52)-MAX($B$9,0.01*AA900+AA900*$G$52),0),0)</f>
        <v/>
      </c>
      <c r="AB901">
        <f>AA900*$G$52</f>
        <v/>
      </c>
      <c r="AC901">
        <f>IF(AC900&gt;1E-9,IF(AC900*(1+$G$53)-MAX($B$9,0.01*AC900+AC900*$G$53)&gt;1E-9,AC900*(1+$G$53)-MAX($B$9,0.01*AC900+AC900*$G$53),0),0)</f>
        <v/>
      </c>
      <c r="AD901">
        <f>AC900*$G$53</f>
        <v/>
      </c>
      <c r="AE901">
        <f>IF(AE900&gt;1E-9,IF(AE900*(1+$G$54)-MAX($B$9,0.01*AE900+AE900*$G$54)&gt;1E-9,AE900*(1+$G$54)-MAX($B$9,0.01*AE900+AE900*$G$54),0),0)</f>
        <v/>
      </c>
      <c r="AF901">
        <f>AE900*$G$54</f>
        <v/>
      </c>
      <c r="AG901">
        <f>IF(AG900&gt;1E-9,IF(AG900*(1+$G$55)-MAX($B$9,0.01*AG900+AG900*$G$55)&gt;1E-9,AG900*(1+$G$55)-MAX($B$9,0.01*AG900+AG900*$G$55),0),0)</f>
        <v/>
      </c>
      <c r="AH901">
        <f>AG900*$G$55</f>
        <v/>
      </c>
      <c r="AI901">
        <f>G901+K901+O901+S901+W901</f>
        <v/>
      </c>
      <c r="AJ901">
        <f>AI900+AK901-AI901</f>
        <v/>
      </c>
      <c r="AK901">
        <f>H901+L901+P901+T901+X901</f>
        <v/>
      </c>
      <c r="AL901">
        <f>TEXT(EDATE($B$5,D901-1),"mmm yyyy")</f>
        <v/>
      </c>
      <c r="AM901">
        <f>AI901</f>
        <v/>
      </c>
    </row>
    <row r="902">
      <c r="D902" t="n">
        <v>841</v>
      </c>
      <c r="E902">
        <f>IF(G901&gt;0,MAX(0,G901*(1+$G$51)-$H$51),0)</f>
        <v/>
      </c>
      <c r="F902">
        <f>$B$6+IF($D902=$B$8,$B$7,0)</f>
        <v/>
      </c>
      <c r="G902">
        <f>IF(E902-F902&gt;1E-9,E902-F902,0)</f>
        <v/>
      </c>
      <c r="H902">
        <f>G901*$G$51</f>
        <v/>
      </c>
      <c r="I902">
        <f>IF(K901&gt;0,MAX(0,K901*(1+$G$52)-$H$52),0)</f>
        <v/>
      </c>
      <c r="J902">
        <f>MAX(0,F902-E902)</f>
        <v/>
      </c>
      <c r="K902">
        <f>IF(I902-J902&gt;1E-9,I902-J902,0)</f>
        <v/>
      </c>
      <c r="L902">
        <f>K901*$G$52</f>
        <v/>
      </c>
      <c r="M902">
        <f>IF(O901&gt;0,MAX(0,O901*(1+$G$53)-$H$53),0)</f>
        <v/>
      </c>
      <c r="N902">
        <f>MAX(0,J902-I902)</f>
        <v/>
      </c>
      <c r="O902">
        <f>IF(M902-N902&gt;1E-9,M902-N902,0)</f>
        <v/>
      </c>
      <c r="P902">
        <f>O901*$G$53</f>
        <v/>
      </c>
      <c r="Q902">
        <f>IF(S901&gt;0,MAX(0,S901*(1+$G$54)-$H$54),0)</f>
        <v/>
      </c>
      <c r="R902">
        <f>MAX(0,N902-M902)</f>
        <v/>
      </c>
      <c r="S902">
        <f>IF(Q902-R902&gt;1E-9,Q902-R902,0)</f>
        <v/>
      </c>
      <c r="T902">
        <f>S901*$G$54</f>
        <v/>
      </c>
      <c r="U902">
        <f>IF(W901&gt;0,MAX(0,W901*(1+$G$55)-$H$55),0)</f>
        <v/>
      </c>
      <c r="V902">
        <f>MAX(0,R902-Q902)</f>
        <v/>
      </c>
      <c r="W902">
        <f>IF(U902-V902&gt;1E-9,U902-V902,0)</f>
        <v/>
      </c>
      <c r="X902">
        <f>W901*$G$55</f>
        <v/>
      </c>
      <c r="Y902">
        <f>IF(Y901&gt;1E-9,IF(Y901*(1+$G$51)-MAX($B$9,0.01*Y901+Y901*$G$51)&gt;1E-9,Y901*(1+$G$51)-MAX($B$9,0.01*Y901+Y901*$G$51),0),0)</f>
        <v/>
      </c>
      <c r="Z902">
        <f>Y901*$G$51</f>
        <v/>
      </c>
      <c r="AA902">
        <f>IF(AA901&gt;1E-9,IF(AA901*(1+$G$52)-MAX($B$9,0.01*AA901+AA901*$G$52)&gt;1E-9,AA901*(1+$G$52)-MAX($B$9,0.01*AA901+AA901*$G$52),0),0)</f>
        <v/>
      </c>
      <c r="AB902">
        <f>AA901*$G$52</f>
        <v/>
      </c>
      <c r="AC902">
        <f>IF(AC901&gt;1E-9,IF(AC901*(1+$G$53)-MAX($B$9,0.01*AC901+AC901*$G$53)&gt;1E-9,AC901*(1+$G$53)-MAX($B$9,0.01*AC901+AC901*$G$53),0),0)</f>
        <v/>
      </c>
      <c r="AD902">
        <f>AC901*$G$53</f>
        <v/>
      </c>
      <c r="AE902">
        <f>IF(AE901&gt;1E-9,IF(AE901*(1+$G$54)-MAX($B$9,0.01*AE901+AE901*$G$54)&gt;1E-9,AE901*(1+$G$54)-MAX($B$9,0.01*AE901+AE901*$G$54),0),0)</f>
        <v/>
      </c>
      <c r="AF902">
        <f>AE901*$G$54</f>
        <v/>
      </c>
      <c r="AG902">
        <f>IF(AG901&gt;1E-9,IF(AG901*(1+$G$55)-MAX($B$9,0.01*AG901+AG901*$G$55)&gt;1E-9,AG901*(1+$G$55)-MAX($B$9,0.01*AG901+AG901*$G$55),0),0)</f>
        <v/>
      </c>
      <c r="AH902">
        <f>AG901*$G$55</f>
        <v/>
      </c>
      <c r="AI902">
        <f>G902+K902+O902+S902+W902</f>
        <v/>
      </c>
      <c r="AJ902">
        <f>AI901+AK902-AI902</f>
        <v/>
      </c>
      <c r="AK902">
        <f>H902+L902+P902+T902+X902</f>
        <v/>
      </c>
      <c r="AL902">
        <f>TEXT(EDATE($B$5,D902-1),"mmm yyyy")</f>
        <v/>
      </c>
      <c r="AM902">
        <f>AI902</f>
        <v/>
      </c>
    </row>
    <row r="903">
      <c r="D903" t="n">
        <v>842</v>
      </c>
      <c r="E903">
        <f>IF(G902&gt;0,MAX(0,G902*(1+$G$51)-$H$51),0)</f>
        <v/>
      </c>
      <c r="F903">
        <f>$B$6+IF($D903=$B$8,$B$7,0)</f>
        <v/>
      </c>
      <c r="G903">
        <f>IF(E903-F903&gt;1E-9,E903-F903,0)</f>
        <v/>
      </c>
      <c r="H903">
        <f>G902*$G$51</f>
        <v/>
      </c>
      <c r="I903">
        <f>IF(K902&gt;0,MAX(0,K902*(1+$G$52)-$H$52),0)</f>
        <v/>
      </c>
      <c r="J903">
        <f>MAX(0,F903-E903)</f>
        <v/>
      </c>
      <c r="K903">
        <f>IF(I903-J903&gt;1E-9,I903-J903,0)</f>
        <v/>
      </c>
      <c r="L903">
        <f>K902*$G$52</f>
        <v/>
      </c>
      <c r="M903">
        <f>IF(O902&gt;0,MAX(0,O902*(1+$G$53)-$H$53),0)</f>
        <v/>
      </c>
      <c r="N903">
        <f>MAX(0,J903-I903)</f>
        <v/>
      </c>
      <c r="O903">
        <f>IF(M903-N903&gt;1E-9,M903-N903,0)</f>
        <v/>
      </c>
      <c r="P903">
        <f>O902*$G$53</f>
        <v/>
      </c>
      <c r="Q903">
        <f>IF(S902&gt;0,MAX(0,S902*(1+$G$54)-$H$54),0)</f>
        <v/>
      </c>
      <c r="R903">
        <f>MAX(0,N903-M903)</f>
        <v/>
      </c>
      <c r="S903">
        <f>IF(Q903-R903&gt;1E-9,Q903-R903,0)</f>
        <v/>
      </c>
      <c r="T903">
        <f>S902*$G$54</f>
        <v/>
      </c>
      <c r="U903">
        <f>IF(W902&gt;0,MAX(0,W902*(1+$G$55)-$H$55),0)</f>
        <v/>
      </c>
      <c r="V903">
        <f>MAX(0,R903-Q903)</f>
        <v/>
      </c>
      <c r="W903">
        <f>IF(U903-V903&gt;1E-9,U903-V903,0)</f>
        <v/>
      </c>
      <c r="X903">
        <f>W902*$G$55</f>
        <v/>
      </c>
      <c r="Y903">
        <f>IF(Y902&gt;1E-9,IF(Y902*(1+$G$51)-MAX($B$9,0.01*Y902+Y902*$G$51)&gt;1E-9,Y902*(1+$G$51)-MAX($B$9,0.01*Y902+Y902*$G$51),0),0)</f>
        <v/>
      </c>
      <c r="Z903">
        <f>Y902*$G$51</f>
        <v/>
      </c>
      <c r="AA903">
        <f>IF(AA902&gt;1E-9,IF(AA902*(1+$G$52)-MAX($B$9,0.01*AA902+AA902*$G$52)&gt;1E-9,AA902*(1+$G$52)-MAX($B$9,0.01*AA902+AA902*$G$52),0),0)</f>
        <v/>
      </c>
      <c r="AB903">
        <f>AA902*$G$52</f>
        <v/>
      </c>
      <c r="AC903">
        <f>IF(AC902&gt;1E-9,IF(AC902*(1+$G$53)-MAX($B$9,0.01*AC902+AC902*$G$53)&gt;1E-9,AC902*(1+$G$53)-MAX($B$9,0.01*AC902+AC902*$G$53),0),0)</f>
        <v/>
      </c>
      <c r="AD903">
        <f>AC902*$G$53</f>
        <v/>
      </c>
      <c r="AE903">
        <f>IF(AE902&gt;1E-9,IF(AE902*(1+$G$54)-MAX($B$9,0.01*AE902+AE902*$G$54)&gt;1E-9,AE902*(1+$G$54)-MAX($B$9,0.01*AE902+AE902*$G$54),0),0)</f>
        <v/>
      </c>
      <c r="AF903">
        <f>AE902*$G$54</f>
        <v/>
      </c>
      <c r="AG903">
        <f>IF(AG902&gt;1E-9,IF(AG902*(1+$G$55)-MAX($B$9,0.01*AG902+AG902*$G$55)&gt;1E-9,AG902*(1+$G$55)-MAX($B$9,0.01*AG902+AG902*$G$55),0),0)</f>
        <v/>
      </c>
      <c r="AH903">
        <f>AG902*$G$55</f>
        <v/>
      </c>
      <c r="AI903">
        <f>G903+K903+O903+S903+W903</f>
        <v/>
      </c>
      <c r="AJ903">
        <f>AI902+AK903-AI903</f>
        <v/>
      </c>
      <c r="AK903">
        <f>H903+L903+P903+T903+X903</f>
        <v/>
      </c>
      <c r="AL903">
        <f>TEXT(EDATE($B$5,D903-1),"mmm yyyy")</f>
        <v/>
      </c>
      <c r="AM903">
        <f>AI903</f>
        <v/>
      </c>
    </row>
    <row r="904">
      <c r="D904" t="n">
        <v>843</v>
      </c>
      <c r="E904">
        <f>IF(G903&gt;0,MAX(0,G903*(1+$G$51)-$H$51),0)</f>
        <v/>
      </c>
      <c r="F904">
        <f>$B$6+IF($D904=$B$8,$B$7,0)</f>
        <v/>
      </c>
      <c r="G904">
        <f>IF(E904-F904&gt;1E-9,E904-F904,0)</f>
        <v/>
      </c>
      <c r="H904">
        <f>G903*$G$51</f>
        <v/>
      </c>
      <c r="I904">
        <f>IF(K903&gt;0,MAX(0,K903*(1+$G$52)-$H$52),0)</f>
        <v/>
      </c>
      <c r="J904">
        <f>MAX(0,F904-E904)</f>
        <v/>
      </c>
      <c r="K904">
        <f>IF(I904-J904&gt;1E-9,I904-J904,0)</f>
        <v/>
      </c>
      <c r="L904">
        <f>K903*$G$52</f>
        <v/>
      </c>
      <c r="M904">
        <f>IF(O903&gt;0,MAX(0,O903*(1+$G$53)-$H$53),0)</f>
        <v/>
      </c>
      <c r="N904">
        <f>MAX(0,J904-I904)</f>
        <v/>
      </c>
      <c r="O904">
        <f>IF(M904-N904&gt;1E-9,M904-N904,0)</f>
        <v/>
      </c>
      <c r="P904">
        <f>O903*$G$53</f>
        <v/>
      </c>
      <c r="Q904">
        <f>IF(S903&gt;0,MAX(0,S903*(1+$G$54)-$H$54),0)</f>
        <v/>
      </c>
      <c r="R904">
        <f>MAX(0,N904-M904)</f>
        <v/>
      </c>
      <c r="S904">
        <f>IF(Q904-R904&gt;1E-9,Q904-R904,0)</f>
        <v/>
      </c>
      <c r="T904">
        <f>S903*$G$54</f>
        <v/>
      </c>
      <c r="U904">
        <f>IF(W903&gt;0,MAX(0,W903*(1+$G$55)-$H$55),0)</f>
        <v/>
      </c>
      <c r="V904">
        <f>MAX(0,R904-Q904)</f>
        <v/>
      </c>
      <c r="W904">
        <f>IF(U904-V904&gt;1E-9,U904-V904,0)</f>
        <v/>
      </c>
      <c r="X904">
        <f>W903*$G$55</f>
        <v/>
      </c>
      <c r="Y904">
        <f>IF(Y903&gt;1E-9,IF(Y903*(1+$G$51)-MAX($B$9,0.01*Y903+Y903*$G$51)&gt;1E-9,Y903*(1+$G$51)-MAX($B$9,0.01*Y903+Y903*$G$51),0),0)</f>
        <v/>
      </c>
      <c r="Z904">
        <f>Y903*$G$51</f>
        <v/>
      </c>
      <c r="AA904">
        <f>IF(AA903&gt;1E-9,IF(AA903*(1+$G$52)-MAX($B$9,0.01*AA903+AA903*$G$52)&gt;1E-9,AA903*(1+$G$52)-MAX($B$9,0.01*AA903+AA903*$G$52),0),0)</f>
        <v/>
      </c>
      <c r="AB904">
        <f>AA903*$G$52</f>
        <v/>
      </c>
      <c r="AC904">
        <f>IF(AC903&gt;1E-9,IF(AC903*(1+$G$53)-MAX($B$9,0.01*AC903+AC903*$G$53)&gt;1E-9,AC903*(1+$G$53)-MAX($B$9,0.01*AC903+AC903*$G$53),0),0)</f>
        <v/>
      </c>
      <c r="AD904">
        <f>AC903*$G$53</f>
        <v/>
      </c>
      <c r="AE904">
        <f>IF(AE903&gt;1E-9,IF(AE903*(1+$G$54)-MAX($B$9,0.01*AE903+AE903*$G$54)&gt;1E-9,AE903*(1+$G$54)-MAX($B$9,0.01*AE903+AE903*$G$54),0),0)</f>
        <v/>
      </c>
      <c r="AF904">
        <f>AE903*$G$54</f>
        <v/>
      </c>
      <c r="AG904">
        <f>IF(AG903&gt;1E-9,IF(AG903*(1+$G$55)-MAX($B$9,0.01*AG903+AG903*$G$55)&gt;1E-9,AG903*(1+$G$55)-MAX($B$9,0.01*AG903+AG903*$G$55),0),0)</f>
        <v/>
      </c>
      <c r="AH904">
        <f>AG903*$G$55</f>
        <v/>
      </c>
      <c r="AI904">
        <f>G904+K904+O904+S904+W904</f>
        <v/>
      </c>
      <c r="AJ904">
        <f>AI903+AK904-AI904</f>
        <v/>
      </c>
      <c r="AK904">
        <f>H904+L904+P904+T904+X904</f>
        <v/>
      </c>
      <c r="AL904">
        <f>TEXT(EDATE($B$5,D904-1),"mmm yyyy")</f>
        <v/>
      </c>
      <c r="AM904">
        <f>AI904</f>
        <v/>
      </c>
    </row>
    <row r="905">
      <c r="D905" t="n">
        <v>844</v>
      </c>
      <c r="E905">
        <f>IF(G904&gt;0,MAX(0,G904*(1+$G$51)-$H$51),0)</f>
        <v/>
      </c>
      <c r="F905">
        <f>$B$6+IF($D905=$B$8,$B$7,0)</f>
        <v/>
      </c>
      <c r="G905">
        <f>IF(E905-F905&gt;1E-9,E905-F905,0)</f>
        <v/>
      </c>
      <c r="H905">
        <f>G904*$G$51</f>
        <v/>
      </c>
      <c r="I905">
        <f>IF(K904&gt;0,MAX(0,K904*(1+$G$52)-$H$52),0)</f>
        <v/>
      </c>
      <c r="J905">
        <f>MAX(0,F905-E905)</f>
        <v/>
      </c>
      <c r="K905">
        <f>IF(I905-J905&gt;1E-9,I905-J905,0)</f>
        <v/>
      </c>
      <c r="L905">
        <f>K904*$G$52</f>
        <v/>
      </c>
      <c r="M905">
        <f>IF(O904&gt;0,MAX(0,O904*(1+$G$53)-$H$53),0)</f>
        <v/>
      </c>
      <c r="N905">
        <f>MAX(0,J905-I905)</f>
        <v/>
      </c>
      <c r="O905">
        <f>IF(M905-N905&gt;1E-9,M905-N905,0)</f>
        <v/>
      </c>
      <c r="P905">
        <f>O904*$G$53</f>
        <v/>
      </c>
      <c r="Q905">
        <f>IF(S904&gt;0,MAX(0,S904*(1+$G$54)-$H$54),0)</f>
        <v/>
      </c>
      <c r="R905">
        <f>MAX(0,N905-M905)</f>
        <v/>
      </c>
      <c r="S905">
        <f>IF(Q905-R905&gt;1E-9,Q905-R905,0)</f>
        <v/>
      </c>
      <c r="T905">
        <f>S904*$G$54</f>
        <v/>
      </c>
      <c r="U905">
        <f>IF(W904&gt;0,MAX(0,W904*(1+$G$55)-$H$55),0)</f>
        <v/>
      </c>
      <c r="V905">
        <f>MAX(0,R905-Q905)</f>
        <v/>
      </c>
      <c r="W905">
        <f>IF(U905-V905&gt;1E-9,U905-V905,0)</f>
        <v/>
      </c>
      <c r="X905">
        <f>W904*$G$55</f>
        <v/>
      </c>
      <c r="Y905">
        <f>IF(Y904&gt;1E-9,IF(Y904*(1+$G$51)-MAX($B$9,0.01*Y904+Y904*$G$51)&gt;1E-9,Y904*(1+$G$51)-MAX($B$9,0.01*Y904+Y904*$G$51),0),0)</f>
        <v/>
      </c>
      <c r="Z905">
        <f>Y904*$G$51</f>
        <v/>
      </c>
      <c r="AA905">
        <f>IF(AA904&gt;1E-9,IF(AA904*(1+$G$52)-MAX($B$9,0.01*AA904+AA904*$G$52)&gt;1E-9,AA904*(1+$G$52)-MAX($B$9,0.01*AA904+AA904*$G$52),0),0)</f>
        <v/>
      </c>
      <c r="AB905">
        <f>AA904*$G$52</f>
        <v/>
      </c>
      <c r="AC905">
        <f>IF(AC904&gt;1E-9,IF(AC904*(1+$G$53)-MAX($B$9,0.01*AC904+AC904*$G$53)&gt;1E-9,AC904*(1+$G$53)-MAX($B$9,0.01*AC904+AC904*$G$53),0),0)</f>
        <v/>
      </c>
      <c r="AD905">
        <f>AC904*$G$53</f>
        <v/>
      </c>
      <c r="AE905">
        <f>IF(AE904&gt;1E-9,IF(AE904*(1+$G$54)-MAX($B$9,0.01*AE904+AE904*$G$54)&gt;1E-9,AE904*(1+$G$54)-MAX($B$9,0.01*AE904+AE904*$G$54),0),0)</f>
        <v/>
      </c>
      <c r="AF905">
        <f>AE904*$G$54</f>
        <v/>
      </c>
      <c r="AG905">
        <f>IF(AG904&gt;1E-9,IF(AG904*(1+$G$55)-MAX($B$9,0.01*AG904+AG904*$G$55)&gt;1E-9,AG904*(1+$G$55)-MAX($B$9,0.01*AG904+AG904*$G$55),0),0)</f>
        <v/>
      </c>
      <c r="AH905">
        <f>AG904*$G$55</f>
        <v/>
      </c>
      <c r="AI905">
        <f>G905+K905+O905+S905+W905</f>
        <v/>
      </c>
      <c r="AJ905">
        <f>AI904+AK905-AI905</f>
        <v/>
      </c>
      <c r="AK905">
        <f>H905+L905+P905+T905+X905</f>
        <v/>
      </c>
      <c r="AL905">
        <f>TEXT(EDATE($B$5,D905-1),"mmm yyyy")</f>
        <v/>
      </c>
      <c r="AM905">
        <f>AI905</f>
        <v/>
      </c>
    </row>
    <row r="906">
      <c r="D906" t="n">
        <v>845</v>
      </c>
      <c r="E906">
        <f>IF(G905&gt;0,MAX(0,G905*(1+$G$51)-$H$51),0)</f>
        <v/>
      </c>
      <c r="F906">
        <f>$B$6+IF($D906=$B$8,$B$7,0)</f>
        <v/>
      </c>
      <c r="G906">
        <f>IF(E906-F906&gt;1E-9,E906-F906,0)</f>
        <v/>
      </c>
      <c r="H906">
        <f>G905*$G$51</f>
        <v/>
      </c>
      <c r="I906">
        <f>IF(K905&gt;0,MAX(0,K905*(1+$G$52)-$H$52),0)</f>
        <v/>
      </c>
      <c r="J906">
        <f>MAX(0,F906-E906)</f>
        <v/>
      </c>
      <c r="K906">
        <f>IF(I906-J906&gt;1E-9,I906-J906,0)</f>
        <v/>
      </c>
      <c r="L906">
        <f>K905*$G$52</f>
        <v/>
      </c>
      <c r="M906">
        <f>IF(O905&gt;0,MAX(0,O905*(1+$G$53)-$H$53),0)</f>
        <v/>
      </c>
      <c r="N906">
        <f>MAX(0,J906-I906)</f>
        <v/>
      </c>
      <c r="O906">
        <f>IF(M906-N906&gt;1E-9,M906-N906,0)</f>
        <v/>
      </c>
      <c r="P906">
        <f>O905*$G$53</f>
        <v/>
      </c>
      <c r="Q906">
        <f>IF(S905&gt;0,MAX(0,S905*(1+$G$54)-$H$54),0)</f>
        <v/>
      </c>
      <c r="R906">
        <f>MAX(0,N906-M906)</f>
        <v/>
      </c>
      <c r="S906">
        <f>IF(Q906-R906&gt;1E-9,Q906-R906,0)</f>
        <v/>
      </c>
      <c r="T906">
        <f>S905*$G$54</f>
        <v/>
      </c>
      <c r="U906">
        <f>IF(W905&gt;0,MAX(0,W905*(1+$G$55)-$H$55),0)</f>
        <v/>
      </c>
      <c r="V906">
        <f>MAX(0,R906-Q906)</f>
        <v/>
      </c>
      <c r="W906">
        <f>IF(U906-V906&gt;1E-9,U906-V906,0)</f>
        <v/>
      </c>
      <c r="X906">
        <f>W905*$G$55</f>
        <v/>
      </c>
      <c r="Y906">
        <f>IF(Y905&gt;1E-9,IF(Y905*(1+$G$51)-MAX($B$9,0.01*Y905+Y905*$G$51)&gt;1E-9,Y905*(1+$G$51)-MAX($B$9,0.01*Y905+Y905*$G$51),0),0)</f>
        <v/>
      </c>
      <c r="Z906">
        <f>Y905*$G$51</f>
        <v/>
      </c>
      <c r="AA906">
        <f>IF(AA905&gt;1E-9,IF(AA905*(1+$G$52)-MAX($B$9,0.01*AA905+AA905*$G$52)&gt;1E-9,AA905*(1+$G$52)-MAX($B$9,0.01*AA905+AA905*$G$52),0),0)</f>
        <v/>
      </c>
      <c r="AB906">
        <f>AA905*$G$52</f>
        <v/>
      </c>
      <c r="AC906">
        <f>IF(AC905&gt;1E-9,IF(AC905*(1+$G$53)-MAX($B$9,0.01*AC905+AC905*$G$53)&gt;1E-9,AC905*(1+$G$53)-MAX($B$9,0.01*AC905+AC905*$G$53),0),0)</f>
        <v/>
      </c>
      <c r="AD906">
        <f>AC905*$G$53</f>
        <v/>
      </c>
      <c r="AE906">
        <f>IF(AE905&gt;1E-9,IF(AE905*(1+$G$54)-MAX($B$9,0.01*AE905+AE905*$G$54)&gt;1E-9,AE905*(1+$G$54)-MAX($B$9,0.01*AE905+AE905*$G$54),0),0)</f>
        <v/>
      </c>
      <c r="AF906">
        <f>AE905*$G$54</f>
        <v/>
      </c>
      <c r="AG906">
        <f>IF(AG905&gt;1E-9,IF(AG905*(1+$G$55)-MAX($B$9,0.01*AG905+AG905*$G$55)&gt;1E-9,AG905*(1+$G$55)-MAX($B$9,0.01*AG905+AG905*$G$55),0),0)</f>
        <v/>
      </c>
      <c r="AH906">
        <f>AG905*$G$55</f>
        <v/>
      </c>
      <c r="AI906">
        <f>G906+K906+O906+S906+W906</f>
        <v/>
      </c>
      <c r="AJ906">
        <f>AI905+AK906-AI906</f>
        <v/>
      </c>
      <c r="AK906">
        <f>H906+L906+P906+T906+X906</f>
        <v/>
      </c>
      <c r="AL906">
        <f>TEXT(EDATE($B$5,D906-1),"mmm yyyy")</f>
        <v/>
      </c>
      <c r="AM906">
        <f>AI906</f>
        <v/>
      </c>
    </row>
    <row r="907">
      <c r="D907" t="n">
        <v>846</v>
      </c>
      <c r="E907">
        <f>IF(G906&gt;0,MAX(0,G906*(1+$G$51)-$H$51),0)</f>
        <v/>
      </c>
      <c r="F907">
        <f>$B$6+IF($D907=$B$8,$B$7,0)</f>
        <v/>
      </c>
      <c r="G907">
        <f>IF(E907-F907&gt;1E-9,E907-F907,0)</f>
        <v/>
      </c>
      <c r="H907">
        <f>G906*$G$51</f>
        <v/>
      </c>
      <c r="I907">
        <f>IF(K906&gt;0,MAX(0,K906*(1+$G$52)-$H$52),0)</f>
        <v/>
      </c>
      <c r="J907">
        <f>MAX(0,F907-E907)</f>
        <v/>
      </c>
      <c r="K907">
        <f>IF(I907-J907&gt;1E-9,I907-J907,0)</f>
        <v/>
      </c>
      <c r="L907">
        <f>K906*$G$52</f>
        <v/>
      </c>
      <c r="M907">
        <f>IF(O906&gt;0,MAX(0,O906*(1+$G$53)-$H$53),0)</f>
        <v/>
      </c>
      <c r="N907">
        <f>MAX(0,J907-I907)</f>
        <v/>
      </c>
      <c r="O907">
        <f>IF(M907-N907&gt;1E-9,M907-N907,0)</f>
        <v/>
      </c>
      <c r="P907">
        <f>O906*$G$53</f>
        <v/>
      </c>
      <c r="Q907">
        <f>IF(S906&gt;0,MAX(0,S906*(1+$G$54)-$H$54),0)</f>
        <v/>
      </c>
      <c r="R907">
        <f>MAX(0,N907-M907)</f>
        <v/>
      </c>
      <c r="S907">
        <f>IF(Q907-R907&gt;1E-9,Q907-R907,0)</f>
        <v/>
      </c>
      <c r="T907">
        <f>S906*$G$54</f>
        <v/>
      </c>
      <c r="U907">
        <f>IF(W906&gt;0,MAX(0,W906*(1+$G$55)-$H$55),0)</f>
        <v/>
      </c>
      <c r="V907">
        <f>MAX(0,R907-Q907)</f>
        <v/>
      </c>
      <c r="W907">
        <f>IF(U907-V907&gt;1E-9,U907-V907,0)</f>
        <v/>
      </c>
      <c r="X907">
        <f>W906*$G$55</f>
        <v/>
      </c>
      <c r="Y907">
        <f>IF(Y906&gt;1E-9,IF(Y906*(1+$G$51)-MAX($B$9,0.01*Y906+Y906*$G$51)&gt;1E-9,Y906*(1+$G$51)-MAX($B$9,0.01*Y906+Y906*$G$51),0),0)</f>
        <v/>
      </c>
      <c r="Z907">
        <f>Y906*$G$51</f>
        <v/>
      </c>
      <c r="AA907">
        <f>IF(AA906&gt;1E-9,IF(AA906*(1+$G$52)-MAX($B$9,0.01*AA906+AA906*$G$52)&gt;1E-9,AA906*(1+$G$52)-MAX($B$9,0.01*AA906+AA906*$G$52),0),0)</f>
        <v/>
      </c>
      <c r="AB907">
        <f>AA906*$G$52</f>
        <v/>
      </c>
      <c r="AC907">
        <f>IF(AC906&gt;1E-9,IF(AC906*(1+$G$53)-MAX($B$9,0.01*AC906+AC906*$G$53)&gt;1E-9,AC906*(1+$G$53)-MAX($B$9,0.01*AC906+AC906*$G$53),0),0)</f>
        <v/>
      </c>
      <c r="AD907">
        <f>AC906*$G$53</f>
        <v/>
      </c>
      <c r="AE907">
        <f>IF(AE906&gt;1E-9,IF(AE906*(1+$G$54)-MAX($B$9,0.01*AE906+AE906*$G$54)&gt;1E-9,AE906*(1+$G$54)-MAX($B$9,0.01*AE906+AE906*$G$54),0),0)</f>
        <v/>
      </c>
      <c r="AF907">
        <f>AE906*$G$54</f>
        <v/>
      </c>
      <c r="AG907">
        <f>IF(AG906&gt;1E-9,IF(AG906*(1+$G$55)-MAX($B$9,0.01*AG906+AG906*$G$55)&gt;1E-9,AG906*(1+$G$55)-MAX($B$9,0.01*AG906+AG906*$G$55),0),0)</f>
        <v/>
      </c>
      <c r="AH907">
        <f>AG906*$G$55</f>
        <v/>
      </c>
      <c r="AI907">
        <f>G907+K907+O907+S907+W907</f>
        <v/>
      </c>
      <c r="AJ907">
        <f>AI906+AK907-AI907</f>
        <v/>
      </c>
      <c r="AK907">
        <f>H907+L907+P907+T907+X907</f>
        <v/>
      </c>
      <c r="AL907">
        <f>TEXT(EDATE($B$5,D907-1),"mmm yyyy")</f>
        <v/>
      </c>
      <c r="AM907">
        <f>AI907</f>
        <v/>
      </c>
    </row>
    <row r="908">
      <c r="D908" t="n">
        <v>847</v>
      </c>
      <c r="E908">
        <f>IF(G907&gt;0,MAX(0,G907*(1+$G$51)-$H$51),0)</f>
        <v/>
      </c>
      <c r="F908">
        <f>$B$6+IF($D908=$B$8,$B$7,0)</f>
        <v/>
      </c>
      <c r="G908">
        <f>IF(E908-F908&gt;1E-9,E908-F908,0)</f>
        <v/>
      </c>
      <c r="H908">
        <f>G907*$G$51</f>
        <v/>
      </c>
      <c r="I908">
        <f>IF(K907&gt;0,MAX(0,K907*(1+$G$52)-$H$52),0)</f>
        <v/>
      </c>
      <c r="J908">
        <f>MAX(0,F908-E908)</f>
        <v/>
      </c>
      <c r="K908">
        <f>IF(I908-J908&gt;1E-9,I908-J908,0)</f>
        <v/>
      </c>
      <c r="L908">
        <f>K907*$G$52</f>
        <v/>
      </c>
      <c r="M908">
        <f>IF(O907&gt;0,MAX(0,O907*(1+$G$53)-$H$53),0)</f>
        <v/>
      </c>
      <c r="N908">
        <f>MAX(0,J908-I908)</f>
        <v/>
      </c>
      <c r="O908">
        <f>IF(M908-N908&gt;1E-9,M908-N908,0)</f>
        <v/>
      </c>
      <c r="P908">
        <f>O907*$G$53</f>
        <v/>
      </c>
      <c r="Q908">
        <f>IF(S907&gt;0,MAX(0,S907*(1+$G$54)-$H$54),0)</f>
        <v/>
      </c>
      <c r="R908">
        <f>MAX(0,N908-M908)</f>
        <v/>
      </c>
      <c r="S908">
        <f>IF(Q908-R908&gt;1E-9,Q908-R908,0)</f>
        <v/>
      </c>
      <c r="T908">
        <f>S907*$G$54</f>
        <v/>
      </c>
      <c r="U908">
        <f>IF(W907&gt;0,MAX(0,W907*(1+$G$55)-$H$55),0)</f>
        <v/>
      </c>
      <c r="V908">
        <f>MAX(0,R908-Q908)</f>
        <v/>
      </c>
      <c r="W908">
        <f>IF(U908-V908&gt;1E-9,U908-V908,0)</f>
        <v/>
      </c>
      <c r="X908">
        <f>W907*$G$55</f>
        <v/>
      </c>
      <c r="Y908">
        <f>IF(Y907&gt;1E-9,IF(Y907*(1+$G$51)-MAX($B$9,0.01*Y907+Y907*$G$51)&gt;1E-9,Y907*(1+$G$51)-MAX($B$9,0.01*Y907+Y907*$G$51),0),0)</f>
        <v/>
      </c>
      <c r="Z908">
        <f>Y907*$G$51</f>
        <v/>
      </c>
      <c r="AA908">
        <f>IF(AA907&gt;1E-9,IF(AA907*(1+$G$52)-MAX($B$9,0.01*AA907+AA907*$G$52)&gt;1E-9,AA907*(1+$G$52)-MAX($B$9,0.01*AA907+AA907*$G$52),0),0)</f>
        <v/>
      </c>
      <c r="AB908">
        <f>AA907*$G$52</f>
        <v/>
      </c>
      <c r="AC908">
        <f>IF(AC907&gt;1E-9,IF(AC907*(1+$G$53)-MAX($B$9,0.01*AC907+AC907*$G$53)&gt;1E-9,AC907*(1+$G$53)-MAX($B$9,0.01*AC907+AC907*$G$53),0),0)</f>
        <v/>
      </c>
      <c r="AD908">
        <f>AC907*$G$53</f>
        <v/>
      </c>
      <c r="AE908">
        <f>IF(AE907&gt;1E-9,IF(AE907*(1+$G$54)-MAX($B$9,0.01*AE907+AE907*$G$54)&gt;1E-9,AE907*(1+$G$54)-MAX($B$9,0.01*AE907+AE907*$G$54),0),0)</f>
        <v/>
      </c>
      <c r="AF908">
        <f>AE907*$G$54</f>
        <v/>
      </c>
      <c r="AG908">
        <f>IF(AG907&gt;1E-9,IF(AG907*(1+$G$55)-MAX($B$9,0.01*AG907+AG907*$G$55)&gt;1E-9,AG907*(1+$G$55)-MAX($B$9,0.01*AG907+AG907*$G$55),0),0)</f>
        <v/>
      </c>
      <c r="AH908">
        <f>AG907*$G$55</f>
        <v/>
      </c>
      <c r="AI908">
        <f>G908+K908+O908+S908+W908</f>
        <v/>
      </c>
      <c r="AJ908">
        <f>AI907+AK908-AI908</f>
        <v/>
      </c>
      <c r="AK908">
        <f>H908+L908+P908+T908+X908</f>
        <v/>
      </c>
      <c r="AL908">
        <f>TEXT(EDATE($B$5,D908-1),"mmm yyyy")</f>
        <v/>
      </c>
      <c r="AM908">
        <f>AI908</f>
        <v/>
      </c>
    </row>
    <row r="909">
      <c r="D909" t="n">
        <v>848</v>
      </c>
      <c r="E909">
        <f>IF(G908&gt;0,MAX(0,G908*(1+$G$51)-$H$51),0)</f>
        <v/>
      </c>
      <c r="F909">
        <f>$B$6+IF($D909=$B$8,$B$7,0)</f>
        <v/>
      </c>
      <c r="G909">
        <f>IF(E909-F909&gt;1E-9,E909-F909,0)</f>
        <v/>
      </c>
      <c r="H909">
        <f>G908*$G$51</f>
        <v/>
      </c>
      <c r="I909">
        <f>IF(K908&gt;0,MAX(0,K908*(1+$G$52)-$H$52),0)</f>
        <v/>
      </c>
      <c r="J909">
        <f>MAX(0,F909-E909)</f>
        <v/>
      </c>
      <c r="K909">
        <f>IF(I909-J909&gt;1E-9,I909-J909,0)</f>
        <v/>
      </c>
      <c r="L909">
        <f>K908*$G$52</f>
        <v/>
      </c>
      <c r="M909">
        <f>IF(O908&gt;0,MAX(0,O908*(1+$G$53)-$H$53),0)</f>
        <v/>
      </c>
      <c r="N909">
        <f>MAX(0,J909-I909)</f>
        <v/>
      </c>
      <c r="O909">
        <f>IF(M909-N909&gt;1E-9,M909-N909,0)</f>
        <v/>
      </c>
      <c r="P909">
        <f>O908*$G$53</f>
        <v/>
      </c>
      <c r="Q909">
        <f>IF(S908&gt;0,MAX(0,S908*(1+$G$54)-$H$54),0)</f>
        <v/>
      </c>
      <c r="R909">
        <f>MAX(0,N909-M909)</f>
        <v/>
      </c>
      <c r="S909">
        <f>IF(Q909-R909&gt;1E-9,Q909-R909,0)</f>
        <v/>
      </c>
      <c r="T909">
        <f>S908*$G$54</f>
        <v/>
      </c>
      <c r="U909">
        <f>IF(W908&gt;0,MAX(0,W908*(1+$G$55)-$H$55),0)</f>
        <v/>
      </c>
      <c r="V909">
        <f>MAX(0,R909-Q909)</f>
        <v/>
      </c>
      <c r="W909">
        <f>IF(U909-V909&gt;1E-9,U909-V909,0)</f>
        <v/>
      </c>
      <c r="X909">
        <f>W908*$G$55</f>
        <v/>
      </c>
      <c r="Y909">
        <f>IF(Y908&gt;1E-9,IF(Y908*(1+$G$51)-MAX($B$9,0.01*Y908+Y908*$G$51)&gt;1E-9,Y908*(1+$G$51)-MAX($B$9,0.01*Y908+Y908*$G$51),0),0)</f>
        <v/>
      </c>
      <c r="Z909">
        <f>Y908*$G$51</f>
        <v/>
      </c>
      <c r="AA909">
        <f>IF(AA908&gt;1E-9,IF(AA908*(1+$G$52)-MAX($B$9,0.01*AA908+AA908*$G$52)&gt;1E-9,AA908*(1+$G$52)-MAX($B$9,0.01*AA908+AA908*$G$52),0),0)</f>
        <v/>
      </c>
      <c r="AB909">
        <f>AA908*$G$52</f>
        <v/>
      </c>
      <c r="AC909">
        <f>IF(AC908&gt;1E-9,IF(AC908*(1+$G$53)-MAX($B$9,0.01*AC908+AC908*$G$53)&gt;1E-9,AC908*(1+$G$53)-MAX($B$9,0.01*AC908+AC908*$G$53),0),0)</f>
        <v/>
      </c>
      <c r="AD909">
        <f>AC908*$G$53</f>
        <v/>
      </c>
      <c r="AE909">
        <f>IF(AE908&gt;1E-9,IF(AE908*(1+$G$54)-MAX($B$9,0.01*AE908+AE908*$G$54)&gt;1E-9,AE908*(1+$G$54)-MAX($B$9,0.01*AE908+AE908*$G$54),0),0)</f>
        <v/>
      </c>
      <c r="AF909">
        <f>AE908*$G$54</f>
        <v/>
      </c>
      <c r="AG909">
        <f>IF(AG908&gt;1E-9,IF(AG908*(1+$G$55)-MAX($B$9,0.01*AG908+AG908*$G$55)&gt;1E-9,AG908*(1+$G$55)-MAX($B$9,0.01*AG908+AG908*$G$55),0),0)</f>
        <v/>
      </c>
      <c r="AH909">
        <f>AG908*$G$55</f>
        <v/>
      </c>
      <c r="AI909">
        <f>G909+K909+O909+S909+W909</f>
        <v/>
      </c>
      <c r="AJ909">
        <f>AI908+AK909-AI909</f>
        <v/>
      </c>
      <c r="AK909">
        <f>H909+L909+P909+T909+X909</f>
        <v/>
      </c>
      <c r="AL909">
        <f>TEXT(EDATE($B$5,D909-1),"mmm yyyy")</f>
        <v/>
      </c>
      <c r="AM909">
        <f>AI909</f>
        <v/>
      </c>
    </row>
    <row r="910">
      <c r="D910" t="n">
        <v>849</v>
      </c>
      <c r="E910">
        <f>IF(G909&gt;0,MAX(0,G909*(1+$G$51)-$H$51),0)</f>
        <v/>
      </c>
      <c r="F910">
        <f>$B$6+IF($D910=$B$8,$B$7,0)</f>
        <v/>
      </c>
      <c r="G910">
        <f>IF(E910-F910&gt;1E-9,E910-F910,0)</f>
        <v/>
      </c>
      <c r="H910">
        <f>G909*$G$51</f>
        <v/>
      </c>
      <c r="I910">
        <f>IF(K909&gt;0,MAX(0,K909*(1+$G$52)-$H$52),0)</f>
        <v/>
      </c>
      <c r="J910">
        <f>MAX(0,F910-E910)</f>
        <v/>
      </c>
      <c r="K910">
        <f>IF(I910-J910&gt;1E-9,I910-J910,0)</f>
        <v/>
      </c>
      <c r="L910">
        <f>K909*$G$52</f>
        <v/>
      </c>
      <c r="M910">
        <f>IF(O909&gt;0,MAX(0,O909*(1+$G$53)-$H$53),0)</f>
        <v/>
      </c>
      <c r="N910">
        <f>MAX(0,J910-I910)</f>
        <v/>
      </c>
      <c r="O910">
        <f>IF(M910-N910&gt;1E-9,M910-N910,0)</f>
        <v/>
      </c>
      <c r="P910">
        <f>O909*$G$53</f>
        <v/>
      </c>
      <c r="Q910">
        <f>IF(S909&gt;0,MAX(0,S909*(1+$G$54)-$H$54),0)</f>
        <v/>
      </c>
      <c r="R910">
        <f>MAX(0,N910-M910)</f>
        <v/>
      </c>
      <c r="S910">
        <f>IF(Q910-R910&gt;1E-9,Q910-R910,0)</f>
        <v/>
      </c>
      <c r="T910">
        <f>S909*$G$54</f>
        <v/>
      </c>
      <c r="U910">
        <f>IF(W909&gt;0,MAX(0,W909*(1+$G$55)-$H$55),0)</f>
        <v/>
      </c>
      <c r="V910">
        <f>MAX(0,R910-Q910)</f>
        <v/>
      </c>
      <c r="W910">
        <f>IF(U910-V910&gt;1E-9,U910-V910,0)</f>
        <v/>
      </c>
      <c r="X910">
        <f>W909*$G$55</f>
        <v/>
      </c>
      <c r="Y910">
        <f>IF(Y909&gt;1E-9,IF(Y909*(1+$G$51)-MAX($B$9,0.01*Y909+Y909*$G$51)&gt;1E-9,Y909*(1+$G$51)-MAX($B$9,0.01*Y909+Y909*$G$51),0),0)</f>
        <v/>
      </c>
      <c r="Z910">
        <f>Y909*$G$51</f>
        <v/>
      </c>
      <c r="AA910">
        <f>IF(AA909&gt;1E-9,IF(AA909*(1+$G$52)-MAX($B$9,0.01*AA909+AA909*$G$52)&gt;1E-9,AA909*(1+$G$52)-MAX($B$9,0.01*AA909+AA909*$G$52),0),0)</f>
        <v/>
      </c>
      <c r="AB910">
        <f>AA909*$G$52</f>
        <v/>
      </c>
      <c r="AC910">
        <f>IF(AC909&gt;1E-9,IF(AC909*(1+$G$53)-MAX($B$9,0.01*AC909+AC909*$G$53)&gt;1E-9,AC909*(1+$G$53)-MAX($B$9,0.01*AC909+AC909*$G$53),0),0)</f>
        <v/>
      </c>
      <c r="AD910">
        <f>AC909*$G$53</f>
        <v/>
      </c>
      <c r="AE910">
        <f>IF(AE909&gt;1E-9,IF(AE909*(1+$G$54)-MAX($B$9,0.01*AE909+AE909*$G$54)&gt;1E-9,AE909*(1+$G$54)-MAX($B$9,0.01*AE909+AE909*$G$54),0),0)</f>
        <v/>
      </c>
      <c r="AF910">
        <f>AE909*$G$54</f>
        <v/>
      </c>
      <c r="AG910">
        <f>IF(AG909&gt;1E-9,IF(AG909*(1+$G$55)-MAX($B$9,0.01*AG909+AG909*$G$55)&gt;1E-9,AG909*(1+$G$55)-MAX($B$9,0.01*AG909+AG909*$G$55),0),0)</f>
        <v/>
      </c>
      <c r="AH910">
        <f>AG909*$G$55</f>
        <v/>
      </c>
      <c r="AI910">
        <f>G910+K910+O910+S910+W910</f>
        <v/>
      </c>
      <c r="AJ910">
        <f>AI909+AK910-AI910</f>
        <v/>
      </c>
      <c r="AK910">
        <f>H910+L910+P910+T910+X910</f>
        <v/>
      </c>
      <c r="AL910">
        <f>TEXT(EDATE($B$5,D910-1),"mmm yyyy")</f>
        <v/>
      </c>
      <c r="AM910">
        <f>AI910</f>
        <v/>
      </c>
    </row>
    <row r="911">
      <c r="D911" t="n">
        <v>850</v>
      </c>
      <c r="E911">
        <f>IF(G910&gt;0,MAX(0,G910*(1+$G$51)-$H$51),0)</f>
        <v/>
      </c>
      <c r="F911">
        <f>$B$6+IF($D911=$B$8,$B$7,0)</f>
        <v/>
      </c>
      <c r="G911">
        <f>IF(E911-F911&gt;1E-9,E911-F911,0)</f>
        <v/>
      </c>
      <c r="H911">
        <f>G910*$G$51</f>
        <v/>
      </c>
      <c r="I911">
        <f>IF(K910&gt;0,MAX(0,K910*(1+$G$52)-$H$52),0)</f>
        <v/>
      </c>
      <c r="J911">
        <f>MAX(0,F911-E911)</f>
        <v/>
      </c>
      <c r="K911">
        <f>IF(I911-J911&gt;1E-9,I911-J911,0)</f>
        <v/>
      </c>
      <c r="L911">
        <f>K910*$G$52</f>
        <v/>
      </c>
      <c r="M911">
        <f>IF(O910&gt;0,MAX(0,O910*(1+$G$53)-$H$53),0)</f>
        <v/>
      </c>
      <c r="N911">
        <f>MAX(0,J911-I911)</f>
        <v/>
      </c>
      <c r="O911">
        <f>IF(M911-N911&gt;1E-9,M911-N911,0)</f>
        <v/>
      </c>
      <c r="P911">
        <f>O910*$G$53</f>
        <v/>
      </c>
      <c r="Q911">
        <f>IF(S910&gt;0,MAX(0,S910*(1+$G$54)-$H$54),0)</f>
        <v/>
      </c>
      <c r="R911">
        <f>MAX(0,N911-M911)</f>
        <v/>
      </c>
      <c r="S911">
        <f>IF(Q911-R911&gt;1E-9,Q911-R911,0)</f>
        <v/>
      </c>
      <c r="T911">
        <f>S910*$G$54</f>
        <v/>
      </c>
      <c r="U911">
        <f>IF(W910&gt;0,MAX(0,W910*(1+$G$55)-$H$55),0)</f>
        <v/>
      </c>
      <c r="V911">
        <f>MAX(0,R911-Q911)</f>
        <v/>
      </c>
      <c r="W911">
        <f>IF(U911-V911&gt;1E-9,U911-V911,0)</f>
        <v/>
      </c>
      <c r="X911">
        <f>W910*$G$55</f>
        <v/>
      </c>
      <c r="Y911">
        <f>IF(Y910&gt;1E-9,IF(Y910*(1+$G$51)-MAX($B$9,0.01*Y910+Y910*$G$51)&gt;1E-9,Y910*(1+$G$51)-MAX($B$9,0.01*Y910+Y910*$G$51),0),0)</f>
        <v/>
      </c>
      <c r="Z911">
        <f>Y910*$G$51</f>
        <v/>
      </c>
      <c r="AA911">
        <f>IF(AA910&gt;1E-9,IF(AA910*(1+$G$52)-MAX($B$9,0.01*AA910+AA910*$G$52)&gt;1E-9,AA910*(1+$G$52)-MAX($B$9,0.01*AA910+AA910*$G$52),0),0)</f>
        <v/>
      </c>
      <c r="AB911">
        <f>AA910*$G$52</f>
        <v/>
      </c>
      <c r="AC911">
        <f>IF(AC910&gt;1E-9,IF(AC910*(1+$G$53)-MAX($B$9,0.01*AC910+AC910*$G$53)&gt;1E-9,AC910*(1+$G$53)-MAX($B$9,0.01*AC910+AC910*$G$53),0),0)</f>
        <v/>
      </c>
      <c r="AD911">
        <f>AC910*$G$53</f>
        <v/>
      </c>
      <c r="AE911">
        <f>IF(AE910&gt;1E-9,IF(AE910*(1+$G$54)-MAX($B$9,0.01*AE910+AE910*$G$54)&gt;1E-9,AE910*(1+$G$54)-MAX($B$9,0.01*AE910+AE910*$G$54),0),0)</f>
        <v/>
      </c>
      <c r="AF911">
        <f>AE910*$G$54</f>
        <v/>
      </c>
      <c r="AG911">
        <f>IF(AG910&gt;1E-9,IF(AG910*(1+$G$55)-MAX($B$9,0.01*AG910+AG910*$G$55)&gt;1E-9,AG910*(1+$G$55)-MAX($B$9,0.01*AG910+AG910*$G$55),0),0)</f>
        <v/>
      </c>
      <c r="AH911">
        <f>AG910*$G$55</f>
        <v/>
      </c>
      <c r="AI911">
        <f>G911+K911+O911+S911+W911</f>
        <v/>
      </c>
      <c r="AJ911">
        <f>AI910+AK911-AI911</f>
        <v/>
      </c>
      <c r="AK911">
        <f>H911+L911+P911+T911+X911</f>
        <v/>
      </c>
      <c r="AL911">
        <f>TEXT(EDATE($B$5,D911-1),"mmm yyyy")</f>
        <v/>
      </c>
      <c r="AM911">
        <f>AI911</f>
        <v/>
      </c>
    </row>
    <row r="912">
      <c r="D912" t="n">
        <v>851</v>
      </c>
      <c r="E912">
        <f>IF(G911&gt;0,MAX(0,G911*(1+$G$51)-$H$51),0)</f>
        <v/>
      </c>
      <c r="F912">
        <f>$B$6+IF($D912=$B$8,$B$7,0)</f>
        <v/>
      </c>
      <c r="G912">
        <f>IF(E912-F912&gt;1E-9,E912-F912,0)</f>
        <v/>
      </c>
      <c r="H912">
        <f>G911*$G$51</f>
        <v/>
      </c>
      <c r="I912">
        <f>IF(K911&gt;0,MAX(0,K911*(1+$G$52)-$H$52),0)</f>
        <v/>
      </c>
      <c r="J912">
        <f>MAX(0,F912-E912)</f>
        <v/>
      </c>
      <c r="K912">
        <f>IF(I912-J912&gt;1E-9,I912-J912,0)</f>
        <v/>
      </c>
      <c r="L912">
        <f>K911*$G$52</f>
        <v/>
      </c>
      <c r="M912">
        <f>IF(O911&gt;0,MAX(0,O911*(1+$G$53)-$H$53),0)</f>
        <v/>
      </c>
      <c r="N912">
        <f>MAX(0,J912-I912)</f>
        <v/>
      </c>
      <c r="O912">
        <f>IF(M912-N912&gt;1E-9,M912-N912,0)</f>
        <v/>
      </c>
      <c r="P912">
        <f>O911*$G$53</f>
        <v/>
      </c>
      <c r="Q912">
        <f>IF(S911&gt;0,MAX(0,S911*(1+$G$54)-$H$54),0)</f>
        <v/>
      </c>
      <c r="R912">
        <f>MAX(0,N912-M912)</f>
        <v/>
      </c>
      <c r="S912">
        <f>IF(Q912-R912&gt;1E-9,Q912-R912,0)</f>
        <v/>
      </c>
      <c r="T912">
        <f>S911*$G$54</f>
        <v/>
      </c>
      <c r="U912">
        <f>IF(W911&gt;0,MAX(0,W911*(1+$G$55)-$H$55),0)</f>
        <v/>
      </c>
      <c r="V912">
        <f>MAX(0,R912-Q912)</f>
        <v/>
      </c>
      <c r="W912">
        <f>IF(U912-V912&gt;1E-9,U912-V912,0)</f>
        <v/>
      </c>
      <c r="X912">
        <f>W911*$G$55</f>
        <v/>
      </c>
      <c r="Y912">
        <f>IF(Y911&gt;1E-9,IF(Y911*(1+$G$51)-MAX($B$9,0.01*Y911+Y911*$G$51)&gt;1E-9,Y911*(1+$G$51)-MAX($B$9,0.01*Y911+Y911*$G$51),0),0)</f>
        <v/>
      </c>
      <c r="Z912">
        <f>Y911*$G$51</f>
        <v/>
      </c>
      <c r="AA912">
        <f>IF(AA911&gt;1E-9,IF(AA911*(1+$G$52)-MAX($B$9,0.01*AA911+AA911*$G$52)&gt;1E-9,AA911*(1+$G$52)-MAX($B$9,0.01*AA911+AA911*$G$52),0),0)</f>
        <v/>
      </c>
      <c r="AB912">
        <f>AA911*$G$52</f>
        <v/>
      </c>
      <c r="AC912">
        <f>IF(AC911&gt;1E-9,IF(AC911*(1+$G$53)-MAX($B$9,0.01*AC911+AC911*$G$53)&gt;1E-9,AC911*(1+$G$53)-MAX($B$9,0.01*AC911+AC911*$G$53),0),0)</f>
        <v/>
      </c>
      <c r="AD912">
        <f>AC911*$G$53</f>
        <v/>
      </c>
      <c r="AE912">
        <f>IF(AE911&gt;1E-9,IF(AE911*(1+$G$54)-MAX($B$9,0.01*AE911+AE911*$G$54)&gt;1E-9,AE911*(1+$G$54)-MAX($B$9,0.01*AE911+AE911*$G$54),0),0)</f>
        <v/>
      </c>
      <c r="AF912">
        <f>AE911*$G$54</f>
        <v/>
      </c>
      <c r="AG912">
        <f>IF(AG911&gt;1E-9,IF(AG911*(1+$G$55)-MAX($B$9,0.01*AG911+AG911*$G$55)&gt;1E-9,AG911*(1+$G$55)-MAX($B$9,0.01*AG911+AG911*$G$55),0),0)</f>
        <v/>
      </c>
      <c r="AH912">
        <f>AG911*$G$55</f>
        <v/>
      </c>
      <c r="AI912">
        <f>G912+K912+O912+S912+W912</f>
        <v/>
      </c>
      <c r="AJ912">
        <f>AI911+AK912-AI912</f>
        <v/>
      </c>
      <c r="AK912">
        <f>H912+L912+P912+T912+X912</f>
        <v/>
      </c>
      <c r="AL912">
        <f>TEXT(EDATE($B$5,D912-1),"mmm yyyy")</f>
        <v/>
      </c>
      <c r="AM912">
        <f>AI912</f>
        <v/>
      </c>
    </row>
    <row r="913">
      <c r="D913" t="n">
        <v>852</v>
      </c>
      <c r="E913">
        <f>IF(G912&gt;0,MAX(0,G912*(1+$G$51)-$H$51),0)</f>
        <v/>
      </c>
      <c r="F913">
        <f>$B$6+IF($D913=$B$8,$B$7,0)</f>
        <v/>
      </c>
      <c r="G913">
        <f>IF(E913-F913&gt;1E-9,E913-F913,0)</f>
        <v/>
      </c>
      <c r="H913">
        <f>G912*$G$51</f>
        <v/>
      </c>
      <c r="I913">
        <f>IF(K912&gt;0,MAX(0,K912*(1+$G$52)-$H$52),0)</f>
        <v/>
      </c>
      <c r="J913">
        <f>MAX(0,F913-E913)</f>
        <v/>
      </c>
      <c r="K913">
        <f>IF(I913-J913&gt;1E-9,I913-J913,0)</f>
        <v/>
      </c>
      <c r="L913">
        <f>K912*$G$52</f>
        <v/>
      </c>
      <c r="M913">
        <f>IF(O912&gt;0,MAX(0,O912*(1+$G$53)-$H$53),0)</f>
        <v/>
      </c>
      <c r="N913">
        <f>MAX(0,J913-I913)</f>
        <v/>
      </c>
      <c r="O913">
        <f>IF(M913-N913&gt;1E-9,M913-N913,0)</f>
        <v/>
      </c>
      <c r="P913">
        <f>O912*$G$53</f>
        <v/>
      </c>
      <c r="Q913">
        <f>IF(S912&gt;0,MAX(0,S912*(1+$G$54)-$H$54),0)</f>
        <v/>
      </c>
      <c r="R913">
        <f>MAX(0,N913-M913)</f>
        <v/>
      </c>
      <c r="S913">
        <f>IF(Q913-R913&gt;1E-9,Q913-R913,0)</f>
        <v/>
      </c>
      <c r="T913">
        <f>S912*$G$54</f>
        <v/>
      </c>
      <c r="U913">
        <f>IF(W912&gt;0,MAX(0,W912*(1+$G$55)-$H$55),0)</f>
        <v/>
      </c>
      <c r="V913">
        <f>MAX(0,R913-Q913)</f>
        <v/>
      </c>
      <c r="W913">
        <f>IF(U913-V913&gt;1E-9,U913-V913,0)</f>
        <v/>
      </c>
      <c r="X913">
        <f>W912*$G$55</f>
        <v/>
      </c>
      <c r="Y913">
        <f>IF(Y912&gt;1E-9,IF(Y912*(1+$G$51)-MAX($B$9,0.01*Y912+Y912*$G$51)&gt;1E-9,Y912*(1+$G$51)-MAX($B$9,0.01*Y912+Y912*$G$51),0),0)</f>
        <v/>
      </c>
      <c r="Z913">
        <f>Y912*$G$51</f>
        <v/>
      </c>
      <c r="AA913">
        <f>IF(AA912&gt;1E-9,IF(AA912*(1+$G$52)-MAX($B$9,0.01*AA912+AA912*$G$52)&gt;1E-9,AA912*(1+$G$52)-MAX($B$9,0.01*AA912+AA912*$G$52),0),0)</f>
        <v/>
      </c>
      <c r="AB913">
        <f>AA912*$G$52</f>
        <v/>
      </c>
      <c r="AC913">
        <f>IF(AC912&gt;1E-9,IF(AC912*(1+$G$53)-MAX($B$9,0.01*AC912+AC912*$G$53)&gt;1E-9,AC912*(1+$G$53)-MAX($B$9,0.01*AC912+AC912*$G$53),0),0)</f>
        <v/>
      </c>
      <c r="AD913">
        <f>AC912*$G$53</f>
        <v/>
      </c>
      <c r="AE913">
        <f>IF(AE912&gt;1E-9,IF(AE912*(1+$G$54)-MAX($B$9,0.01*AE912+AE912*$G$54)&gt;1E-9,AE912*(1+$G$54)-MAX($B$9,0.01*AE912+AE912*$G$54),0),0)</f>
        <v/>
      </c>
      <c r="AF913">
        <f>AE912*$G$54</f>
        <v/>
      </c>
      <c r="AG913">
        <f>IF(AG912&gt;1E-9,IF(AG912*(1+$G$55)-MAX($B$9,0.01*AG912+AG912*$G$55)&gt;1E-9,AG912*(1+$G$55)-MAX($B$9,0.01*AG912+AG912*$G$55),0),0)</f>
        <v/>
      </c>
      <c r="AH913">
        <f>AG912*$G$55</f>
        <v/>
      </c>
      <c r="AI913">
        <f>G913+K913+O913+S913+W913</f>
        <v/>
      </c>
      <c r="AJ913">
        <f>AI912+AK913-AI913</f>
        <v/>
      </c>
      <c r="AK913">
        <f>H913+L913+P913+T913+X913</f>
        <v/>
      </c>
      <c r="AL913">
        <f>TEXT(EDATE($B$5,D913-1),"mmm yyyy")</f>
        <v/>
      </c>
      <c r="AM913">
        <f>AI913</f>
        <v/>
      </c>
    </row>
    <row r="914">
      <c r="D914" t="n">
        <v>853</v>
      </c>
      <c r="E914">
        <f>IF(G913&gt;0,MAX(0,G913*(1+$G$51)-$H$51),0)</f>
        <v/>
      </c>
      <c r="F914">
        <f>$B$6+IF($D914=$B$8,$B$7,0)</f>
        <v/>
      </c>
      <c r="G914">
        <f>IF(E914-F914&gt;1E-9,E914-F914,0)</f>
        <v/>
      </c>
      <c r="H914">
        <f>G913*$G$51</f>
        <v/>
      </c>
      <c r="I914">
        <f>IF(K913&gt;0,MAX(0,K913*(1+$G$52)-$H$52),0)</f>
        <v/>
      </c>
      <c r="J914">
        <f>MAX(0,F914-E914)</f>
        <v/>
      </c>
      <c r="K914">
        <f>IF(I914-J914&gt;1E-9,I914-J914,0)</f>
        <v/>
      </c>
      <c r="L914">
        <f>K913*$G$52</f>
        <v/>
      </c>
      <c r="M914">
        <f>IF(O913&gt;0,MAX(0,O913*(1+$G$53)-$H$53),0)</f>
        <v/>
      </c>
      <c r="N914">
        <f>MAX(0,J914-I914)</f>
        <v/>
      </c>
      <c r="O914">
        <f>IF(M914-N914&gt;1E-9,M914-N914,0)</f>
        <v/>
      </c>
      <c r="P914">
        <f>O913*$G$53</f>
        <v/>
      </c>
      <c r="Q914">
        <f>IF(S913&gt;0,MAX(0,S913*(1+$G$54)-$H$54),0)</f>
        <v/>
      </c>
      <c r="R914">
        <f>MAX(0,N914-M914)</f>
        <v/>
      </c>
      <c r="S914">
        <f>IF(Q914-R914&gt;1E-9,Q914-R914,0)</f>
        <v/>
      </c>
      <c r="T914">
        <f>S913*$G$54</f>
        <v/>
      </c>
      <c r="U914">
        <f>IF(W913&gt;0,MAX(0,W913*(1+$G$55)-$H$55),0)</f>
        <v/>
      </c>
      <c r="V914">
        <f>MAX(0,R914-Q914)</f>
        <v/>
      </c>
      <c r="W914">
        <f>IF(U914-V914&gt;1E-9,U914-V914,0)</f>
        <v/>
      </c>
      <c r="X914">
        <f>W913*$G$55</f>
        <v/>
      </c>
      <c r="Y914">
        <f>IF(Y913&gt;1E-9,IF(Y913*(1+$G$51)-MAX($B$9,0.01*Y913+Y913*$G$51)&gt;1E-9,Y913*(1+$G$51)-MAX($B$9,0.01*Y913+Y913*$G$51),0),0)</f>
        <v/>
      </c>
      <c r="Z914">
        <f>Y913*$G$51</f>
        <v/>
      </c>
      <c r="AA914">
        <f>IF(AA913&gt;1E-9,IF(AA913*(1+$G$52)-MAX($B$9,0.01*AA913+AA913*$G$52)&gt;1E-9,AA913*(1+$G$52)-MAX($B$9,0.01*AA913+AA913*$G$52),0),0)</f>
        <v/>
      </c>
      <c r="AB914">
        <f>AA913*$G$52</f>
        <v/>
      </c>
      <c r="AC914">
        <f>IF(AC913&gt;1E-9,IF(AC913*(1+$G$53)-MAX($B$9,0.01*AC913+AC913*$G$53)&gt;1E-9,AC913*(1+$G$53)-MAX($B$9,0.01*AC913+AC913*$G$53),0),0)</f>
        <v/>
      </c>
      <c r="AD914">
        <f>AC913*$G$53</f>
        <v/>
      </c>
      <c r="AE914">
        <f>IF(AE913&gt;1E-9,IF(AE913*(1+$G$54)-MAX($B$9,0.01*AE913+AE913*$G$54)&gt;1E-9,AE913*(1+$G$54)-MAX($B$9,0.01*AE913+AE913*$G$54),0),0)</f>
        <v/>
      </c>
      <c r="AF914">
        <f>AE913*$G$54</f>
        <v/>
      </c>
      <c r="AG914">
        <f>IF(AG913&gt;1E-9,IF(AG913*(1+$G$55)-MAX($B$9,0.01*AG913+AG913*$G$55)&gt;1E-9,AG913*(1+$G$55)-MAX($B$9,0.01*AG913+AG913*$G$55),0),0)</f>
        <v/>
      </c>
      <c r="AH914">
        <f>AG913*$G$55</f>
        <v/>
      </c>
      <c r="AI914">
        <f>G914+K914+O914+S914+W914</f>
        <v/>
      </c>
      <c r="AJ914">
        <f>AI913+AK914-AI914</f>
        <v/>
      </c>
      <c r="AK914">
        <f>H914+L914+P914+T914+X914</f>
        <v/>
      </c>
      <c r="AL914">
        <f>TEXT(EDATE($B$5,D914-1),"mmm yyyy")</f>
        <v/>
      </c>
      <c r="AM914">
        <f>AI914</f>
        <v/>
      </c>
    </row>
    <row r="915">
      <c r="D915" t="n">
        <v>854</v>
      </c>
      <c r="E915">
        <f>IF(G914&gt;0,MAX(0,G914*(1+$G$51)-$H$51),0)</f>
        <v/>
      </c>
      <c r="F915">
        <f>$B$6+IF($D915=$B$8,$B$7,0)</f>
        <v/>
      </c>
      <c r="G915">
        <f>IF(E915-F915&gt;1E-9,E915-F915,0)</f>
        <v/>
      </c>
      <c r="H915">
        <f>G914*$G$51</f>
        <v/>
      </c>
      <c r="I915">
        <f>IF(K914&gt;0,MAX(0,K914*(1+$G$52)-$H$52),0)</f>
        <v/>
      </c>
      <c r="J915">
        <f>MAX(0,F915-E915)</f>
        <v/>
      </c>
      <c r="K915">
        <f>IF(I915-J915&gt;1E-9,I915-J915,0)</f>
        <v/>
      </c>
      <c r="L915">
        <f>K914*$G$52</f>
        <v/>
      </c>
      <c r="M915">
        <f>IF(O914&gt;0,MAX(0,O914*(1+$G$53)-$H$53),0)</f>
        <v/>
      </c>
      <c r="N915">
        <f>MAX(0,J915-I915)</f>
        <v/>
      </c>
      <c r="O915">
        <f>IF(M915-N915&gt;1E-9,M915-N915,0)</f>
        <v/>
      </c>
      <c r="P915">
        <f>O914*$G$53</f>
        <v/>
      </c>
      <c r="Q915">
        <f>IF(S914&gt;0,MAX(0,S914*(1+$G$54)-$H$54),0)</f>
        <v/>
      </c>
      <c r="R915">
        <f>MAX(0,N915-M915)</f>
        <v/>
      </c>
      <c r="S915">
        <f>IF(Q915-R915&gt;1E-9,Q915-R915,0)</f>
        <v/>
      </c>
      <c r="T915">
        <f>S914*$G$54</f>
        <v/>
      </c>
      <c r="U915">
        <f>IF(W914&gt;0,MAX(0,W914*(1+$G$55)-$H$55),0)</f>
        <v/>
      </c>
      <c r="V915">
        <f>MAX(0,R915-Q915)</f>
        <v/>
      </c>
      <c r="W915">
        <f>IF(U915-V915&gt;1E-9,U915-V915,0)</f>
        <v/>
      </c>
      <c r="X915">
        <f>W914*$G$55</f>
        <v/>
      </c>
      <c r="Y915">
        <f>IF(Y914&gt;1E-9,IF(Y914*(1+$G$51)-MAX($B$9,0.01*Y914+Y914*$G$51)&gt;1E-9,Y914*(1+$G$51)-MAX($B$9,0.01*Y914+Y914*$G$51),0),0)</f>
        <v/>
      </c>
      <c r="Z915">
        <f>Y914*$G$51</f>
        <v/>
      </c>
      <c r="AA915">
        <f>IF(AA914&gt;1E-9,IF(AA914*(1+$G$52)-MAX($B$9,0.01*AA914+AA914*$G$52)&gt;1E-9,AA914*(1+$G$52)-MAX($B$9,0.01*AA914+AA914*$G$52),0),0)</f>
        <v/>
      </c>
      <c r="AB915">
        <f>AA914*$G$52</f>
        <v/>
      </c>
      <c r="AC915">
        <f>IF(AC914&gt;1E-9,IF(AC914*(1+$G$53)-MAX($B$9,0.01*AC914+AC914*$G$53)&gt;1E-9,AC914*(1+$G$53)-MAX($B$9,0.01*AC914+AC914*$G$53),0),0)</f>
        <v/>
      </c>
      <c r="AD915">
        <f>AC914*$G$53</f>
        <v/>
      </c>
      <c r="AE915">
        <f>IF(AE914&gt;1E-9,IF(AE914*(1+$G$54)-MAX($B$9,0.01*AE914+AE914*$G$54)&gt;1E-9,AE914*(1+$G$54)-MAX($B$9,0.01*AE914+AE914*$G$54),0),0)</f>
        <v/>
      </c>
      <c r="AF915">
        <f>AE914*$G$54</f>
        <v/>
      </c>
      <c r="AG915">
        <f>IF(AG914&gt;1E-9,IF(AG914*(1+$G$55)-MAX($B$9,0.01*AG914+AG914*$G$55)&gt;1E-9,AG914*(1+$G$55)-MAX($B$9,0.01*AG914+AG914*$G$55),0),0)</f>
        <v/>
      </c>
      <c r="AH915">
        <f>AG914*$G$55</f>
        <v/>
      </c>
      <c r="AI915">
        <f>G915+K915+O915+S915+W915</f>
        <v/>
      </c>
      <c r="AJ915">
        <f>AI914+AK915-AI915</f>
        <v/>
      </c>
      <c r="AK915">
        <f>H915+L915+P915+T915+X915</f>
        <v/>
      </c>
      <c r="AL915">
        <f>TEXT(EDATE($B$5,D915-1),"mmm yyyy")</f>
        <v/>
      </c>
      <c r="AM915">
        <f>AI915</f>
        <v/>
      </c>
    </row>
    <row r="916">
      <c r="D916" t="n">
        <v>855</v>
      </c>
      <c r="E916">
        <f>IF(G915&gt;0,MAX(0,G915*(1+$G$51)-$H$51),0)</f>
        <v/>
      </c>
      <c r="F916">
        <f>$B$6+IF($D916=$B$8,$B$7,0)</f>
        <v/>
      </c>
      <c r="G916">
        <f>IF(E916-F916&gt;1E-9,E916-F916,0)</f>
        <v/>
      </c>
      <c r="H916">
        <f>G915*$G$51</f>
        <v/>
      </c>
      <c r="I916">
        <f>IF(K915&gt;0,MAX(0,K915*(1+$G$52)-$H$52),0)</f>
        <v/>
      </c>
      <c r="J916">
        <f>MAX(0,F916-E916)</f>
        <v/>
      </c>
      <c r="K916">
        <f>IF(I916-J916&gt;1E-9,I916-J916,0)</f>
        <v/>
      </c>
      <c r="L916">
        <f>K915*$G$52</f>
        <v/>
      </c>
      <c r="M916">
        <f>IF(O915&gt;0,MAX(0,O915*(1+$G$53)-$H$53),0)</f>
        <v/>
      </c>
      <c r="N916">
        <f>MAX(0,J916-I916)</f>
        <v/>
      </c>
      <c r="O916">
        <f>IF(M916-N916&gt;1E-9,M916-N916,0)</f>
        <v/>
      </c>
      <c r="P916">
        <f>O915*$G$53</f>
        <v/>
      </c>
      <c r="Q916">
        <f>IF(S915&gt;0,MAX(0,S915*(1+$G$54)-$H$54),0)</f>
        <v/>
      </c>
      <c r="R916">
        <f>MAX(0,N916-M916)</f>
        <v/>
      </c>
      <c r="S916">
        <f>IF(Q916-R916&gt;1E-9,Q916-R916,0)</f>
        <v/>
      </c>
      <c r="T916">
        <f>S915*$G$54</f>
        <v/>
      </c>
      <c r="U916">
        <f>IF(W915&gt;0,MAX(0,W915*(1+$G$55)-$H$55),0)</f>
        <v/>
      </c>
      <c r="V916">
        <f>MAX(0,R916-Q916)</f>
        <v/>
      </c>
      <c r="W916">
        <f>IF(U916-V916&gt;1E-9,U916-V916,0)</f>
        <v/>
      </c>
      <c r="X916">
        <f>W915*$G$55</f>
        <v/>
      </c>
      <c r="Y916">
        <f>IF(Y915&gt;1E-9,IF(Y915*(1+$G$51)-MAX($B$9,0.01*Y915+Y915*$G$51)&gt;1E-9,Y915*(1+$G$51)-MAX($B$9,0.01*Y915+Y915*$G$51),0),0)</f>
        <v/>
      </c>
      <c r="Z916">
        <f>Y915*$G$51</f>
        <v/>
      </c>
      <c r="AA916">
        <f>IF(AA915&gt;1E-9,IF(AA915*(1+$G$52)-MAX($B$9,0.01*AA915+AA915*$G$52)&gt;1E-9,AA915*(1+$G$52)-MAX($B$9,0.01*AA915+AA915*$G$52),0),0)</f>
        <v/>
      </c>
      <c r="AB916">
        <f>AA915*$G$52</f>
        <v/>
      </c>
      <c r="AC916">
        <f>IF(AC915&gt;1E-9,IF(AC915*(1+$G$53)-MAX($B$9,0.01*AC915+AC915*$G$53)&gt;1E-9,AC915*(1+$G$53)-MAX($B$9,0.01*AC915+AC915*$G$53),0),0)</f>
        <v/>
      </c>
      <c r="AD916">
        <f>AC915*$G$53</f>
        <v/>
      </c>
      <c r="AE916">
        <f>IF(AE915&gt;1E-9,IF(AE915*(1+$G$54)-MAX($B$9,0.01*AE915+AE915*$G$54)&gt;1E-9,AE915*(1+$G$54)-MAX($B$9,0.01*AE915+AE915*$G$54),0),0)</f>
        <v/>
      </c>
      <c r="AF916">
        <f>AE915*$G$54</f>
        <v/>
      </c>
      <c r="AG916">
        <f>IF(AG915&gt;1E-9,IF(AG915*(1+$G$55)-MAX($B$9,0.01*AG915+AG915*$G$55)&gt;1E-9,AG915*(1+$G$55)-MAX($B$9,0.01*AG915+AG915*$G$55),0),0)</f>
        <v/>
      </c>
      <c r="AH916">
        <f>AG915*$G$55</f>
        <v/>
      </c>
      <c r="AI916">
        <f>G916+K916+O916+S916+W916</f>
        <v/>
      </c>
      <c r="AJ916">
        <f>AI915+AK916-AI916</f>
        <v/>
      </c>
      <c r="AK916">
        <f>H916+L916+P916+T916+X916</f>
        <v/>
      </c>
      <c r="AL916">
        <f>TEXT(EDATE($B$5,D916-1),"mmm yyyy")</f>
        <v/>
      </c>
      <c r="AM916">
        <f>AI916</f>
        <v/>
      </c>
    </row>
    <row r="917">
      <c r="D917" t="n">
        <v>856</v>
      </c>
      <c r="E917">
        <f>IF(G916&gt;0,MAX(0,G916*(1+$G$51)-$H$51),0)</f>
        <v/>
      </c>
      <c r="F917">
        <f>$B$6+IF($D917=$B$8,$B$7,0)</f>
        <v/>
      </c>
      <c r="G917">
        <f>IF(E917-F917&gt;1E-9,E917-F917,0)</f>
        <v/>
      </c>
      <c r="H917">
        <f>G916*$G$51</f>
        <v/>
      </c>
      <c r="I917">
        <f>IF(K916&gt;0,MAX(0,K916*(1+$G$52)-$H$52),0)</f>
        <v/>
      </c>
      <c r="J917">
        <f>MAX(0,F917-E917)</f>
        <v/>
      </c>
      <c r="K917">
        <f>IF(I917-J917&gt;1E-9,I917-J917,0)</f>
        <v/>
      </c>
      <c r="L917">
        <f>K916*$G$52</f>
        <v/>
      </c>
      <c r="M917">
        <f>IF(O916&gt;0,MAX(0,O916*(1+$G$53)-$H$53),0)</f>
        <v/>
      </c>
      <c r="N917">
        <f>MAX(0,J917-I917)</f>
        <v/>
      </c>
      <c r="O917">
        <f>IF(M917-N917&gt;1E-9,M917-N917,0)</f>
        <v/>
      </c>
      <c r="P917">
        <f>O916*$G$53</f>
        <v/>
      </c>
      <c r="Q917">
        <f>IF(S916&gt;0,MAX(0,S916*(1+$G$54)-$H$54),0)</f>
        <v/>
      </c>
      <c r="R917">
        <f>MAX(0,N917-M917)</f>
        <v/>
      </c>
      <c r="S917">
        <f>IF(Q917-R917&gt;1E-9,Q917-R917,0)</f>
        <v/>
      </c>
      <c r="T917">
        <f>S916*$G$54</f>
        <v/>
      </c>
      <c r="U917">
        <f>IF(W916&gt;0,MAX(0,W916*(1+$G$55)-$H$55),0)</f>
        <v/>
      </c>
      <c r="V917">
        <f>MAX(0,R917-Q917)</f>
        <v/>
      </c>
      <c r="W917">
        <f>IF(U917-V917&gt;1E-9,U917-V917,0)</f>
        <v/>
      </c>
      <c r="X917">
        <f>W916*$G$55</f>
        <v/>
      </c>
      <c r="Y917">
        <f>IF(Y916&gt;1E-9,IF(Y916*(1+$G$51)-MAX($B$9,0.01*Y916+Y916*$G$51)&gt;1E-9,Y916*(1+$G$51)-MAX($B$9,0.01*Y916+Y916*$G$51),0),0)</f>
        <v/>
      </c>
      <c r="Z917">
        <f>Y916*$G$51</f>
        <v/>
      </c>
      <c r="AA917">
        <f>IF(AA916&gt;1E-9,IF(AA916*(1+$G$52)-MAX($B$9,0.01*AA916+AA916*$G$52)&gt;1E-9,AA916*(1+$G$52)-MAX($B$9,0.01*AA916+AA916*$G$52),0),0)</f>
        <v/>
      </c>
      <c r="AB917">
        <f>AA916*$G$52</f>
        <v/>
      </c>
      <c r="AC917">
        <f>IF(AC916&gt;1E-9,IF(AC916*(1+$G$53)-MAX($B$9,0.01*AC916+AC916*$G$53)&gt;1E-9,AC916*(1+$G$53)-MAX($B$9,0.01*AC916+AC916*$G$53),0),0)</f>
        <v/>
      </c>
      <c r="AD917">
        <f>AC916*$G$53</f>
        <v/>
      </c>
      <c r="AE917">
        <f>IF(AE916&gt;1E-9,IF(AE916*(1+$G$54)-MAX($B$9,0.01*AE916+AE916*$G$54)&gt;1E-9,AE916*(1+$G$54)-MAX($B$9,0.01*AE916+AE916*$G$54),0),0)</f>
        <v/>
      </c>
      <c r="AF917">
        <f>AE916*$G$54</f>
        <v/>
      </c>
      <c r="AG917">
        <f>IF(AG916&gt;1E-9,IF(AG916*(1+$G$55)-MAX($B$9,0.01*AG916+AG916*$G$55)&gt;1E-9,AG916*(1+$G$55)-MAX($B$9,0.01*AG916+AG916*$G$55),0),0)</f>
        <v/>
      </c>
      <c r="AH917">
        <f>AG916*$G$55</f>
        <v/>
      </c>
      <c r="AI917">
        <f>G917+K917+O917+S917+W917</f>
        <v/>
      </c>
      <c r="AJ917">
        <f>AI916+AK917-AI917</f>
        <v/>
      </c>
      <c r="AK917">
        <f>H917+L917+P917+T917+X917</f>
        <v/>
      </c>
      <c r="AL917">
        <f>TEXT(EDATE($B$5,D917-1),"mmm yyyy")</f>
        <v/>
      </c>
      <c r="AM917">
        <f>AI917</f>
        <v/>
      </c>
    </row>
    <row r="918">
      <c r="D918" t="n">
        <v>857</v>
      </c>
      <c r="E918">
        <f>IF(G917&gt;0,MAX(0,G917*(1+$G$51)-$H$51),0)</f>
        <v/>
      </c>
      <c r="F918">
        <f>$B$6+IF($D918=$B$8,$B$7,0)</f>
        <v/>
      </c>
      <c r="G918">
        <f>IF(E918-F918&gt;1E-9,E918-F918,0)</f>
        <v/>
      </c>
      <c r="H918">
        <f>G917*$G$51</f>
        <v/>
      </c>
      <c r="I918">
        <f>IF(K917&gt;0,MAX(0,K917*(1+$G$52)-$H$52),0)</f>
        <v/>
      </c>
      <c r="J918">
        <f>MAX(0,F918-E918)</f>
        <v/>
      </c>
      <c r="K918">
        <f>IF(I918-J918&gt;1E-9,I918-J918,0)</f>
        <v/>
      </c>
      <c r="L918">
        <f>K917*$G$52</f>
        <v/>
      </c>
      <c r="M918">
        <f>IF(O917&gt;0,MAX(0,O917*(1+$G$53)-$H$53),0)</f>
        <v/>
      </c>
      <c r="N918">
        <f>MAX(0,J918-I918)</f>
        <v/>
      </c>
      <c r="O918">
        <f>IF(M918-N918&gt;1E-9,M918-N918,0)</f>
        <v/>
      </c>
      <c r="P918">
        <f>O917*$G$53</f>
        <v/>
      </c>
      <c r="Q918">
        <f>IF(S917&gt;0,MAX(0,S917*(1+$G$54)-$H$54),0)</f>
        <v/>
      </c>
      <c r="R918">
        <f>MAX(0,N918-M918)</f>
        <v/>
      </c>
      <c r="S918">
        <f>IF(Q918-R918&gt;1E-9,Q918-R918,0)</f>
        <v/>
      </c>
      <c r="T918">
        <f>S917*$G$54</f>
        <v/>
      </c>
      <c r="U918">
        <f>IF(W917&gt;0,MAX(0,W917*(1+$G$55)-$H$55),0)</f>
        <v/>
      </c>
      <c r="V918">
        <f>MAX(0,R918-Q918)</f>
        <v/>
      </c>
      <c r="W918">
        <f>IF(U918-V918&gt;1E-9,U918-V918,0)</f>
        <v/>
      </c>
      <c r="X918">
        <f>W917*$G$55</f>
        <v/>
      </c>
      <c r="Y918">
        <f>IF(Y917&gt;1E-9,IF(Y917*(1+$G$51)-MAX($B$9,0.01*Y917+Y917*$G$51)&gt;1E-9,Y917*(1+$G$51)-MAX($B$9,0.01*Y917+Y917*$G$51),0),0)</f>
        <v/>
      </c>
      <c r="Z918">
        <f>Y917*$G$51</f>
        <v/>
      </c>
      <c r="AA918">
        <f>IF(AA917&gt;1E-9,IF(AA917*(1+$G$52)-MAX($B$9,0.01*AA917+AA917*$G$52)&gt;1E-9,AA917*(1+$G$52)-MAX($B$9,0.01*AA917+AA917*$G$52),0),0)</f>
        <v/>
      </c>
      <c r="AB918">
        <f>AA917*$G$52</f>
        <v/>
      </c>
      <c r="AC918">
        <f>IF(AC917&gt;1E-9,IF(AC917*(1+$G$53)-MAX($B$9,0.01*AC917+AC917*$G$53)&gt;1E-9,AC917*(1+$G$53)-MAX($B$9,0.01*AC917+AC917*$G$53),0),0)</f>
        <v/>
      </c>
      <c r="AD918">
        <f>AC917*$G$53</f>
        <v/>
      </c>
      <c r="AE918">
        <f>IF(AE917&gt;1E-9,IF(AE917*(1+$G$54)-MAX($B$9,0.01*AE917+AE917*$G$54)&gt;1E-9,AE917*(1+$G$54)-MAX($B$9,0.01*AE917+AE917*$G$54),0),0)</f>
        <v/>
      </c>
      <c r="AF918">
        <f>AE917*$G$54</f>
        <v/>
      </c>
      <c r="AG918">
        <f>IF(AG917&gt;1E-9,IF(AG917*(1+$G$55)-MAX($B$9,0.01*AG917+AG917*$G$55)&gt;1E-9,AG917*(1+$G$55)-MAX($B$9,0.01*AG917+AG917*$G$55),0),0)</f>
        <v/>
      </c>
      <c r="AH918">
        <f>AG917*$G$55</f>
        <v/>
      </c>
      <c r="AI918">
        <f>G918+K918+O918+S918+W918</f>
        <v/>
      </c>
      <c r="AJ918">
        <f>AI917+AK918-AI918</f>
        <v/>
      </c>
      <c r="AK918">
        <f>H918+L918+P918+T918+X918</f>
        <v/>
      </c>
      <c r="AL918">
        <f>TEXT(EDATE($B$5,D918-1),"mmm yyyy")</f>
        <v/>
      </c>
      <c r="AM918">
        <f>AI918</f>
        <v/>
      </c>
    </row>
    <row r="919">
      <c r="D919" t="n">
        <v>858</v>
      </c>
      <c r="E919">
        <f>IF(G918&gt;0,MAX(0,G918*(1+$G$51)-$H$51),0)</f>
        <v/>
      </c>
      <c r="F919">
        <f>$B$6+IF($D919=$B$8,$B$7,0)</f>
        <v/>
      </c>
      <c r="G919">
        <f>IF(E919-F919&gt;1E-9,E919-F919,0)</f>
        <v/>
      </c>
      <c r="H919">
        <f>G918*$G$51</f>
        <v/>
      </c>
      <c r="I919">
        <f>IF(K918&gt;0,MAX(0,K918*(1+$G$52)-$H$52),0)</f>
        <v/>
      </c>
      <c r="J919">
        <f>MAX(0,F919-E919)</f>
        <v/>
      </c>
      <c r="K919">
        <f>IF(I919-J919&gt;1E-9,I919-J919,0)</f>
        <v/>
      </c>
      <c r="L919">
        <f>K918*$G$52</f>
        <v/>
      </c>
      <c r="M919">
        <f>IF(O918&gt;0,MAX(0,O918*(1+$G$53)-$H$53),0)</f>
        <v/>
      </c>
      <c r="N919">
        <f>MAX(0,J919-I919)</f>
        <v/>
      </c>
      <c r="O919">
        <f>IF(M919-N919&gt;1E-9,M919-N919,0)</f>
        <v/>
      </c>
      <c r="P919">
        <f>O918*$G$53</f>
        <v/>
      </c>
      <c r="Q919">
        <f>IF(S918&gt;0,MAX(0,S918*(1+$G$54)-$H$54),0)</f>
        <v/>
      </c>
      <c r="R919">
        <f>MAX(0,N919-M919)</f>
        <v/>
      </c>
      <c r="S919">
        <f>IF(Q919-R919&gt;1E-9,Q919-R919,0)</f>
        <v/>
      </c>
      <c r="T919">
        <f>S918*$G$54</f>
        <v/>
      </c>
      <c r="U919">
        <f>IF(W918&gt;0,MAX(0,W918*(1+$G$55)-$H$55),0)</f>
        <v/>
      </c>
      <c r="V919">
        <f>MAX(0,R919-Q919)</f>
        <v/>
      </c>
      <c r="W919">
        <f>IF(U919-V919&gt;1E-9,U919-V919,0)</f>
        <v/>
      </c>
      <c r="X919">
        <f>W918*$G$55</f>
        <v/>
      </c>
      <c r="Y919">
        <f>IF(Y918&gt;1E-9,IF(Y918*(1+$G$51)-MAX($B$9,0.01*Y918+Y918*$G$51)&gt;1E-9,Y918*(1+$G$51)-MAX($B$9,0.01*Y918+Y918*$G$51),0),0)</f>
        <v/>
      </c>
      <c r="Z919">
        <f>Y918*$G$51</f>
        <v/>
      </c>
      <c r="AA919">
        <f>IF(AA918&gt;1E-9,IF(AA918*(1+$G$52)-MAX($B$9,0.01*AA918+AA918*$G$52)&gt;1E-9,AA918*(1+$G$52)-MAX($B$9,0.01*AA918+AA918*$G$52),0),0)</f>
        <v/>
      </c>
      <c r="AB919">
        <f>AA918*$G$52</f>
        <v/>
      </c>
      <c r="AC919">
        <f>IF(AC918&gt;1E-9,IF(AC918*(1+$G$53)-MAX($B$9,0.01*AC918+AC918*$G$53)&gt;1E-9,AC918*(1+$G$53)-MAX($B$9,0.01*AC918+AC918*$G$53),0),0)</f>
        <v/>
      </c>
      <c r="AD919">
        <f>AC918*$G$53</f>
        <v/>
      </c>
      <c r="AE919">
        <f>IF(AE918&gt;1E-9,IF(AE918*(1+$G$54)-MAX($B$9,0.01*AE918+AE918*$G$54)&gt;1E-9,AE918*(1+$G$54)-MAX($B$9,0.01*AE918+AE918*$G$54),0),0)</f>
        <v/>
      </c>
      <c r="AF919">
        <f>AE918*$G$54</f>
        <v/>
      </c>
      <c r="AG919">
        <f>IF(AG918&gt;1E-9,IF(AG918*(1+$G$55)-MAX($B$9,0.01*AG918+AG918*$G$55)&gt;1E-9,AG918*(1+$G$55)-MAX($B$9,0.01*AG918+AG918*$G$55),0),0)</f>
        <v/>
      </c>
      <c r="AH919">
        <f>AG918*$G$55</f>
        <v/>
      </c>
      <c r="AI919">
        <f>G919+K919+O919+S919+W919</f>
        <v/>
      </c>
      <c r="AJ919">
        <f>AI918+AK919-AI919</f>
        <v/>
      </c>
      <c r="AK919">
        <f>H919+L919+P919+T919+X919</f>
        <v/>
      </c>
      <c r="AL919">
        <f>TEXT(EDATE($B$5,D919-1),"mmm yyyy")</f>
        <v/>
      </c>
      <c r="AM919">
        <f>AI919</f>
        <v/>
      </c>
    </row>
    <row r="920">
      <c r="D920" t="n">
        <v>859</v>
      </c>
      <c r="E920">
        <f>IF(G919&gt;0,MAX(0,G919*(1+$G$51)-$H$51),0)</f>
        <v/>
      </c>
      <c r="F920">
        <f>$B$6+IF($D920=$B$8,$B$7,0)</f>
        <v/>
      </c>
      <c r="G920">
        <f>IF(E920-F920&gt;1E-9,E920-F920,0)</f>
        <v/>
      </c>
      <c r="H920">
        <f>G919*$G$51</f>
        <v/>
      </c>
      <c r="I920">
        <f>IF(K919&gt;0,MAX(0,K919*(1+$G$52)-$H$52),0)</f>
        <v/>
      </c>
      <c r="J920">
        <f>MAX(0,F920-E920)</f>
        <v/>
      </c>
      <c r="K920">
        <f>IF(I920-J920&gt;1E-9,I920-J920,0)</f>
        <v/>
      </c>
      <c r="L920">
        <f>K919*$G$52</f>
        <v/>
      </c>
      <c r="M920">
        <f>IF(O919&gt;0,MAX(0,O919*(1+$G$53)-$H$53),0)</f>
        <v/>
      </c>
      <c r="N920">
        <f>MAX(0,J920-I920)</f>
        <v/>
      </c>
      <c r="O920">
        <f>IF(M920-N920&gt;1E-9,M920-N920,0)</f>
        <v/>
      </c>
      <c r="P920">
        <f>O919*$G$53</f>
        <v/>
      </c>
      <c r="Q920">
        <f>IF(S919&gt;0,MAX(0,S919*(1+$G$54)-$H$54),0)</f>
        <v/>
      </c>
      <c r="R920">
        <f>MAX(0,N920-M920)</f>
        <v/>
      </c>
      <c r="S920">
        <f>IF(Q920-R920&gt;1E-9,Q920-R920,0)</f>
        <v/>
      </c>
      <c r="T920">
        <f>S919*$G$54</f>
        <v/>
      </c>
      <c r="U920">
        <f>IF(W919&gt;0,MAX(0,W919*(1+$G$55)-$H$55),0)</f>
        <v/>
      </c>
      <c r="V920">
        <f>MAX(0,R920-Q920)</f>
        <v/>
      </c>
      <c r="W920">
        <f>IF(U920-V920&gt;1E-9,U920-V920,0)</f>
        <v/>
      </c>
      <c r="X920">
        <f>W919*$G$55</f>
        <v/>
      </c>
      <c r="Y920">
        <f>IF(Y919&gt;1E-9,IF(Y919*(1+$G$51)-MAX($B$9,0.01*Y919+Y919*$G$51)&gt;1E-9,Y919*(1+$G$51)-MAX($B$9,0.01*Y919+Y919*$G$51),0),0)</f>
        <v/>
      </c>
      <c r="Z920">
        <f>Y919*$G$51</f>
        <v/>
      </c>
      <c r="AA920">
        <f>IF(AA919&gt;1E-9,IF(AA919*(1+$G$52)-MAX($B$9,0.01*AA919+AA919*$G$52)&gt;1E-9,AA919*(1+$G$52)-MAX($B$9,0.01*AA919+AA919*$G$52),0),0)</f>
        <v/>
      </c>
      <c r="AB920">
        <f>AA919*$G$52</f>
        <v/>
      </c>
      <c r="AC920">
        <f>IF(AC919&gt;1E-9,IF(AC919*(1+$G$53)-MAX($B$9,0.01*AC919+AC919*$G$53)&gt;1E-9,AC919*(1+$G$53)-MAX($B$9,0.01*AC919+AC919*$G$53),0),0)</f>
        <v/>
      </c>
      <c r="AD920">
        <f>AC919*$G$53</f>
        <v/>
      </c>
      <c r="AE920">
        <f>IF(AE919&gt;1E-9,IF(AE919*(1+$G$54)-MAX($B$9,0.01*AE919+AE919*$G$54)&gt;1E-9,AE919*(1+$G$54)-MAX($B$9,0.01*AE919+AE919*$G$54),0),0)</f>
        <v/>
      </c>
      <c r="AF920">
        <f>AE919*$G$54</f>
        <v/>
      </c>
      <c r="AG920">
        <f>IF(AG919&gt;1E-9,IF(AG919*(1+$G$55)-MAX($B$9,0.01*AG919+AG919*$G$55)&gt;1E-9,AG919*(1+$G$55)-MAX($B$9,0.01*AG919+AG919*$G$55),0),0)</f>
        <v/>
      </c>
      <c r="AH920">
        <f>AG919*$G$55</f>
        <v/>
      </c>
      <c r="AI920">
        <f>G920+K920+O920+S920+W920</f>
        <v/>
      </c>
      <c r="AJ920">
        <f>AI919+AK920-AI920</f>
        <v/>
      </c>
      <c r="AK920">
        <f>H920+L920+P920+T920+X920</f>
        <v/>
      </c>
      <c r="AL920">
        <f>TEXT(EDATE($B$5,D920-1),"mmm yyyy")</f>
        <v/>
      </c>
      <c r="AM920">
        <f>AI920</f>
        <v/>
      </c>
    </row>
    <row r="921">
      <c r="D921" t="n">
        <v>860</v>
      </c>
      <c r="E921">
        <f>IF(G920&gt;0,MAX(0,G920*(1+$G$51)-$H$51),0)</f>
        <v/>
      </c>
      <c r="F921">
        <f>$B$6+IF($D921=$B$8,$B$7,0)</f>
        <v/>
      </c>
      <c r="G921">
        <f>IF(E921-F921&gt;1E-9,E921-F921,0)</f>
        <v/>
      </c>
      <c r="H921">
        <f>G920*$G$51</f>
        <v/>
      </c>
      <c r="I921">
        <f>IF(K920&gt;0,MAX(0,K920*(1+$G$52)-$H$52),0)</f>
        <v/>
      </c>
      <c r="J921">
        <f>MAX(0,F921-E921)</f>
        <v/>
      </c>
      <c r="K921">
        <f>IF(I921-J921&gt;1E-9,I921-J921,0)</f>
        <v/>
      </c>
      <c r="L921">
        <f>K920*$G$52</f>
        <v/>
      </c>
      <c r="M921">
        <f>IF(O920&gt;0,MAX(0,O920*(1+$G$53)-$H$53),0)</f>
        <v/>
      </c>
      <c r="N921">
        <f>MAX(0,J921-I921)</f>
        <v/>
      </c>
      <c r="O921">
        <f>IF(M921-N921&gt;1E-9,M921-N921,0)</f>
        <v/>
      </c>
      <c r="P921">
        <f>O920*$G$53</f>
        <v/>
      </c>
      <c r="Q921">
        <f>IF(S920&gt;0,MAX(0,S920*(1+$G$54)-$H$54),0)</f>
        <v/>
      </c>
      <c r="R921">
        <f>MAX(0,N921-M921)</f>
        <v/>
      </c>
      <c r="S921">
        <f>IF(Q921-R921&gt;1E-9,Q921-R921,0)</f>
        <v/>
      </c>
      <c r="T921">
        <f>S920*$G$54</f>
        <v/>
      </c>
      <c r="U921">
        <f>IF(W920&gt;0,MAX(0,W920*(1+$G$55)-$H$55),0)</f>
        <v/>
      </c>
      <c r="V921">
        <f>MAX(0,R921-Q921)</f>
        <v/>
      </c>
      <c r="W921">
        <f>IF(U921-V921&gt;1E-9,U921-V921,0)</f>
        <v/>
      </c>
      <c r="X921">
        <f>W920*$G$55</f>
        <v/>
      </c>
      <c r="Y921">
        <f>IF(Y920&gt;1E-9,IF(Y920*(1+$G$51)-MAX($B$9,0.01*Y920+Y920*$G$51)&gt;1E-9,Y920*(1+$G$51)-MAX($B$9,0.01*Y920+Y920*$G$51),0),0)</f>
        <v/>
      </c>
      <c r="Z921">
        <f>Y920*$G$51</f>
        <v/>
      </c>
      <c r="AA921">
        <f>IF(AA920&gt;1E-9,IF(AA920*(1+$G$52)-MAX($B$9,0.01*AA920+AA920*$G$52)&gt;1E-9,AA920*(1+$G$52)-MAX($B$9,0.01*AA920+AA920*$G$52),0),0)</f>
        <v/>
      </c>
      <c r="AB921">
        <f>AA920*$G$52</f>
        <v/>
      </c>
      <c r="AC921">
        <f>IF(AC920&gt;1E-9,IF(AC920*(1+$G$53)-MAX($B$9,0.01*AC920+AC920*$G$53)&gt;1E-9,AC920*(1+$G$53)-MAX($B$9,0.01*AC920+AC920*$G$53),0),0)</f>
        <v/>
      </c>
      <c r="AD921">
        <f>AC920*$G$53</f>
        <v/>
      </c>
      <c r="AE921">
        <f>IF(AE920&gt;1E-9,IF(AE920*(1+$G$54)-MAX($B$9,0.01*AE920+AE920*$G$54)&gt;1E-9,AE920*(1+$G$54)-MAX($B$9,0.01*AE920+AE920*$G$54),0),0)</f>
        <v/>
      </c>
      <c r="AF921">
        <f>AE920*$G$54</f>
        <v/>
      </c>
      <c r="AG921">
        <f>IF(AG920&gt;1E-9,IF(AG920*(1+$G$55)-MAX($B$9,0.01*AG920+AG920*$G$55)&gt;1E-9,AG920*(1+$G$55)-MAX($B$9,0.01*AG920+AG920*$G$55),0),0)</f>
        <v/>
      </c>
      <c r="AH921">
        <f>AG920*$G$55</f>
        <v/>
      </c>
      <c r="AI921">
        <f>G921+K921+O921+S921+W921</f>
        <v/>
      </c>
      <c r="AJ921">
        <f>AI920+AK921-AI921</f>
        <v/>
      </c>
      <c r="AK921">
        <f>H921+L921+P921+T921+X921</f>
        <v/>
      </c>
      <c r="AL921">
        <f>TEXT(EDATE($B$5,D921-1),"mmm yyyy")</f>
        <v/>
      </c>
      <c r="AM921">
        <f>AI921</f>
        <v/>
      </c>
    </row>
    <row r="922">
      <c r="D922" t="n">
        <v>861</v>
      </c>
      <c r="E922">
        <f>IF(G921&gt;0,MAX(0,G921*(1+$G$51)-$H$51),0)</f>
        <v/>
      </c>
      <c r="F922">
        <f>$B$6+IF($D922=$B$8,$B$7,0)</f>
        <v/>
      </c>
      <c r="G922">
        <f>IF(E922-F922&gt;1E-9,E922-F922,0)</f>
        <v/>
      </c>
      <c r="H922">
        <f>G921*$G$51</f>
        <v/>
      </c>
      <c r="I922">
        <f>IF(K921&gt;0,MAX(0,K921*(1+$G$52)-$H$52),0)</f>
        <v/>
      </c>
      <c r="J922">
        <f>MAX(0,F922-E922)</f>
        <v/>
      </c>
      <c r="K922">
        <f>IF(I922-J922&gt;1E-9,I922-J922,0)</f>
        <v/>
      </c>
      <c r="L922">
        <f>K921*$G$52</f>
        <v/>
      </c>
      <c r="M922">
        <f>IF(O921&gt;0,MAX(0,O921*(1+$G$53)-$H$53),0)</f>
        <v/>
      </c>
      <c r="N922">
        <f>MAX(0,J922-I922)</f>
        <v/>
      </c>
      <c r="O922">
        <f>IF(M922-N922&gt;1E-9,M922-N922,0)</f>
        <v/>
      </c>
      <c r="P922">
        <f>O921*$G$53</f>
        <v/>
      </c>
      <c r="Q922">
        <f>IF(S921&gt;0,MAX(0,S921*(1+$G$54)-$H$54),0)</f>
        <v/>
      </c>
      <c r="R922">
        <f>MAX(0,N922-M922)</f>
        <v/>
      </c>
      <c r="S922">
        <f>IF(Q922-R922&gt;1E-9,Q922-R922,0)</f>
        <v/>
      </c>
      <c r="T922">
        <f>S921*$G$54</f>
        <v/>
      </c>
      <c r="U922">
        <f>IF(W921&gt;0,MAX(0,W921*(1+$G$55)-$H$55),0)</f>
        <v/>
      </c>
      <c r="V922">
        <f>MAX(0,R922-Q922)</f>
        <v/>
      </c>
      <c r="W922">
        <f>IF(U922-V922&gt;1E-9,U922-V922,0)</f>
        <v/>
      </c>
      <c r="X922">
        <f>W921*$G$55</f>
        <v/>
      </c>
      <c r="Y922">
        <f>IF(Y921&gt;1E-9,IF(Y921*(1+$G$51)-MAX($B$9,0.01*Y921+Y921*$G$51)&gt;1E-9,Y921*(1+$G$51)-MAX($B$9,0.01*Y921+Y921*$G$51),0),0)</f>
        <v/>
      </c>
      <c r="Z922">
        <f>Y921*$G$51</f>
        <v/>
      </c>
      <c r="AA922">
        <f>IF(AA921&gt;1E-9,IF(AA921*(1+$G$52)-MAX($B$9,0.01*AA921+AA921*$G$52)&gt;1E-9,AA921*(1+$G$52)-MAX($B$9,0.01*AA921+AA921*$G$52),0),0)</f>
        <v/>
      </c>
      <c r="AB922">
        <f>AA921*$G$52</f>
        <v/>
      </c>
      <c r="AC922">
        <f>IF(AC921&gt;1E-9,IF(AC921*(1+$G$53)-MAX($B$9,0.01*AC921+AC921*$G$53)&gt;1E-9,AC921*(1+$G$53)-MAX($B$9,0.01*AC921+AC921*$G$53),0),0)</f>
        <v/>
      </c>
      <c r="AD922">
        <f>AC921*$G$53</f>
        <v/>
      </c>
      <c r="AE922">
        <f>IF(AE921&gt;1E-9,IF(AE921*(1+$G$54)-MAX($B$9,0.01*AE921+AE921*$G$54)&gt;1E-9,AE921*(1+$G$54)-MAX($B$9,0.01*AE921+AE921*$G$54),0),0)</f>
        <v/>
      </c>
      <c r="AF922">
        <f>AE921*$G$54</f>
        <v/>
      </c>
      <c r="AG922">
        <f>IF(AG921&gt;1E-9,IF(AG921*(1+$G$55)-MAX($B$9,0.01*AG921+AG921*$G$55)&gt;1E-9,AG921*(1+$G$55)-MAX($B$9,0.01*AG921+AG921*$G$55),0),0)</f>
        <v/>
      </c>
      <c r="AH922">
        <f>AG921*$G$55</f>
        <v/>
      </c>
      <c r="AI922">
        <f>G922+K922+O922+S922+W922</f>
        <v/>
      </c>
      <c r="AJ922">
        <f>AI921+AK922-AI922</f>
        <v/>
      </c>
      <c r="AK922">
        <f>H922+L922+P922+T922+X922</f>
        <v/>
      </c>
      <c r="AL922">
        <f>TEXT(EDATE($B$5,D922-1),"mmm yyyy")</f>
        <v/>
      </c>
      <c r="AM922">
        <f>AI922</f>
        <v/>
      </c>
    </row>
    <row r="923">
      <c r="D923" t="n">
        <v>862</v>
      </c>
      <c r="E923">
        <f>IF(G922&gt;0,MAX(0,G922*(1+$G$51)-$H$51),0)</f>
        <v/>
      </c>
      <c r="F923">
        <f>$B$6+IF($D923=$B$8,$B$7,0)</f>
        <v/>
      </c>
      <c r="G923">
        <f>IF(E923-F923&gt;1E-9,E923-F923,0)</f>
        <v/>
      </c>
      <c r="H923">
        <f>G922*$G$51</f>
        <v/>
      </c>
      <c r="I923">
        <f>IF(K922&gt;0,MAX(0,K922*(1+$G$52)-$H$52),0)</f>
        <v/>
      </c>
      <c r="J923">
        <f>MAX(0,F923-E923)</f>
        <v/>
      </c>
      <c r="K923">
        <f>IF(I923-J923&gt;1E-9,I923-J923,0)</f>
        <v/>
      </c>
      <c r="L923">
        <f>K922*$G$52</f>
        <v/>
      </c>
      <c r="M923">
        <f>IF(O922&gt;0,MAX(0,O922*(1+$G$53)-$H$53),0)</f>
        <v/>
      </c>
      <c r="N923">
        <f>MAX(0,J923-I923)</f>
        <v/>
      </c>
      <c r="O923">
        <f>IF(M923-N923&gt;1E-9,M923-N923,0)</f>
        <v/>
      </c>
      <c r="P923">
        <f>O922*$G$53</f>
        <v/>
      </c>
      <c r="Q923">
        <f>IF(S922&gt;0,MAX(0,S922*(1+$G$54)-$H$54),0)</f>
        <v/>
      </c>
      <c r="R923">
        <f>MAX(0,N923-M923)</f>
        <v/>
      </c>
      <c r="S923">
        <f>IF(Q923-R923&gt;1E-9,Q923-R923,0)</f>
        <v/>
      </c>
      <c r="T923">
        <f>S922*$G$54</f>
        <v/>
      </c>
      <c r="U923">
        <f>IF(W922&gt;0,MAX(0,W922*(1+$G$55)-$H$55),0)</f>
        <v/>
      </c>
      <c r="V923">
        <f>MAX(0,R923-Q923)</f>
        <v/>
      </c>
      <c r="W923">
        <f>IF(U923-V923&gt;1E-9,U923-V923,0)</f>
        <v/>
      </c>
      <c r="X923">
        <f>W922*$G$55</f>
        <v/>
      </c>
      <c r="Y923">
        <f>IF(Y922&gt;1E-9,IF(Y922*(1+$G$51)-MAX($B$9,0.01*Y922+Y922*$G$51)&gt;1E-9,Y922*(1+$G$51)-MAX($B$9,0.01*Y922+Y922*$G$51),0),0)</f>
        <v/>
      </c>
      <c r="Z923">
        <f>Y922*$G$51</f>
        <v/>
      </c>
      <c r="AA923">
        <f>IF(AA922&gt;1E-9,IF(AA922*(1+$G$52)-MAX($B$9,0.01*AA922+AA922*$G$52)&gt;1E-9,AA922*(1+$G$52)-MAX($B$9,0.01*AA922+AA922*$G$52),0),0)</f>
        <v/>
      </c>
      <c r="AB923">
        <f>AA922*$G$52</f>
        <v/>
      </c>
      <c r="AC923">
        <f>IF(AC922&gt;1E-9,IF(AC922*(1+$G$53)-MAX($B$9,0.01*AC922+AC922*$G$53)&gt;1E-9,AC922*(1+$G$53)-MAX($B$9,0.01*AC922+AC922*$G$53),0),0)</f>
        <v/>
      </c>
      <c r="AD923">
        <f>AC922*$G$53</f>
        <v/>
      </c>
      <c r="AE923">
        <f>IF(AE922&gt;1E-9,IF(AE922*(1+$G$54)-MAX($B$9,0.01*AE922+AE922*$G$54)&gt;1E-9,AE922*(1+$G$54)-MAX($B$9,0.01*AE922+AE922*$G$54),0),0)</f>
        <v/>
      </c>
      <c r="AF923">
        <f>AE922*$G$54</f>
        <v/>
      </c>
      <c r="AG923">
        <f>IF(AG922&gt;1E-9,IF(AG922*(1+$G$55)-MAX($B$9,0.01*AG922+AG922*$G$55)&gt;1E-9,AG922*(1+$G$55)-MAX($B$9,0.01*AG922+AG922*$G$55),0),0)</f>
        <v/>
      </c>
      <c r="AH923">
        <f>AG922*$G$55</f>
        <v/>
      </c>
      <c r="AI923">
        <f>G923+K923+O923+S923+W923</f>
        <v/>
      </c>
      <c r="AJ923">
        <f>AI922+AK923-AI923</f>
        <v/>
      </c>
      <c r="AK923">
        <f>H923+L923+P923+T923+X923</f>
        <v/>
      </c>
      <c r="AL923">
        <f>TEXT(EDATE($B$5,D923-1),"mmm yyyy")</f>
        <v/>
      </c>
      <c r="AM923">
        <f>AI923</f>
        <v/>
      </c>
    </row>
    <row r="924">
      <c r="D924" t="n">
        <v>863</v>
      </c>
      <c r="E924">
        <f>IF(G923&gt;0,MAX(0,G923*(1+$G$51)-$H$51),0)</f>
        <v/>
      </c>
      <c r="F924">
        <f>$B$6+IF($D924=$B$8,$B$7,0)</f>
        <v/>
      </c>
      <c r="G924">
        <f>IF(E924-F924&gt;1E-9,E924-F924,0)</f>
        <v/>
      </c>
      <c r="H924">
        <f>G923*$G$51</f>
        <v/>
      </c>
      <c r="I924">
        <f>IF(K923&gt;0,MAX(0,K923*(1+$G$52)-$H$52),0)</f>
        <v/>
      </c>
      <c r="J924">
        <f>MAX(0,F924-E924)</f>
        <v/>
      </c>
      <c r="K924">
        <f>IF(I924-J924&gt;1E-9,I924-J924,0)</f>
        <v/>
      </c>
      <c r="L924">
        <f>K923*$G$52</f>
        <v/>
      </c>
      <c r="M924">
        <f>IF(O923&gt;0,MAX(0,O923*(1+$G$53)-$H$53),0)</f>
        <v/>
      </c>
      <c r="N924">
        <f>MAX(0,J924-I924)</f>
        <v/>
      </c>
      <c r="O924">
        <f>IF(M924-N924&gt;1E-9,M924-N924,0)</f>
        <v/>
      </c>
      <c r="P924">
        <f>O923*$G$53</f>
        <v/>
      </c>
      <c r="Q924">
        <f>IF(S923&gt;0,MAX(0,S923*(1+$G$54)-$H$54),0)</f>
        <v/>
      </c>
      <c r="R924">
        <f>MAX(0,N924-M924)</f>
        <v/>
      </c>
      <c r="S924">
        <f>IF(Q924-R924&gt;1E-9,Q924-R924,0)</f>
        <v/>
      </c>
      <c r="T924">
        <f>S923*$G$54</f>
        <v/>
      </c>
      <c r="U924">
        <f>IF(W923&gt;0,MAX(0,W923*(1+$G$55)-$H$55),0)</f>
        <v/>
      </c>
      <c r="V924">
        <f>MAX(0,R924-Q924)</f>
        <v/>
      </c>
      <c r="W924">
        <f>IF(U924-V924&gt;1E-9,U924-V924,0)</f>
        <v/>
      </c>
      <c r="X924">
        <f>W923*$G$55</f>
        <v/>
      </c>
      <c r="Y924">
        <f>IF(Y923&gt;1E-9,IF(Y923*(1+$G$51)-MAX($B$9,0.01*Y923+Y923*$G$51)&gt;1E-9,Y923*(1+$G$51)-MAX($B$9,0.01*Y923+Y923*$G$51),0),0)</f>
        <v/>
      </c>
      <c r="Z924">
        <f>Y923*$G$51</f>
        <v/>
      </c>
      <c r="AA924">
        <f>IF(AA923&gt;1E-9,IF(AA923*(1+$G$52)-MAX($B$9,0.01*AA923+AA923*$G$52)&gt;1E-9,AA923*(1+$G$52)-MAX($B$9,0.01*AA923+AA923*$G$52),0),0)</f>
        <v/>
      </c>
      <c r="AB924">
        <f>AA923*$G$52</f>
        <v/>
      </c>
      <c r="AC924">
        <f>IF(AC923&gt;1E-9,IF(AC923*(1+$G$53)-MAX($B$9,0.01*AC923+AC923*$G$53)&gt;1E-9,AC923*(1+$G$53)-MAX($B$9,0.01*AC923+AC923*$G$53),0),0)</f>
        <v/>
      </c>
      <c r="AD924">
        <f>AC923*$G$53</f>
        <v/>
      </c>
      <c r="AE924">
        <f>IF(AE923&gt;1E-9,IF(AE923*(1+$G$54)-MAX($B$9,0.01*AE923+AE923*$G$54)&gt;1E-9,AE923*(1+$G$54)-MAX($B$9,0.01*AE923+AE923*$G$54),0),0)</f>
        <v/>
      </c>
      <c r="AF924">
        <f>AE923*$G$54</f>
        <v/>
      </c>
      <c r="AG924">
        <f>IF(AG923&gt;1E-9,IF(AG923*(1+$G$55)-MAX($B$9,0.01*AG923+AG923*$G$55)&gt;1E-9,AG923*(1+$G$55)-MAX($B$9,0.01*AG923+AG923*$G$55),0),0)</f>
        <v/>
      </c>
      <c r="AH924">
        <f>AG923*$G$55</f>
        <v/>
      </c>
      <c r="AI924">
        <f>G924+K924+O924+S924+W924</f>
        <v/>
      </c>
      <c r="AJ924">
        <f>AI923+AK924-AI924</f>
        <v/>
      </c>
      <c r="AK924">
        <f>H924+L924+P924+T924+X924</f>
        <v/>
      </c>
      <c r="AL924">
        <f>TEXT(EDATE($B$5,D924-1),"mmm yyyy")</f>
        <v/>
      </c>
      <c r="AM924">
        <f>AI924</f>
        <v/>
      </c>
    </row>
    <row r="925">
      <c r="D925" t="n">
        <v>864</v>
      </c>
      <c r="E925">
        <f>IF(G924&gt;0,MAX(0,G924*(1+$G$51)-$H$51),0)</f>
        <v/>
      </c>
      <c r="F925">
        <f>$B$6+IF($D925=$B$8,$B$7,0)</f>
        <v/>
      </c>
      <c r="G925">
        <f>IF(E925-F925&gt;1E-9,E925-F925,0)</f>
        <v/>
      </c>
      <c r="H925">
        <f>G924*$G$51</f>
        <v/>
      </c>
      <c r="I925">
        <f>IF(K924&gt;0,MAX(0,K924*(1+$G$52)-$H$52),0)</f>
        <v/>
      </c>
      <c r="J925">
        <f>MAX(0,F925-E925)</f>
        <v/>
      </c>
      <c r="K925">
        <f>IF(I925-J925&gt;1E-9,I925-J925,0)</f>
        <v/>
      </c>
      <c r="L925">
        <f>K924*$G$52</f>
        <v/>
      </c>
      <c r="M925">
        <f>IF(O924&gt;0,MAX(0,O924*(1+$G$53)-$H$53),0)</f>
        <v/>
      </c>
      <c r="N925">
        <f>MAX(0,J925-I925)</f>
        <v/>
      </c>
      <c r="O925">
        <f>IF(M925-N925&gt;1E-9,M925-N925,0)</f>
        <v/>
      </c>
      <c r="P925">
        <f>O924*$G$53</f>
        <v/>
      </c>
      <c r="Q925">
        <f>IF(S924&gt;0,MAX(0,S924*(1+$G$54)-$H$54),0)</f>
        <v/>
      </c>
      <c r="R925">
        <f>MAX(0,N925-M925)</f>
        <v/>
      </c>
      <c r="S925">
        <f>IF(Q925-R925&gt;1E-9,Q925-R925,0)</f>
        <v/>
      </c>
      <c r="T925">
        <f>S924*$G$54</f>
        <v/>
      </c>
      <c r="U925">
        <f>IF(W924&gt;0,MAX(0,W924*(1+$G$55)-$H$55),0)</f>
        <v/>
      </c>
      <c r="V925">
        <f>MAX(0,R925-Q925)</f>
        <v/>
      </c>
      <c r="W925">
        <f>IF(U925-V925&gt;1E-9,U925-V925,0)</f>
        <v/>
      </c>
      <c r="X925">
        <f>W924*$G$55</f>
        <v/>
      </c>
      <c r="Y925">
        <f>IF(Y924&gt;1E-9,IF(Y924*(1+$G$51)-MAX($B$9,0.01*Y924+Y924*$G$51)&gt;1E-9,Y924*(1+$G$51)-MAX($B$9,0.01*Y924+Y924*$G$51),0),0)</f>
        <v/>
      </c>
      <c r="Z925">
        <f>Y924*$G$51</f>
        <v/>
      </c>
      <c r="AA925">
        <f>IF(AA924&gt;1E-9,IF(AA924*(1+$G$52)-MAX($B$9,0.01*AA924+AA924*$G$52)&gt;1E-9,AA924*(1+$G$52)-MAX($B$9,0.01*AA924+AA924*$G$52),0),0)</f>
        <v/>
      </c>
      <c r="AB925">
        <f>AA924*$G$52</f>
        <v/>
      </c>
      <c r="AC925">
        <f>IF(AC924&gt;1E-9,IF(AC924*(1+$G$53)-MAX($B$9,0.01*AC924+AC924*$G$53)&gt;1E-9,AC924*(1+$G$53)-MAX($B$9,0.01*AC924+AC924*$G$53),0),0)</f>
        <v/>
      </c>
      <c r="AD925">
        <f>AC924*$G$53</f>
        <v/>
      </c>
      <c r="AE925">
        <f>IF(AE924&gt;1E-9,IF(AE924*(1+$G$54)-MAX($B$9,0.01*AE924+AE924*$G$54)&gt;1E-9,AE924*(1+$G$54)-MAX($B$9,0.01*AE924+AE924*$G$54),0),0)</f>
        <v/>
      </c>
      <c r="AF925">
        <f>AE924*$G$54</f>
        <v/>
      </c>
      <c r="AG925">
        <f>IF(AG924&gt;1E-9,IF(AG924*(1+$G$55)-MAX($B$9,0.01*AG924+AG924*$G$55)&gt;1E-9,AG924*(1+$G$55)-MAX($B$9,0.01*AG924+AG924*$G$55),0),0)</f>
        <v/>
      </c>
      <c r="AH925">
        <f>AG924*$G$55</f>
        <v/>
      </c>
      <c r="AI925">
        <f>G925+K925+O925+S925+W925</f>
        <v/>
      </c>
      <c r="AJ925">
        <f>AI924+AK925-AI925</f>
        <v/>
      </c>
      <c r="AK925">
        <f>H925+L925+P925+T925+X925</f>
        <v/>
      </c>
      <c r="AL925">
        <f>TEXT(EDATE($B$5,D925-1),"mmm yyyy")</f>
        <v/>
      </c>
      <c r="AM925">
        <f>AI925</f>
        <v/>
      </c>
    </row>
    <row r="926">
      <c r="D926" t="n">
        <v>865</v>
      </c>
      <c r="E926">
        <f>IF(G925&gt;0,MAX(0,G925*(1+$G$51)-$H$51),0)</f>
        <v/>
      </c>
      <c r="F926">
        <f>$B$6+IF($D926=$B$8,$B$7,0)</f>
        <v/>
      </c>
      <c r="G926">
        <f>IF(E926-F926&gt;1E-9,E926-F926,0)</f>
        <v/>
      </c>
      <c r="H926">
        <f>G925*$G$51</f>
        <v/>
      </c>
      <c r="I926">
        <f>IF(K925&gt;0,MAX(0,K925*(1+$G$52)-$H$52),0)</f>
        <v/>
      </c>
      <c r="J926">
        <f>MAX(0,F926-E926)</f>
        <v/>
      </c>
      <c r="K926">
        <f>IF(I926-J926&gt;1E-9,I926-J926,0)</f>
        <v/>
      </c>
      <c r="L926">
        <f>K925*$G$52</f>
        <v/>
      </c>
      <c r="M926">
        <f>IF(O925&gt;0,MAX(0,O925*(1+$G$53)-$H$53),0)</f>
        <v/>
      </c>
      <c r="N926">
        <f>MAX(0,J926-I926)</f>
        <v/>
      </c>
      <c r="O926">
        <f>IF(M926-N926&gt;1E-9,M926-N926,0)</f>
        <v/>
      </c>
      <c r="P926">
        <f>O925*$G$53</f>
        <v/>
      </c>
      <c r="Q926">
        <f>IF(S925&gt;0,MAX(0,S925*(1+$G$54)-$H$54),0)</f>
        <v/>
      </c>
      <c r="R926">
        <f>MAX(0,N926-M926)</f>
        <v/>
      </c>
      <c r="S926">
        <f>IF(Q926-R926&gt;1E-9,Q926-R926,0)</f>
        <v/>
      </c>
      <c r="T926">
        <f>S925*$G$54</f>
        <v/>
      </c>
      <c r="U926">
        <f>IF(W925&gt;0,MAX(0,W925*(1+$G$55)-$H$55),0)</f>
        <v/>
      </c>
      <c r="V926">
        <f>MAX(0,R926-Q926)</f>
        <v/>
      </c>
      <c r="W926">
        <f>IF(U926-V926&gt;1E-9,U926-V926,0)</f>
        <v/>
      </c>
      <c r="X926">
        <f>W925*$G$55</f>
        <v/>
      </c>
      <c r="Y926">
        <f>IF(Y925&gt;1E-9,IF(Y925*(1+$G$51)-MAX($B$9,0.01*Y925+Y925*$G$51)&gt;1E-9,Y925*(1+$G$51)-MAX($B$9,0.01*Y925+Y925*$G$51),0),0)</f>
        <v/>
      </c>
      <c r="Z926">
        <f>Y925*$G$51</f>
        <v/>
      </c>
      <c r="AA926">
        <f>IF(AA925&gt;1E-9,IF(AA925*(1+$G$52)-MAX($B$9,0.01*AA925+AA925*$G$52)&gt;1E-9,AA925*(1+$G$52)-MAX($B$9,0.01*AA925+AA925*$G$52),0),0)</f>
        <v/>
      </c>
      <c r="AB926">
        <f>AA925*$G$52</f>
        <v/>
      </c>
      <c r="AC926">
        <f>IF(AC925&gt;1E-9,IF(AC925*(1+$G$53)-MAX($B$9,0.01*AC925+AC925*$G$53)&gt;1E-9,AC925*(1+$G$53)-MAX($B$9,0.01*AC925+AC925*$G$53),0),0)</f>
        <v/>
      </c>
      <c r="AD926">
        <f>AC925*$G$53</f>
        <v/>
      </c>
      <c r="AE926">
        <f>IF(AE925&gt;1E-9,IF(AE925*(1+$G$54)-MAX($B$9,0.01*AE925+AE925*$G$54)&gt;1E-9,AE925*(1+$G$54)-MAX($B$9,0.01*AE925+AE925*$G$54),0),0)</f>
        <v/>
      </c>
      <c r="AF926">
        <f>AE925*$G$54</f>
        <v/>
      </c>
      <c r="AG926">
        <f>IF(AG925&gt;1E-9,IF(AG925*(1+$G$55)-MAX($B$9,0.01*AG925+AG925*$G$55)&gt;1E-9,AG925*(1+$G$55)-MAX($B$9,0.01*AG925+AG925*$G$55),0),0)</f>
        <v/>
      </c>
      <c r="AH926">
        <f>AG925*$G$55</f>
        <v/>
      </c>
      <c r="AI926">
        <f>G926+K926+O926+S926+W926</f>
        <v/>
      </c>
      <c r="AJ926">
        <f>AI925+AK926-AI926</f>
        <v/>
      </c>
      <c r="AK926">
        <f>H926+L926+P926+T926+X926</f>
        <v/>
      </c>
      <c r="AL926">
        <f>TEXT(EDATE($B$5,D926-1),"mmm yyyy")</f>
        <v/>
      </c>
      <c r="AM926">
        <f>AI926</f>
        <v/>
      </c>
    </row>
    <row r="927">
      <c r="D927" t="n">
        <v>866</v>
      </c>
      <c r="E927">
        <f>IF(G926&gt;0,MAX(0,G926*(1+$G$51)-$H$51),0)</f>
        <v/>
      </c>
      <c r="F927">
        <f>$B$6+IF($D927=$B$8,$B$7,0)</f>
        <v/>
      </c>
      <c r="G927">
        <f>IF(E927-F927&gt;1E-9,E927-F927,0)</f>
        <v/>
      </c>
      <c r="H927">
        <f>G926*$G$51</f>
        <v/>
      </c>
      <c r="I927">
        <f>IF(K926&gt;0,MAX(0,K926*(1+$G$52)-$H$52),0)</f>
        <v/>
      </c>
      <c r="J927">
        <f>MAX(0,F927-E927)</f>
        <v/>
      </c>
      <c r="K927">
        <f>IF(I927-J927&gt;1E-9,I927-J927,0)</f>
        <v/>
      </c>
      <c r="L927">
        <f>K926*$G$52</f>
        <v/>
      </c>
      <c r="M927">
        <f>IF(O926&gt;0,MAX(0,O926*(1+$G$53)-$H$53),0)</f>
        <v/>
      </c>
      <c r="N927">
        <f>MAX(0,J927-I927)</f>
        <v/>
      </c>
      <c r="O927">
        <f>IF(M927-N927&gt;1E-9,M927-N927,0)</f>
        <v/>
      </c>
      <c r="P927">
        <f>O926*$G$53</f>
        <v/>
      </c>
      <c r="Q927">
        <f>IF(S926&gt;0,MAX(0,S926*(1+$G$54)-$H$54),0)</f>
        <v/>
      </c>
      <c r="R927">
        <f>MAX(0,N927-M927)</f>
        <v/>
      </c>
      <c r="S927">
        <f>IF(Q927-R927&gt;1E-9,Q927-R927,0)</f>
        <v/>
      </c>
      <c r="T927">
        <f>S926*$G$54</f>
        <v/>
      </c>
      <c r="U927">
        <f>IF(W926&gt;0,MAX(0,W926*(1+$G$55)-$H$55),0)</f>
        <v/>
      </c>
      <c r="V927">
        <f>MAX(0,R927-Q927)</f>
        <v/>
      </c>
      <c r="W927">
        <f>IF(U927-V927&gt;1E-9,U927-V927,0)</f>
        <v/>
      </c>
      <c r="X927">
        <f>W926*$G$55</f>
        <v/>
      </c>
      <c r="Y927">
        <f>IF(Y926&gt;1E-9,IF(Y926*(1+$G$51)-MAX($B$9,0.01*Y926+Y926*$G$51)&gt;1E-9,Y926*(1+$G$51)-MAX($B$9,0.01*Y926+Y926*$G$51),0),0)</f>
        <v/>
      </c>
      <c r="Z927">
        <f>Y926*$G$51</f>
        <v/>
      </c>
      <c r="AA927">
        <f>IF(AA926&gt;1E-9,IF(AA926*(1+$G$52)-MAX($B$9,0.01*AA926+AA926*$G$52)&gt;1E-9,AA926*(1+$G$52)-MAX($B$9,0.01*AA926+AA926*$G$52),0),0)</f>
        <v/>
      </c>
      <c r="AB927">
        <f>AA926*$G$52</f>
        <v/>
      </c>
      <c r="AC927">
        <f>IF(AC926&gt;1E-9,IF(AC926*(1+$G$53)-MAX($B$9,0.01*AC926+AC926*$G$53)&gt;1E-9,AC926*(1+$G$53)-MAX($B$9,0.01*AC926+AC926*$G$53),0),0)</f>
        <v/>
      </c>
      <c r="AD927">
        <f>AC926*$G$53</f>
        <v/>
      </c>
      <c r="AE927">
        <f>IF(AE926&gt;1E-9,IF(AE926*(1+$G$54)-MAX($B$9,0.01*AE926+AE926*$G$54)&gt;1E-9,AE926*(1+$G$54)-MAX($B$9,0.01*AE926+AE926*$G$54),0),0)</f>
        <v/>
      </c>
      <c r="AF927">
        <f>AE926*$G$54</f>
        <v/>
      </c>
      <c r="AG927">
        <f>IF(AG926&gt;1E-9,IF(AG926*(1+$G$55)-MAX($B$9,0.01*AG926+AG926*$G$55)&gt;1E-9,AG926*(1+$G$55)-MAX($B$9,0.01*AG926+AG926*$G$55),0),0)</f>
        <v/>
      </c>
      <c r="AH927">
        <f>AG926*$G$55</f>
        <v/>
      </c>
      <c r="AI927">
        <f>G927+K927+O927+S927+W927</f>
        <v/>
      </c>
      <c r="AJ927">
        <f>AI926+AK927-AI927</f>
        <v/>
      </c>
      <c r="AK927">
        <f>H927+L927+P927+T927+X927</f>
        <v/>
      </c>
      <c r="AL927">
        <f>TEXT(EDATE($B$5,D927-1),"mmm yyyy")</f>
        <v/>
      </c>
      <c r="AM927">
        <f>AI927</f>
        <v/>
      </c>
    </row>
    <row r="928">
      <c r="D928" t="n">
        <v>867</v>
      </c>
      <c r="E928">
        <f>IF(G927&gt;0,MAX(0,G927*(1+$G$51)-$H$51),0)</f>
        <v/>
      </c>
      <c r="F928">
        <f>$B$6+IF($D928=$B$8,$B$7,0)</f>
        <v/>
      </c>
      <c r="G928">
        <f>IF(E928-F928&gt;1E-9,E928-F928,0)</f>
        <v/>
      </c>
      <c r="H928">
        <f>G927*$G$51</f>
        <v/>
      </c>
      <c r="I928">
        <f>IF(K927&gt;0,MAX(0,K927*(1+$G$52)-$H$52),0)</f>
        <v/>
      </c>
      <c r="J928">
        <f>MAX(0,F928-E928)</f>
        <v/>
      </c>
      <c r="K928">
        <f>IF(I928-J928&gt;1E-9,I928-J928,0)</f>
        <v/>
      </c>
      <c r="L928">
        <f>K927*$G$52</f>
        <v/>
      </c>
      <c r="M928">
        <f>IF(O927&gt;0,MAX(0,O927*(1+$G$53)-$H$53),0)</f>
        <v/>
      </c>
      <c r="N928">
        <f>MAX(0,J928-I928)</f>
        <v/>
      </c>
      <c r="O928">
        <f>IF(M928-N928&gt;1E-9,M928-N928,0)</f>
        <v/>
      </c>
      <c r="P928">
        <f>O927*$G$53</f>
        <v/>
      </c>
      <c r="Q928">
        <f>IF(S927&gt;0,MAX(0,S927*(1+$G$54)-$H$54),0)</f>
        <v/>
      </c>
      <c r="R928">
        <f>MAX(0,N928-M928)</f>
        <v/>
      </c>
      <c r="S928">
        <f>IF(Q928-R928&gt;1E-9,Q928-R928,0)</f>
        <v/>
      </c>
      <c r="T928">
        <f>S927*$G$54</f>
        <v/>
      </c>
      <c r="U928">
        <f>IF(W927&gt;0,MAX(0,W927*(1+$G$55)-$H$55),0)</f>
        <v/>
      </c>
      <c r="V928">
        <f>MAX(0,R928-Q928)</f>
        <v/>
      </c>
      <c r="W928">
        <f>IF(U928-V928&gt;1E-9,U928-V928,0)</f>
        <v/>
      </c>
      <c r="X928">
        <f>W927*$G$55</f>
        <v/>
      </c>
      <c r="Y928">
        <f>IF(Y927&gt;1E-9,IF(Y927*(1+$G$51)-MAX($B$9,0.01*Y927+Y927*$G$51)&gt;1E-9,Y927*(1+$G$51)-MAX($B$9,0.01*Y927+Y927*$G$51),0),0)</f>
        <v/>
      </c>
      <c r="Z928">
        <f>Y927*$G$51</f>
        <v/>
      </c>
      <c r="AA928">
        <f>IF(AA927&gt;1E-9,IF(AA927*(1+$G$52)-MAX($B$9,0.01*AA927+AA927*$G$52)&gt;1E-9,AA927*(1+$G$52)-MAX($B$9,0.01*AA927+AA927*$G$52),0),0)</f>
        <v/>
      </c>
      <c r="AB928">
        <f>AA927*$G$52</f>
        <v/>
      </c>
      <c r="AC928">
        <f>IF(AC927&gt;1E-9,IF(AC927*(1+$G$53)-MAX($B$9,0.01*AC927+AC927*$G$53)&gt;1E-9,AC927*(1+$G$53)-MAX($B$9,0.01*AC927+AC927*$G$53),0),0)</f>
        <v/>
      </c>
      <c r="AD928">
        <f>AC927*$G$53</f>
        <v/>
      </c>
      <c r="AE928">
        <f>IF(AE927&gt;1E-9,IF(AE927*(1+$G$54)-MAX($B$9,0.01*AE927+AE927*$G$54)&gt;1E-9,AE927*(1+$G$54)-MAX($B$9,0.01*AE927+AE927*$G$54),0),0)</f>
        <v/>
      </c>
      <c r="AF928">
        <f>AE927*$G$54</f>
        <v/>
      </c>
      <c r="AG928">
        <f>IF(AG927&gt;1E-9,IF(AG927*(1+$G$55)-MAX($B$9,0.01*AG927+AG927*$G$55)&gt;1E-9,AG927*(1+$G$55)-MAX($B$9,0.01*AG927+AG927*$G$55),0),0)</f>
        <v/>
      </c>
      <c r="AH928">
        <f>AG927*$G$55</f>
        <v/>
      </c>
      <c r="AI928">
        <f>G928+K928+O928+S928+W928</f>
        <v/>
      </c>
      <c r="AJ928">
        <f>AI927+AK928-AI928</f>
        <v/>
      </c>
      <c r="AK928">
        <f>H928+L928+P928+T928+X928</f>
        <v/>
      </c>
      <c r="AL928">
        <f>TEXT(EDATE($B$5,D928-1),"mmm yyyy")</f>
        <v/>
      </c>
      <c r="AM928">
        <f>AI928</f>
        <v/>
      </c>
    </row>
    <row r="929">
      <c r="D929" t="n">
        <v>868</v>
      </c>
      <c r="E929">
        <f>IF(G928&gt;0,MAX(0,G928*(1+$G$51)-$H$51),0)</f>
        <v/>
      </c>
      <c r="F929">
        <f>$B$6+IF($D929=$B$8,$B$7,0)</f>
        <v/>
      </c>
      <c r="G929">
        <f>IF(E929-F929&gt;1E-9,E929-F929,0)</f>
        <v/>
      </c>
      <c r="H929">
        <f>G928*$G$51</f>
        <v/>
      </c>
      <c r="I929">
        <f>IF(K928&gt;0,MAX(0,K928*(1+$G$52)-$H$52),0)</f>
        <v/>
      </c>
      <c r="J929">
        <f>MAX(0,F929-E929)</f>
        <v/>
      </c>
      <c r="K929">
        <f>IF(I929-J929&gt;1E-9,I929-J929,0)</f>
        <v/>
      </c>
      <c r="L929">
        <f>K928*$G$52</f>
        <v/>
      </c>
      <c r="M929">
        <f>IF(O928&gt;0,MAX(0,O928*(1+$G$53)-$H$53),0)</f>
        <v/>
      </c>
      <c r="N929">
        <f>MAX(0,J929-I929)</f>
        <v/>
      </c>
      <c r="O929">
        <f>IF(M929-N929&gt;1E-9,M929-N929,0)</f>
        <v/>
      </c>
      <c r="P929">
        <f>O928*$G$53</f>
        <v/>
      </c>
      <c r="Q929">
        <f>IF(S928&gt;0,MAX(0,S928*(1+$G$54)-$H$54),0)</f>
        <v/>
      </c>
      <c r="R929">
        <f>MAX(0,N929-M929)</f>
        <v/>
      </c>
      <c r="S929">
        <f>IF(Q929-R929&gt;1E-9,Q929-R929,0)</f>
        <v/>
      </c>
      <c r="T929">
        <f>S928*$G$54</f>
        <v/>
      </c>
      <c r="U929">
        <f>IF(W928&gt;0,MAX(0,W928*(1+$G$55)-$H$55),0)</f>
        <v/>
      </c>
      <c r="V929">
        <f>MAX(0,R929-Q929)</f>
        <v/>
      </c>
      <c r="W929">
        <f>IF(U929-V929&gt;1E-9,U929-V929,0)</f>
        <v/>
      </c>
      <c r="X929">
        <f>W928*$G$55</f>
        <v/>
      </c>
      <c r="Y929">
        <f>IF(Y928&gt;1E-9,IF(Y928*(1+$G$51)-MAX($B$9,0.01*Y928+Y928*$G$51)&gt;1E-9,Y928*(1+$G$51)-MAX($B$9,0.01*Y928+Y928*$G$51),0),0)</f>
        <v/>
      </c>
      <c r="Z929">
        <f>Y928*$G$51</f>
        <v/>
      </c>
      <c r="AA929">
        <f>IF(AA928&gt;1E-9,IF(AA928*(1+$G$52)-MAX($B$9,0.01*AA928+AA928*$G$52)&gt;1E-9,AA928*(1+$G$52)-MAX($B$9,0.01*AA928+AA928*$G$52),0),0)</f>
        <v/>
      </c>
      <c r="AB929">
        <f>AA928*$G$52</f>
        <v/>
      </c>
      <c r="AC929">
        <f>IF(AC928&gt;1E-9,IF(AC928*(1+$G$53)-MAX($B$9,0.01*AC928+AC928*$G$53)&gt;1E-9,AC928*(1+$G$53)-MAX($B$9,0.01*AC928+AC928*$G$53),0),0)</f>
        <v/>
      </c>
      <c r="AD929">
        <f>AC928*$G$53</f>
        <v/>
      </c>
      <c r="AE929">
        <f>IF(AE928&gt;1E-9,IF(AE928*(1+$G$54)-MAX($B$9,0.01*AE928+AE928*$G$54)&gt;1E-9,AE928*(1+$G$54)-MAX($B$9,0.01*AE928+AE928*$G$54),0),0)</f>
        <v/>
      </c>
      <c r="AF929">
        <f>AE928*$G$54</f>
        <v/>
      </c>
      <c r="AG929">
        <f>IF(AG928&gt;1E-9,IF(AG928*(1+$G$55)-MAX($B$9,0.01*AG928+AG928*$G$55)&gt;1E-9,AG928*(1+$G$55)-MAX($B$9,0.01*AG928+AG928*$G$55),0),0)</f>
        <v/>
      </c>
      <c r="AH929">
        <f>AG928*$G$55</f>
        <v/>
      </c>
      <c r="AI929">
        <f>G929+K929+O929+S929+W929</f>
        <v/>
      </c>
      <c r="AJ929">
        <f>AI928+AK929-AI929</f>
        <v/>
      </c>
      <c r="AK929">
        <f>H929+L929+P929+T929+X929</f>
        <v/>
      </c>
      <c r="AL929">
        <f>TEXT(EDATE($B$5,D929-1),"mmm yyyy")</f>
        <v/>
      </c>
      <c r="AM929">
        <f>AI929</f>
        <v/>
      </c>
    </row>
    <row r="930">
      <c r="D930" t="n">
        <v>869</v>
      </c>
      <c r="E930">
        <f>IF(G929&gt;0,MAX(0,G929*(1+$G$51)-$H$51),0)</f>
        <v/>
      </c>
      <c r="F930">
        <f>$B$6+IF($D930=$B$8,$B$7,0)</f>
        <v/>
      </c>
      <c r="G930">
        <f>IF(E930-F930&gt;1E-9,E930-F930,0)</f>
        <v/>
      </c>
      <c r="H930">
        <f>G929*$G$51</f>
        <v/>
      </c>
      <c r="I930">
        <f>IF(K929&gt;0,MAX(0,K929*(1+$G$52)-$H$52),0)</f>
        <v/>
      </c>
      <c r="J930">
        <f>MAX(0,F930-E930)</f>
        <v/>
      </c>
      <c r="K930">
        <f>IF(I930-J930&gt;1E-9,I930-J930,0)</f>
        <v/>
      </c>
      <c r="L930">
        <f>K929*$G$52</f>
        <v/>
      </c>
      <c r="M930">
        <f>IF(O929&gt;0,MAX(0,O929*(1+$G$53)-$H$53),0)</f>
        <v/>
      </c>
      <c r="N930">
        <f>MAX(0,J930-I930)</f>
        <v/>
      </c>
      <c r="O930">
        <f>IF(M930-N930&gt;1E-9,M930-N930,0)</f>
        <v/>
      </c>
      <c r="P930">
        <f>O929*$G$53</f>
        <v/>
      </c>
      <c r="Q930">
        <f>IF(S929&gt;0,MAX(0,S929*(1+$G$54)-$H$54),0)</f>
        <v/>
      </c>
      <c r="R930">
        <f>MAX(0,N930-M930)</f>
        <v/>
      </c>
      <c r="S930">
        <f>IF(Q930-R930&gt;1E-9,Q930-R930,0)</f>
        <v/>
      </c>
      <c r="T930">
        <f>S929*$G$54</f>
        <v/>
      </c>
      <c r="U930">
        <f>IF(W929&gt;0,MAX(0,W929*(1+$G$55)-$H$55),0)</f>
        <v/>
      </c>
      <c r="V930">
        <f>MAX(0,R930-Q930)</f>
        <v/>
      </c>
      <c r="W930">
        <f>IF(U930-V930&gt;1E-9,U930-V930,0)</f>
        <v/>
      </c>
      <c r="X930">
        <f>W929*$G$55</f>
        <v/>
      </c>
      <c r="Y930">
        <f>IF(Y929&gt;1E-9,IF(Y929*(1+$G$51)-MAX($B$9,0.01*Y929+Y929*$G$51)&gt;1E-9,Y929*(1+$G$51)-MAX($B$9,0.01*Y929+Y929*$G$51),0),0)</f>
        <v/>
      </c>
      <c r="Z930">
        <f>Y929*$G$51</f>
        <v/>
      </c>
      <c r="AA930">
        <f>IF(AA929&gt;1E-9,IF(AA929*(1+$G$52)-MAX($B$9,0.01*AA929+AA929*$G$52)&gt;1E-9,AA929*(1+$G$52)-MAX($B$9,0.01*AA929+AA929*$G$52),0),0)</f>
        <v/>
      </c>
      <c r="AB930">
        <f>AA929*$G$52</f>
        <v/>
      </c>
      <c r="AC930">
        <f>IF(AC929&gt;1E-9,IF(AC929*(1+$G$53)-MAX($B$9,0.01*AC929+AC929*$G$53)&gt;1E-9,AC929*(1+$G$53)-MAX($B$9,0.01*AC929+AC929*$G$53),0),0)</f>
        <v/>
      </c>
      <c r="AD930">
        <f>AC929*$G$53</f>
        <v/>
      </c>
      <c r="AE930">
        <f>IF(AE929&gt;1E-9,IF(AE929*(1+$G$54)-MAX($B$9,0.01*AE929+AE929*$G$54)&gt;1E-9,AE929*(1+$G$54)-MAX($B$9,0.01*AE929+AE929*$G$54),0),0)</f>
        <v/>
      </c>
      <c r="AF930">
        <f>AE929*$G$54</f>
        <v/>
      </c>
      <c r="AG930">
        <f>IF(AG929&gt;1E-9,IF(AG929*(1+$G$55)-MAX($B$9,0.01*AG929+AG929*$G$55)&gt;1E-9,AG929*(1+$G$55)-MAX($B$9,0.01*AG929+AG929*$G$55),0),0)</f>
        <v/>
      </c>
      <c r="AH930">
        <f>AG929*$G$55</f>
        <v/>
      </c>
      <c r="AI930">
        <f>G930+K930+O930+S930+W930</f>
        <v/>
      </c>
      <c r="AJ930">
        <f>AI929+AK930-AI930</f>
        <v/>
      </c>
      <c r="AK930">
        <f>H930+L930+P930+T930+X930</f>
        <v/>
      </c>
      <c r="AL930">
        <f>TEXT(EDATE($B$5,D930-1),"mmm yyyy")</f>
        <v/>
      </c>
      <c r="AM930">
        <f>AI930</f>
        <v/>
      </c>
    </row>
    <row r="931">
      <c r="D931" t="n">
        <v>870</v>
      </c>
      <c r="E931">
        <f>IF(G930&gt;0,MAX(0,G930*(1+$G$51)-$H$51),0)</f>
        <v/>
      </c>
      <c r="F931">
        <f>$B$6+IF($D931=$B$8,$B$7,0)</f>
        <v/>
      </c>
      <c r="G931">
        <f>IF(E931-F931&gt;1E-9,E931-F931,0)</f>
        <v/>
      </c>
      <c r="H931">
        <f>G930*$G$51</f>
        <v/>
      </c>
      <c r="I931">
        <f>IF(K930&gt;0,MAX(0,K930*(1+$G$52)-$H$52),0)</f>
        <v/>
      </c>
      <c r="J931">
        <f>MAX(0,F931-E931)</f>
        <v/>
      </c>
      <c r="K931">
        <f>IF(I931-J931&gt;1E-9,I931-J931,0)</f>
        <v/>
      </c>
      <c r="L931">
        <f>K930*$G$52</f>
        <v/>
      </c>
      <c r="M931">
        <f>IF(O930&gt;0,MAX(0,O930*(1+$G$53)-$H$53),0)</f>
        <v/>
      </c>
      <c r="N931">
        <f>MAX(0,J931-I931)</f>
        <v/>
      </c>
      <c r="O931">
        <f>IF(M931-N931&gt;1E-9,M931-N931,0)</f>
        <v/>
      </c>
      <c r="P931">
        <f>O930*$G$53</f>
        <v/>
      </c>
      <c r="Q931">
        <f>IF(S930&gt;0,MAX(0,S930*(1+$G$54)-$H$54),0)</f>
        <v/>
      </c>
      <c r="R931">
        <f>MAX(0,N931-M931)</f>
        <v/>
      </c>
      <c r="S931">
        <f>IF(Q931-R931&gt;1E-9,Q931-R931,0)</f>
        <v/>
      </c>
      <c r="T931">
        <f>S930*$G$54</f>
        <v/>
      </c>
      <c r="U931">
        <f>IF(W930&gt;0,MAX(0,W930*(1+$G$55)-$H$55),0)</f>
        <v/>
      </c>
      <c r="V931">
        <f>MAX(0,R931-Q931)</f>
        <v/>
      </c>
      <c r="W931">
        <f>IF(U931-V931&gt;1E-9,U931-V931,0)</f>
        <v/>
      </c>
      <c r="X931">
        <f>W930*$G$55</f>
        <v/>
      </c>
      <c r="Y931">
        <f>IF(Y930&gt;1E-9,IF(Y930*(1+$G$51)-MAX($B$9,0.01*Y930+Y930*$G$51)&gt;1E-9,Y930*(1+$G$51)-MAX($B$9,0.01*Y930+Y930*$G$51),0),0)</f>
        <v/>
      </c>
      <c r="Z931">
        <f>Y930*$G$51</f>
        <v/>
      </c>
      <c r="AA931">
        <f>IF(AA930&gt;1E-9,IF(AA930*(1+$G$52)-MAX($B$9,0.01*AA930+AA930*$G$52)&gt;1E-9,AA930*(1+$G$52)-MAX($B$9,0.01*AA930+AA930*$G$52),0),0)</f>
        <v/>
      </c>
      <c r="AB931">
        <f>AA930*$G$52</f>
        <v/>
      </c>
      <c r="AC931">
        <f>IF(AC930&gt;1E-9,IF(AC930*(1+$G$53)-MAX($B$9,0.01*AC930+AC930*$G$53)&gt;1E-9,AC930*(1+$G$53)-MAX($B$9,0.01*AC930+AC930*$G$53),0),0)</f>
        <v/>
      </c>
      <c r="AD931">
        <f>AC930*$G$53</f>
        <v/>
      </c>
      <c r="AE931">
        <f>IF(AE930&gt;1E-9,IF(AE930*(1+$G$54)-MAX($B$9,0.01*AE930+AE930*$G$54)&gt;1E-9,AE930*(1+$G$54)-MAX($B$9,0.01*AE930+AE930*$G$54),0),0)</f>
        <v/>
      </c>
      <c r="AF931">
        <f>AE930*$G$54</f>
        <v/>
      </c>
      <c r="AG931">
        <f>IF(AG930&gt;1E-9,IF(AG930*(1+$G$55)-MAX($B$9,0.01*AG930+AG930*$G$55)&gt;1E-9,AG930*(1+$G$55)-MAX($B$9,0.01*AG930+AG930*$G$55),0),0)</f>
        <v/>
      </c>
      <c r="AH931">
        <f>AG930*$G$55</f>
        <v/>
      </c>
      <c r="AI931">
        <f>G931+K931+O931+S931+W931</f>
        <v/>
      </c>
      <c r="AJ931">
        <f>AI930+AK931-AI931</f>
        <v/>
      </c>
      <c r="AK931">
        <f>H931+L931+P931+T931+X931</f>
        <v/>
      </c>
      <c r="AL931">
        <f>TEXT(EDATE($B$5,D931-1),"mmm yyyy")</f>
        <v/>
      </c>
      <c r="AM931">
        <f>AI931</f>
        <v/>
      </c>
    </row>
    <row r="932">
      <c r="D932" t="n">
        <v>871</v>
      </c>
      <c r="E932">
        <f>IF(G931&gt;0,MAX(0,G931*(1+$G$51)-$H$51),0)</f>
        <v/>
      </c>
      <c r="F932">
        <f>$B$6+IF($D932=$B$8,$B$7,0)</f>
        <v/>
      </c>
      <c r="G932">
        <f>IF(E932-F932&gt;1E-9,E932-F932,0)</f>
        <v/>
      </c>
      <c r="H932">
        <f>G931*$G$51</f>
        <v/>
      </c>
      <c r="I932">
        <f>IF(K931&gt;0,MAX(0,K931*(1+$G$52)-$H$52),0)</f>
        <v/>
      </c>
      <c r="J932">
        <f>MAX(0,F932-E932)</f>
        <v/>
      </c>
      <c r="K932">
        <f>IF(I932-J932&gt;1E-9,I932-J932,0)</f>
        <v/>
      </c>
      <c r="L932">
        <f>K931*$G$52</f>
        <v/>
      </c>
      <c r="M932">
        <f>IF(O931&gt;0,MAX(0,O931*(1+$G$53)-$H$53),0)</f>
        <v/>
      </c>
      <c r="N932">
        <f>MAX(0,J932-I932)</f>
        <v/>
      </c>
      <c r="O932">
        <f>IF(M932-N932&gt;1E-9,M932-N932,0)</f>
        <v/>
      </c>
      <c r="P932">
        <f>O931*$G$53</f>
        <v/>
      </c>
      <c r="Q932">
        <f>IF(S931&gt;0,MAX(0,S931*(1+$G$54)-$H$54),0)</f>
        <v/>
      </c>
      <c r="R932">
        <f>MAX(0,N932-M932)</f>
        <v/>
      </c>
      <c r="S932">
        <f>IF(Q932-R932&gt;1E-9,Q932-R932,0)</f>
        <v/>
      </c>
      <c r="T932">
        <f>S931*$G$54</f>
        <v/>
      </c>
      <c r="U932">
        <f>IF(W931&gt;0,MAX(0,W931*(1+$G$55)-$H$55),0)</f>
        <v/>
      </c>
      <c r="V932">
        <f>MAX(0,R932-Q932)</f>
        <v/>
      </c>
      <c r="W932">
        <f>IF(U932-V932&gt;1E-9,U932-V932,0)</f>
        <v/>
      </c>
      <c r="X932">
        <f>W931*$G$55</f>
        <v/>
      </c>
      <c r="Y932">
        <f>IF(Y931&gt;1E-9,IF(Y931*(1+$G$51)-MAX($B$9,0.01*Y931+Y931*$G$51)&gt;1E-9,Y931*(1+$G$51)-MAX($B$9,0.01*Y931+Y931*$G$51),0),0)</f>
        <v/>
      </c>
      <c r="Z932">
        <f>Y931*$G$51</f>
        <v/>
      </c>
      <c r="AA932">
        <f>IF(AA931&gt;1E-9,IF(AA931*(1+$G$52)-MAX($B$9,0.01*AA931+AA931*$G$52)&gt;1E-9,AA931*(1+$G$52)-MAX($B$9,0.01*AA931+AA931*$G$52),0),0)</f>
        <v/>
      </c>
      <c r="AB932">
        <f>AA931*$G$52</f>
        <v/>
      </c>
      <c r="AC932">
        <f>IF(AC931&gt;1E-9,IF(AC931*(1+$G$53)-MAX($B$9,0.01*AC931+AC931*$G$53)&gt;1E-9,AC931*(1+$G$53)-MAX($B$9,0.01*AC931+AC931*$G$53),0),0)</f>
        <v/>
      </c>
      <c r="AD932">
        <f>AC931*$G$53</f>
        <v/>
      </c>
      <c r="AE932">
        <f>IF(AE931&gt;1E-9,IF(AE931*(1+$G$54)-MAX($B$9,0.01*AE931+AE931*$G$54)&gt;1E-9,AE931*(1+$G$54)-MAX($B$9,0.01*AE931+AE931*$G$54),0),0)</f>
        <v/>
      </c>
      <c r="AF932">
        <f>AE931*$G$54</f>
        <v/>
      </c>
      <c r="AG932">
        <f>IF(AG931&gt;1E-9,IF(AG931*(1+$G$55)-MAX($B$9,0.01*AG931+AG931*$G$55)&gt;1E-9,AG931*(1+$G$55)-MAX($B$9,0.01*AG931+AG931*$G$55),0),0)</f>
        <v/>
      </c>
      <c r="AH932">
        <f>AG931*$G$55</f>
        <v/>
      </c>
      <c r="AI932">
        <f>G932+K932+O932+S932+W932</f>
        <v/>
      </c>
      <c r="AJ932">
        <f>AI931+AK932-AI932</f>
        <v/>
      </c>
      <c r="AK932">
        <f>H932+L932+P932+T932+X932</f>
        <v/>
      </c>
      <c r="AL932">
        <f>TEXT(EDATE($B$5,D932-1),"mmm yyyy")</f>
        <v/>
      </c>
      <c r="AM932">
        <f>AI932</f>
        <v/>
      </c>
    </row>
    <row r="933">
      <c r="D933" t="n">
        <v>872</v>
      </c>
      <c r="E933">
        <f>IF(G932&gt;0,MAX(0,G932*(1+$G$51)-$H$51),0)</f>
        <v/>
      </c>
      <c r="F933">
        <f>$B$6+IF($D933=$B$8,$B$7,0)</f>
        <v/>
      </c>
      <c r="G933">
        <f>IF(E933-F933&gt;1E-9,E933-F933,0)</f>
        <v/>
      </c>
      <c r="H933">
        <f>G932*$G$51</f>
        <v/>
      </c>
      <c r="I933">
        <f>IF(K932&gt;0,MAX(0,K932*(1+$G$52)-$H$52),0)</f>
        <v/>
      </c>
      <c r="J933">
        <f>MAX(0,F933-E933)</f>
        <v/>
      </c>
      <c r="K933">
        <f>IF(I933-J933&gt;1E-9,I933-J933,0)</f>
        <v/>
      </c>
      <c r="L933">
        <f>K932*$G$52</f>
        <v/>
      </c>
      <c r="M933">
        <f>IF(O932&gt;0,MAX(0,O932*(1+$G$53)-$H$53),0)</f>
        <v/>
      </c>
      <c r="N933">
        <f>MAX(0,J933-I933)</f>
        <v/>
      </c>
      <c r="O933">
        <f>IF(M933-N933&gt;1E-9,M933-N933,0)</f>
        <v/>
      </c>
      <c r="P933">
        <f>O932*$G$53</f>
        <v/>
      </c>
      <c r="Q933">
        <f>IF(S932&gt;0,MAX(0,S932*(1+$G$54)-$H$54),0)</f>
        <v/>
      </c>
      <c r="R933">
        <f>MAX(0,N933-M933)</f>
        <v/>
      </c>
      <c r="S933">
        <f>IF(Q933-R933&gt;1E-9,Q933-R933,0)</f>
        <v/>
      </c>
      <c r="T933">
        <f>S932*$G$54</f>
        <v/>
      </c>
      <c r="U933">
        <f>IF(W932&gt;0,MAX(0,W932*(1+$G$55)-$H$55),0)</f>
        <v/>
      </c>
      <c r="V933">
        <f>MAX(0,R933-Q933)</f>
        <v/>
      </c>
      <c r="W933">
        <f>IF(U933-V933&gt;1E-9,U933-V933,0)</f>
        <v/>
      </c>
      <c r="X933">
        <f>W932*$G$55</f>
        <v/>
      </c>
      <c r="Y933">
        <f>IF(Y932&gt;1E-9,IF(Y932*(1+$G$51)-MAX($B$9,0.01*Y932+Y932*$G$51)&gt;1E-9,Y932*(1+$G$51)-MAX($B$9,0.01*Y932+Y932*$G$51),0),0)</f>
        <v/>
      </c>
      <c r="Z933">
        <f>Y932*$G$51</f>
        <v/>
      </c>
      <c r="AA933">
        <f>IF(AA932&gt;1E-9,IF(AA932*(1+$G$52)-MAX($B$9,0.01*AA932+AA932*$G$52)&gt;1E-9,AA932*(1+$G$52)-MAX($B$9,0.01*AA932+AA932*$G$52),0),0)</f>
        <v/>
      </c>
      <c r="AB933">
        <f>AA932*$G$52</f>
        <v/>
      </c>
      <c r="AC933">
        <f>IF(AC932&gt;1E-9,IF(AC932*(1+$G$53)-MAX($B$9,0.01*AC932+AC932*$G$53)&gt;1E-9,AC932*(1+$G$53)-MAX($B$9,0.01*AC932+AC932*$G$53),0),0)</f>
        <v/>
      </c>
      <c r="AD933">
        <f>AC932*$G$53</f>
        <v/>
      </c>
      <c r="AE933">
        <f>IF(AE932&gt;1E-9,IF(AE932*(1+$G$54)-MAX($B$9,0.01*AE932+AE932*$G$54)&gt;1E-9,AE932*(1+$G$54)-MAX($B$9,0.01*AE932+AE932*$G$54),0),0)</f>
        <v/>
      </c>
      <c r="AF933">
        <f>AE932*$G$54</f>
        <v/>
      </c>
      <c r="AG933">
        <f>IF(AG932&gt;1E-9,IF(AG932*(1+$G$55)-MAX($B$9,0.01*AG932+AG932*$G$55)&gt;1E-9,AG932*(1+$G$55)-MAX($B$9,0.01*AG932+AG932*$G$55),0),0)</f>
        <v/>
      </c>
      <c r="AH933">
        <f>AG932*$G$55</f>
        <v/>
      </c>
      <c r="AI933">
        <f>G933+K933+O933+S933+W933</f>
        <v/>
      </c>
      <c r="AJ933">
        <f>AI932+AK933-AI933</f>
        <v/>
      </c>
      <c r="AK933">
        <f>H933+L933+P933+T933+X933</f>
        <v/>
      </c>
      <c r="AL933">
        <f>TEXT(EDATE($B$5,D933-1),"mmm yyyy")</f>
        <v/>
      </c>
      <c r="AM933">
        <f>AI933</f>
        <v/>
      </c>
    </row>
    <row r="934">
      <c r="D934" t="n">
        <v>873</v>
      </c>
      <c r="E934">
        <f>IF(G933&gt;0,MAX(0,G933*(1+$G$51)-$H$51),0)</f>
        <v/>
      </c>
      <c r="F934">
        <f>$B$6+IF($D934=$B$8,$B$7,0)</f>
        <v/>
      </c>
      <c r="G934">
        <f>IF(E934-F934&gt;1E-9,E934-F934,0)</f>
        <v/>
      </c>
      <c r="H934">
        <f>G933*$G$51</f>
        <v/>
      </c>
      <c r="I934">
        <f>IF(K933&gt;0,MAX(0,K933*(1+$G$52)-$H$52),0)</f>
        <v/>
      </c>
      <c r="J934">
        <f>MAX(0,F934-E934)</f>
        <v/>
      </c>
      <c r="K934">
        <f>IF(I934-J934&gt;1E-9,I934-J934,0)</f>
        <v/>
      </c>
      <c r="L934">
        <f>K933*$G$52</f>
        <v/>
      </c>
      <c r="M934">
        <f>IF(O933&gt;0,MAX(0,O933*(1+$G$53)-$H$53),0)</f>
        <v/>
      </c>
      <c r="N934">
        <f>MAX(0,J934-I934)</f>
        <v/>
      </c>
      <c r="O934">
        <f>IF(M934-N934&gt;1E-9,M934-N934,0)</f>
        <v/>
      </c>
      <c r="P934">
        <f>O933*$G$53</f>
        <v/>
      </c>
      <c r="Q934">
        <f>IF(S933&gt;0,MAX(0,S933*(1+$G$54)-$H$54),0)</f>
        <v/>
      </c>
      <c r="R934">
        <f>MAX(0,N934-M934)</f>
        <v/>
      </c>
      <c r="S934">
        <f>IF(Q934-R934&gt;1E-9,Q934-R934,0)</f>
        <v/>
      </c>
      <c r="T934">
        <f>S933*$G$54</f>
        <v/>
      </c>
      <c r="U934">
        <f>IF(W933&gt;0,MAX(0,W933*(1+$G$55)-$H$55),0)</f>
        <v/>
      </c>
      <c r="V934">
        <f>MAX(0,R934-Q934)</f>
        <v/>
      </c>
      <c r="W934">
        <f>IF(U934-V934&gt;1E-9,U934-V934,0)</f>
        <v/>
      </c>
      <c r="X934">
        <f>W933*$G$55</f>
        <v/>
      </c>
      <c r="Y934">
        <f>IF(Y933&gt;1E-9,IF(Y933*(1+$G$51)-MAX($B$9,0.01*Y933+Y933*$G$51)&gt;1E-9,Y933*(1+$G$51)-MAX($B$9,0.01*Y933+Y933*$G$51),0),0)</f>
        <v/>
      </c>
      <c r="Z934">
        <f>Y933*$G$51</f>
        <v/>
      </c>
      <c r="AA934">
        <f>IF(AA933&gt;1E-9,IF(AA933*(1+$G$52)-MAX($B$9,0.01*AA933+AA933*$G$52)&gt;1E-9,AA933*(1+$G$52)-MAX($B$9,0.01*AA933+AA933*$G$52),0),0)</f>
        <v/>
      </c>
      <c r="AB934">
        <f>AA933*$G$52</f>
        <v/>
      </c>
      <c r="AC934">
        <f>IF(AC933&gt;1E-9,IF(AC933*(1+$G$53)-MAX($B$9,0.01*AC933+AC933*$G$53)&gt;1E-9,AC933*(1+$G$53)-MAX($B$9,0.01*AC933+AC933*$G$53),0),0)</f>
        <v/>
      </c>
      <c r="AD934">
        <f>AC933*$G$53</f>
        <v/>
      </c>
      <c r="AE934">
        <f>IF(AE933&gt;1E-9,IF(AE933*(1+$G$54)-MAX($B$9,0.01*AE933+AE933*$G$54)&gt;1E-9,AE933*(1+$G$54)-MAX($B$9,0.01*AE933+AE933*$G$54),0),0)</f>
        <v/>
      </c>
      <c r="AF934">
        <f>AE933*$G$54</f>
        <v/>
      </c>
      <c r="AG934">
        <f>IF(AG933&gt;1E-9,IF(AG933*(1+$G$55)-MAX($B$9,0.01*AG933+AG933*$G$55)&gt;1E-9,AG933*(1+$G$55)-MAX($B$9,0.01*AG933+AG933*$G$55),0),0)</f>
        <v/>
      </c>
      <c r="AH934">
        <f>AG933*$G$55</f>
        <v/>
      </c>
      <c r="AI934">
        <f>G934+K934+O934+S934+W934</f>
        <v/>
      </c>
      <c r="AJ934">
        <f>AI933+AK934-AI934</f>
        <v/>
      </c>
      <c r="AK934">
        <f>H934+L934+P934+T934+X934</f>
        <v/>
      </c>
      <c r="AL934">
        <f>TEXT(EDATE($B$5,D934-1),"mmm yyyy")</f>
        <v/>
      </c>
      <c r="AM934">
        <f>AI934</f>
        <v/>
      </c>
    </row>
    <row r="935">
      <c r="D935" t="n">
        <v>874</v>
      </c>
      <c r="E935">
        <f>IF(G934&gt;0,MAX(0,G934*(1+$G$51)-$H$51),0)</f>
        <v/>
      </c>
      <c r="F935">
        <f>$B$6+IF($D935=$B$8,$B$7,0)</f>
        <v/>
      </c>
      <c r="G935">
        <f>IF(E935-F935&gt;1E-9,E935-F935,0)</f>
        <v/>
      </c>
      <c r="H935">
        <f>G934*$G$51</f>
        <v/>
      </c>
      <c r="I935">
        <f>IF(K934&gt;0,MAX(0,K934*(1+$G$52)-$H$52),0)</f>
        <v/>
      </c>
      <c r="J935">
        <f>MAX(0,F935-E935)</f>
        <v/>
      </c>
      <c r="K935">
        <f>IF(I935-J935&gt;1E-9,I935-J935,0)</f>
        <v/>
      </c>
      <c r="L935">
        <f>K934*$G$52</f>
        <v/>
      </c>
      <c r="M935">
        <f>IF(O934&gt;0,MAX(0,O934*(1+$G$53)-$H$53),0)</f>
        <v/>
      </c>
      <c r="N935">
        <f>MAX(0,J935-I935)</f>
        <v/>
      </c>
      <c r="O935">
        <f>IF(M935-N935&gt;1E-9,M935-N935,0)</f>
        <v/>
      </c>
      <c r="P935">
        <f>O934*$G$53</f>
        <v/>
      </c>
      <c r="Q935">
        <f>IF(S934&gt;0,MAX(0,S934*(1+$G$54)-$H$54),0)</f>
        <v/>
      </c>
      <c r="R935">
        <f>MAX(0,N935-M935)</f>
        <v/>
      </c>
      <c r="S935">
        <f>IF(Q935-R935&gt;1E-9,Q935-R935,0)</f>
        <v/>
      </c>
      <c r="T935">
        <f>S934*$G$54</f>
        <v/>
      </c>
      <c r="U935">
        <f>IF(W934&gt;0,MAX(0,W934*(1+$G$55)-$H$55),0)</f>
        <v/>
      </c>
      <c r="V935">
        <f>MAX(0,R935-Q935)</f>
        <v/>
      </c>
      <c r="W935">
        <f>IF(U935-V935&gt;1E-9,U935-V935,0)</f>
        <v/>
      </c>
      <c r="X935">
        <f>W934*$G$55</f>
        <v/>
      </c>
      <c r="Y935">
        <f>IF(Y934&gt;1E-9,IF(Y934*(1+$G$51)-MAX($B$9,0.01*Y934+Y934*$G$51)&gt;1E-9,Y934*(1+$G$51)-MAX($B$9,0.01*Y934+Y934*$G$51),0),0)</f>
        <v/>
      </c>
      <c r="Z935">
        <f>Y934*$G$51</f>
        <v/>
      </c>
      <c r="AA935">
        <f>IF(AA934&gt;1E-9,IF(AA934*(1+$G$52)-MAX($B$9,0.01*AA934+AA934*$G$52)&gt;1E-9,AA934*(1+$G$52)-MAX($B$9,0.01*AA934+AA934*$G$52),0),0)</f>
        <v/>
      </c>
      <c r="AB935">
        <f>AA934*$G$52</f>
        <v/>
      </c>
      <c r="AC935">
        <f>IF(AC934&gt;1E-9,IF(AC934*(1+$G$53)-MAX($B$9,0.01*AC934+AC934*$G$53)&gt;1E-9,AC934*(1+$G$53)-MAX($B$9,0.01*AC934+AC934*$G$53),0),0)</f>
        <v/>
      </c>
      <c r="AD935">
        <f>AC934*$G$53</f>
        <v/>
      </c>
      <c r="AE935">
        <f>IF(AE934&gt;1E-9,IF(AE934*(1+$G$54)-MAX($B$9,0.01*AE934+AE934*$G$54)&gt;1E-9,AE934*(1+$G$54)-MAX($B$9,0.01*AE934+AE934*$G$54),0),0)</f>
        <v/>
      </c>
      <c r="AF935">
        <f>AE934*$G$54</f>
        <v/>
      </c>
      <c r="AG935">
        <f>IF(AG934&gt;1E-9,IF(AG934*(1+$G$55)-MAX($B$9,0.01*AG934+AG934*$G$55)&gt;1E-9,AG934*(1+$G$55)-MAX($B$9,0.01*AG934+AG934*$G$55),0),0)</f>
        <v/>
      </c>
      <c r="AH935">
        <f>AG934*$G$55</f>
        <v/>
      </c>
      <c r="AI935">
        <f>G935+K935+O935+S935+W935</f>
        <v/>
      </c>
      <c r="AJ935">
        <f>AI934+AK935-AI935</f>
        <v/>
      </c>
      <c r="AK935">
        <f>H935+L935+P935+T935+X935</f>
        <v/>
      </c>
      <c r="AL935">
        <f>TEXT(EDATE($B$5,D935-1),"mmm yyyy")</f>
        <v/>
      </c>
      <c r="AM935">
        <f>AI935</f>
        <v/>
      </c>
    </row>
    <row r="936">
      <c r="D936" t="n">
        <v>875</v>
      </c>
      <c r="E936">
        <f>IF(G935&gt;0,MAX(0,G935*(1+$G$51)-$H$51),0)</f>
        <v/>
      </c>
      <c r="F936">
        <f>$B$6+IF($D936=$B$8,$B$7,0)</f>
        <v/>
      </c>
      <c r="G936">
        <f>IF(E936-F936&gt;1E-9,E936-F936,0)</f>
        <v/>
      </c>
      <c r="H936">
        <f>G935*$G$51</f>
        <v/>
      </c>
      <c r="I936">
        <f>IF(K935&gt;0,MAX(0,K935*(1+$G$52)-$H$52),0)</f>
        <v/>
      </c>
      <c r="J936">
        <f>MAX(0,F936-E936)</f>
        <v/>
      </c>
      <c r="K936">
        <f>IF(I936-J936&gt;1E-9,I936-J936,0)</f>
        <v/>
      </c>
      <c r="L936">
        <f>K935*$G$52</f>
        <v/>
      </c>
      <c r="M936">
        <f>IF(O935&gt;0,MAX(0,O935*(1+$G$53)-$H$53),0)</f>
        <v/>
      </c>
      <c r="N936">
        <f>MAX(0,J936-I936)</f>
        <v/>
      </c>
      <c r="O936">
        <f>IF(M936-N936&gt;1E-9,M936-N936,0)</f>
        <v/>
      </c>
      <c r="P936">
        <f>O935*$G$53</f>
        <v/>
      </c>
      <c r="Q936">
        <f>IF(S935&gt;0,MAX(0,S935*(1+$G$54)-$H$54),0)</f>
        <v/>
      </c>
      <c r="R936">
        <f>MAX(0,N936-M936)</f>
        <v/>
      </c>
      <c r="S936">
        <f>IF(Q936-R936&gt;1E-9,Q936-R936,0)</f>
        <v/>
      </c>
      <c r="T936">
        <f>S935*$G$54</f>
        <v/>
      </c>
      <c r="U936">
        <f>IF(W935&gt;0,MAX(0,W935*(1+$G$55)-$H$55),0)</f>
        <v/>
      </c>
      <c r="V936">
        <f>MAX(0,R936-Q936)</f>
        <v/>
      </c>
      <c r="W936">
        <f>IF(U936-V936&gt;1E-9,U936-V936,0)</f>
        <v/>
      </c>
      <c r="X936">
        <f>W935*$G$55</f>
        <v/>
      </c>
      <c r="Y936">
        <f>IF(Y935&gt;1E-9,IF(Y935*(1+$G$51)-MAX($B$9,0.01*Y935+Y935*$G$51)&gt;1E-9,Y935*(1+$G$51)-MAX($B$9,0.01*Y935+Y935*$G$51),0),0)</f>
        <v/>
      </c>
      <c r="Z936">
        <f>Y935*$G$51</f>
        <v/>
      </c>
      <c r="AA936">
        <f>IF(AA935&gt;1E-9,IF(AA935*(1+$G$52)-MAX($B$9,0.01*AA935+AA935*$G$52)&gt;1E-9,AA935*(1+$G$52)-MAX($B$9,0.01*AA935+AA935*$G$52),0),0)</f>
        <v/>
      </c>
      <c r="AB936">
        <f>AA935*$G$52</f>
        <v/>
      </c>
      <c r="AC936">
        <f>IF(AC935&gt;1E-9,IF(AC935*(1+$G$53)-MAX($B$9,0.01*AC935+AC935*$G$53)&gt;1E-9,AC935*(1+$G$53)-MAX($B$9,0.01*AC935+AC935*$G$53),0),0)</f>
        <v/>
      </c>
      <c r="AD936">
        <f>AC935*$G$53</f>
        <v/>
      </c>
      <c r="AE936">
        <f>IF(AE935&gt;1E-9,IF(AE935*(1+$G$54)-MAX($B$9,0.01*AE935+AE935*$G$54)&gt;1E-9,AE935*(1+$G$54)-MAX($B$9,0.01*AE935+AE935*$G$54),0),0)</f>
        <v/>
      </c>
      <c r="AF936">
        <f>AE935*$G$54</f>
        <v/>
      </c>
      <c r="AG936">
        <f>IF(AG935&gt;1E-9,IF(AG935*(1+$G$55)-MAX($B$9,0.01*AG935+AG935*$G$55)&gt;1E-9,AG935*(1+$G$55)-MAX($B$9,0.01*AG935+AG935*$G$55),0),0)</f>
        <v/>
      </c>
      <c r="AH936">
        <f>AG935*$G$55</f>
        <v/>
      </c>
      <c r="AI936">
        <f>G936+K936+O936+S936+W936</f>
        <v/>
      </c>
      <c r="AJ936">
        <f>AI935+AK936-AI936</f>
        <v/>
      </c>
      <c r="AK936">
        <f>H936+L936+P936+T936+X936</f>
        <v/>
      </c>
      <c r="AL936">
        <f>TEXT(EDATE($B$5,D936-1),"mmm yyyy")</f>
        <v/>
      </c>
      <c r="AM936">
        <f>AI936</f>
        <v/>
      </c>
    </row>
    <row r="937">
      <c r="D937" t="n">
        <v>876</v>
      </c>
      <c r="E937">
        <f>IF(G936&gt;0,MAX(0,G936*(1+$G$51)-$H$51),0)</f>
        <v/>
      </c>
      <c r="F937">
        <f>$B$6+IF($D937=$B$8,$B$7,0)</f>
        <v/>
      </c>
      <c r="G937">
        <f>IF(E937-F937&gt;1E-9,E937-F937,0)</f>
        <v/>
      </c>
      <c r="H937">
        <f>G936*$G$51</f>
        <v/>
      </c>
      <c r="I937">
        <f>IF(K936&gt;0,MAX(0,K936*(1+$G$52)-$H$52),0)</f>
        <v/>
      </c>
      <c r="J937">
        <f>MAX(0,F937-E937)</f>
        <v/>
      </c>
      <c r="K937">
        <f>IF(I937-J937&gt;1E-9,I937-J937,0)</f>
        <v/>
      </c>
      <c r="L937">
        <f>K936*$G$52</f>
        <v/>
      </c>
      <c r="M937">
        <f>IF(O936&gt;0,MAX(0,O936*(1+$G$53)-$H$53),0)</f>
        <v/>
      </c>
      <c r="N937">
        <f>MAX(0,J937-I937)</f>
        <v/>
      </c>
      <c r="O937">
        <f>IF(M937-N937&gt;1E-9,M937-N937,0)</f>
        <v/>
      </c>
      <c r="P937">
        <f>O936*$G$53</f>
        <v/>
      </c>
      <c r="Q937">
        <f>IF(S936&gt;0,MAX(0,S936*(1+$G$54)-$H$54),0)</f>
        <v/>
      </c>
      <c r="R937">
        <f>MAX(0,N937-M937)</f>
        <v/>
      </c>
      <c r="S937">
        <f>IF(Q937-R937&gt;1E-9,Q937-R937,0)</f>
        <v/>
      </c>
      <c r="T937">
        <f>S936*$G$54</f>
        <v/>
      </c>
      <c r="U937">
        <f>IF(W936&gt;0,MAX(0,W936*(1+$G$55)-$H$55),0)</f>
        <v/>
      </c>
      <c r="V937">
        <f>MAX(0,R937-Q937)</f>
        <v/>
      </c>
      <c r="W937">
        <f>IF(U937-V937&gt;1E-9,U937-V937,0)</f>
        <v/>
      </c>
      <c r="X937">
        <f>W936*$G$55</f>
        <v/>
      </c>
      <c r="Y937">
        <f>IF(Y936&gt;1E-9,IF(Y936*(1+$G$51)-MAX($B$9,0.01*Y936+Y936*$G$51)&gt;1E-9,Y936*(1+$G$51)-MAX($B$9,0.01*Y936+Y936*$G$51),0),0)</f>
        <v/>
      </c>
      <c r="Z937">
        <f>Y936*$G$51</f>
        <v/>
      </c>
      <c r="AA937">
        <f>IF(AA936&gt;1E-9,IF(AA936*(1+$G$52)-MAX($B$9,0.01*AA936+AA936*$G$52)&gt;1E-9,AA936*(1+$G$52)-MAX($B$9,0.01*AA936+AA936*$G$52),0),0)</f>
        <v/>
      </c>
      <c r="AB937">
        <f>AA936*$G$52</f>
        <v/>
      </c>
      <c r="AC937">
        <f>IF(AC936&gt;1E-9,IF(AC936*(1+$G$53)-MAX($B$9,0.01*AC936+AC936*$G$53)&gt;1E-9,AC936*(1+$G$53)-MAX($B$9,0.01*AC936+AC936*$G$53),0),0)</f>
        <v/>
      </c>
      <c r="AD937">
        <f>AC936*$G$53</f>
        <v/>
      </c>
      <c r="AE937">
        <f>IF(AE936&gt;1E-9,IF(AE936*(1+$G$54)-MAX($B$9,0.01*AE936+AE936*$G$54)&gt;1E-9,AE936*(1+$G$54)-MAX($B$9,0.01*AE936+AE936*$G$54),0),0)</f>
        <v/>
      </c>
      <c r="AF937">
        <f>AE936*$G$54</f>
        <v/>
      </c>
      <c r="AG937">
        <f>IF(AG936&gt;1E-9,IF(AG936*(1+$G$55)-MAX($B$9,0.01*AG936+AG936*$G$55)&gt;1E-9,AG936*(1+$G$55)-MAX($B$9,0.01*AG936+AG936*$G$55),0),0)</f>
        <v/>
      </c>
      <c r="AH937">
        <f>AG936*$G$55</f>
        <v/>
      </c>
      <c r="AI937">
        <f>G937+K937+O937+S937+W937</f>
        <v/>
      </c>
      <c r="AJ937">
        <f>AI936+AK937-AI937</f>
        <v/>
      </c>
      <c r="AK937">
        <f>H937+L937+P937+T937+X937</f>
        <v/>
      </c>
      <c r="AL937">
        <f>TEXT(EDATE($B$5,D937-1),"mmm yyyy")</f>
        <v/>
      </c>
      <c r="AM937">
        <f>AI937</f>
        <v/>
      </c>
    </row>
    <row r="938">
      <c r="D938" t="n">
        <v>877</v>
      </c>
      <c r="E938">
        <f>IF(G937&gt;0,MAX(0,G937*(1+$G$51)-$H$51),0)</f>
        <v/>
      </c>
      <c r="F938">
        <f>$B$6+IF($D938=$B$8,$B$7,0)</f>
        <v/>
      </c>
      <c r="G938">
        <f>IF(E938-F938&gt;1E-9,E938-F938,0)</f>
        <v/>
      </c>
      <c r="H938">
        <f>G937*$G$51</f>
        <v/>
      </c>
      <c r="I938">
        <f>IF(K937&gt;0,MAX(0,K937*(1+$G$52)-$H$52),0)</f>
        <v/>
      </c>
      <c r="J938">
        <f>MAX(0,F938-E938)</f>
        <v/>
      </c>
      <c r="K938">
        <f>IF(I938-J938&gt;1E-9,I938-J938,0)</f>
        <v/>
      </c>
      <c r="L938">
        <f>K937*$G$52</f>
        <v/>
      </c>
      <c r="M938">
        <f>IF(O937&gt;0,MAX(0,O937*(1+$G$53)-$H$53),0)</f>
        <v/>
      </c>
      <c r="N938">
        <f>MAX(0,J938-I938)</f>
        <v/>
      </c>
      <c r="O938">
        <f>IF(M938-N938&gt;1E-9,M938-N938,0)</f>
        <v/>
      </c>
      <c r="P938">
        <f>O937*$G$53</f>
        <v/>
      </c>
      <c r="Q938">
        <f>IF(S937&gt;0,MAX(0,S937*(1+$G$54)-$H$54),0)</f>
        <v/>
      </c>
      <c r="R938">
        <f>MAX(0,N938-M938)</f>
        <v/>
      </c>
      <c r="S938">
        <f>IF(Q938-R938&gt;1E-9,Q938-R938,0)</f>
        <v/>
      </c>
      <c r="T938">
        <f>S937*$G$54</f>
        <v/>
      </c>
      <c r="U938">
        <f>IF(W937&gt;0,MAX(0,W937*(1+$G$55)-$H$55),0)</f>
        <v/>
      </c>
      <c r="V938">
        <f>MAX(0,R938-Q938)</f>
        <v/>
      </c>
      <c r="W938">
        <f>IF(U938-V938&gt;1E-9,U938-V938,0)</f>
        <v/>
      </c>
      <c r="X938">
        <f>W937*$G$55</f>
        <v/>
      </c>
      <c r="Y938">
        <f>IF(Y937&gt;1E-9,IF(Y937*(1+$G$51)-MAX($B$9,0.01*Y937+Y937*$G$51)&gt;1E-9,Y937*(1+$G$51)-MAX($B$9,0.01*Y937+Y937*$G$51),0),0)</f>
        <v/>
      </c>
      <c r="Z938">
        <f>Y937*$G$51</f>
        <v/>
      </c>
      <c r="AA938">
        <f>IF(AA937&gt;1E-9,IF(AA937*(1+$G$52)-MAX($B$9,0.01*AA937+AA937*$G$52)&gt;1E-9,AA937*(1+$G$52)-MAX($B$9,0.01*AA937+AA937*$G$52),0),0)</f>
        <v/>
      </c>
      <c r="AB938">
        <f>AA937*$G$52</f>
        <v/>
      </c>
      <c r="AC938">
        <f>IF(AC937&gt;1E-9,IF(AC937*(1+$G$53)-MAX($B$9,0.01*AC937+AC937*$G$53)&gt;1E-9,AC937*(1+$G$53)-MAX($B$9,0.01*AC937+AC937*$G$53),0),0)</f>
        <v/>
      </c>
      <c r="AD938">
        <f>AC937*$G$53</f>
        <v/>
      </c>
      <c r="AE938">
        <f>IF(AE937&gt;1E-9,IF(AE937*(1+$G$54)-MAX($B$9,0.01*AE937+AE937*$G$54)&gt;1E-9,AE937*(1+$G$54)-MAX($B$9,0.01*AE937+AE937*$G$54),0),0)</f>
        <v/>
      </c>
      <c r="AF938">
        <f>AE937*$G$54</f>
        <v/>
      </c>
      <c r="AG938">
        <f>IF(AG937&gt;1E-9,IF(AG937*(1+$G$55)-MAX($B$9,0.01*AG937+AG937*$G$55)&gt;1E-9,AG937*(1+$G$55)-MAX($B$9,0.01*AG937+AG937*$G$55),0),0)</f>
        <v/>
      </c>
      <c r="AH938">
        <f>AG937*$G$55</f>
        <v/>
      </c>
      <c r="AI938">
        <f>G938+K938+O938+S938+W938</f>
        <v/>
      </c>
      <c r="AJ938">
        <f>AI937+AK938-AI938</f>
        <v/>
      </c>
      <c r="AK938">
        <f>H938+L938+P938+T938+X938</f>
        <v/>
      </c>
      <c r="AL938">
        <f>TEXT(EDATE($B$5,D938-1),"mmm yyyy")</f>
        <v/>
      </c>
      <c r="AM938">
        <f>AI938</f>
        <v/>
      </c>
    </row>
    <row r="939">
      <c r="D939" t="n">
        <v>878</v>
      </c>
      <c r="E939">
        <f>IF(G938&gt;0,MAX(0,G938*(1+$G$51)-$H$51),0)</f>
        <v/>
      </c>
      <c r="F939">
        <f>$B$6+IF($D939=$B$8,$B$7,0)</f>
        <v/>
      </c>
      <c r="G939">
        <f>IF(E939-F939&gt;1E-9,E939-F939,0)</f>
        <v/>
      </c>
      <c r="H939">
        <f>G938*$G$51</f>
        <v/>
      </c>
      <c r="I939">
        <f>IF(K938&gt;0,MAX(0,K938*(1+$G$52)-$H$52),0)</f>
        <v/>
      </c>
      <c r="J939">
        <f>MAX(0,F939-E939)</f>
        <v/>
      </c>
      <c r="K939">
        <f>IF(I939-J939&gt;1E-9,I939-J939,0)</f>
        <v/>
      </c>
      <c r="L939">
        <f>K938*$G$52</f>
        <v/>
      </c>
      <c r="M939">
        <f>IF(O938&gt;0,MAX(0,O938*(1+$G$53)-$H$53),0)</f>
        <v/>
      </c>
      <c r="N939">
        <f>MAX(0,J939-I939)</f>
        <v/>
      </c>
      <c r="O939">
        <f>IF(M939-N939&gt;1E-9,M939-N939,0)</f>
        <v/>
      </c>
      <c r="P939">
        <f>O938*$G$53</f>
        <v/>
      </c>
      <c r="Q939">
        <f>IF(S938&gt;0,MAX(0,S938*(1+$G$54)-$H$54),0)</f>
        <v/>
      </c>
      <c r="R939">
        <f>MAX(0,N939-M939)</f>
        <v/>
      </c>
      <c r="S939">
        <f>IF(Q939-R939&gt;1E-9,Q939-R939,0)</f>
        <v/>
      </c>
      <c r="T939">
        <f>S938*$G$54</f>
        <v/>
      </c>
      <c r="U939">
        <f>IF(W938&gt;0,MAX(0,W938*(1+$G$55)-$H$55),0)</f>
        <v/>
      </c>
      <c r="V939">
        <f>MAX(0,R939-Q939)</f>
        <v/>
      </c>
      <c r="W939">
        <f>IF(U939-V939&gt;1E-9,U939-V939,0)</f>
        <v/>
      </c>
      <c r="X939">
        <f>W938*$G$55</f>
        <v/>
      </c>
      <c r="Y939">
        <f>IF(Y938&gt;1E-9,IF(Y938*(1+$G$51)-MAX($B$9,0.01*Y938+Y938*$G$51)&gt;1E-9,Y938*(1+$G$51)-MAX($B$9,0.01*Y938+Y938*$G$51),0),0)</f>
        <v/>
      </c>
      <c r="Z939">
        <f>Y938*$G$51</f>
        <v/>
      </c>
      <c r="AA939">
        <f>IF(AA938&gt;1E-9,IF(AA938*(1+$G$52)-MAX($B$9,0.01*AA938+AA938*$G$52)&gt;1E-9,AA938*(1+$G$52)-MAX($B$9,0.01*AA938+AA938*$G$52),0),0)</f>
        <v/>
      </c>
      <c r="AB939">
        <f>AA938*$G$52</f>
        <v/>
      </c>
      <c r="AC939">
        <f>IF(AC938&gt;1E-9,IF(AC938*(1+$G$53)-MAX($B$9,0.01*AC938+AC938*$G$53)&gt;1E-9,AC938*(1+$G$53)-MAX($B$9,0.01*AC938+AC938*$G$53),0),0)</f>
        <v/>
      </c>
      <c r="AD939">
        <f>AC938*$G$53</f>
        <v/>
      </c>
      <c r="AE939">
        <f>IF(AE938&gt;1E-9,IF(AE938*(1+$G$54)-MAX($B$9,0.01*AE938+AE938*$G$54)&gt;1E-9,AE938*(1+$G$54)-MAX($B$9,0.01*AE938+AE938*$G$54),0),0)</f>
        <v/>
      </c>
      <c r="AF939">
        <f>AE938*$G$54</f>
        <v/>
      </c>
      <c r="AG939">
        <f>IF(AG938&gt;1E-9,IF(AG938*(1+$G$55)-MAX($B$9,0.01*AG938+AG938*$G$55)&gt;1E-9,AG938*(1+$G$55)-MAX($B$9,0.01*AG938+AG938*$G$55),0),0)</f>
        <v/>
      </c>
      <c r="AH939">
        <f>AG938*$G$55</f>
        <v/>
      </c>
      <c r="AI939">
        <f>G939+K939+O939+S939+W939</f>
        <v/>
      </c>
      <c r="AJ939">
        <f>AI938+AK939-AI939</f>
        <v/>
      </c>
      <c r="AK939">
        <f>H939+L939+P939+T939+X939</f>
        <v/>
      </c>
      <c r="AL939">
        <f>TEXT(EDATE($B$5,D939-1),"mmm yyyy")</f>
        <v/>
      </c>
      <c r="AM939">
        <f>AI939</f>
        <v/>
      </c>
    </row>
    <row r="940">
      <c r="D940" t="n">
        <v>879</v>
      </c>
      <c r="E940">
        <f>IF(G939&gt;0,MAX(0,G939*(1+$G$51)-$H$51),0)</f>
        <v/>
      </c>
      <c r="F940">
        <f>$B$6+IF($D940=$B$8,$B$7,0)</f>
        <v/>
      </c>
      <c r="G940">
        <f>IF(E940-F940&gt;1E-9,E940-F940,0)</f>
        <v/>
      </c>
      <c r="H940">
        <f>G939*$G$51</f>
        <v/>
      </c>
      <c r="I940">
        <f>IF(K939&gt;0,MAX(0,K939*(1+$G$52)-$H$52),0)</f>
        <v/>
      </c>
      <c r="J940">
        <f>MAX(0,F940-E940)</f>
        <v/>
      </c>
      <c r="K940">
        <f>IF(I940-J940&gt;1E-9,I940-J940,0)</f>
        <v/>
      </c>
      <c r="L940">
        <f>K939*$G$52</f>
        <v/>
      </c>
      <c r="M940">
        <f>IF(O939&gt;0,MAX(0,O939*(1+$G$53)-$H$53),0)</f>
        <v/>
      </c>
      <c r="N940">
        <f>MAX(0,J940-I940)</f>
        <v/>
      </c>
      <c r="O940">
        <f>IF(M940-N940&gt;1E-9,M940-N940,0)</f>
        <v/>
      </c>
      <c r="P940">
        <f>O939*$G$53</f>
        <v/>
      </c>
      <c r="Q940">
        <f>IF(S939&gt;0,MAX(0,S939*(1+$G$54)-$H$54),0)</f>
        <v/>
      </c>
      <c r="R940">
        <f>MAX(0,N940-M940)</f>
        <v/>
      </c>
      <c r="S940">
        <f>IF(Q940-R940&gt;1E-9,Q940-R940,0)</f>
        <v/>
      </c>
      <c r="T940">
        <f>S939*$G$54</f>
        <v/>
      </c>
      <c r="U940">
        <f>IF(W939&gt;0,MAX(0,W939*(1+$G$55)-$H$55),0)</f>
        <v/>
      </c>
      <c r="V940">
        <f>MAX(0,R940-Q940)</f>
        <v/>
      </c>
      <c r="W940">
        <f>IF(U940-V940&gt;1E-9,U940-V940,0)</f>
        <v/>
      </c>
      <c r="X940">
        <f>W939*$G$55</f>
        <v/>
      </c>
      <c r="Y940">
        <f>IF(Y939&gt;1E-9,IF(Y939*(1+$G$51)-MAX($B$9,0.01*Y939+Y939*$G$51)&gt;1E-9,Y939*(1+$G$51)-MAX($B$9,0.01*Y939+Y939*$G$51),0),0)</f>
        <v/>
      </c>
      <c r="Z940">
        <f>Y939*$G$51</f>
        <v/>
      </c>
      <c r="AA940">
        <f>IF(AA939&gt;1E-9,IF(AA939*(1+$G$52)-MAX($B$9,0.01*AA939+AA939*$G$52)&gt;1E-9,AA939*(1+$G$52)-MAX($B$9,0.01*AA939+AA939*$G$52),0),0)</f>
        <v/>
      </c>
      <c r="AB940">
        <f>AA939*$G$52</f>
        <v/>
      </c>
      <c r="AC940">
        <f>IF(AC939&gt;1E-9,IF(AC939*(1+$G$53)-MAX($B$9,0.01*AC939+AC939*$G$53)&gt;1E-9,AC939*(1+$G$53)-MAX($B$9,0.01*AC939+AC939*$G$53),0),0)</f>
        <v/>
      </c>
      <c r="AD940">
        <f>AC939*$G$53</f>
        <v/>
      </c>
      <c r="AE940">
        <f>IF(AE939&gt;1E-9,IF(AE939*(1+$G$54)-MAX($B$9,0.01*AE939+AE939*$G$54)&gt;1E-9,AE939*(1+$G$54)-MAX($B$9,0.01*AE939+AE939*$G$54),0),0)</f>
        <v/>
      </c>
      <c r="AF940">
        <f>AE939*$G$54</f>
        <v/>
      </c>
      <c r="AG940">
        <f>IF(AG939&gt;1E-9,IF(AG939*(1+$G$55)-MAX($B$9,0.01*AG939+AG939*$G$55)&gt;1E-9,AG939*(1+$G$55)-MAX($B$9,0.01*AG939+AG939*$G$55),0),0)</f>
        <v/>
      </c>
      <c r="AH940">
        <f>AG939*$G$55</f>
        <v/>
      </c>
      <c r="AI940">
        <f>G940+K940+O940+S940+W940</f>
        <v/>
      </c>
      <c r="AJ940">
        <f>AI939+AK940-AI940</f>
        <v/>
      </c>
      <c r="AK940">
        <f>H940+L940+P940+T940+X940</f>
        <v/>
      </c>
      <c r="AL940">
        <f>TEXT(EDATE($B$5,D940-1),"mmm yyyy")</f>
        <v/>
      </c>
      <c r="AM940">
        <f>AI940</f>
        <v/>
      </c>
    </row>
    <row r="941">
      <c r="D941" t="n">
        <v>880</v>
      </c>
      <c r="E941">
        <f>IF(G940&gt;0,MAX(0,G940*(1+$G$51)-$H$51),0)</f>
        <v/>
      </c>
      <c r="F941">
        <f>$B$6+IF($D941=$B$8,$B$7,0)</f>
        <v/>
      </c>
      <c r="G941">
        <f>IF(E941-F941&gt;1E-9,E941-F941,0)</f>
        <v/>
      </c>
      <c r="H941">
        <f>G940*$G$51</f>
        <v/>
      </c>
      <c r="I941">
        <f>IF(K940&gt;0,MAX(0,K940*(1+$G$52)-$H$52),0)</f>
        <v/>
      </c>
      <c r="J941">
        <f>MAX(0,F941-E941)</f>
        <v/>
      </c>
      <c r="K941">
        <f>IF(I941-J941&gt;1E-9,I941-J941,0)</f>
        <v/>
      </c>
      <c r="L941">
        <f>K940*$G$52</f>
        <v/>
      </c>
      <c r="M941">
        <f>IF(O940&gt;0,MAX(0,O940*(1+$G$53)-$H$53),0)</f>
        <v/>
      </c>
      <c r="N941">
        <f>MAX(0,J941-I941)</f>
        <v/>
      </c>
      <c r="O941">
        <f>IF(M941-N941&gt;1E-9,M941-N941,0)</f>
        <v/>
      </c>
      <c r="P941">
        <f>O940*$G$53</f>
        <v/>
      </c>
      <c r="Q941">
        <f>IF(S940&gt;0,MAX(0,S940*(1+$G$54)-$H$54),0)</f>
        <v/>
      </c>
      <c r="R941">
        <f>MAX(0,N941-M941)</f>
        <v/>
      </c>
      <c r="S941">
        <f>IF(Q941-R941&gt;1E-9,Q941-R941,0)</f>
        <v/>
      </c>
      <c r="T941">
        <f>S940*$G$54</f>
        <v/>
      </c>
      <c r="U941">
        <f>IF(W940&gt;0,MAX(0,W940*(1+$G$55)-$H$55),0)</f>
        <v/>
      </c>
      <c r="V941">
        <f>MAX(0,R941-Q941)</f>
        <v/>
      </c>
      <c r="W941">
        <f>IF(U941-V941&gt;1E-9,U941-V941,0)</f>
        <v/>
      </c>
      <c r="X941">
        <f>W940*$G$55</f>
        <v/>
      </c>
      <c r="Y941">
        <f>IF(Y940&gt;1E-9,IF(Y940*(1+$G$51)-MAX($B$9,0.01*Y940+Y940*$G$51)&gt;1E-9,Y940*(1+$G$51)-MAX($B$9,0.01*Y940+Y940*$G$51),0),0)</f>
        <v/>
      </c>
      <c r="Z941">
        <f>Y940*$G$51</f>
        <v/>
      </c>
      <c r="AA941">
        <f>IF(AA940&gt;1E-9,IF(AA940*(1+$G$52)-MAX($B$9,0.01*AA940+AA940*$G$52)&gt;1E-9,AA940*(1+$G$52)-MAX($B$9,0.01*AA940+AA940*$G$52),0),0)</f>
        <v/>
      </c>
      <c r="AB941">
        <f>AA940*$G$52</f>
        <v/>
      </c>
      <c r="AC941">
        <f>IF(AC940&gt;1E-9,IF(AC940*(1+$G$53)-MAX($B$9,0.01*AC940+AC940*$G$53)&gt;1E-9,AC940*(1+$G$53)-MAX($B$9,0.01*AC940+AC940*$G$53),0),0)</f>
        <v/>
      </c>
      <c r="AD941">
        <f>AC940*$G$53</f>
        <v/>
      </c>
      <c r="AE941">
        <f>IF(AE940&gt;1E-9,IF(AE940*(1+$G$54)-MAX($B$9,0.01*AE940+AE940*$G$54)&gt;1E-9,AE940*(1+$G$54)-MAX($B$9,0.01*AE940+AE940*$G$54),0),0)</f>
        <v/>
      </c>
      <c r="AF941">
        <f>AE940*$G$54</f>
        <v/>
      </c>
      <c r="AG941">
        <f>IF(AG940&gt;1E-9,IF(AG940*(1+$G$55)-MAX($B$9,0.01*AG940+AG940*$G$55)&gt;1E-9,AG940*(1+$G$55)-MAX($B$9,0.01*AG940+AG940*$G$55),0),0)</f>
        <v/>
      </c>
      <c r="AH941">
        <f>AG940*$G$55</f>
        <v/>
      </c>
      <c r="AI941">
        <f>G941+K941+O941+S941+W941</f>
        <v/>
      </c>
      <c r="AJ941">
        <f>AI940+AK941-AI941</f>
        <v/>
      </c>
      <c r="AK941">
        <f>H941+L941+P941+T941+X941</f>
        <v/>
      </c>
      <c r="AL941">
        <f>TEXT(EDATE($B$5,D941-1),"mmm yyyy")</f>
        <v/>
      </c>
      <c r="AM941">
        <f>AI941</f>
        <v/>
      </c>
    </row>
    <row r="942">
      <c r="D942" t="n">
        <v>881</v>
      </c>
      <c r="E942">
        <f>IF(G941&gt;0,MAX(0,G941*(1+$G$51)-$H$51),0)</f>
        <v/>
      </c>
      <c r="F942">
        <f>$B$6+IF($D942=$B$8,$B$7,0)</f>
        <v/>
      </c>
      <c r="G942">
        <f>IF(E942-F942&gt;1E-9,E942-F942,0)</f>
        <v/>
      </c>
      <c r="H942">
        <f>G941*$G$51</f>
        <v/>
      </c>
      <c r="I942">
        <f>IF(K941&gt;0,MAX(0,K941*(1+$G$52)-$H$52),0)</f>
        <v/>
      </c>
      <c r="J942">
        <f>MAX(0,F942-E942)</f>
        <v/>
      </c>
      <c r="K942">
        <f>IF(I942-J942&gt;1E-9,I942-J942,0)</f>
        <v/>
      </c>
      <c r="L942">
        <f>K941*$G$52</f>
        <v/>
      </c>
      <c r="M942">
        <f>IF(O941&gt;0,MAX(0,O941*(1+$G$53)-$H$53),0)</f>
        <v/>
      </c>
      <c r="N942">
        <f>MAX(0,J942-I942)</f>
        <v/>
      </c>
      <c r="O942">
        <f>IF(M942-N942&gt;1E-9,M942-N942,0)</f>
        <v/>
      </c>
      <c r="P942">
        <f>O941*$G$53</f>
        <v/>
      </c>
      <c r="Q942">
        <f>IF(S941&gt;0,MAX(0,S941*(1+$G$54)-$H$54),0)</f>
        <v/>
      </c>
      <c r="R942">
        <f>MAX(0,N942-M942)</f>
        <v/>
      </c>
      <c r="S942">
        <f>IF(Q942-R942&gt;1E-9,Q942-R942,0)</f>
        <v/>
      </c>
      <c r="T942">
        <f>S941*$G$54</f>
        <v/>
      </c>
      <c r="U942">
        <f>IF(W941&gt;0,MAX(0,W941*(1+$G$55)-$H$55),0)</f>
        <v/>
      </c>
      <c r="V942">
        <f>MAX(0,R942-Q942)</f>
        <v/>
      </c>
      <c r="W942">
        <f>IF(U942-V942&gt;1E-9,U942-V942,0)</f>
        <v/>
      </c>
      <c r="X942">
        <f>W941*$G$55</f>
        <v/>
      </c>
      <c r="Y942">
        <f>IF(Y941&gt;1E-9,IF(Y941*(1+$G$51)-MAX($B$9,0.01*Y941+Y941*$G$51)&gt;1E-9,Y941*(1+$G$51)-MAX($B$9,0.01*Y941+Y941*$G$51),0),0)</f>
        <v/>
      </c>
      <c r="Z942">
        <f>Y941*$G$51</f>
        <v/>
      </c>
      <c r="AA942">
        <f>IF(AA941&gt;1E-9,IF(AA941*(1+$G$52)-MAX($B$9,0.01*AA941+AA941*$G$52)&gt;1E-9,AA941*(1+$G$52)-MAX($B$9,0.01*AA941+AA941*$G$52),0),0)</f>
        <v/>
      </c>
      <c r="AB942">
        <f>AA941*$G$52</f>
        <v/>
      </c>
      <c r="AC942">
        <f>IF(AC941&gt;1E-9,IF(AC941*(1+$G$53)-MAX($B$9,0.01*AC941+AC941*$G$53)&gt;1E-9,AC941*(1+$G$53)-MAX($B$9,0.01*AC941+AC941*$G$53),0),0)</f>
        <v/>
      </c>
      <c r="AD942">
        <f>AC941*$G$53</f>
        <v/>
      </c>
      <c r="AE942">
        <f>IF(AE941&gt;1E-9,IF(AE941*(1+$G$54)-MAX($B$9,0.01*AE941+AE941*$G$54)&gt;1E-9,AE941*(1+$G$54)-MAX($B$9,0.01*AE941+AE941*$G$54),0),0)</f>
        <v/>
      </c>
      <c r="AF942">
        <f>AE941*$G$54</f>
        <v/>
      </c>
      <c r="AG942">
        <f>IF(AG941&gt;1E-9,IF(AG941*(1+$G$55)-MAX($B$9,0.01*AG941+AG941*$G$55)&gt;1E-9,AG941*(1+$G$55)-MAX($B$9,0.01*AG941+AG941*$G$55),0),0)</f>
        <v/>
      </c>
      <c r="AH942">
        <f>AG941*$G$55</f>
        <v/>
      </c>
      <c r="AI942">
        <f>G942+K942+O942+S942+W942</f>
        <v/>
      </c>
      <c r="AJ942">
        <f>AI941+AK942-AI942</f>
        <v/>
      </c>
      <c r="AK942">
        <f>H942+L942+P942+T942+X942</f>
        <v/>
      </c>
      <c r="AL942">
        <f>TEXT(EDATE($B$5,D942-1),"mmm yyyy")</f>
        <v/>
      </c>
      <c r="AM942">
        <f>AI942</f>
        <v/>
      </c>
    </row>
    <row r="943">
      <c r="D943" t="n">
        <v>882</v>
      </c>
      <c r="E943">
        <f>IF(G942&gt;0,MAX(0,G942*(1+$G$51)-$H$51),0)</f>
        <v/>
      </c>
      <c r="F943">
        <f>$B$6+IF($D943=$B$8,$B$7,0)</f>
        <v/>
      </c>
      <c r="G943">
        <f>IF(E943-F943&gt;1E-9,E943-F943,0)</f>
        <v/>
      </c>
      <c r="H943">
        <f>G942*$G$51</f>
        <v/>
      </c>
      <c r="I943">
        <f>IF(K942&gt;0,MAX(0,K942*(1+$G$52)-$H$52),0)</f>
        <v/>
      </c>
      <c r="J943">
        <f>MAX(0,F943-E943)</f>
        <v/>
      </c>
      <c r="K943">
        <f>IF(I943-J943&gt;1E-9,I943-J943,0)</f>
        <v/>
      </c>
      <c r="L943">
        <f>K942*$G$52</f>
        <v/>
      </c>
      <c r="M943">
        <f>IF(O942&gt;0,MAX(0,O942*(1+$G$53)-$H$53),0)</f>
        <v/>
      </c>
      <c r="N943">
        <f>MAX(0,J943-I943)</f>
        <v/>
      </c>
      <c r="O943">
        <f>IF(M943-N943&gt;1E-9,M943-N943,0)</f>
        <v/>
      </c>
      <c r="P943">
        <f>O942*$G$53</f>
        <v/>
      </c>
      <c r="Q943">
        <f>IF(S942&gt;0,MAX(0,S942*(1+$G$54)-$H$54),0)</f>
        <v/>
      </c>
      <c r="R943">
        <f>MAX(0,N943-M943)</f>
        <v/>
      </c>
      <c r="S943">
        <f>IF(Q943-R943&gt;1E-9,Q943-R943,0)</f>
        <v/>
      </c>
      <c r="T943">
        <f>S942*$G$54</f>
        <v/>
      </c>
      <c r="U943">
        <f>IF(W942&gt;0,MAX(0,W942*(1+$G$55)-$H$55),0)</f>
        <v/>
      </c>
      <c r="V943">
        <f>MAX(0,R943-Q943)</f>
        <v/>
      </c>
      <c r="W943">
        <f>IF(U943-V943&gt;1E-9,U943-V943,0)</f>
        <v/>
      </c>
      <c r="X943">
        <f>W942*$G$55</f>
        <v/>
      </c>
      <c r="Y943">
        <f>IF(Y942&gt;1E-9,IF(Y942*(1+$G$51)-MAX($B$9,0.01*Y942+Y942*$G$51)&gt;1E-9,Y942*(1+$G$51)-MAX($B$9,0.01*Y942+Y942*$G$51),0),0)</f>
        <v/>
      </c>
      <c r="Z943">
        <f>Y942*$G$51</f>
        <v/>
      </c>
      <c r="AA943">
        <f>IF(AA942&gt;1E-9,IF(AA942*(1+$G$52)-MAX($B$9,0.01*AA942+AA942*$G$52)&gt;1E-9,AA942*(1+$G$52)-MAX($B$9,0.01*AA942+AA942*$G$52),0),0)</f>
        <v/>
      </c>
      <c r="AB943">
        <f>AA942*$G$52</f>
        <v/>
      </c>
      <c r="AC943">
        <f>IF(AC942&gt;1E-9,IF(AC942*(1+$G$53)-MAX($B$9,0.01*AC942+AC942*$G$53)&gt;1E-9,AC942*(1+$G$53)-MAX($B$9,0.01*AC942+AC942*$G$53),0),0)</f>
        <v/>
      </c>
      <c r="AD943">
        <f>AC942*$G$53</f>
        <v/>
      </c>
      <c r="AE943">
        <f>IF(AE942&gt;1E-9,IF(AE942*(1+$G$54)-MAX($B$9,0.01*AE942+AE942*$G$54)&gt;1E-9,AE942*(1+$G$54)-MAX($B$9,0.01*AE942+AE942*$G$54),0),0)</f>
        <v/>
      </c>
      <c r="AF943">
        <f>AE942*$G$54</f>
        <v/>
      </c>
      <c r="AG943">
        <f>IF(AG942&gt;1E-9,IF(AG942*(1+$G$55)-MAX($B$9,0.01*AG942+AG942*$G$55)&gt;1E-9,AG942*(1+$G$55)-MAX($B$9,0.01*AG942+AG942*$G$55),0),0)</f>
        <v/>
      </c>
      <c r="AH943">
        <f>AG942*$G$55</f>
        <v/>
      </c>
      <c r="AI943">
        <f>G943+K943+O943+S943+W943</f>
        <v/>
      </c>
      <c r="AJ943">
        <f>AI942+AK943-AI943</f>
        <v/>
      </c>
      <c r="AK943">
        <f>H943+L943+P943+T943+X943</f>
        <v/>
      </c>
      <c r="AL943">
        <f>TEXT(EDATE($B$5,D943-1),"mmm yyyy")</f>
        <v/>
      </c>
      <c r="AM943">
        <f>AI943</f>
        <v/>
      </c>
    </row>
    <row r="944">
      <c r="D944" t="n">
        <v>883</v>
      </c>
      <c r="E944">
        <f>IF(G943&gt;0,MAX(0,G943*(1+$G$51)-$H$51),0)</f>
        <v/>
      </c>
      <c r="F944">
        <f>$B$6+IF($D944=$B$8,$B$7,0)</f>
        <v/>
      </c>
      <c r="G944">
        <f>IF(E944-F944&gt;1E-9,E944-F944,0)</f>
        <v/>
      </c>
      <c r="H944">
        <f>G943*$G$51</f>
        <v/>
      </c>
      <c r="I944">
        <f>IF(K943&gt;0,MAX(0,K943*(1+$G$52)-$H$52),0)</f>
        <v/>
      </c>
      <c r="J944">
        <f>MAX(0,F944-E944)</f>
        <v/>
      </c>
      <c r="K944">
        <f>IF(I944-J944&gt;1E-9,I944-J944,0)</f>
        <v/>
      </c>
      <c r="L944">
        <f>K943*$G$52</f>
        <v/>
      </c>
      <c r="M944">
        <f>IF(O943&gt;0,MAX(0,O943*(1+$G$53)-$H$53),0)</f>
        <v/>
      </c>
      <c r="N944">
        <f>MAX(0,J944-I944)</f>
        <v/>
      </c>
      <c r="O944">
        <f>IF(M944-N944&gt;1E-9,M944-N944,0)</f>
        <v/>
      </c>
      <c r="P944">
        <f>O943*$G$53</f>
        <v/>
      </c>
      <c r="Q944">
        <f>IF(S943&gt;0,MAX(0,S943*(1+$G$54)-$H$54),0)</f>
        <v/>
      </c>
      <c r="R944">
        <f>MAX(0,N944-M944)</f>
        <v/>
      </c>
      <c r="S944">
        <f>IF(Q944-R944&gt;1E-9,Q944-R944,0)</f>
        <v/>
      </c>
      <c r="T944">
        <f>S943*$G$54</f>
        <v/>
      </c>
      <c r="U944">
        <f>IF(W943&gt;0,MAX(0,W943*(1+$G$55)-$H$55),0)</f>
        <v/>
      </c>
      <c r="V944">
        <f>MAX(0,R944-Q944)</f>
        <v/>
      </c>
      <c r="W944">
        <f>IF(U944-V944&gt;1E-9,U944-V944,0)</f>
        <v/>
      </c>
      <c r="X944">
        <f>W943*$G$55</f>
        <v/>
      </c>
      <c r="Y944">
        <f>IF(Y943&gt;1E-9,IF(Y943*(1+$G$51)-MAX($B$9,0.01*Y943+Y943*$G$51)&gt;1E-9,Y943*(1+$G$51)-MAX($B$9,0.01*Y943+Y943*$G$51),0),0)</f>
        <v/>
      </c>
      <c r="Z944">
        <f>Y943*$G$51</f>
        <v/>
      </c>
      <c r="AA944">
        <f>IF(AA943&gt;1E-9,IF(AA943*(1+$G$52)-MAX($B$9,0.01*AA943+AA943*$G$52)&gt;1E-9,AA943*(1+$G$52)-MAX($B$9,0.01*AA943+AA943*$G$52),0),0)</f>
        <v/>
      </c>
      <c r="AB944">
        <f>AA943*$G$52</f>
        <v/>
      </c>
      <c r="AC944">
        <f>IF(AC943&gt;1E-9,IF(AC943*(1+$G$53)-MAX($B$9,0.01*AC943+AC943*$G$53)&gt;1E-9,AC943*(1+$G$53)-MAX($B$9,0.01*AC943+AC943*$G$53),0),0)</f>
        <v/>
      </c>
      <c r="AD944">
        <f>AC943*$G$53</f>
        <v/>
      </c>
      <c r="AE944">
        <f>IF(AE943&gt;1E-9,IF(AE943*(1+$G$54)-MAX($B$9,0.01*AE943+AE943*$G$54)&gt;1E-9,AE943*(1+$G$54)-MAX($B$9,0.01*AE943+AE943*$G$54),0),0)</f>
        <v/>
      </c>
      <c r="AF944">
        <f>AE943*$G$54</f>
        <v/>
      </c>
      <c r="AG944">
        <f>IF(AG943&gt;1E-9,IF(AG943*(1+$G$55)-MAX($B$9,0.01*AG943+AG943*$G$55)&gt;1E-9,AG943*(1+$G$55)-MAX($B$9,0.01*AG943+AG943*$G$55),0),0)</f>
        <v/>
      </c>
      <c r="AH944">
        <f>AG943*$G$55</f>
        <v/>
      </c>
      <c r="AI944">
        <f>G944+K944+O944+S944+W944</f>
        <v/>
      </c>
      <c r="AJ944">
        <f>AI943+AK944-AI944</f>
        <v/>
      </c>
      <c r="AK944">
        <f>H944+L944+P944+T944+X944</f>
        <v/>
      </c>
      <c r="AL944">
        <f>TEXT(EDATE($B$5,D944-1),"mmm yyyy")</f>
        <v/>
      </c>
      <c r="AM944">
        <f>AI944</f>
        <v/>
      </c>
    </row>
    <row r="945">
      <c r="D945" t="n">
        <v>884</v>
      </c>
      <c r="E945">
        <f>IF(G944&gt;0,MAX(0,G944*(1+$G$51)-$H$51),0)</f>
        <v/>
      </c>
      <c r="F945">
        <f>$B$6+IF($D945=$B$8,$B$7,0)</f>
        <v/>
      </c>
      <c r="G945">
        <f>IF(E945-F945&gt;1E-9,E945-F945,0)</f>
        <v/>
      </c>
      <c r="H945">
        <f>G944*$G$51</f>
        <v/>
      </c>
      <c r="I945">
        <f>IF(K944&gt;0,MAX(0,K944*(1+$G$52)-$H$52),0)</f>
        <v/>
      </c>
      <c r="J945">
        <f>MAX(0,F945-E945)</f>
        <v/>
      </c>
      <c r="K945">
        <f>IF(I945-J945&gt;1E-9,I945-J945,0)</f>
        <v/>
      </c>
      <c r="L945">
        <f>K944*$G$52</f>
        <v/>
      </c>
      <c r="M945">
        <f>IF(O944&gt;0,MAX(0,O944*(1+$G$53)-$H$53),0)</f>
        <v/>
      </c>
      <c r="N945">
        <f>MAX(0,J945-I945)</f>
        <v/>
      </c>
      <c r="O945">
        <f>IF(M945-N945&gt;1E-9,M945-N945,0)</f>
        <v/>
      </c>
      <c r="P945">
        <f>O944*$G$53</f>
        <v/>
      </c>
      <c r="Q945">
        <f>IF(S944&gt;0,MAX(0,S944*(1+$G$54)-$H$54),0)</f>
        <v/>
      </c>
      <c r="R945">
        <f>MAX(0,N945-M945)</f>
        <v/>
      </c>
      <c r="S945">
        <f>IF(Q945-R945&gt;1E-9,Q945-R945,0)</f>
        <v/>
      </c>
      <c r="T945">
        <f>S944*$G$54</f>
        <v/>
      </c>
      <c r="U945">
        <f>IF(W944&gt;0,MAX(0,W944*(1+$G$55)-$H$55),0)</f>
        <v/>
      </c>
      <c r="V945">
        <f>MAX(0,R945-Q945)</f>
        <v/>
      </c>
      <c r="W945">
        <f>IF(U945-V945&gt;1E-9,U945-V945,0)</f>
        <v/>
      </c>
      <c r="X945">
        <f>W944*$G$55</f>
        <v/>
      </c>
      <c r="Y945">
        <f>IF(Y944&gt;1E-9,IF(Y944*(1+$G$51)-MAX($B$9,0.01*Y944+Y944*$G$51)&gt;1E-9,Y944*(1+$G$51)-MAX($B$9,0.01*Y944+Y944*$G$51),0),0)</f>
        <v/>
      </c>
      <c r="Z945">
        <f>Y944*$G$51</f>
        <v/>
      </c>
      <c r="AA945">
        <f>IF(AA944&gt;1E-9,IF(AA944*(1+$G$52)-MAX($B$9,0.01*AA944+AA944*$G$52)&gt;1E-9,AA944*(1+$G$52)-MAX($B$9,0.01*AA944+AA944*$G$52),0),0)</f>
        <v/>
      </c>
      <c r="AB945">
        <f>AA944*$G$52</f>
        <v/>
      </c>
      <c r="AC945">
        <f>IF(AC944&gt;1E-9,IF(AC944*(1+$G$53)-MAX($B$9,0.01*AC944+AC944*$G$53)&gt;1E-9,AC944*(1+$G$53)-MAX($B$9,0.01*AC944+AC944*$G$53),0),0)</f>
        <v/>
      </c>
      <c r="AD945">
        <f>AC944*$G$53</f>
        <v/>
      </c>
      <c r="AE945">
        <f>IF(AE944&gt;1E-9,IF(AE944*(1+$G$54)-MAX($B$9,0.01*AE944+AE944*$G$54)&gt;1E-9,AE944*(1+$G$54)-MAX($B$9,0.01*AE944+AE944*$G$54),0),0)</f>
        <v/>
      </c>
      <c r="AF945">
        <f>AE944*$G$54</f>
        <v/>
      </c>
      <c r="AG945">
        <f>IF(AG944&gt;1E-9,IF(AG944*(1+$G$55)-MAX($B$9,0.01*AG944+AG944*$G$55)&gt;1E-9,AG944*(1+$G$55)-MAX($B$9,0.01*AG944+AG944*$G$55),0),0)</f>
        <v/>
      </c>
      <c r="AH945">
        <f>AG944*$G$55</f>
        <v/>
      </c>
      <c r="AI945">
        <f>G945+K945+O945+S945+W945</f>
        <v/>
      </c>
      <c r="AJ945">
        <f>AI944+AK945-AI945</f>
        <v/>
      </c>
      <c r="AK945">
        <f>H945+L945+P945+T945+X945</f>
        <v/>
      </c>
      <c r="AL945">
        <f>TEXT(EDATE($B$5,D945-1),"mmm yyyy")</f>
        <v/>
      </c>
      <c r="AM945">
        <f>AI945</f>
        <v/>
      </c>
    </row>
    <row r="946">
      <c r="D946" t="n">
        <v>885</v>
      </c>
      <c r="E946">
        <f>IF(G945&gt;0,MAX(0,G945*(1+$G$51)-$H$51),0)</f>
        <v/>
      </c>
      <c r="F946">
        <f>$B$6+IF($D946=$B$8,$B$7,0)</f>
        <v/>
      </c>
      <c r="G946">
        <f>IF(E946-F946&gt;1E-9,E946-F946,0)</f>
        <v/>
      </c>
      <c r="H946">
        <f>G945*$G$51</f>
        <v/>
      </c>
      <c r="I946">
        <f>IF(K945&gt;0,MAX(0,K945*(1+$G$52)-$H$52),0)</f>
        <v/>
      </c>
      <c r="J946">
        <f>MAX(0,F946-E946)</f>
        <v/>
      </c>
      <c r="K946">
        <f>IF(I946-J946&gt;1E-9,I946-J946,0)</f>
        <v/>
      </c>
      <c r="L946">
        <f>K945*$G$52</f>
        <v/>
      </c>
      <c r="M946">
        <f>IF(O945&gt;0,MAX(0,O945*(1+$G$53)-$H$53),0)</f>
        <v/>
      </c>
      <c r="N946">
        <f>MAX(0,J946-I946)</f>
        <v/>
      </c>
      <c r="O946">
        <f>IF(M946-N946&gt;1E-9,M946-N946,0)</f>
        <v/>
      </c>
      <c r="P946">
        <f>O945*$G$53</f>
        <v/>
      </c>
      <c r="Q946">
        <f>IF(S945&gt;0,MAX(0,S945*(1+$G$54)-$H$54),0)</f>
        <v/>
      </c>
      <c r="R946">
        <f>MAX(0,N946-M946)</f>
        <v/>
      </c>
      <c r="S946">
        <f>IF(Q946-R946&gt;1E-9,Q946-R946,0)</f>
        <v/>
      </c>
      <c r="T946">
        <f>S945*$G$54</f>
        <v/>
      </c>
      <c r="U946">
        <f>IF(W945&gt;0,MAX(0,W945*(1+$G$55)-$H$55),0)</f>
        <v/>
      </c>
      <c r="V946">
        <f>MAX(0,R946-Q946)</f>
        <v/>
      </c>
      <c r="W946">
        <f>IF(U946-V946&gt;1E-9,U946-V946,0)</f>
        <v/>
      </c>
      <c r="X946">
        <f>W945*$G$55</f>
        <v/>
      </c>
      <c r="Y946">
        <f>IF(Y945&gt;1E-9,IF(Y945*(1+$G$51)-MAX($B$9,0.01*Y945+Y945*$G$51)&gt;1E-9,Y945*(1+$G$51)-MAX($B$9,0.01*Y945+Y945*$G$51),0),0)</f>
        <v/>
      </c>
      <c r="Z946">
        <f>Y945*$G$51</f>
        <v/>
      </c>
      <c r="AA946">
        <f>IF(AA945&gt;1E-9,IF(AA945*(1+$G$52)-MAX($B$9,0.01*AA945+AA945*$G$52)&gt;1E-9,AA945*(1+$G$52)-MAX($B$9,0.01*AA945+AA945*$G$52),0),0)</f>
        <v/>
      </c>
      <c r="AB946">
        <f>AA945*$G$52</f>
        <v/>
      </c>
      <c r="AC946">
        <f>IF(AC945&gt;1E-9,IF(AC945*(1+$G$53)-MAX($B$9,0.01*AC945+AC945*$G$53)&gt;1E-9,AC945*(1+$G$53)-MAX($B$9,0.01*AC945+AC945*$G$53),0),0)</f>
        <v/>
      </c>
      <c r="AD946">
        <f>AC945*$G$53</f>
        <v/>
      </c>
      <c r="AE946">
        <f>IF(AE945&gt;1E-9,IF(AE945*(1+$G$54)-MAX($B$9,0.01*AE945+AE945*$G$54)&gt;1E-9,AE945*(1+$G$54)-MAX($B$9,0.01*AE945+AE945*$G$54),0),0)</f>
        <v/>
      </c>
      <c r="AF946">
        <f>AE945*$G$54</f>
        <v/>
      </c>
      <c r="AG946">
        <f>IF(AG945&gt;1E-9,IF(AG945*(1+$G$55)-MAX($B$9,0.01*AG945+AG945*$G$55)&gt;1E-9,AG945*(1+$G$55)-MAX($B$9,0.01*AG945+AG945*$G$55),0),0)</f>
        <v/>
      </c>
      <c r="AH946">
        <f>AG945*$G$55</f>
        <v/>
      </c>
      <c r="AI946">
        <f>G946+K946+O946+S946+W946</f>
        <v/>
      </c>
      <c r="AJ946">
        <f>AI945+AK946-AI946</f>
        <v/>
      </c>
      <c r="AK946">
        <f>H946+L946+P946+T946+X946</f>
        <v/>
      </c>
      <c r="AL946">
        <f>TEXT(EDATE($B$5,D946-1),"mmm yyyy")</f>
        <v/>
      </c>
      <c r="AM946">
        <f>AI946</f>
        <v/>
      </c>
    </row>
    <row r="947">
      <c r="D947" t="n">
        <v>886</v>
      </c>
      <c r="E947">
        <f>IF(G946&gt;0,MAX(0,G946*(1+$G$51)-$H$51),0)</f>
        <v/>
      </c>
      <c r="F947">
        <f>$B$6+IF($D947=$B$8,$B$7,0)</f>
        <v/>
      </c>
      <c r="G947">
        <f>IF(E947-F947&gt;1E-9,E947-F947,0)</f>
        <v/>
      </c>
      <c r="H947">
        <f>G946*$G$51</f>
        <v/>
      </c>
      <c r="I947">
        <f>IF(K946&gt;0,MAX(0,K946*(1+$G$52)-$H$52),0)</f>
        <v/>
      </c>
      <c r="J947">
        <f>MAX(0,F947-E947)</f>
        <v/>
      </c>
      <c r="K947">
        <f>IF(I947-J947&gt;1E-9,I947-J947,0)</f>
        <v/>
      </c>
      <c r="L947">
        <f>K946*$G$52</f>
        <v/>
      </c>
      <c r="M947">
        <f>IF(O946&gt;0,MAX(0,O946*(1+$G$53)-$H$53),0)</f>
        <v/>
      </c>
      <c r="N947">
        <f>MAX(0,J947-I947)</f>
        <v/>
      </c>
      <c r="O947">
        <f>IF(M947-N947&gt;1E-9,M947-N947,0)</f>
        <v/>
      </c>
      <c r="P947">
        <f>O946*$G$53</f>
        <v/>
      </c>
      <c r="Q947">
        <f>IF(S946&gt;0,MAX(0,S946*(1+$G$54)-$H$54),0)</f>
        <v/>
      </c>
      <c r="R947">
        <f>MAX(0,N947-M947)</f>
        <v/>
      </c>
      <c r="S947">
        <f>IF(Q947-R947&gt;1E-9,Q947-R947,0)</f>
        <v/>
      </c>
      <c r="T947">
        <f>S946*$G$54</f>
        <v/>
      </c>
      <c r="U947">
        <f>IF(W946&gt;0,MAX(0,W946*(1+$G$55)-$H$55),0)</f>
        <v/>
      </c>
      <c r="V947">
        <f>MAX(0,R947-Q947)</f>
        <v/>
      </c>
      <c r="W947">
        <f>IF(U947-V947&gt;1E-9,U947-V947,0)</f>
        <v/>
      </c>
      <c r="X947">
        <f>W946*$G$55</f>
        <v/>
      </c>
      <c r="Y947">
        <f>IF(Y946&gt;1E-9,IF(Y946*(1+$G$51)-MAX($B$9,0.01*Y946+Y946*$G$51)&gt;1E-9,Y946*(1+$G$51)-MAX($B$9,0.01*Y946+Y946*$G$51),0),0)</f>
        <v/>
      </c>
      <c r="Z947">
        <f>Y946*$G$51</f>
        <v/>
      </c>
      <c r="AA947">
        <f>IF(AA946&gt;1E-9,IF(AA946*(1+$G$52)-MAX($B$9,0.01*AA946+AA946*$G$52)&gt;1E-9,AA946*(1+$G$52)-MAX($B$9,0.01*AA946+AA946*$G$52),0),0)</f>
        <v/>
      </c>
      <c r="AB947">
        <f>AA946*$G$52</f>
        <v/>
      </c>
      <c r="AC947">
        <f>IF(AC946&gt;1E-9,IF(AC946*(1+$G$53)-MAX($B$9,0.01*AC946+AC946*$G$53)&gt;1E-9,AC946*(1+$G$53)-MAX($B$9,0.01*AC946+AC946*$G$53),0),0)</f>
        <v/>
      </c>
      <c r="AD947">
        <f>AC946*$G$53</f>
        <v/>
      </c>
      <c r="AE947">
        <f>IF(AE946&gt;1E-9,IF(AE946*(1+$G$54)-MAX($B$9,0.01*AE946+AE946*$G$54)&gt;1E-9,AE946*(1+$G$54)-MAX($B$9,0.01*AE946+AE946*$G$54),0),0)</f>
        <v/>
      </c>
      <c r="AF947">
        <f>AE946*$G$54</f>
        <v/>
      </c>
      <c r="AG947">
        <f>IF(AG946&gt;1E-9,IF(AG946*(1+$G$55)-MAX($B$9,0.01*AG946+AG946*$G$55)&gt;1E-9,AG946*(1+$G$55)-MAX($B$9,0.01*AG946+AG946*$G$55),0),0)</f>
        <v/>
      </c>
      <c r="AH947">
        <f>AG946*$G$55</f>
        <v/>
      </c>
      <c r="AI947">
        <f>G947+K947+O947+S947+W947</f>
        <v/>
      </c>
      <c r="AJ947">
        <f>AI946+AK947-AI947</f>
        <v/>
      </c>
      <c r="AK947">
        <f>H947+L947+P947+T947+X947</f>
        <v/>
      </c>
      <c r="AL947">
        <f>TEXT(EDATE($B$5,D947-1),"mmm yyyy")</f>
        <v/>
      </c>
      <c r="AM947">
        <f>AI947</f>
        <v/>
      </c>
    </row>
    <row r="948">
      <c r="D948" t="n">
        <v>887</v>
      </c>
      <c r="E948">
        <f>IF(G947&gt;0,MAX(0,G947*(1+$G$51)-$H$51),0)</f>
        <v/>
      </c>
      <c r="F948">
        <f>$B$6+IF($D948=$B$8,$B$7,0)</f>
        <v/>
      </c>
      <c r="G948">
        <f>IF(E948-F948&gt;1E-9,E948-F948,0)</f>
        <v/>
      </c>
      <c r="H948">
        <f>G947*$G$51</f>
        <v/>
      </c>
      <c r="I948">
        <f>IF(K947&gt;0,MAX(0,K947*(1+$G$52)-$H$52),0)</f>
        <v/>
      </c>
      <c r="J948">
        <f>MAX(0,F948-E948)</f>
        <v/>
      </c>
      <c r="K948">
        <f>IF(I948-J948&gt;1E-9,I948-J948,0)</f>
        <v/>
      </c>
      <c r="L948">
        <f>K947*$G$52</f>
        <v/>
      </c>
      <c r="M948">
        <f>IF(O947&gt;0,MAX(0,O947*(1+$G$53)-$H$53),0)</f>
        <v/>
      </c>
      <c r="N948">
        <f>MAX(0,J948-I948)</f>
        <v/>
      </c>
      <c r="O948">
        <f>IF(M948-N948&gt;1E-9,M948-N948,0)</f>
        <v/>
      </c>
      <c r="P948">
        <f>O947*$G$53</f>
        <v/>
      </c>
      <c r="Q948">
        <f>IF(S947&gt;0,MAX(0,S947*(1+$G$54)-$H$54),0)</f>
        <v/>
      </c>
      <c r="R948">
        <f>MAX(0,N948-M948)</f>
        <v/>
      </c>
      <c r="S948">
        <f>IF(Q948-R948&gt;1E-9,Q948-R948,0)</f>
        <v/>
      </c>
      <c r="T948">
        <f>S947*$G$54</f>
        <v/>
      </c>
      <c r="U948">
        <f>IF(W947&gt;0,MAX(0,W947*(1+$G$55)-$H$55),0)</f>
        <v/>
      </c>
      <c r="V948">
        <f>MAX(0,R948-Q948)</f>
        <v/>
      </c>
      <c r="W948">
        <f>IF(U948-V948&gt;1E-9,U948-V948,0)</f>
        <v/>
      </c>
      <c r="X948">
        <f>W947*$G$55</f>
        <v/>
      </c>
      <c r="Y948">
        <f>IF(Y947&gt;1E-9,IF(Y947*(1+$G$51)-MAX($B$9,0.01*Y947+Y947*$G$51)&gt;1E-9,Y947*(1+$G$51)-MAX($B$9,0.01*Y947+Y947*$G$51),0),0)</f>
        <v/>
      </c>
      <c r="Z948">
        <f>Y947*$G$51</f>
        <v/>
      </c>
      <c r="AA948">
        <f>IF(AA947&gt;1E-9,IF(AA947*(1+$G$52)-MAX($B$9,0.01*AA947+AA947*$G$52)&gt;1E-9,AA947*(1+$G$52)-MAX($B$9,0.01*AA947+AA947*$G$52),0),0)</f>
        <v/>
      </c>
      <c r="AB948">
        <f>AA947*$G$52</f>
        <v/>
      </c>
      <c r="AC948">
        <f>IF(AC947&gt;1E-9,IF(AC947*(1+$G$53)-MAX($B$9,0.01*AC947+AC947*$G$53)&gt;1E-9,AC947*(1+$G$53)-MAX($B$9,0.01*AC947+AC947*$G$53),0),0)</f>
        <v/>
      </c>
      <c r="AD948">
        <f>AC947*$G$53</f>
        <v/>
      </c>
      <c r="AE948">
        <f>IF(AE947&gt;1E-9,IF(AE947*(1+$G$54)-MAX($B$9,0.01*AE947+AE947*$G$54)&gt;1E-9,AE947*(1+$G$54)-MAX($B$9,0.01*AE947+AE947*$G$54),0),0)</f>
        <v/>
      </c>
      <c r="AF948">
        <f>AE947*$G$54</f>
        <v/>
      </c>
      <c r="AG948">
        <f>IF(AG947&gt;1E-9,IF(AG947*(1+$G$55)-MAX($B$9,0.01*AG947+AG947*$G$55)&gt;1E-9,AG947*(1+$G$55)-MAX($B$9,0.01*AG947+AG947*$G$55),0),0)</f>
        <v/>
      </c>
      <c r="AH948">
        <f>AG947*$G$55</f>
        <v/>
      </c>
      <c r="AI948">
        <f>G948+K948+O948+S948+W948</f>
        <v/>
      </c>
      <c r="AJ948">
        <f>AI947+AK948-AI948</f>
        <v/>
      </c>
      <c r="AK948">
        <f>H948+L948+P948+T948+X948</f>
        <v/>
      </c>
      <c r="AL948">
        <f>TEXT(EDATE($B$5,D948-1),"mmm yyyy")</f>
        <v/>
      </c>
      <c r="AM948">
        <f>AI948</f>
        <v/>
      </c>
    </row>
    <row r="949">
      <c r="D949" t="n">
        <v>888</v>
      </c>
      <c r="E949">
        <f>IF(G948&gt;0,MAX(0,G948*(1+$G$51)-$H$51),0)</f>
        <v/>
      </c>
      <c r="F949">
        <f>$B$6+IF($D949=$B$8,$B$7,0)</f>
        <v/>
      </c>
      <c r="G949">
        <f>IF(E949-F949&gt;1E-9,E949-F949,0)</f>
        <v/>
      </c>
      <c r="H949">
        <f>G948*$G$51</f>
        <v/>
      </c>
      <c r="I949">
        <f>IF(K948&gt;0,MAX(0,K948*(1+$G$52)-$H$52),0)</f>
        <v/>
      </c>
      <c r="J949">
        <f>MAX(0,F949-E949)</f>
        <v/>
      </c>
      <c r="K949">
        <f>IF(I949-J949&gt;1E-9,I949-J949,0)</f>
        <v/>
      </c>
      <c r="L949">
        <f>K948*$G$52</f>
        <v/>
      </c>
      <c r="M949">
        <f>IF(O948&gt;0,MAX(0,O948*(1+$G$53)-$H$53),0)</f>
        <v/>
      </c>
      <c r="N949">
        <f>MAX(0,J949-I949)</f>
        <v/>
      </c>
      <c r="O949">
        <f>IF(M949-N949&gt;1E-9,M949-N949,0)</f>
        <v/>
      </c>
      <c r="P949">
        <f>O948*$G$53</f>
        <v/>
      </c>
      <c r="Q949">
        <f>IF(S948&gt;0,MAX(0,S948*(1+$G$54)-$H$54),0)</f>
        <v/>
      </c>
      <c r="R949">
        <f>MAX(0,N949-M949)</f>
        <v/>
      </c>
      <c r="S949">
        <f>IF(Q949-R949&gt;1E-9,Q949-R949,0)</f>
        <v/>
      </c>
      <c r="T949">
        <f>S948*$G$54</f>
        <v/>
      </c>
      <c r="U949">
        <f>IF(W948&gt;0,MAX(0,W948*(1+$G$55)-$H$55),0)</f>
        <v/>
      </c>
      <c r="V949">
        <f>MAX(0,R949-Q949)</f>
        <v/>
      </c>
      <c r="W949">
        <f>IF(U949-V949&gt;1E-9,U949-V949,0)</f>
        <v/>
      </c>
      <c r="X949">
        <f>W948*$G$55</f>
        <v/>
      </c>
      <c r="Y949">
        <f>IF(Y948&gt;1E-9,IF(Y948*(1+$G$51)-MAX($B$9,0.01*Y948+Y948*$G$51)&gt;1E-9,Y948*(1+$G$51)-MAX($B$9,0.01*Y948+Y948*$G$51),0),0)</f>
        <v/>
      </c>
      <c r="Z949">
        <f>Y948*$G$51</f>
        <v/>
      </c>
      <c r="AA949">
        <f>IF(AA948&gt;1E-9,IF(AA948*(1+$G$52)-MAX($B$9,0.01*AA948+AA948*$G$52)&gt;1E-9,AA948*(1+$G$52)-MAX($B$9,0.01*AA948+AA948*$G$52),0),0)</f>
        <v/>
      </c>
      <c r="AB949">
        <f>AA948*$G$52</f>
        <v/>
      </c>
      <c r="AC949">
        <f>IF(AC948&gt;1E-9,IF(AC948*(1+$G$53)-MAX($B$9,0.01*AC948+AC948*$G$53)&gt;1E-9,AC948*(1+$G$53)-MAX($B$9,0.01*AC948+AC948*$G$53),0),0)</f>
        <v/>
      </c>
      <c r="AD949">
        <f>AC948*$G$53</f>
        <v/>
      </c>
      <c r="AE949">
        <f>IF(AE948&gt;1E-9,IF(AE948*(1+$G$54)-MAX($B$9,0.01*AE948+AE948*$G$54)&gt;1E-9,AE948*(1+$G$54)-MAX($B$9,0.01*AE948+AE948*$G$54),0),0)</f>
        <v/>
      </c>
      <c r="AF949">
        <f>AE948*$G$54</f>
        <v/>
      </c>
      <c r="AG949">
        <f>IF(AG948&gt;1E-9,IF(AG948*(1+$G$55)-MAX($B$9,0.01*AG948+AG948*$G$55)&gt;1E-9,AG948*(1+$G$55)-MAX($B$9,0.01*AG948+AG948*$G$55),0),0)</f>
        <v/>
      </c>
      <c r="AH949">
        <f>AG948*$G$55</f>
        <v/>
      </c>
      <c r="AI949">
        <f>G949+K949+O949+S949+W949</f>
        <v/>
      </c>
      <c r="AJ949">
        <f>AI948+AK949-AI949</f>
        <v/>
      </c>
      <c r="AK949">
        <f>H949+L949+P949+T949+X949</f>
        <v/>
      </c>
      <c r="AL949">
        <f>TEXT(EDATE($B$5,D949-1),"mmm yyyy")</f>
        <v/>
      </c>
      <c r="AM949">
        <f>AI949</f>
        <v/>
      </c>
    </row>
    <row r="950">
      <c r="D950" t="n">
        <v>889</v>
      </c>
      <c r="E950">
        <f>IF(G949&gt;0,MAX(0,G949*(1+$G$51)-$H$51),0)</f>
        <v/>
      </c>
      <c r="F950">
        <f>$B$6+IF($D950=$B$8,$B$7,0)</f>
        <v/>
      </c>
      <c r="G950">
        <f>IF(E950-F950&gt;1E-9,E950-F950,0)</f>
        <v/>
      </c>
      <c r="H950">
        <f>G949*$G$51</f>
        <v/>
      </c>
      <c r="I950">
        <f>IF(K949&gt;0,MAX(0,K949*(1+$G$52)-$H$52),0)</f>
        <v/>
      </c>
      <c r="J950">
        <f>MAX(0,F950-E950)</f>
        <v/>
      </c>
      <c r="K950">
        <f>IF(I950-J950&gt;1E-9,I950-J950,0)</f>
        <v/>
      </c>
      <c r="L950">
        <f>K949*$G$52</f>
        <v/>
      </c>
      <c r="M950">
        <f>IF(O949&gt;0,MAX(0,O949*(1+$G$53)-$H$53),0)</f>
        <v/>
      </c>
      <c r="N950">
        <f>MAX(0,J950-I950)</f>
        <v/>
      </c>
      <c r="O950">
        <f>IF(M950-N950&gt;1E-9,M950-N950,0)</f>
        <v/>
      </c>
      <c r="P950">
        <f>O949*$G$53</f>
        <v/>
      </c>
      <c r="Q950">
        <f>IF(S949&gt;0,MAX(0,S949*(1+$G$54)-$H$54),0)</f>
        <v/>
      </c>
      <c r="R950">
        <f>MAX(0,N950-M950)</f>
        <v/>
      </c>
      <c r="S950">
        <f>IF(Q950-R950&gt;1E-9,Q950-R950,0)</f>
        <v/>
      </c>
      <c r="T950">
        <f>S949*$G$54</f>
        <v/>
      </c>
      <c r="U950">
        <f>IF(W949&gt;0,MAX(0,W949*(1+$G$55)-$H$55),0)</f>
        <v/>
      </c>
      <c r="V950">
        <f>MAX(0,R950-Q950)</f>
        <v/>
      </c>
      <c r="W950">
        <f>IF(U950-V950&gt;1E-9,U950-V950,0)</f>
        <v/>
      </c>
      <c r="X950">
        <f>W949*$G$55</f>
        <v/>
      </c>
      <c r="Y950">
        <f>IF(Y949&gt;1E-9,IF(Y949*(1+$G$51)-MAX($B$9,0.01*Y949+Y949*$G$51)&gt;1E-9,Y949*(1+$G$51)-MAX($B$9,0.01*Y949+Y949*$G$51),0),0)</f>
        <v/>
      </c>
      <c r="Z950">
        <f>Y949*$G$51</f>
        <v/>
      </c>
      <c r="AA950">
        <f>IF(AA949&gt;1E-9,IF(AA949*(1+$G$52)-MAX($B$9,0.01*AA949+AA949*$G$52)&gt;1E-9,AA949*(1+$G$52)-MAX($B$9,0.01*AA949+AA949*$G$52),0),0)</f>
        <v/>
      </c>
      <c r="AB950">
        <f>AA949*$G$52</f>
        <v/>
      </c>
      <c r="AC950">
        <f>IF(AC949&gt;1E-9,IF(AC949*(1+$G$53)-MAX($B$9,0.01*AC949+AC949*$G$53)&gt;1E-9,AC949*(1+$G$53)-MAX($B$9,0.01*AC949+AC949*$G$53),0),0)</f>
        <v/>
      </c>
      <c r="AD950">
        <f>AC949*$G$53</f>
        <v/>
      </c>
      <c r="AE950">
        <f>IF(AE949&gt;1E-9,IF(AE949*(1+$G$54)-MAX($B$9,0.01*AE949+AE949*$G$54)&gt;1E-9,AE949*(1+$G$54)-MAX($B$9,0.01*AE949+AE949*$G$54),0),0)</f>
        <v/>
      </c>
      <c r="AF950">
        <f>AE949*$G$54</f>
        <v/>
      </c>
      <c r="AG950">
        <f>IF(AG949&gt;1E-9,IF(AG949*(1+$G$55)-MAX($B$9,0.01*AG949+AG949*$G$55)&gt;1E-9,AG949*(1+$G$55)-MAX($B$9,0.01*AG949+AG949*$G$55),0),0)</f>
        <v/>
      </c>
      <c r="AH950">
        <f>AG949*$G$55</f>
        <v/>
      </c>
      <c r="AI950">
        <f>G950+K950+O950+S950+W950</f>
        <v/>
      </c>
      <c r="AJ950">
        <f>AI949+AK950-AI950</f>
        <v/>
      </c>
      <c r="AK950">
        <f>H950+L950+P950+T950+X950</f>
        <v/>
      </c>
      <c r="AL950">
        <f>TEXT(EDATE($B$5,D950-1),"mmm yyyy")</f>
        <v/>
      </c>
      <c r="AM950">
        <f>AI950</f>
        <v/>
      </c>
    </row>
    <row r="951">
      <c r="D951" t="n">
        <v>890</v>
      </c>
      <c r="E951">
        <f>IF(G950&gt;0,MAX(0,G950*(1+$G$51)-$H$51),0)</f>
        <v/>
      </c>
      <c r="F951">
        <f>$B$6+IF($D951=$B$8,$B$7,0)</f>
        <v/>
      </c>
      <c r="G951">
        <f>IF(E951-F951&gt;1E-9,E951-F951,0)</f>
        <v/>
      </c>
      <c r="H951">
        <f>G950*$G$51</f>
        <v/>
      </c>
      <c r="I951">
        <f>IF(K950&gt;0,MAX(0,K950*(1+$G$52)-$H$52),0)</f>
        <v/>
      </c>
      <c r="J951">
        <f>MAX(0,F951-E951)</f>
        <v/>
      </c>
      <c r="K951">
        <f>IF(I951-J951&gt;1E-9,I951-J951,0)</f>
        <v/>
      </c>
      <c r="L951">
        <f>K950*$G$52</f>
        <v/>
      </c>
      <c r="M951">
        <f>IF(O950&gt;0,MAX(0,O950*(1+$G$53)-$H$53),0)</f>
        <v/>
      </c>
      <c r="N951">
        <f>MAX(0,J951-I951)</f>
        <v/>
      </c>
      <c r="O951">
        <f>IF(M951-N951&gt;1E-9,M951-N951,0)</f>
        <v/>
      </c>
      <c r="P951">
        <f>O950*$G$53</f>
        <v/>
      </c>
      <c r="Q951">
        <f>IF(S950&gt;0,MAX(0,S950*(1+$G$54)-$H$54),0)</f>
        <v/>
      </c>
      <c r="R951">
        <f>MAX(0,N951-M951)</f>
        <v/>
      </c>
      <c r="S951">
        <f>IF(Q951-R951&gt;1E-9,Q951-R951,0)</f>
        <v/>
      </c>
      <c r="T951">
        <f>S950*$G$54</f>
        <v/>
      </c>
      <c r="U951">
        <f>IF(W950&gt;0,MAX(0,W950*(1+$G$55)-$H$55),0)</f>
        <v/>
      </c>
      <c r="V951">
        <f>MAX(0,R951-Q951)</f>
        <v/>
      </c>
      <c r="W951">
        <f>IF(U951-V951&gt;1E-9,U951-V951,0)</f>
        <v/>
      </c>
      <c r="X951">
        <f>W950*$G$55</f>
        <v/>
      </c>
      <c r="Y951">
        <f>IF(Y950&gt;1E-9,IF(Y950*(1+$G$51)-MAX($B$9,0.01*Y950+Y950*$G$51)&gt;1E-9,Y950*(1+$G$51)-MAX($B$9,0.01*Y950+Y950*$G$51),0),0)</f>
        <v/>
      </c>
      <c r="Z951">
        <f>Y950*$G$51</f>
        <v/>
      </c>
      <c r="AA951">
        <f>IF(AA950&gt;1E-9,IF(AA950*(1+$G$52)-MAX($B$9,0.01*AA950+AA950*$G$52)&gt;1E-9,AA950*(1+$G$52)-MAX($B$9,0.01*AA950+AA950*$G$52),0),0)</f>
        <v/>
      </c>
      <c r="AB951">
        <f>AA950*$G$52</f>
        <v/>
      </c>
      <c r="AC951">
        <f>IF(AC950&gt;1E-9,IF(AC950*(1+$G$53)-MAX($B$9,0.01*AC950+AC950*$G$53)&gt;1E-9,AC950*(1+$G$53)-MAX($B$9,0.01*AC950+AC950*$G$53),0),0)</f>
        <v/>
      </c>
      <c r="AD951">
        <f>AC950*$G$53</f>
        <v/>
      </c>
      <c r="AE951">
        <f>IF(AE950&gt;1E-9,IF(AE950*(1+$G$54)-MAX($B$9,0.01*AE950+AE950*$G$54)&gt;1E-9,AE950*(1+$G$54)-MAX($B$9,0.01*AE950+AE950*$G$54),0),0)</f>
        <v/>
      </c>
      <c r="AF951">
        <f>AE950*$G$54</f>
        <v/>
      </c>
      <c r="AG951">
        <f>IF(AG950&gt;1E-9,IF(AG950*(1+$G$55)-MAX($B$9,0.01*AG950+AG950*$G$55)&gt;1E-9,AG950*(1+$G$55)-MAX($B$9,0.01*AG950+AG950*$G$55),0),0)</f>
        <v/>
      </c>
      <c r="AH951">
        <f>AG950*$G$55</f>
        <v/>
      </c>
      <c r="AI951">
        <f>G951+K951+O951+S951+W951</f>
        <v/>
      </c>
      <c r="AJ951">
        <f>AI950+AK951-AI951</f>
        <v/>
      </c>
      <c r="AK951">
        <f>H951+L951+P951+T951+X951</f>
        <v/>
      </c>
      <c r="AL951">
        <f>TEXT(EDATE($B$5,D951-1),"mmm yyyy")</f>
        <v/>
      </c>
      <c r="AM951">
        <f>AI951</f>
        <v/>
      </c>
    </row>
    <row r="952">
      <c r="D952" t="n">
        <v>891</v>
      </c>
      <c r="E952">
        <f>IF(G951&gt;0,MAX(0,G951*(1+$G$51)-$H$51),0)</f>
        <v/>
      </c>
      <c r="F952">
        <f>$B$6+IF($D952=$B$8,$B$7,0)</f>
        <v/>
      </c>
      <c r="G952">
        <f>IF(E952-F952&gt;1E-9,E952-F952,0)</f>
        <v/>
      </c>
      <c r="H952">
        <f>G951*$G$51</f>
        <v/>
      </c>
      <c r="I952">
        <f>IF(K951&gt;0,MAX(0,K951*(1+$G$52)-$H$52),0)</f>
        <v/>
      </c>
      <c r="J952">
        <f>MAX(0,F952-E952)</f>
        <v/>
      </c>
      <c r="K952">
        <f>IF(I952-J952&gt;1E-9,I952-J952,0)</f>
        <v/>
      </c>
      <c r="L952">
        <f>K951*$G$52</f>
        <v/>
      </c>
      <c r="M952">
        <f>IF(O951&gt;0,MAX(0,O951*(1+$G$53)-$H$53),0)</f>
        <v/>
      </c>
      <c r="N952">
        <f>MAX(0,J952-I952)</f>
        <v/>
      </c>
      <c r="O952">
        <f>IF(M952-N952&gt;1E-9,M952-N952,0)</f>
        <v/>
      </c>
      <c r="P952">
        <f>O951*$G$53</f>
        <v/>
      </c>
      <c r="Q952">
        <f>IF(S951&gt;0,MAX(0,S951*(1+$G$54)-$H$54),0)</f>
        <v/>
      </c>
      <c r="R952">
        <f>MAX(0,N952-M952)</f>
        <v/>
      </c>
      <c r="S952">
        <f>IF(Q952-R952&gt;1E-9,Q952-R952,0)</f>
        <v/>
      </c>
      <c r="T952">
        <f>S951*$G$54</f>
        <v/>
      </c>
      <c r="U952">
        <f>IF(W951&gt;0,MAX(0,W951*(1+$G$55)-$H$55),0)</f>
        <v/>
      </c>
      <c r="V952">
        <f>MAX(0,R952-Q952)</f>
        <v/>
      </c>
      <c r="W952">
        <f>IF(U952-V952&gt;1E-9,U952-V952,0)</f>
        <v/>
      </c>
      <c r="X952">
        <f>W951*$G$55</f>
        <v/>
      </c>
      <c r="Y952">
        <f>IF(Y951&gt;1E-9,IF(Y951*(1+$G$51)-MAX($B$9,0.01*Y951+Y951*$G$51)&gt;1E-9,Y951*(1+$G$51)-MAX($B$9,0.01*Y951+Y951*$G$51),0),0)</f>
        <v/>
      </c>
      <c r="Z952">
        <f>Y951*$G$51</f>
        <v/>
      </c>
      <c r="AA952">
        <f>IF(AA951&gt;1E-9,IF(AA951*(1+$G$52)-MAX($B$9,0.01*AA951+AA951*$G$52)&gt;1E-9,AA951*(1+$G$52)-MAX($B$9,0.01*AA951+AA951*$G$52),0),0)</f>
        <v/>
      </c>
      <c r="AB952">
        <f>AA951*$G$52</f>
        <v/>
      </c>
      <c r="AC952">
        <f>IF(AC951&gt;1E-9,IF(AC951*(1+$G$53)-MAX($B$9,0.01*AC951+AC951*$G$53)&gt;1E-9,AC951*(1+$G$53)-MAX($B$9,0.01*AC951+AC951*$G$53),0),0)</f>
        <v/>
      </c>
      <c r="AD952">
        <f>AC951*$G$53</f>
        <v/>
      </c>
      <c r="AE952">
        <f>IF(AE951&gt;1E-9,IF(AE951*(1+$G$54)-MAX($B$9,0.01*AE951+AE951*$G$54)&gt;1E-9,AE951*(1+$G$54)-MAX($B$9,0.01*AE951+AE951*$G$54),0),0)</f>
        <v/>
      </c>
      <c r="AF952">
        <f>AE951*$G$54</f>
        <v/>
      </c>
      <c r="AG952">
        <f>IF(AG951&gt;1E-9,IF(AG951*(1+$G$55)-MAX($B$9,0.01*AG951+AG951*$G$55)&gt;1E-9,AG951*(1+$G$55)-MAX($B$9,0.01*AG951+AG951*$G$55),0),0)</f>
        <v/>
      </c>
      <c r="AH952">
        <f>AG951*$G$55</f>
        <v/>
      </c>
      <c r="AI952">
        <f>G952+K952+O952+S952+W952</f>
        <v/>
      </c>
      <c r="AJ952">
        <f>AI951+AK952-AI952</f>
        <v/>
      </c>
      <c r="AK952">
        <f>H952+L952+P952+T952+X952</f>
        <v/>
      </c>
      <c r="AL952">
        <f>TEXT(EDATE($B$5,D952-1),"mmm yyyy")</f>
        <v/>
      </c>
      <c r="AM952">
        <f>AI952</f>
        <v/>
      </c>
    </row>
    <row r="953">
      <c r="D953" t="n">
        <v>892</v>
      </c>
      <c r="E953">
        <f>IF(G952&gt;0,MAX(0,G952*(1+$G$51)-$H$51),0)</f>
        <v/>
      </c>
      <c r="F953">
        <f>$B$6+IF($D953=$B$8,$B$7,0)</f>
        <v/>
      </c>
      <c r="G953">
        <f>IF(E953-F953&gt;1E-9,E953-F953,0)</f>
        <v/>
      </c>
      <c r="H953">
        <f>G952*$G$51</f>
        <v/>
      </c>
      <c r="I953">
        <f>IF(K952&gt;0,MAX(0,K952*(1+$G$52)-$H$52),0)</f>
        <v/>
      </c>
      <c r="J953">
        <f>MAX(0,F953-E953)</f>
        <v/>
      </c>
      <c r="K953">
        <f>IF(I953-J953&gt;1E-9,I953-J953,0)</f>
        <v/>
      </c>
      <c r="L953">
        <f>K952*$G$52</f>
        <v/>
      </c>
      <c r="M953">
        <f>IF(O952&gt;0,MAX(0,O952*(1+$G$53)-$H$53),0)</f>
        <v/>
      </c>
      <c r="N953">
        <f>MAX(0,J953-I953)</f>
        <v/>
      </c>
      <c r="O953">
        <f>IF(M953-N953&gt;1E-9,M953-N953,0)</f>
        <v/>
      </c>
      <c r="P953">
        <f>O952*$G$53</f>
        <v/>
      </c>
      <c r="Q953">
        <f>IF(S952&gt;0,MAX(0,S952*(1+$G$54)-$H$54),0)</f>
        <v/>
      </c>
      <c r="R953">
        <f>MAX(0,N953-M953)</f>
        <v/>
      </c>
      <c r="S953">
        <f>IF(Q953-R953&gt;1E-9,Q953-R953,0)</f>
        <v/>
      </c>
      <c r="T953">
        <f>S952*$G$54</f>
        <v/>
      </c>
      <c r="U953">
        <f>IF(W952&gt;0,MAX(0,W952*(1+$G$55)-$H$55),0)</f>
        <v/>
      </c>
      <c r="V953">
        <f>MAX(0,R953-Q953)</f>
        <v/>
      </c>
      <c r="W953">
        <f>IF(U953-V953&gt;1E-9,U953-V953,0)</f>
        <v/>
      </c>
      <c r="X953">
        <f>W952*$G$55</f>
        <v/>
      </c>
      <c r="Y953">
        <f>IF(Y952&gt;1E-9,IF(Y952*(1+$G$51)-MAX($B$9,0.01*Y952+Y952*$G$51)&gt;1E-9,Y952*(1+$G$51)-MAX($B$9,0.01*Y952+Y952*$G$51),0),0)</f>
        <v/>
      </c>
      <c r="Z953">
        <f>Y952*$G$51</f>
        <v/>
      </c>
      <c r="AA953">
        <f>IF(AA952&gt;1E-9,IF(AA952*(1+$G$52)-MAX($B$9,0.01*AA952+AA952*$G$52)&gt;1E-9,AA952*(1+$G$52)-MAX($B$9,0.01*AA952+AA952*$G$52),0),0)</f>
        <v/>
      </c>
      <c r="AB953">
        <f>AA952*$G$52</f>
        <v/>
      </c>
      <c r="AC953">
        <f>IF(AC952&gt;1E-9,IF(AC952*(1+$G$53)-MAX($B$9,0.01*AC952+AC952*$G$53)&gt;1E-9,AC952*(1+$G$53)-MAX($B$9,0.01*AC952+AC952*$G$53),0),0)</f>
        <v/>
      </c>
      <c r="AD953">
        <f>AC952*$G$53</f>
        <v/>
      </c>
      <c r="AE953">
        <f>IF(AE952&gt;1E-9,IF(AE952*(1+$G$54)-MAX($B$9,0.01*AE952+AE952*$G$54)&gt;1E-9,AE952*(1+$G$54)-MAX($B$9,0.01*AE952+AE952*$G$54),0),0)</f>
        <v/>
      </c>
      <c r="AF953">
        <f>AE952*$G$54</f>
        <v/>
      </c>
      <c r="AG953">
        <f>IF(AG952&gt;1E-9,IF(AG952*(1+$G$55)-MAX($B$9,0.01*AG952+AG952*$G$55)&gt;1E-9,AG952*(1+$G$55)-MAX($B$9,0.01*AG952+AG952*$G$55),0),0)</f>
        <v/>
      </c>
      <c r="AH953">
        <f>AG952*$G$55</f>
        <v/>
      </c>
      <c r="AI953">
        <f>G953+K953+O953+S953+W953</f>
        <v/>
      </c>
      <c r="AJ953">
        <f>AI952+AK953-AI953</f>
        <v/>
      </c>
      <c r="AK953">
        <f>H953+L953+P953+T953+X953</f>
        <v/>
      </c>
      <c r="AL953">
        <f>TEXT(EDATE($B$5,D953-1),"mmm yyyy")</f>
        <v/>
      </c>
      <c r="AM953">
        <f>AI953</f>
        <v/>
      </c>
    </row>
    <row r="954">
      <c r="D954" t="n">
        <v>893</v>
      </c>
      <c r="E954">
        <f>IF(G953&gt;0,MAX(0,G953*(1+$G$51)-$H$51),0)</f>
        <v/>
      </c>
      <c r="F954">
        <f>$B$6+IF($D954=$B$8,$B$7,0)</f>
        <v/>
      </c>
      <c r="G954">
        <f>IF(E954-F954&gt;1E-9,E954-F954,0)</f>
        <v/>
      </c>
      <c r="H954">
        <f>G953*$G$51</f>
        <v/>
      </c>
      <c r="I954">
        <f>IF(K953&gt;0,MAX(0,K953*(1+$G$52)-$H$52),0)</f>
        <v/>
      </c>
      <c r="J954">
        <f>MAX(0,F954-E954)</f>
        <v/>
      </c>
      <c r="K954">
        <f>IF(I954-J954&gt;1E-9,I954-J954,0)</f>
        <v/>
      </c>
      <c r="L954">
        <f>K953*$G$52</f>
        <v/>
      </c>
      <c r="M954">
        <f>IF(O953&gt;0,MAX(0,O953*(1+$G$53)-$H$53),0)</f>
        <v/>
      </c>
      <c r="N954">
        <f>MAX(0,J954-I954)</f>
        <v/>
      </c>
      <c r="O954">
        <f>IF(M954-N954&gt;1E-9,M954-N954,0)</f>
        <v/>
      </c>
      <c r="P954">
        <f>O953*$G$53</f>
        <v/>
      </c>
      <c r="Q954">
        <f>IF(S953&gt;0,MAX(0,S953*(1+$G$54)-$H$54),0)</f>
        <v/>
      </c>
      <c r="R954">
        <f>MAX(0,N954-M954)</f>
        <v/>
      </c>
      <c r="S954">
        <f>IF(Q954-R954&gt;1E-9,Q954-R954,0)</f>
        <v/>
      </c>
      <c r="T954">
        <f>S953*$G$54</f>
        <v/>
      </c>
      <c r="U954">
        <f>IF(W953&gt;0,MAX(0,W953*(1+$G$55)-$H$55),0)</f>
        <v/>
      </c>
      <c r="V954">
        <f>MAX(0,R954-Q954)</f>
        <v/>
      </c>
      <c r="W954">
        <f>IF(U954-V954&gt;1E-9,U954-V954,0)</f>
        <v/>
      </c>
      <c r="X954">
        <f>W953*$G$55</f>
        <v/>
      </c>
      <c r="Y954">
        <f>IF(Y953&gt;1E-9,IF(Y953*(1+$G$51)-MAX($B$9,0.01*Y953+Y953*$G$51)&gt;1E-9,Y953*(1+$G$51)-MAX($B$9,0.01*Y953+Y953*$G$51),0),0)</f>
        <v/>
      </c>
      <c r="Z954">
        <f>Y953*$G$51</f>
        <v/>
      </c>
      <c r="AA954">
        <f>IF(AA953&gt;1E-9,IF(AA953*(1+$G$52)-MAX($B$9,0.01*AA953+AA953*$G$52)&gt;1E-9,AA953*(1+$G$52)-MAX($B$9,0.01*AA953+AA953*$G$52),0),0)</f>
        <v/>
      </c>
      <c r="AB954">
        <f>AA953*$G$52</f>
        <v/>
      </c>
      <c r="AC954">
        <f>IF(AC953&gt;1E-9,IF(AC953*(1+$G$53)-MAX($B$9,0.01*AC953+AC953*$G$53)&gt;1E-9,AC953*(1+$G$53)-MAX($B$9,0.01*AC953+AC953*$G$53),0),0)</f>
        <v/>
      </c>
      <c r="AD954">
        <f>AC953*$G$53</f>
        <v/>
      </c>
      <c r="AE954">
        <f>IF(AE953&gt;1E-9,IF(AE953*(1+$G$54)-MAX($B$9,0.01*AE953+AE953*$G$54)&gt;1E-9,AE953*(1+$G$54)-MAX($B$9,0.01*AE953+AE953*$G$54),0),0)</f>
        <v/>
      </c>
      <c r="AF954">
        <f>AE953*$G$54</f>
        <v/>
      </c>
      <c r="AG954">
        <f>IF(AG953&gt;1E-9,IF(AG953*(1+$G$55)-MAX($B$9,0.01*AG953+AG953*$G$55)&gt;1E-9,AG953*(1+$G$55)-MAX($B$9,0.01*AG953+AG953*$G$55),0),0)</f>
        <v/>
      </c>
      <c r="AH954">
        <f>AG953*$G$55</f>
        <v/>
      </c>
      <c r="AI954">
        <f>G954+K954+O954+S954+W954</f>
        <v/>
      </c>
      <c r="AJ954">
        <f>AI953+AK954-AI954</f>
        <v/>
      </c>
      <c r="AK954">
        <f>H954+L954+P954+T954+X954</f>
        <v/>
      </c>
      <c r="AL954">
        <f>TEXT(EDATE($B$5,D954-1),"mmm yyyy")</f>
        <v/>
      </c>
      <c r="AM954">
        <f>AI954</f>
        <v/>
      </c>
    </row>
    <row r="955">
      <c r="D955" t="n">
        <v>894</v>
      </c>
      <c r="E955">
        <f>IF(G954&gt;0,MAX(0,G954*(1+$G$51)-$H$51),0)</f>
        <v/>
      </c>
      <c r="F955">
        <f>$B$6+IF($D955=$B$8,$B$7,0)</f>
        <v/>
      </c>
      <c r="G955">
        <f>IF(E955-F955&gt;1E-9,E955-F955,0)</f>
        <v/>
      </c>
      <c r="H955">
        <f>G954*$G$51</f>
        <v/>
      </c>
      <c r="I955">
        <f>IF(K954&gt;0,MAX(0,K954*(1+$G$52)-$H$52),0)</f>
        <v/>
      </c>
      <c r="J955">
        <f>MAX(0,F955-E955)</f>
        <v/>
      </c>
      <c r="K955">
        <f>IF(I955-J955&gt;1E-9,I955-J955,0)</f>
        <v/>
      </c>
      <c r="L955">
        <f>K954*$G$52</f>
        <v/>
      </c>
      <c r="M955">
        <f>IF(O954&gt;0,MAX(0,O954*(1+$G$53)-$H$53),0)</f>
        <v/>
      </c>
      <c r="N955">
        <f>MAX(0,J955-I955)</f>
        <v/>
      </c>
      <c r="O955">
        <f>IF(M955-N955&gt;1E-9,M955-N955,0)</f>
        <v/>
      </c>
      <c r="P955">
        <f>O954*$G$53</f>
        <v/>
      </c>
      <c r="Q955">
        <f>IF(S954&gt;0,MAX(0,S954*(1+$G$54)-$H$54),0)</f>
        <v/>
      </c>
      <c r="R955">
        <f>MAX(0,N955-M955)</f>
        <v/>
      </c>
      <c r="S955">
        <f>IF(Q955-R955&gt;1E-9,Q955-R955,0)</f>
        <v/>
      </c>
      <c r="T955">
        <f>S954*$G$54</f>
        <v/>
      </c>
      <c r="U955">
        <f>IF(W954&gt;0,MAX(0,W954*(1+$G$55)-$H$55),0)</f>
        <v/>
      </c>
      <c r="V955">
        <f>MAX(0,R955-Q955)</f>
        <v/>
      </c>
      <c r="W955">
        <f>IF(U955-V955&gt;1E-9,U955-V955,0)</f>
        <v/>
      </c>
      <c r="X955">
        <f>W954*$G$55</f>
        <v/>
      </c>
      <c r="Y955">
        <f>IF(Y954&gt;1E-9,IF(Y954*(1+$G$51)-MAX($B$9,0.01*Y954+Y954*$G$51)&gt;1E-9,Y954*(1+$G$51)-MAX($B$9,0.01*Y954+Y954*$G$51),0),0)</f>
        <v/>
      </c>
      <c r="Z955">
        <f>Y954*$G$51</f>
        <v/>
      </c>
      <c r="AA955">
        <f>IF(AA954&gt;1E-9,IF(AA954*(1+$G$52)-MAX($B$9,0.01*AA954+AA954*$G$52)&gt;1E-9,AA954*(1+$G$52)-MAX($B$9,0.01*AA954+AA954*$G$52),0),0)</f>
        <v/>
      </c>
      <c r="AB955">
        <f>AA954*$G$52</f>
        <v/>
      </c>
      <c r="AC955">
        <f>IF(AC954&gt;1E-9,IF(AC954*(1+$G$53)-MAX($B$9,0.01*AC954+AC954*$G$53)&gt;1E-9,AC954*(1+$G$53)-MAX($B$9,0.01*AC954+AC954*$G$53),0),0)</f>
        <v/>
      </c>
      <c r="AD955">
        <f>AC954*$G$53</f>
        <v/>
      </c>
      <c r="AE955">
        <f>IF(AE954&gt;1E-9,IF(AE954*(1+$G$54)-MAX($B$9,0.01*AE954+AE954*$G$54)&gt;1E-9,AE954*(1+$G$54)-MAX($B$9,0.01*AE954+AE954*$G$54),0),0)</f>
        <v/>
      </c>
      <c r="AF955">
        <f>AE954*$G$54</f>
        <v/>
      </c>
      <c r="AG955">
        <f>IF(AG954&gt;1E-9,IF(AG954*(1+$G$55)-MAX($B$9,0.01*AG954+AG954*$G$55)&gt;1E-9,AG954*(1+$G$55)-MAX($B$9,0.01*AG954+AG954*$G$55),0),0)</f>
        <v/>
      </c>
      <c r="AH955">
        <f>AG954*$G$55</f>
        <v/>
      </c>
      <c r="AI955">
        <f>G955+K955+O955+S955+W955</f>
        <v/>
      </c>
      <c r="AJ955">
        <f>AI954+AK955-AI955</f>
        <v/>
      </c>
      <c r="AK955">
        <f>H955+L955+P955+T955+X955</f>
        <v/>
      </c>
      <c r="AL955">
        <f>TEXT(EDATE($B$5,D955-1),"mmm yyyy")</f>
        <v/>
      </c>
      <c r="AM955">
        <f>AI955</f>
        <v/>
      </c>
    </row>
    <row r="956">
      <c r="D956" t="n">
        <v>895</v>
      </c>
      <c r="E956">
        <f>IF(G955&gt;0,MAX(0,G955*(1+$G$51)-$H$51),0)</f>
        <v/>
      </c>
      <c r="F956">
        <f>$B$6+IF($D956=$B$8,$B$7,0)</f>
        <v/>
      </c>
      <c r="G956">
        <f>IF(E956-F956&gt;1E-9,E956-F956,0)</f>
        <v/>
      </c>
      <c r="H956">
        <f>G955*$G$51</f>
        <v/>
      </c>
      <c r="I956">
        <f>IF(K955&gt;0,MAX(0,K955*(1+$G$52)-$H$52),0)</f>
        <v/>
      </c>
      <c r="J956">
        <f>MAX(0,F956-E956)</f>
        <v/>
      </c>
      <c r="K956">
        <f>IF(I956-J956&gt;1E-9,I956-J956,0)</f>
        <v/>
      </c>
      <c r="L956">
        <f>K955*$G$52</f>
        <v/>
      </c>
      <c r="M956">
        <f>IF(O955&gt;0,MAX(0,O955*(1+$G$53)-$H$53),0)</f>
        <v/>
      </c>
      <c r="N956">
        <f>MAX(0,J956-I956)</f>
        <v/>
      </c>
      <c r="O956">
        <f>IF(M956-N956&gt;1E-9,M956-N956,0)</f>
        <v/>
      </c>
      <c r="P956">
        <f>O955*$G$53</f>
        <v/>
      </c>
      <c r="Q956">
        <f>IF(S955&gt;0,MAX(0,S955*(1+$G$54)-$H$54),0)</f>
        <v/>
      </c>
      <c r="R956">
        <f>MAX(0,N956-M956)</f>
        <v/>
      </c>
      <c r="S956">
        <f>IF(Q956-R956&gt;1E-9,Q956-R956,0)</f>
        <v/>
      </c>
      <c r="T956">
        <f>S955*$G$54</f>
        <v/>
      </c>
      <c r="U956">
        <f>IF(W955&gt;0,MAX(0,W955*(1+$G$55)-$H$55),0)</f>
        <v/>
      </c>
      <c r="V956">
        <f>MAX(0,R956-Q956)</f>
        <v/>
      </c>
      <c r="W956">
        <f>IF(U956-V956&gt;1E-9,U956-V956,0)</f>
        <v/>
      </c>
      <c r="X956">
        <f>W955*$G$55</f>
        <v/>
      </c>
      <c r="Y956">
        <f>IF(Y955&gt;1E-9,IF(Y955*(1+$G$51)-MAX($B$9,0.01*Y955+Y955*$G$51)&gt;1E-9,Y955*(1+$G$51)-MAX($B$9,0.01*Y955+Y955*$G$51),0),0)</f>
        <v/>
      </c>
      <c r="Z956">
        <f>Y955*$G$51</f>
        <v/>
      </c>
      <c r="AA956">
        <f>IF(AA955&gt;1E-9,IF(AA955*(1+$G$52)-MAX($B$9,0.01*AA955+AA955*$G$52)&gt;1E-9,AA955*(1+$G$52)-MAX($B$9,0.01*AA955+AA955*$G$52),0),0)</f>
        <v/>
      </c>
      <c r="AB956">
        <f>AA955*$G$52</f>
        <v/>
      </c>
      <c r="AC956">
        <f>IF(AC955&gt;1E-9,IF(AC955*(1+$G$53)-MAX($B$9,0.01*AC955+AC955*$G$53)&gt;1E-9,AC955*(1+$G$53)-MAX($B$9,0.01*AC955+AC955*$G$53),0),0)</f>
        <v/>
      </c>
      <c r="AD956">
        <f>AC955*$G$53</f>
        <v/>
      </c>
      <c r="AE956">
        <f>IF(AE955&gt;1E-9,IF(AE955*(1+$G$54)-MAX($B$9,0.01*AE955+AE955*$G$54)&gt;1E-9,AE955*(1+$G$54)-MAX($B$9,0.01*AE955+AE955*$G$54),0),0)</f>
        <v/>
      </c>
      <c r="AF956">
        <f>AE955*$G$54</f>
        <v/>
      </c>
      <c r="AG956">
        <f>IF(AG955&gt;1E-9,IF(AG955*(1+$G$55)-MAX($B$9,0.01*AG955+AG955*$G$55)&gt;1E-9,AG955*(1+$G$55)-MAX($B$9,0.01*AG955+AG955*$G$55),0),0)</f>
        <v/>
      </c>
      <c r="AH956">
        <f>AG955*$G$55</f>
        <v/>
      </c>
      <c r="AI956">
        <f>G956+K956+O956+S956+W956</f>
        <v/>
      </c>
      <c r="AJ956">
        <f>AI955+AK956-AI956</f>
        <v/>
      </c>
      <c r="AK956">
        <f>H956+L956+P956+T956+X956</f>
        <v/>
      </c>
      <c r="AL956">
        <f>TEXT(EDATE($B$5,D956-1),"mmm yyyy")</f>
        <v/>
      </c>
      <c r="AM956">
        <f>AI956</f>
        <v/>
      </c>
    </row>
    <row r="957">
      <c r="D957" t="n">
        <v>896</v>
      </c>
      <c r="E957">
        <f>IF(G956&gt;0,MAX(0,G956*(1+$G$51)-$H$51),0)</f>
        <v/>
      </c>
      <c r="F957">
        <f>$B$6+IF($D957=$B$8,$B$7,0)</f>
        <v/>
      </c>
      <c r="G957">
        <f>IF(E957-F957&gt;1E-9,E957-F957,0)</f>
        <v/>
      </c>
      <c r="H957">
        <f>G956*$G$51</f>
        <v/>
      </c>
      <c r="I957">
        <f>IF(K956&gt;0,MAX(0,K956*(1+$G$52)-$H$52),0)</f>
        <v/>
      </c>
      <c r="J957">
        <f>MAX(0,F957-E957)</f>
        <v/>
      </c>
      <c r="K957">
        <f>IF(I957-J957&gt;1E-9,I957-J957,0)</f>
        <v/>
      </c>
      <c r="L957">
        <f>K956*$G$52</f>
        <v/>
      </c>
      <c r="M957">
        <f>IF(O956&gt;0,MAX(0,O956*(1+$G$53)-$H$53),0)</f>
        <v/>
      </c>
      <c r="N957">
        <f>MAX(0,J957-I957)</f>
        <v/>
      </c>
      <c r="O957">
        <f>IF(M957-N957&gt;1E-9,M957-N957,0)</f>
        <v/>
      </c>
      <c r="P957">
        <f>O956*$G$53</f>
        <v/>
      </c>
      <c r="Q957">
        <f>IF(S956&gt;0,MAX(0,S956*(1+$G$54)-$H$54),0)</f>
        <v/>
      </c>
      <c r="R957">
        <f>MAX(0,N957-M957)</f>
        <v/>
      </c>
      <c r="S957">
        <f>IF(Q957-R957&gt;1E-9,Q957-R957,0)</f>
        <v/>
      </c>
      <c r="T957">
        <f>S956*$G$54</f>
        <v/>
      </c>
      <c r="U957">
        <f>IF(W956&gt;0,MAX(0,W956*(1+$G$55)-$H$55),0)</f>
        <v/>
      </c>
      <c r="V957">
        <f>MAX(0,R957-Q957)</f>
        <v/>
      </c>
      <c r="W957">
        <f>IF(U957-V957&gt;1E-9,U957-V957,0)</f>
        <v/>
      </c>
      <c r="X957">
        <f>W956*$G$55</f>
        <v/>
      </c>
      <c r="Y957">
        <f>IF(Y956&gt;1E-9,IF(Y956*(1+$G$51)-MAX($B$9,0.01*Y956+Y956*$G$51)&gt;1E-9,Y956*(1+$G$51)-MAX($B$9,0.01*Y956+Y956*$G$51),0),0)</f>
        <v/>
      </c>
      <c r="Z957">
        <f>Y956*$G$51</f>
        <v/>
      </c>
      <c r="AA957">
        <f>IF(AA956&gt;1E-9,IF(AA956*(1+$G$52)-MAX($B$9,0.01*AA956+AA956*$G$52)&gt;1E-9,AA956*(1+$G$52)-MAX($B$9,0.01*AA956+AA956*$G$52),0),0)</f>
        <v/>
      </c>
      <c r="AB957">
        <f>AA956*$G$52</f>
        <v/>
      </c>
      <c r="AC957">
        <f>IF(AC956&gt;1E-9,IF(AC956*(1+$G$53)-MAX($B$9,0.01*AC956+AC956*$G$53)&gt;1E-9,AC956*(1+$G$53)-MAX($B$9,0.01*AC956+AC956*$G$53),0),0)</f>
        <v/>
      </c>
      <c r="AD957">
        <f>AC956*$G$53</f>
        <v/>
      </c>
      <c r="AE957">
        <f>IF(AE956&gt;1E-9,IF(AE956*(1+$G$54)-MAX($B$9,0.01*AE956+AE956*$G$54)&gt;1E-9,AE956*(1+$G$54)-MAX($B$9,0.01*AE956+AE956*$G$54),0),0)</f>
        <v/>
      </c>
      <c r="AF957">
        <f>AE956*$G$54</f>
        <v/>
      </c>
      <c r="AG957">
        <f>IF(AG956&gt;1E-9,IF(AG956*(1+$G$55)-MAX($B$9,0.01*AG956+AG956*$G$55)&gt;1E-9,AG956*(1+$G$55)-MAX($B$9,0.01*AG956+AG956*$G$55),0),0)</f>
        <v/>
      </c>
      <c r="AH957">
        <f>AG956*$G$55</f>
        <v/>
      </c>
      <c r="AI957">
        <f>G957+K957+O957+S957+W957</f>
        <v/>
      </c>
      <c r="AJ957">
        <f>AI956+AK957-AI957</f>
        <v/>
      </c>
      <c r="AK957">
        <f>H957+L957+P957+T957+X957</f>
        <v/>
      </c>
      <c r="AL957">
        <f>TEXT(EDATE($B$5,D957-1),"mmm yyyy")</f>
        <v/>
      </c>
      <c r="AM957">
        <f>AI957</f>
        <v/>
      </c>
    </row>
    <row r="958">
      <c r="D958" t="n">
        <v>897</v>
      </c>
      <c r="E958">
        <f>IF(G957&gt;0,MAX(0,G957*(1+$G$51)-$H$51),0)</f>
        <v/>
      </c>
      <c r="F958">
        <f>$B$6+IF($D958=$B$8,$B$7,0)</f>
        <v/>
      </c>
      <c r="G958">
        <f>IF(E958-F958&gt;1E-9,E958-F958,0)</f>
        <v/>
      </c>
      <c r="H958">
        <f>G957*$G$51</f>
        <v/>
      </c>
      <c r="I958">
        <f>IF(K957&gt;0,MAX(0,K957*(1+$G$52)-$H$52),0)</f>
        <v/>
      </c>
      <c r="J958">
        <f>MAX(0,F958-E958)</f>
        <v/>
      </c>
      <c r="K958">
        <f>IF(I958-J958&gt;1E-9,I958-J958,0)</f>
        <v/>
      </c>
      <c r="L958">
        <f>K957*$G$52</f>
        <v/>
      </c>
      <c r="M958">
        <f>IF(O957&gt;0,MAX(0,O957*(1+$G$53)-$H$53),0)</f>
        <v/>
      </c>
      <c r="N958">
        <f>MAX(0,J958-I958)</f>
        <v/>
      </c>
      <c r="O958">
        <f>IF(M958-N958&gt;1E-9,M958-N958,0)</f>
        <v/>
      </c>
      <c r="P958">
        <f>O957*$G$53</f>
        <v/>
      </c>
      <c r="Q958">
        <f>IF(S957&gt;0,MAX(0,S957*(1+$G$54)-$H$54),0)</f>
        <v/>
      </c>
      <c r="R958">
        <f>MAX(0,N958-M958)</f>
        <v/>
      </c>
      <c r="S958">
        <f>IF(Q958-R958&gt;1E-9,Q958-R958,0)</f>
        <v/>
      </c>
      <c r="T958">
        <f>S957*$G$54</f>
        <v/>
      </c>
      <c r="U958">
        <f>IF(W957&gt;0,MAX(0,W957*(1+$G$55)-$H$55),0)</f>
        <v/>
      </c>
      <c r="V958">
        <f>MAX(0,R958-Q958)</f>
        <v/>
      </c>
      <c r="W958">
        <f>IF(U958-V958&gt;1E-9,U958-V958,0)</f>
        <v/>
      </c>
      <c r="X958">
        <f>W957*$G$55</f>
        <v/>
      </c>
      <c r="Y958">
        <f>IF(Y957&gt;1E-9,IF(Y957*(1+$G$51)-MAX($B$9,0.01*Y957+Y957*$G$51)&gt;1E-9,Y957*(1+$G$51)-MAX($B$9,0.01*Y957+Y957*$G$51),0),0)</f>
        <v/>
      </c>
      <c r="Z958">
        <f>Y957*$G$51</f>
        <v/>
      </c>
      <c r="AA958">
        <f>IF(AA957&gt;1E-9,IF(AA957*(1+$G$52)-MAX($B$9,0.01*AA957+AA957*$G$52)&gt;1E-9,AA957*(1+$G$52)-MAX($B$9,0.01*AA957+AA957*$G$52),0),0)</f>
        <v/>
      </c>
      <c r="AB958">
        <f>AA957*$G$52</f>
        <v/>
      </c>
      <c r="AC958">
        <f>IF(AC957&gt;1E-9,IF(AC957*(1+$G$53)-MAX($B$9,0.01*AC957+AC957*$G$53)&gt;1E-9,AC957*(1+$G$53)-MAX($B$9,0.01*AC957+AC957*$G$53),0),0)</f>
        <v/>
      </c>
      <c r="AD958">
        <f>AC957*$G$53</f>
        <v/>
      </c>
      <c r="AE958">
        <f>IF(AE957&gt;1E-9,IF(AE957*(1+$G$54)-MAX($B$9,0.01*AE957+AE957*$G$54)&gt;1E-9,AE957*(1+$G$54)-MAX($B$9,0.01*AE957+AE957*$G$54),0),0)</f>
        <v/>
      </c>
      <c r="AF958">
        <f>AE957*$G$54</f>
        <v/>
      </c>
      <c r="AG958">
        <f>IF(AG957&gt;1E-9,IF(AG957*(1+$G$55)-MAX($B$9,0.01*AG957+AG957*$G$55)&gt;1E-9,AG957*(1+$G$55)-MAX($B$9,0.01*AG957+AG957*$G$55),0),0)</f>
        <v/>
      </c>
      <c r="AH958">
        <f>AG957*$G$55</f>
        <v/>
      </c>
      <c r="AI958">
        <f>G958+K958+O958+S958+W958</f>
        <v/>
      </c>
      <c r="AJ958">
        <f>AI957+AK958-AI958</f>
        <v/>
      </c>
      <c r="AK958">
        <f>H958+L958+P958+T958+X958</f>
        <v/>
      </c>
      <c r="AL958">
        <f>TEXT(EDATE($B$5,D958-1),"mmm yyyy")</f>
        <v/>
      </c>
      <c r="AM958">
        <f>AI958</f>
        <v/>
      </c>
    </row>
    <row r="959">
      <c r="D959" t="n">
        <v>898</v>
      </c>
      <c r="E959">
        <f>IF(G958&gt;0,MAX(0,G958*(1+$G$51)-$H$51),0)</f>
        <v/>
      </c>
      <c r="F959">
        <f>$B$6+IF($D959=$B$8,$B$7,0)</f>
        <v/>
      </c>
      <c r="G959">
        <f>IF(E959-F959&gt;1E-9,E959-F959,0)</f>
        <v/>
      </c>
      <c r="H959">
        <f>G958*$G$51</f>
        <v/>
      </c>
      <c r="I959">
        <f>IF(K958&gt;0,MAX(0,K958*(1+$G$52)-$H$52),0)</f>
        <v/>
      </c>
      <c r="J959">
        <f>MAX(0,F959-E959)</f>
        <v/>
      </c>
      <c r="K959">
        <f>IF(I959-J959&gt;1E-9,I959-J959,0)</f>
        <v/>
      </c>
      <c r="L959">
        <f>K958*$G$52</f>
        <v/>
      </c>
      <c r="M959">
        <f>IF(O958&gt;0,MAX(0,O958*(1+$G$53)-$H$53),0)</f>
        <v/>
      </c>
      <c r="N959">
        <f>MAX(0,J959-I959)</f>
        <v/>
      </c>
      <c r="O959">
        <f>IF(M959-N959&gt;1E-9,M959-N959,0)</f>
        <v/>
      </c>
      <c r="P959">
        <f>O958*$G$53</f>
        <v/>
      </c>
      <c r="Q959">
        <f>IF(S958&gt;0,MAX(0,S958*(1+$G$54)-$H$54),0)</f>
        <v/>
      </c>
      <c r="R959">
        <f>MAX(0,N959-M959)</f>
        <v/>
      </c>
      <c r="S959">
        <f>IF(Q959-R959&gt;1E-9,Q959-R959,0)</f>
        <v/>
      </c>
      <c r="T959">
        <f>S958*$G$54</f>
        <v/>
      </c>
      <c r="U959">
        <f>IF(W958&gt;0,MAX(0,W958*(1+$G$55)-$H$55),0)</f>
        <v/>
      </c>
      <c r="V959">
        <f>MAX(0,R959-Q959)</f>
        <v/>
      </c>
      <c r="W959">
        <f>IF(U959-V959&gt;1E-9,U959-V959,0)</f>
        <v/>
      </c>
      <c r="X959">
        <f>W958*$G$55</f>
        <v/>
      </c>
      <c r="Y959">
        <f>IF(Y958&gt;1E-9,IF(Y958*(1+$G$51)-MAX($B$9,0.01*Y958+Y958*$G$51)&gt;1E-9,Y958*(1+$G$51)-MAX($B$9,0.01*Y958+Y958*$G$51),0),0)</f>
        <v/>
      </c>
      <c r="Z959">
        <f>Y958*$G$51</f>
        <v/>
      </c>
      <c r="AA959">
        <f>IF(AA958&gt;1E-9,IF(AA958*(1+$G$52)-MAX($B$9,0.01*AA958+AA958*$G$52)&gt;1E-9,AA958*(1+$G$52)-MAX($B$9,0.01*AA958+AA958*$G$52),0),0)</f>
        <v/>
      </c>
      <c r="AB959">
        <f>AA958*$G$52</f>
        <v/>
      </c>
      <c r="AC959">
        <f>IF(AC958&gt;1E-9,IF(AC958*(1+$G$53)-MAX($B$9,0.01*AC958+AC958*$G$53)&gt;1E-9,AC958*(1+$G$53)-MAX($B$9,0.01*AC958+AC958*$G$53),0),0)</f>
        <v/>
      </c>
      <c r="AD959">
        <f>AC958*$G$53</f>
        <v/>
      </c>
      <c r="AE959">
        <f>IF(AE958&gt;1E-9,IF(AE958*(1+$G$54)-MAX($B$9,0.01*AE958+AE958*$G$54)&gt;1E-9,AE958*(1+$G$54)-MAX($B$9,0.01*AE958+AE958*$G$54),0),0)</f>
        <v/>
      </c>
      <c r="AF959">
        <f>AE958*$G$54</f>
        <v/>
      </c>
      <c r="AG959">
        <f>IF(AG958&gt;1E-9,IF(AG958*(1+$G$55)-MAX($B$9,0.01*AG958+AG958*$G$55)&gt;1E-9,AG958*(1+$G$55)-MAX($B$9,0.01*AG958+AG958*$G$55),0),0)</f>
        <v/>
      </c>
      <c r="AH959">
        <f>AG958*$G$55</f>
        <v/>
      </c>
      <c r="AI959">
        <f>G959+K959+O959+S959+W959</f>
        <v/>
      </c>
      <c r="AJ959">
        <f>AI958+AK959-AI959</f>
        <v/>
      </c>
      <c r="AK959">
        <f>H959+L959+P959+T959+X959</f>
        <v/>
      </c>
      <c r="AL959">
        <f>TEXT(EDATE($B$5,D959-1),"mmm yyyy")</f>
        <v/>
      </c>
      <c r="AM959">
        <f>AI959</f>
        <v/>
      </c>
    </row>
    <row r="960">
      <c r="D960" t="n">
        <v>899</v>
      </c>
      <c r="E960">
        <f>IF(G959&gt;0,MAX(0,G959*(1+$G$51)-$H$51),0)</f>
        <v/>
      </c>
      <c r="F960">
        <f>$B$6+IF($D960=$B$8,$B$7,0)</f>
        <v/>
      </c>
      <c r="G960">
        <f>IF(E960-F960&gt;1E-9,E960-F960,0)</f>
        <v/>
      </c>
      <c r="H960">
        <f>G959*$G$51</f>
        <v/>
      </c>
      <c r="I960">
        <f>IF(K959&gt;0,MAX(0,K959*(1+$G$52)-$H$52),0)</f>
        <v/>
      </c>
      <c r="J960">
        <f>MAX(0,F960-E960)</f>
        <v/>
      </c>
      <c r="K960">
        <f>IF(I960-J960&gt;1E-9,I960-J960,0)</f>
        <v/>
      </c>
      <c r="L960">
        <f>K959*$G$52</f>
        <v/>
      </c>
      <c r="M960">
        <f>IF(O959&gt;0,MAX(0,O959*(1+$G$53)-$H$53),0)</f>
        <v/>
      </c>
      <c r="N960">
        <f>MAX(0,J960-I960)</f>
        <v/>
      </c>
      <c r="O960">
        <f>IF(M960-N960&gt;1E-9,M960-N960,0)</f>
        <v/>
      </c>
      <c r="P960">
        <f>O959*$G$53</f>
        <v/>
      </c>
      <c r="Q960">
        <f>IF(S959&gt;0,MAX(0,S959*(1+$G$54)-$H$54),0)</f>
        <v/>
      </c>
      <c r="R960">
        <f>MAX(0,N960-M960)</f>
        <v/>
      </c>
      <c r="S960">
        <f>IF(Q960-R960&gt;1E-9,Q960-R960,0)</f>
        <v/>
      </c>
      <c r="T960">
        <f>S959*$G$54</f>
        <v/>
      </c>
      <c r="U960">
        <f>IF(W959&gt;0,MAX(0,W959*(1+$G$55)-$H$55),0)</f>
        <v/>
      </c>
      <c r="V960">
        <f>MAX(0,R960-Q960)</f>
        <v/>
      </c>
      <c r="W960">
        <f>IF(U960-V960&gt;1E-9,U960-V960,0)</f>
        <v/>
      </c>
      <c r="X960">
        <f>W959*$G$55</f>
        <v/>
      </c>
      <c r="Y960">
        <f>IF(Y959&gt;1E-9,IF(Y959*(1+$G$51)-MAX($B$9,0.01*Y959+Y959*$G$51)&gt;1E-9,Y959*(1+$G$51)-MAX($B$9,0.01*Y959+Y959*$G$51),0),0)</f>
        <v/>
      </c>
      <c r="Z960">
        <f>Y959*$G$51</f>
        <v/>
      </c>
      <c r="AA960">
        <f>IF(AA959&gt;1E-9,IF(AA959*(1+$G$52)-MAX($B$9,0.01*AA959+AA959*$G$52)&gt;1E-9,AA959*(1+$G$52)-MAX($B$9,0.01*AA959+AA959*$G$52),0),0)</f>
        <v/>
      </c>
      <c r="AB960">
        <f>AA959*$G$52</f>
        <v/>
      </c>
      <c r="AC960">
        <f>IF(AC959&gt;1E-9,IF(AC959*(1+$G$53)-MAX($B$9,0.01*AC959+AC959*$G$53)&gt;1E-9,AC959*(1+$G$53)-MAX($B$9,0.01*AC959+AC959*$G$53),0),0)</f>
        <v/>
      </c>
      <c r="AD960">
        <f>AC959*$G$53</f>
        <v/>
      </c>
      <c r="AE960">
        <f>IF(AE959&gt;1E-9,IF(AE959*(1+$G$54)-MAX($B$9,0.01*AE959+AE959*$G$54)&gt;1E-9,AE959*(1+$G$54)-MAX($B$9,0.01*AE959+AE959*$G$54),0),0)</f>
        <v/>
      </c>
      <c r="AF960">
        <f>AE959*$G$54</f>
        <v/>
      </c>
      <c r="AG960">
        <f>IF(AG959&gt;1E-9,IF(AG959*(1+$G$55)-MAX($B$9,0.01*AG959+AG959*$G$55)&gt;1E-9,AG959*(1+$G$55)-MAX($B$9,0.01*AG959+AG959*$G$55),0),0)</f>
        <v/>
      </c>
      <c r="AH960">
        <f>AG959*$G$55</f>
        <v/>
      </c>
      <c r="AI960">
        <f>G960+K960+O960+S960+W960</f>
        <v/>
      </c>
      <c r="AJ960">
        <f>AI959+AK960-AI960</f>
        <v/>
      </c>
      <c r="AK960">
        <f>H960+L960+P960+T960+X960</f>
        <v/>
      </c>
      <c r="AL960">
        <f>TEXT(EDATE($B$5,D960-1),"mmm yyyy")</f>
        <v/>
      </c>
      <c r="AM960">
        <f>AI960</f>
        <v/>
      </c>
    </row>
    <row r="961">
      <c r="D961" t="n">
        <v>900</v>
      </c>
      <c r="E961">
        <f>IF(G960&gt;0,MAX(0,G960*(1+$G$51)-$H$51),0)</f>
        <v/>
      </c>
      <c r="F961">
        <f>$B$6+IF($D961=$B$8,$B$7,0)</f>
        <v/>
      </c>
      <c r="G961">
        <f>IF(E961-F961&gt;1E-9,E961-F961,0)</f>
        <v/>
      </c>
      <c r="H961">
        <f>G960*$G$51</f>
        <v/>
      </c>
      <c r="I961">
        <f>IF(K960&gt;0,MAX(0,K960*(1+$G$52)-$H$52),0)</f>
        <v/>
      </c>
      <c r="J961">
        <f>MAX(0,F961-E961)</f>
        <v/>
      </c>
      <c r="K961">
        <f>IF(I961-J961&gt;1E-9,I961-J961,0)</f>
        <v/>
      </c>
      <c r="L961">
        <f>K960*$G$52</f>
        <v/>
      </c>
      <c r="M961">
        <f>IF(O960&gt;0,MAX(0,O960*(1+$G$53)-$H$53),0)</f>
        <v/>
      </c>
      <c r="N961">
        <f>MAX(0,J961-I961)</f>
        <v/>
      </c>
      <c r="O961">
        <f>IF(M961-N961&gt;1E-9,M961-N961,0)</f>
        <v/>
      </c>
      <c r="P961">
        <f>O960*$G$53</f>
        <v/>
      </c>
      <c r="Q961">
        <f>IF(S960&gt;0,MAX(0,S960*(1+$G$54)-$H$54),0)</f>
        <v/>
      </c>
      <c r="R961">
        <f>MAX(0,N961-M961)</f>
        <v/>
      </c>
      <c r="S961">
        <f>IF(Q961-R961&gt;1E-9,Q961-R961,0)</f>
        <v/>
      </c>
      <c r="T961">
        <f>S960*$G$54</f>
        <v/>
      </c>
      <c r="U961">
        <f>IF(W960&gt;0,MAX(0,W960*(1+$G$55)-$H$55),0)</f>
        <v/>
      </c>
      <c r="V961">
        <f>MAX(0,R961-Q961)</f>
        <v/>
      </c>
      <c r="W961">
        <f>IF(U961-V961&gt;1E-9,U961-V961,0)</f>
        <v/>
      </c>
      <c r="X961">
        <f>W960*$G$55</f>
        <v/>
      </c>
      <c r="Y961">
        <f>IF(Y960&gt;1E-9,IF(Y960*(1+$G$51)-MAX($B$9,0.01*Y960+Y960*$G$51)&gt;1E-9,Y960*(1+$G$51)-MAX($B$9,0.01*Y960+Y960*$G$51),0),0)</f>
        <v/>
      </c>
      <c r="Z961">
        <f>Y960*$G$51</f>
        <v/>
      </c>
      <c r="AA961">
        <f>IF(AA960&gt;1E-9,IF(AA960*(1+$G$52)-MAX($B$9,0.01*AA960+AA960*$G$52)&gt;1E-9,AA960*(1+$G$52)-MAX($B$9,0.01*AA960+AA960*$G$52),0),0)</f>
        <v/>
      </c>
      <c r="AB961">
        <f>AA960*$G$52</f>
        <v/>
      </c>
      <c r="AC961">
        <f>IF(AC960&gt;1E-9,IF(AC960*(1+$G$53)-MAX($B$9,0.01*AC960+AC960*$G$53)&gt;1E-9,AC960*(1+$G$53)-MAX($B$9,0.01*AC960+AC960*$G$53),0),0)</f>
        <v/>
      </c>
      <c r="AD961">
        <f>AC960*$G$53</f>
        <v/>
      </c>
      <c r="AE961">
        <f>IF(AE960&gt;1E-9,IF(AE960*(1+$G$54)-MAX($B$9,0.01*AE960+AE960*$G$54)&gt;1E-9,AE960*(1+$G$54)-MAX($B$9,0.01*AE960+AE960*$G$54),0),0)</f>
        <v/>
      </c>
      <c r="AF961">
        <f>AE960*$G$54</f>
        <v/>
      </c>
      <c r="AG961">
        <f>IF(AG960&gt;1E-9,IF(AG960*(1+$G$55)-MAX($B$9,0.01*AG960+AG960*$G$55)&gt;1E-9,AG960*(1+$G$55)-MAX($B$9,0.01*AG960+AG960*$G$55),0),0)</f>
        <v/>
      </c>
      <c r="AH961">
        <f>AG960*$G$55</f>
        <v/>
      </c>
      <c r="AI961">
        <f>G961+K961+O961+S961+W961</f>
        <v/>
      </c>
      <c r="AJ961">
        <f>AI960+AK961-AI961</f>
        <v/>
      </c>
      <c r="AK961">
        <f>H961+L961+P961+T961+X961</f>
        <v/>
      </c>
      <c r="AL961">
        <f>TEXT(EDATE($B$5,D961-1),"mmm yyyy")</f>
        <v/>
      </c>
      <c r="AM961">
        <f>AI961</f>
        <v/>
      </c>
    </row>
    <row r="962">
      <c r="D962" t="n">
        <v>901</v>
      </c>
      <c r="E962">
        <f>IF(G961&gt;0,MAX(0,G961*(1+$G$51)-$H$51),0)</f>
        <v/>
      </c>
      <c r="F962">
        <f>$B$6+IF($D962=$B$8,$B$7,0)</f>
        <v/>
      </c>
      <c r="G962">
        <f>IF(E962-F962&gt;1E-9,E962-F962,0)</f>
        <v/>
      </c>
      <c r="H962">
        <f>G961*$G$51</f>
        <v/>
      </c>
      <c r="I962">
        <f>IF(K961&gt;0,MAX(0,K961*(1+$G$52)-$H$52),0)</f>
        <v/>
      </c>
      <c r="J962">
        <f>MAX(0,F962-E962)</f>
        <v/>
      </c>
      <c r="K962">
        <f>IF(I962-J962&gt;1E-9,I962-J962,0)</f>
        <v/>
      </c>
      <c r="L962">
        <f>K961*$G$52</f>
        <v/>
      </c>
      <c r="M962">
        <f>IF(O961&gt;0,MAX(0,O961*(1+$G$53)-$H$53),0)</f>
        <v/>
      </c>
      <c r="N962">
        <f>MAX(0,J962-I962)</f>
        <v/>
      </c>
      <c r="O962">
        <f>IF(M962-N962&gt;1E-9,M962-N962,0)</f>
        <v/>
      </c>
      <c r="P962">
        <f>O961*$G$53</f>
        <v/>
      </c>
      <c r="Q962">
        <f>IF(S961&gt;0,MAX(0,S961*(1+$G$54)-$H$54),0)</f>
        <v/>
      </c>
      <c r="R962">
        <f>MAX(0,N962-M962)</f>
        <v/>
      </c>
      <c r="S962">
        <f>IF(Q962-R962&gt;1E-9,Q962-R962,0)</f>
        <v/>
      </c>
      <c r="T962">
        <f>S961*$G$54</f>
        <v/>
      </c>
      <c r="U962">
        <f>IF(W961&gt;0,MAX(0,W961*(1+$G$55)-$H$55),0)</f>
        <v/>
      </c>
      <c r="V962">
        <f>MAX(0,R962-Q962)</f>
        <v/>
      </c>
      <c r="W962">
        <f>IF(U962-V962&gt;1E-9,U962-V962,0)</f>
        <v/>
      </c>
      <c r="X962">
        <f>W961*$G$55</f>
        <v/>
      </c>
      <c r="Y962">
        <f>IF(Y961&gt;1E-9,IF(Y961*(1+$G$51)-MAX($B$9,0.01*Y961+Y961*$G$51)&gt;1E-9,Y961*(1+$G$51)-MAX($B$9,0.01*Y961+Y961*$G$51),0),0)</f>
        <v/>
      </c>
      <c r="Z962">
        <f>Y961*$G$51</f>
        <v/>
      </c>
      <c r="AA962">
        <f>IF(AA961&gt;1E-9,IF(AA961*(1+$G$52)-MAX($B$9,0.01*AA961+AA961*$G$52)&gt;1E-9,AA961*(1+$G$52)-MAX($B$9,0.01*AA961+AA961*$G$52),0),0)</f>
        <v/>
      </c>
      <c r="AB962">
        <f>AA961*$G$52</f>
        <v/>
      </c>
      <c r="AC962">
        <f>IF(AC961&gt;1E-9,IF(AC961*(1+$G$53)-MAX($B$9,0.01*AC961+AC961*$G$53)&gt;1E-9,AC961*(1+$G$53)-MAX($B$9,0.01*AC961+AC961*$G$53),0),0)</f>
        <v/>
      </c>
      <c r="AD962">
        <f>AC961*$G$53</f>
        <v/>
      </c>
      <c r="AE962">
        <f>IF(AE961&gt;1E-9,IF(AE961*(1+$G$54)-MAX($B$9,0.01*AE961+AE961*$G$54)&gt;1E-9,AE961*(1+$G$54)-MAX($B$9,0.01*AE961+AE961*$G$54),0),0)</f>
        <v/>
      </c>
      <c r="AF962">
        <f>AE961*$G$54</f>
        <v/>
      </c>
      <c r="AG962">
        <f>IF(AG961&gt;1E-9,IF(AG961*(1+$G$55)-MAX($B$9,0.01*AG961+AG961*$G$55)&gt;1E-9,AG961*(1+$G$55)-MAX($B$9,0.01*AG961+AG961*$G$55),0),0)</f>
        <v/>
      </c>
      <c r="AH962">
        <f>AG961*$G$55</f>
        <v/>
      </c>
      <c r="AI962">
        <f>G962+K962+O962+S962+W962</f>
        <v/>
      </c>
      <c r="AJ962">
        <f>AI961+AK962-AI962</f>
        <v/>
      </c>
      <c r="AK962">
        <f>H962+L962+P962+T962+X962</f>
        <v/>
      </c>
      <c r="AL962">
        <f>TEXT(EDATE($B$5,D962-1),"mmm yyyy")</f>
        <v/>
      </c>
      <c r="AM962">
        <f>AI962</f>
        <v/>
      </c>
    </row>
    <row r="963">
      <c r="D963" t="n">
        <v>902</v>
      </c>
      <c r="E963">
        <f>IF(G962&gt;0,MAX(0,G962*(1+$G$51)-$H$51),0)</f>
        <v/>
      </c>
      <c r="F963">
        <f>$B$6+IF($D963=$B$8,$B$7,0)</f>
        <v/>
      </c>
      <c r="G963">
        <f>IF(E963-F963&gt;1E-9,E963-F963,0)</f>
        <v/>
      </c>
      <c r="H963">
        <f>G962*$G$51</f>
        <v/>
      </c>
      <c r="I963">
        <f>IF(K962&gt;0,MAX(0,K962*(1+$G$52)-$H$52),0)</f>
        <v/>
      </c>
      <c r="J963">
        <f>MAX(0,F963-E963)</f>
        <v/>
      </c>
      <c r="K963">
        <f>IF(I963-J963&gt;1E-9,I963-J963,0)</f>
        <v/>
      </c>
      <c r="L963">
        <f>K962*$G$52</f>
        <v/>
      </c>
      <c r="M963">
        <f>IF(O962&gt;0,MAX(0,O962*(1+$G$53)-$H$53),0)</f>
        <v/>
      </c>
      <c r="N963">
        <f>MAX(0,J963-I963)</f>
        <v/>
      </c>
      <c r="O963">
        <f>IF(M963-N963&gt;1E-9,M963-N963,0)</f>
        <v/>
      </c>
      <c r="P963">
        <f>O962*$G$53</f>
        <v/>
      </c>
      <c r="Q963">
        <f>IF(S962&gt;0,MAX(0,S962*(1+$G$54)-$H$54),0)</f>
        <v/>
      </c>
      <c r="R963">
        <f>MAX(0,N963-M963)</f>
        <v/>
      </c>
      <c r="S963">
        <f>IF(Q963-R963&gt;1E-9,Q963-R963,0)</f>
        <v/>
      </c>
      <c r="T963">
        <f>S962*$G$54</f>
        <v/>
      </c>
      <c r="U963">
        <f>IF(W962&gt;0,MAX(0,W962*(1+$G$55)-$H$55),0)</f>
        <v/>
      </c>
      <c r="V963">
        <f>MAX(0,R963-Q963)</f>
        <v/>
      </c>
      <c r="W963">
        <f>IF(U963-V963&gt;1E-9,U963-V963,0)</f>
        <v/>
      </c>
      <c r="X963">
        <f>W962*$G$55</f>
        <v/>
      </c>
      <c r="Y963">
        <f>IF(Y962&gt;1E-9,IF(Y962*(1+$G$51)-MAX($B$9,0.01*Y962+Y962*$G$51)&gt;1E-9,Y962*(1+$G$51)-MAX($B$9,0.01*Y962+Y962*$G$51),0),0)</f>
        <v/>
      </c>
      <c r="Z963">
        <f>Y962*$G$51</f>
        <v/>
      </c>
      <c r="AA963">
        <f>IF(AA962&gt;1E-9,IF(AA962*(1+$G$52)-MAX($B$9,0.01*AA962+AA962*$G$52)&gt;1E-9,AA962*(1+$G$52)-MAX($B$9,0.01*AA962+AA962*$G$52),0),0)</f>
        <v/>
      </c>
      <c r="AB963">
        <f>AA962*$G$52</f>
        <v/>
      </c>
      <c r="AC963">
        <f>IF(AC962&gt;1E-9,IF(AC962*(1+$G$53)-MAX($B$9,0.01*AC962+AC962*$G$53)&gt;1E-9,AC962*(1+$G$53)-MAX($B$9,0.01*AC962+AC962*$G$53),0),0)</f>
        <v/>
      </c>
      <c r="AD963">
        <f>AC962*$G$53</f>
        <v/>
      </c>
      <c r="AE963">
        <f>IF(AE962&gt;1E-9,IF(AE962*(1+$G$54)-MAX($B$9,0.01*AE962+AE962*$G$54)&gt;1E-9,AE962*(1+$G$54)-MAX($B$9,0.01*AE962+AE962*$G$54),0),0)</f>
        <v/>
      </c>
      <c r="AF963">
        <f>AE962*$G$54</f>
        <v/>
      </c>
      <c r="AG963">
        <f>IF(AG962&gt;1E-9,IF(AG962*(1+$G$55)-MAX($B$9,0.01*AG962+AG962*$G$55)&gt;1E-9,AG962*(1+$G$55)-MAX($B$9,0.01*AG962+AG962*$G$55),0),0)</f>
        <v/>
      </c>
      <c r="AH963">
        <f>AG962*$G$55</f>
        <v/>
      </c>
      <c r="AI963">
        <f>G963+K963+O963+S963+W963</f>
        <v/>
      </c>
      <c r="AJ963">
        <f>AI962+AK963-AI963</f>
        <v/>
      </c>
      <c r="AK963">
        <f>H963+L963+P963+T963+X963</f>
        <v/>
      </c>
      <c r="AL963">
        <f>TEXT(EDATE($B$5,D963-1),"mmm yyyy")</f>
        <v/>
      </c>
      <c r="AM963">
        <f>AI963</f>
        <v/>
      </c>
    </row>
    <row r="964">
      <c r="D964" t="n">
        <v>903</v>
      </c>
      <c r="E964">
        <f>IF(G963&gt;0,MAX(0,G963*(1+$G$51)-$H$51),0)</f>
        <v/>
      </c>
      <c r="F964">
        <f>$B$6+IF($D964=$B$8,$B$7,0)</f>
        <v/>
      </c>
      <c r="G964">
        <f>IF(E964-F964&gt;1E-9,E964-F964,0)</f>
        <v/>
      </c>
      <c r="H964">
        <f>G963*$G$51</f>
        <v/>
      </c>
      <c r="I964">
        <f>IF(K963&gt;0,MAX(0,K963*(1+$G$52)-$H$52),0)</f>
        <v/>
      </c>
      <c r="J964">
        <f>MAX(0,F964-E964)</f>
        <v/>
      </c>
      <c r="K964">
        <f>IF(I964-J964&gt;1E-9,I964-J964,0)</f>
        <v/>
      </c>
      <c r="L964">
        <f>K963*$G$52</f>
        <v/>
      </c>
      <c r="M964">
        <f>IF(O963&gt;0,MAX(0,O963*(1+$G$53)-$H$53),0)</f>
        <v/>
      </c>
      <c r="N964">
        <f>MAX(0,J964-I964)</f>
        <v/>
      </c>
      <c r="O964">
        <f>IF(M964-N964&gt;1E-9,M964-N964,0)</f>
        <v/>
      </c>
      <c r="P964">
        <f>O963*$G$53</f>
        <v/>
      </c>
      <c r="Q964">
        <f>IF(S963&gt;0,MAX(0,S963*(1+$G$54)-$H$54),0)</f>
        <v/>
      </c>
      <c r="R964">
        <f>MAX(0,N964-M964)</f>
        <v/>
      </c>
      <c r="S964">
        <f>IF(Q964-R964&gt;1E-9,Q964-R964,0)</f>
        <v/>
      </c>
      <c r="T964">
        <f>S963*$G$54</f>
        <v/>
      </c>
      <c r="U964">
        <f>IF(W963&gt;0,MAX(0,W963*(1+$G$55)-$H$55),0)</f>
        <v/>
      </c>
      <c r="V964">
        <f>MAX(0,R964-Q964)</f>
        <v/>
      </c>
      <c r="W964">
        <f>IF(U964-V964&gt;1E-9,U964-V964,0)</f>
        <v/>
      </c>
      <c r="X964">
        <f>W963*$G$55</f>
        <v/>
      </c>
      <c r="Y964">
        <f>IF(Y963&gt;1E-9,IF(Y963*(1+$G$51)-MAX($B$9,0.01*Y963+Y963*$G$51)&gt;1E-9,Y963*(1+$G$51)-MAX($B$9,0.01*Y963+Y963*$G$51),0),0)</f>
        <v/>
      </c>
      <c r="Z964">
        <f>Y963*$G$51</f>
        <v/>
      </c>
      <c r="AA964">
        <f>IF(AA963&gt;1E-9,IF(AA963*(1+$G$52)-MAX($B$9,0.01*AA963+AA963*$G$52)&gt;1E-9,AA963*(1+$G$52)-MAX($B$9,0.01*AA963+AA963*$G$52),0),0)</f>
        <v/>
      </c>
      <c r="AB964">
        <f>AA963*$G$52</f>
        <v/>
      </c>
      <c r="AC964">
        <f>IF(AC963&gt;1E-9,IF(AC963*(1+$G$53)-MAX($B$9,0.01*AC963+AC963*$G$53)&gt;1E-9,AC963*(1+$G$53)-MAX($B$9,0.01*AC963+AC963*$G$53),0),0)</f>
        <v/>
      </c>
      <c r="AD964">
        <f>AC963*$G$53</f>
        <v/>
      </c>
      <c r="AE964">
        <f>IF(AE963&gt;1E-9,IF(AE963*(1+$G$54)-MAX($B$9,0.01*AE963+AE963*$G$54)&gt;1E-9,AE963*(1+$G$54)-MAX($B$9,0.01*AE963+AE963*$G$54),0),0)</f>
        <v/>
      </c>
      <c r="AF964">
        <f>AE963*$G$54</f>
        <v/>
      </c>
      <c r="AG964">
        <f>IF(AG963&gt;1E-9,IF(AG963*(1+$G$55)-MAX($B$9,0.01*AG963+AG963*$G$55)&gt;1E-9,AG963*(1+$G$55)-MAX($B$9,0.01*AG963+AG963*$G$55),0),0)</f>
        <v/>
      </c>
      <c r="AH964">
        <f>AG963*$G$55</f>
        <v/>
      </c>
      <c r="AI964">
        <f>G964+K964+O964+S964+W964</f>
        <v/>
      </c>
      <c r="AJ964">
        <f>AI963+AK964-AI964</f>
        <v/>
      </c>
      <c r="AK964">
        <f>H964+L964+P964+T964+X964</f>
        <v/>
      </c>
      <c r="AL964">
        <f>TEXT(EDATE($B$5,D964-1),"mmm yyyy")</f>
        <v/>
      </c>
      <c r="AM964">
        <f>AI964</f>
        <v/>
      </c>
    </row>
    <row r="965">
      <c r="D965" t="n">
        <v>904</v>
      </c>
      <c r="E965">
        <f>IF(G964&gt;0,MAX(0,G964*(1+$G$51)-$H$51),0)</f>
        <v/>
      </c>
      <c r="F965">
        <f>$B$6+IF($D965=$B$8,$B$7,0)</f>
        <v/>
      </c>
      <c r="G965">
        <f>IF(E965-F965&gt;1E-9,E965-F965,0)</f>
        <v/>
      </c>
      <c r="H965">
        <f>G964*$G$51</f>
        <v/>
      </c>
      <c r="I965">
        <f>IF(K964&gt;0,MAX(0,K964*(1+$G$52)-$H$52),0)</f>
        <v/>
      </c>
      <c r="J965">
        <f>MAX(0,F965-E965)</f>
        <v/>
      </c>
      <c r="K965">
        <f>IF(I965-J965&gt;1E-9,I965-J965,0)</f>
        <v/>
      </c>
      <c r="L965">
        <f>K964*$G$52</f>
        <v/>
      </c>
      <c r="M965">
        <f>IF(O964&gt;0,MAX(0,O964*(1+$G$53)-$H$53),0)</f>
        <v/>
      </c>
      <c r="N965">
        <f>MAX(0,J965-I965)</f>
        <v/>
      </c>
      <c r="O965">
        <f>IF(M965-N965&gt;1E-9,M965-N965,0)</f>
        <v/>
      </c>
      <c r="P965">
        <f>O964*$G$53</f>
        <v/>
      </c>
      <c r="Q965">
        <f>IF(S964&gt;0,MAX(0,S964*(1+$G$54)-$H$54),0)</f>
        <v/>
      </c>
      <c r="R965">
        <f>MAX(0,N965-M965)</f>
        <v/>
      </c>
      <c r="S965">
        <f>IF(Q965-R965&gt;1E-9,Q965-R965,0)</f>
        <v/>
      </c>
      <c r="T965">
        <f>S964*$G$54</f>
        <v/>
      </c>
      <c r="U965">
        <f>IF(W964&gt;0,MAX(0,W964*(1+$G$55)-$H$55),0)</f>
        <v/>
      </c>
      <c r="V965">
        <f>MAX(0,R965-Q965)</f>
        <v/>
      </c>
      <c r="W965">
        <f>IF(U965-V965&gt;1E-9,U965-V965,0)</f>
        <v/>
      </c>
      <c r="X965">
        <f>W964*$G$55</f>
        <v/>
      </c>
      <c r="Y965">
        <f>IF(Y964&gt;1E-9,IF(Y964*(1+$G$51)-MAX($B$9,0.01*Y964+Y964*$G$51)&gt;1E-9,Y964*(1+$G$51)-MAX($B$9,0.01*Y964+Y964*$G$51),0),0)</f>
        <v/>
      </c>
      <c r="Z965">
        <f>Y964*$G$51</f>
        <v/>
      </c>
      <c r="AA965">
        <f>IF(AA964&gt;1E-9,IF(AA964*(1+$G$52)-MAX($B$9,0.01*AA964+AA964*$G$52)&gt;1E-9,AA964*(1+$G$52)-MAX($B$9,0.01*AA964+AA964*$G$52),0),0)</f>
        <v/>
      </c>
      <c r="AB965">
        <f>AA964*$G$52</f>
        <v/>
      </c>
      <c r="AC965">
        <f>IF(AC964&gt;1E-9,IF(AC964*(1+$G$53)-MAX($B$9,0.01*AC964+AC964*$G$53)&gt;1E-9,AC964*(1+$G$53)-MAX($B$9,0.01*AC964+AC964*$G$53),0),0)</f>
        <v/>
      </c>
      <c r="AD965">
        <f>AC964*$G$53</f>
        <v/>
      </c>
      <c r="AE965">
        <f>IF(AE964&gt;1E-9,IF(AE964*(1+$G$54)-MAX($B$9,0.01*AE964+AE964*$G$54)&gt;1E-9,AE964*(1+$G$54)-MAX($B$9,0.01*AE964+AE964*$G$54),0),0)</f>
        <v/>
      </c>
      <c r="AF965">
        <f>AE964*$G$54</f>
        <v/>
      </c>
      <c r="AG965">
        <f>IF(AG964&gt;1E-9,IF(AG964*(1+$G$55)-MAX($B$9,0.01*AG964+AG964*$G$55)&gt;1E-9,AG964*(1+$G$55)-MAX($B$9,0.01*AG964+AG964*$G$55),0),0)</f>
        <v/>
      </c>
      <c r="AH965">
        <f>AG964*$G$55</f>
        <v/>
      </c>
      <c r="AI965">
        <f>G965+K965+O965+S965+W965</f>
        <v/>
      </c>
      <c r="AJ965">
        <f>AI964+AK965-AI965</f>
        <v/>
      </c>
      <c r="AK965">
        <f>H965+L965+P965+T965+X965</f>
        <v/>
      </c>
      <c r="AL965">
        <f>TEXT(EDATE($B$5,D965-1),"mmm yyyy")</f>
        <v/>
      </c>
      <c r="AM965">
        <f>AI965</f>
        <v/>
      </c>
    </row>
    <row r="966">
      <c r="D966" t="n">
        <v>905</v>
      </c>
      <c r="E966">
        <f>IF(G965&gt;0,MAX(0,G965*(1+$G$51)-$H$51),0)</f>
        <v/>
      </c>
      <c r="F966">
        <f>$B$6+IF($D966=$B$8,$B$7,0)</f>
        <v/>
      </c>
      <c r="G966">
        <f>IF(E966-F966&gt;1E-9,E966-F966,0)</f>
        <v/>
      </c>
      <c r="H966">
        <f>G965*$G$51</f>
        <v/>
      </c>
      <c r="I966">
        <f>IF(K965&gt;0,MAX(0,K965*(1+$G$52)-$H$52),0)</f>
        <v/>
      </c>
      <c r="J966">
        <f>MAX(0,F966-E966)</f>
        <v/>
      </c>
      <c r="K966">
        <f>IF(I966-J966&gt;1E-9,I966-J966,0)</f>
        <v/>
      </c>
      <c r="L966">
        <f>K965*$G$52</f>
        <v/>
      </c>
      <c r="M966">
        <f>IF(O965&gt;0,MAX(0,O965*(1+$G$53)-$H$53),0)</f>
        <v/>
      </c>
      <c r="N966">
        <f>MAX(0,J966-I966)</f>
        <v/>
      </c>
      <c r="O966">
        <f>IF(M966-N966&gt;1E-9,M966-N966,0)</f>
        <v/>
      </c>
      <c r="P966">
        <f>O965*$G$53</f>
        <v/>
      </c>
      <c r="Q966">
        <f>IF(S965&gt;0,MAX(0,S965*(1+$G$54)-$H$54),0)</f>
        <v/>
      </c>
      <c r="R966">
        <f>MAX(0,N966-M966)</f>
        <v/>
      </c>
      <c r="S966">
        <f>IF(Q966-R966&gt;1E-9,Q966-R966,0)</f>
        <v/>
      </c>
      <c r="T966">
        <f>S965*$G$54</f>
        <v/>
      </c>
      <c r="U966">
        <f>IF(W965&gt;0,MAX(0,W965*(1+$G$55)-$H$55),0)</f>
        <v/>
      </c>
      <c r="V966">
        <f>MAX(0,R966-Q966)</f>
        <v/>
      </c>
      <c r="W966">
        <f>IF(U966-V966&gt;1E-9,U966-V966,0)</f>
        <v/>
      </c>
      <c r="X966">
        <f>W965*$G$55</f>
        <v/>
      </c>
      <c r="Y966">
        <f>IF(Y965&gt;1E-9,IF(Y965*(1+$G$51)-MAX($B$9,0.01*Y965+Y965*$G$51)&gt;1E-9,Y965*(1+$G$51)-MAX($B$9,0.01*Y965+Y965*$G$51),0),0)</f>
        <v/>
      </c>
      <c r="Z966">
        <f>Y965*$G$51</f>
        <v/>
      </c>
      <c r="AA966">
        <f>IF(AA965&gt;1E-9,IF(AA965*(1+$G$52)-MAX($B$9,0.01*AA965+AA965*$G$52)&gt;1E-9,AA965*(1+$G$52)-MAX($B$9,0.01*AA965+AA965*$G$52),0),0)</f>
        <v/>
      </c>
      <c r="AB966">
        <f>AA965*$G$52</f>
        <v/>
      </c>
      <c r="AC966">
        <f>IF(AC965&gt;1E-9,IF(AC965*(1+$G$53)-MAX($B$9,0.01*AC965+AC965*$G$53)&gt;1E-9,AC965*(1+$G$53)-MAX($B$9,0.01*AC965+AC965*$G$53),0),0)</f>
        <v/>
      </c>
      <c r="AD966">
        <f>AC965*$G$53</f>
        <v/>
      </c>
      <c r="AE966">
        <f>IF(AE965&gt;1E-9,IF(AE965*(1+$G$54)-MAX($B$9,0.01*AE965+AE965*$G$54)&gt;1E-9,AE965*(1+$G$54)-MAX($B$9,0.01*AE965+AE965*$G$54),0),0)</f>
        <v/>
      </c>
      <c r="AF966">
        <f>AE965*$G$54</f>
        <v/>
      </c>
      <c r="AG966">
        <f>IF(AG965&gt;1E-9,IF(AG965*(1+$G$55)-MAX($B$9,0.01*AG965+AG965*$G$55)&gt;1E-9,AG965*(1+$G$55)-MAX($B$9,0.01*AG965+AG965*$G$55),0),0)</f>
        <v/>
      </c>
      <c r="AH966">
        <f>AG965*$G$55</f>
        <v/>
      </c>
      <c r="AI966">
        <f>G966+K966+O966+S966+W966</f>
        <v/>
      </c>
      <c r="AJ966">
        <f>AI965+AK966-AI966</f>
        <v/>
      </c>
      <c r="AK966">
        <f>H966+L966+P966+T966+X966</f>
        <v/>
      </c>
      <c r="AL966">
        <f>TEXT(EDATE($B$5,D966-1),"mmm yyyy")</f>
        <v/>
      </c>
      <c r="AM966">
        <f>AI966</f>
        <v/>
      </c>
    </row>
    <row r="967">
      <c r="D967" t="n">
        <v>906</v>
      </c>
      <c r="E967">
        <f>IF(G966&gt;0,MAX(0,G966*(1+$G$51)-$H$51),0)</f>
        <v/>
      </c>
      <c r="F967">
        <f>$B$6+IF($D967=$B$8,$B$7,0)</f>
        <v/>
      </c>
      <c r="G967">
        <f>IF(E967-F967&gt;1E-9,E967-F967,0)</f>
        <v/>
      </c>
      <c r="H967">
        <f>G966*$G$51</f>
        <v/>
      </c>
      <c r="I967">
        <f>IF(K966&gt;0,MAX(0,K966*(1+$G$52)-$H$52),0)</f>
        <v/>
      </c>
      <c r="J967">
        <f>MAX(0,F967-E967)</f>
        <v/>
      </c>
      <c r="K967">
        <f>IF(I967-J967&gt;1E-9,I967-J967,0)</f>
        <v/>
      </c>
      <c r="L967">
        <f>K966*$G$52</f>
        <v/>
      </c>
      <c r="M967">
        <f>IF(O966&gt;0,MAX(0,O966*(1+$G$53)-$H$53),0)</f>
        <v/>
      </c>
      <c r="N967">
        <f>MAX(0,J967-I967)</f>
        <v/>
      </c>
      <c r="O967">
        <f>IF(M967-N967&gt;1E-9,M967-N967,0)</f>
        <v/>
      </c>
      <c r="P967">
        <f>O966*$G$53</f>
        <v/>
      </c>
      <c r="Q967">
        <f>IF(S966&gt;0,MAX(0,S966*(1+$G$54)-$H$54),0)</f>
        <v/>
      </c>
      <c r="R967">
        <f>MAX(0,N967-M967)</f>
        <v/>
      </c>
      <c r="S967">
        <f>IF(Q967-R967&gt;1E-9,Q967-R967,0)</f>
        <v/>
      </c>
      <c r="T967">
        <f>S966*$G$54</f>
        <v/>
      </c>
      <c r="U967">
        <f>IF(W966&gt;0,MAX(0,W966*(1+$G$55)-$H$55),0)</f>
        <v/>
      </c>
      <c r="V967">
        <f>MAX(0,R967-Q967)</f>
        <v/>
      </c>
      <c r="W967">
        <f>IF(U967-V967&gt;1E-9,U967-V967,0)</f>
        <v/>
      </c>
      <c r="X967">
        <f>W966*$G$55</f>
        <v/>
      </c>
      <c r="Y967">
        <f>IF(Y966&gt;1E-9,IF(Y966*(1+$G$51)-MAX($B$9,0.01*Y966+Y966*$G$51)&gt;1E-9,Y966*(1+$G$51)-MAX($B$9,0.01*Y966+Y966*$G$51),0),0)</f>
        <v/>
      </c>
      <c r="Z967">
        <f>Y966*$G$51</f>
        <v/>
      </c>
      <c r="AA967">
        <f>IF(AA966&gt;1E-9,IF(AA966*(1+$G$52)-MAX($B$9,0.01*AA966+AA966*$G$52)&gt;1E-9,AA966*(1+$G$52)-MAX($B$9,0.01*AA966+AA966*$G$52),0),0)</f>
        <v/>
      </c>
      <c r="AB967">
        <f>AA966*$G$52</f>
        <v/>
      </c>
      <c r="AC967">
        <f>IF(AC966&gt;1E-9,IF(AC966*(1+$G$53)-MAX($B$9,0.01*AC966+AC966*$G$53)&gt;1E-9,AC966*(1+$G$53)-MAX($B$9,0.01*AC966+AC966*$G$53),0),0)</f>
        <v/>
      </c>
      <c r="AD967">
        <f>AC966*$G$53</f>
        <v/>
      </c>
      <c r="AE967">
        <f>IF(AE966&gt;1E-9,IF(AE966*(1+$G$54)-MAX($B$9,0.01*AE966+AE966*$G$54)&gt;1E-9,AE966*(1+$G$54)-MAX($B$9,0.01*AE966+AE966*$G$54),0),0)</f>
        <v/>
      </c>
      <c r="AF967">
        <f>AE966*$G$54</f>
        <v/>
      </c>
      <c r="AG967">
        <f>IF(AG966&gt;1E-9,IF(AG966*(1+$G$55)-MAX($B$9,0.01*AG966+AG966*$G$55)&gt;1E-9,AG966*(1+$G$55)-MAX($B$9,0.01*AG966+AG966*$G$55),0),0)</f>
        <v/>
      </c>
      <c r="AH967">
        <f>AG966*$G$55</f>
        <v/>
      </c>
      <c r="AI967">
        <f>G967+K967+O967+S967+W967</f>
        <v/>
      </c>
      <c r="AJ967">
        <f>AI966+AK967-AI967</f>
        <v/>
      </c>
      <c r="AK967">
        <f>H967+L967+P967+T967+X967</f>
        <v/>
      </c>
      <c r="AL967">
        <f>TEXT(EDATE($B$5,D967-1),"mmm yyyy")</f>
        <v/>
      </c>
      <c r="AM967">
        <f>AI967</f>
        <v/>
      </c>
    </row>
    <row r="968">
      <c r="D968" t="n">
        <v>907</v>
      </c>
      <c r="E968">
        <f>IF(G967&gt;0,MAX(0,G967*(1+$G$51)-$H$51),0)</f>
        <v/>
      </c>
      <c r="F968">
        <f>$B$6+IF($D968=$B$8,$B$7,0)</f>
        <v/>
      </c>
      <c r="G968">
        <f>IF(E968-F968&gt;1E-9,E968-F968,0)</f>
        <v/>
      </c>
      <c r="H968">
        <f>G967*$G$51</f>
        <v/>
      </c>
      <c r="I968">
        <f>IF(K967&gt;0,MAX(0,K967*(1+$G$52)-$H$52),0)</f>
        <v/>
      </c>
      <c r="J968">
        <f>MAX(0,F968-E968)</f>
        <v/>
      </c>
      <c r="K968">
        <f>IF(I968-J968&gt;1E-9,I968-J968,0)</f>
        <v/>
      </c>
      <c r="L968">
        <f>K967*$G$52</f>
        <v/>
      </c>
      <c r="M968">
        <f>IF(O967&gt;0,MAX(0,O967*(1+$G$53)-$H$53),0)</f>
        <v/>
      </c>
      <c r="N968">
        <f>MAX(0,J968-I968)</f>
        <v/>
      </c>
      <c r="O968">
        <f>IF(M968-N968&gt;1E-9,M968-N968,0)</f>
        <v/>
      </c>
      <c r="P968">
        <f>O967*$G$53</f>
        <v/>
      </c>
      <c r="Q968">
        <f>IF(S967&gt;0,MAX(0,S967*(1+$G$54)-$H$54),0)</f>
        <v/>
      </c>
      <c r="R968">
        <f>MAX(0,N968-M968)</f>
        <v/>
      </c>
      <c r="S968">
        <f>IF(Q968-R968&gt;1E-9,Q968-R968,0)</f>
        <v/>
      </c>
      <c r="T968">
        <f>S967*$G$54</f>
        <v/>
      </c>
      <c r="U968">
        <f>IF(W967&gt;0,MAX(0,W967*(1+$G$55)-$H$55),0)</f>
        <v/>
      </c>
      <c r="V968">
        <f>MAX(0,R968-Q968)</f>
        <v/>
      </c>
      <c r="W968">
        <f>IF(U968-V968&gt;1E-9,U968-V968,0)</f>
        <v/>
      </c>
      <c r="X968">
        <f>W967*$G$55</f>
        <v/>
      </c>
      <c r="Y968">
        <f>IF(Y967&gt;1E-9,IF(Y967*(1+$G$51)-MAX($B$9,0.01*Y967+Y967*$G$51)&gt;1E-9,Y967*(1+$G$51)-MAX($B$9,0.01*Y967+Y967*$G$51),0),0)</f>
        <v/>
      </c>
      <c r="Z968">
        <f>Y967*$G$51</f>
        <v/>
      </c>
      <c r="AA968">
        <f>IF(AA967&gt;1E-9,IF(AA967*(1+$G$52)-MAX($B$9,0.01*AA967+AA967*$G$52)&gt;1E-9,AA967*(1+$G$52)-MAX($B$9,0.01*AA967+AA967*$G$52),0),0)</f>
        <v/>
      </c>
      <c r="AB968">
        <f>AA967*$G$52</f>
        <v/>
      </c>
      <c r="AC968">
        <f>IF(AC967&gt;1E-9,IF(AC967*(1+$G$53)-MAX($B$9,0.01*AC967+AC967*$G$53)&gt;1E-9,AC967*(1+$G$53)-MAX($B$9,0.01*AC967+AC967*$G$53),0),0)</f>
        <v/>
      </c>
      <c r="AD968">
        <f>AC967*$G$53</f>
        <v/>
      </c>
      <c r="AE968">
        <f>IF(AE967&gt;1E-9,IF(AE967*(1+$G$54)-MAX($B$9,0.01*AE967+AE967*$G$54)&gt;1E-9,AE967*(1+$G$54)-MAX($B$9,0.01*AE967+AE967*$G$54),0),0)</f>
        <v/>
      </c>
      <c r="AF968">
        <f>AE967*$G$54</f>
        <v/>
      </c>
      <c r="AG968">
        <f>IF(AG967&gt;1E-9,IF(AG967*(1+$G$55)-MAX($B$9,0.01*AG967+AG967*$G$55)&gt;1E-9,AG967*(1+$G$55)-MAX($B$9,0.01*AG967+AG967*$G$55),0),0)</f>
        <v/>
      </c>
      <c r="AH968">
        <f>AG967*$G$55</f>
        <v/>
      </c>
      <c r="AI968">
        <f>G968+K968+O968+S968+W968</f>
        <v/>
      </c>
      <c r="AJ968">
        <f>AI967+AK968-AI968</f>
        <v/>
      </c>
      <c r="AK968">
        <f>H968+L968+P968+T968+X968</f>
        <v/>
      </c>
      <c r="AL968">
        <f>TEXT(EDATE($B$5,D968-1),"mmm yyyy")</f>
        <v/>
      </c>
      <c r="AM968">
        <f>AI968</f>
        <v/>
      </c>
    </row>
    <row r="969">
      <c r="D969" t="n">
        <v>908</v>
      </c>
      <c r="E969">
        <f>IF(G968&gt;0,MAX(0,G968*(1+$G$51)-$H$51),0)</f>
        <v/>
      </c>
      <c r="F969">
        <f>$B$6+IF($D969=$B$8,$B$7,0)</f>
        <v/>
      </c>
      <c r="G969">
        <f>IF(E969-F969&gt;1E-9,E969-F969,0)</f>
        <v/>
      </c>
      <c r="H969">
        <f>G968*$G$51</f>
        <v/>
      </c>
      <c r="I969">
        <f>IF(K968&gt;0,MAX(0,K968*(1+$G$52)-$H$52),0)</f>
        <v/>
      </c>
      <c r="J969">
        <f>MAX(0,F969-E969)</f>
        <v/>
      </c>
      <c r="K969">
        <f>IF(I969-J969&gt;1E-9,I969-J969,0)</f>
        <v/>
      </c>
      <c r="L969">
        <f>K968*$G$52</f>
        <v/>
      </c>
      <c r="M969">
        <f>IF(O968&gt;0,MAX(0,O968*(1+$G$53)-$H$53),0)</f>
        <v/>
      </c>
      <c r="N969">
        <f>MAX(0,J969-I969)</f>
        <v/>
      </c>
      <c r="O969">
        <f>IF(M969-N969&gt;1E-9,M969-N969,0)</f>
        <v/>
      </c>
      <c r="P969">
        <f>O968*$G$53</f>
        <v/>
      </c>
      <c r="Q969">
        <f>IF(S968&gt;0,MAX(0,S968*(1+$G$54)-$H$54),0)</f>
        <v/>
      </c>
      <c r="R969">
        <f>MAX(0,N969-M969)</f>
        <v/>
      </c>
      <c r="S969">
        <f>IF(Q969-R969&gt;1E-9,Q969-R969,0)</f>
        <v/>
      </c>
      <c r="T969">
        <f>S968*$G$54</f>
        <v/>
      </c>
      <c r="U969">
        <f>IF(W968&gt;0,MAX(0,W968*(1+$G$55)-$H$55),0)</f>
        <v/>
      </c>
      <c r="V969">
        <f>MAX(0,R969-Q969)</f>
        <v/>
      </c>
      <c r="W969">
        <f>IF(U969-V969&gt;1E-9,U969-V969,0)</f>
        <v/>
      </c>
      <c r="X969">
        <f>W968*$G$55</f>
        <v/>
      </c>
      <c r="Y969">
        <f>IF(Y968&gt;1E-9,IF(Y968*(1+$G$51)-MAX($B$9,0.01*Y968+Y968*$G$51)&gt;1E-9,Y968*(1+$G$51)-MAX($B$9,0.01*Y968+Y968*$G$51),0),0)</f>
        <v/>
      </c>
      <c r="Z969">
        <f>Y968*$G$51</f>
        <v/>
      </c>
      <c r="AA969">
        <f>IF(AA968&gt;1E-9,IF(AA968*(1+$G$52)-MAX($B$9,0.01*AA968+AA968*$G$52)&gt;1E-9,AA968*(1+$G$52)-MAX($B$9,0.01*AA968+AA968*$G$52),0),0)</f>
        <v/>
      </c>
      <c r="AB969">
        <f>AA968*$G$52</f>
        <v/>
      </c>
      <c r="AC969">
        <f>IF(AC968&gt;1E-9,IF(AC968*(1+$G$53)-MAX($B$9,0.01*AC968+AC968*$G$53)&gt;1E-9,AC968*(1+$G$53)-MAX($B$9,0.01*AC968+AC968*$G$53),0),0)</f>
        <v/>
      </c>
      <c r="AD969">
        <f>AC968*$G$53</f>
        <v/>
      </c>
      <c r="AE969">
        <f>IF(AE968&gt;1E-9,IF(AE968*(1+$G$54)-MAX($B$9,0.01*AE968+AE968*$G$54)&gt;1E-9,AE968*(1+$G$54)-MAX($B$9,0.01*AE968+AE968*$G$54),0),0)</f>
        <v/>
      </c>
      <c r="AF969">
        <f>AE968*$G$54</f>
        <v/>
      </c>
      <c r="AG969">
        <f>IF(AG968&gt;1E-9,IF(AG968*(1+$G$55)-MAX($B$9,0.01*AG968+AG968*$G$55)&gt;1E-9,AG968*(1+$G$55)-MAX($B$9,0.01*AG968+AG968*$G$55),0),0)</f>
        <v/>
      </c>
      <c r="AH969">
        <f>AG968*$G$55</f>
        <v/>
      </c>
      <c r="AI969">
        <f>G969+K969+O969+S969+W969</f>
        <v/>
      </c>
      <c r="AJ969">
        <f>AI968+AK969-AI969</f>
        <v/>
      </c>
      <c r="AK969">
        <f>H969+L969+P969+T969+X969</f>
        <v/>
      </c>
      <c r="AL969">
        <f>TEXT(EDATE($B$5,D969-1),"mmm yyyy")</f>
        <v/>
      </c>
      <c r="AM969">
        <f>AI969</f>
        <v/>
      </c>
    </row>
    <row r="970">
      <c r="D970" t="n">
        <v>909</v>
      </c>
      <c r="E970">
        <f>IF(G969&gt;0,MAX(0,G969*(1+$G$51)-$H$51),0)</f>
        <v/>
      </c>
      <c r="F970">
        <f>$B$6+IF($D970=$B$8,$B$7,0)</f>
        <v/>
      </c>
      <c r="G970">
        <f>IF(E970-F970&gt;1E-9,E970-F970,0)</f>
        <v/>
      </c>
      <c r="H970">
        <f>G969*$G$51</f>
        <v/>
      </c>
      <c r="I970">
        <f>IF(K969&gt;0,MAX(0,K969*(1+$G$52)-$H$52),0)</f>
        <v/>
      </c>
      <c r="J970">
        <f>MAX(0,F970-E970)</f>
        <v/>
      </c>
      <c r="K970">
        <f>IF(I970-J970&gt;1E-9,I970-J970,0)</f>
        <v/>
      </c>
      <c r="L970">
        <f>K969*$G$52</f>
        <v/>
      </c>
      <c r="M970">
        <f>IF(O969&gt;0,MAX(0,O969*(1+$G$53)-$H$53),0)</f>
        <v/>
      </c>
      <c r="N970">
        <f>MAX(0,J970-I970)</f>
        <v/>
      </c>
      <c r="O970">
        <f>IF(M970-N970&gt;1E-9,M970-N970,0)</f>
        <v/>
      </c>
      <c r="P970">
        <f>O969*$G$53</f>
        <v/>
      </c>
      <c r="Q970">
        <f>IF(S969&gt;0,MAX(0,S969*(1+$G$54)-$H$54),0)</f>
        <v/>
      </c>
      <c r="R970">
        <f>MAX(0,N970-M970)</f>
        <v/>
      </c>
      <c r="S970">
        <f>IF(Q970-R970&gt;1E-9,Q970-R970,0)</f>
        <v/>
      </c>
      <c r="T970">
        <f>S969*$G$54</f>
        <v/>
      </c>
      <c r="U970">
        <f>IF(W969&gt;0,MAX(0,W969*(1+$G$55)-$H$55),0)</f>
        <v/>
      </c>
      <c r="V970">
        <f>MAX(0,R970-Q970)</f>
        <v/>
      </c>
      <c r="W970">
        <f>IF(U970-V970&gt;1E-9,U970-V970,0)</f>
        <v/>
      </c>
      <c r="X970">
        <f>W969*$G$55</f>
        <v/>
      </c>
      <c r="Y970">
        <f>IF(Y969&gt;1E-9,IF(Y969*(1+$G$51)-MAX($B$9,0.01*Y969+Y969*$G$51)&gt;1E-9,Y969*(1+$G$51)-MAX($B$9,0.01*Y969+Y969*$G$51),0),0)</f>
        <v/>
      </c>
      <c r="Z970">
        <f>Y969*$G$51</f>
        <v/>
      </c>
      <c r="AA970">
        <f>IF(AA969&gt;1E-9,IF(AA969*(1+$G$52)-MAX($B$9,0.01*AA969+AA969*$G$52)&gt;1E-9,AA969*(1+$G$52)-MAX($B$9,0.01*AA969+AA969*$G$52),0),0)</f>
        <v/>
      </c>
      <c r="AB970">
        <f>AA969*$G$52</f>
        <v/>
      </c>
      <c r="AC970">
        <f>IF(AC969&gt;1E-9,IF(AC969*(1+$G$53)-MAX($B$9,0.01*AC969+AC969*$G$53)&gt;1E-9,AC969*(1+$G$53)-MAX($B$9,0.01*AC969+AC969*$G$53),0),0)</f>
        <v/>
      </c>
      <c r="AD970">
        <f>AC969*$G$53</f>
        <v/>
      </c>
      <c r="AE970">
        <f>IF(AE969&gt;1E-9,IF(AE969*(1+$G$54)-MAX($B$9,0.01*AE969+AE969*$G$54)&gt;1E-9,AE969*(1+$G$54)-MAX($B$9,0.01*AE969+AE969*$G$54),0),0)</f>
        <v/>
      </c>
      <c r="AF970">
        <f>AE969*$G$54</f>
        <v/>
      </c>
      <c r="AG970">
        <f>IF(AG969&gt;1E-9,IF(AG969*(1+$G$55)-MAX($B$9,0.01*AG969+AG969*$G$55)&gt;1E-9,AG969*(1+$G$55)-MAX($B$9,0.01*AG969+AG969*$G$55),0),0)</f>
        <v/>
      </c>
      <c r="AH970">
        <f>AG969*$G$55</f>
        <v/>
      </c>
      <c r="AI970">
        <f>G970+K970+O970+S970+W970</f>
        <v/>
      </c>
      <c r="AJ970">
        <f>AI969+AK970-AI970</f>
        <v/>
      </c>
      <c r="AK970">
        <f>H970+L970+P970+T970+X970</f>
        <v/>
      </c>
      <c r="AL970">
        <f>TEXT(EDATE($B$5,D970-1),"mmm yyyy")</f>
        <v/>
      </c>
      <c r="AM970">
        <f>AI970</f>
        <v/>
      </c>
    </row>
    <row r="971">
      <c r="D971" t="n">
        <v>910</v>
      </c>
      <c r="E971">
        <f>IF(G970&gt;0,MAX(0,G970*(1+$G$51)-$H$51),0)</f>
        <v/>
      </c>
      <c r="F971">
        <f>$B$6+IF($D971=$B$8,$B$7,0)</f>
        <v/>
      </c>
      <c r="G971">
        <f>IF(E971-F971&gt;1E-9,E971-F971,0)</f>
        <v/>
      </c>
      <c r="H971">
        <f>G970*$G$51</f>
        <v/>
      </c>
      <c r="I971">
        <f>IF(K970&gt;0,MAX(0,K970*(1+$G$52)-$H$52),0)</f>
        <v/>
      </c>
      <c r="J971">
        <f>MAX(0,F971-E971)</f>
        <v/>
      </c>
      <c r="K971">
        <f>IF(I971-J971&gt;1E-9,I971-J971,0)</f>
        <v/>
      </c>
      <c r="L971">
        <f>K970*$G$52</f>
        <v/>
      </c>
      <c r="M971">
        <f>IF(O970&gt;0,MAX(0,O970*(1+$G$53)-$H$53),0)</f>
        <v/>
      </c>
      <c r="N971">
        <f>MAX(0,J971-I971)</f>
        <v/>
      </c>
      <c r="O971">
        <f>IF(M971-N971&gt;1E-9,M971-N971,0)</f>
        <v/>
      </c>
      <c r="P971">
        <f>O970*$G$53</f>
        <v/>
      </c>
      <c r="Q971">
        <f>IF(S970&gt;0,MAX(0,S970*(1+$G$54)-$H$54),0)</f>
        <v/>
      </c>
      <c r="R971">
        <f>MAX(0,N971-M971)</f>
        <v/>
      </c>
      <c r="S971">
        <f>IF(Q971-R971&gt;1E-9,Q971-R971,0)</f>
        <v/>
      </c>
      <c r="T971">
        <f>S970*$G$54</f>
        <v/>
      </c>
      <c r="U971">
        <f>IF(W970&gt;0,MAX(0,W970*(1+$G$55)-$H$55),0)</f>
        <v/>
      </c>
      <c r="V971">
        <f>MAX(0,R971-Q971)</f>
        <v/>
      </c>
      <c r="W971">
        <f>IF(U971-V971&gt;1E-9,U971-V971,0)</f>
        <v/>
      </c>
      <c r="X971">
        <f>W970*$G$55</f>
        <v/>
      </c>
      <c r="Y971">
        <f>IF(Y970&gt;1E-9,IF(Y970*(1+$G$51)-MAX($B$9,0.01*Y970+Y970*$G$51)&gt;1E-9,Y970*(1+$G$51)-MAX($B$9,0.01*Y970+Y970*$G$51),0),0)</f>
        <v/>
      </c>
      <c r="Z971">
        <f>Y970*$G$51</f>
        <v/>
      </c>
      <c r="AA971">
        <f>IF(AA970&gt;1E-9,IF(AA970*(1+$G$52)-MAX($B$9,0.01*AA970+AA970*$G$52)&gt;1E-9,AA970*(1+$G$52)-MAX($B$9,0.01*AA970+AA970*$G$52),0),0)</f>
        <v/>
      </c>
      <c r="AB971">
        <f>AA970*$G$52</f>
        <v/>
      </c>
      <c r="AC971">
        <f>IF(AC970&gt;1E-9,IF(AC970*(1+$G$53)-MAX($B$9,0.01*AC970+AC970*$G$53)&gt;1E-9,AC970*(1+$G$53)-MAX($B$9,0.01*AC970+AC970*$G$53),0),0)</f>
        <v/>
      </c>
      <c r="AD971">
        <f>AC970*$G$53</f>
        <v/>
      </c>
      <c r="AE971">
        <f>IF(AE970&gt;1E-9,IF(AE970*(1+$G$54)-MAX($B$9,0.01*AE970+AE970*$G$54)&gt;1E-9,AE970*(1+$G$54)-MAX($B$9,0.01*AE970+AE970*$G$54),0),0)</f>
        <v/>
      </c>
      <c r="AF971">
        <f>AE970*$G$54</f>
        <v/>
      </c>
      <c r="AG971">
        <f>IF(AG970&gt;1E-9,IF(AG970*(1+$G$55)-MAX($B$9,0.01*AG970+AG970*$G$55)&gt;1E-9,AG970*(1+$G$55)-MAX($B$9,0.01*AG970+AG970*$G$55),0),0)</f>
        <v/>
      </c>
      <c r="AH971">
        <f>AG970*$G$55</f>
        <v/>
      </c>
      <c r="AI971">
        <f>G971+K971+O971+S971+W971</f>
        <v/>
      </c>
      <c r="AJ971">
        <f>AI970+AK971-AI971</f>
        <v/>
      </c>
      <c r="AK971">
        <f>H971+L971+P971+T971+X971</f>
        <v/>
      </c>
      <c r="AL971">
        <f>TEXT(EDATE($B$5,D971-1),"mmm yyyy")</f>
        <v/>
      </c>
      <c r="AM971">
        <f>AI971</f>
        <v/>
      </c>
    </row>
    <row r="972">
      <c r="D972" t="n">
        <v>911</v>
      </c>
      <c r="E972">
        <f>IF(G971&gt;0,MAX(0,G971*(1+$G$51)-$H$51),0)</f>
        <v/>
      </c>
      <c r="F972">
        <f>$B$6+IF($D972=$B$8,$B$7,0)</f>
        <v/>
      </c>
      <c r="G972">
        <f>IF(E972-F972&gt;1E-9,E972-F972,0)</f>
        <v/>
      </c>
      <c r="H972">
        <f>G971*$G$51</f>
        <v/>
      </c>
      <c r="I972">
        <f>IF(K971&gt;0,MAX(0,K971*(1+$G$52)-$H$52),0)</f>
        <v/>
      </c>
      <c r="J972">
        <f>MAX(0,F972-E972)</f>
        <v/>
      </c>
      <c r="K972">
        <f>IF(I972-J972&gt;1E-9,I972-J972,0)</f>
        <v/>
      </c>
      <c r="L972">
        <f>K971*$G$52</f>
        <v/>
      </c>
      <c r="M972">
        <f>IF(O971&gt;0,MAX(0,O971*(1+$G$53)-$H$53),0)</f>
        <v/>
      </c>
      <c r="N972">
        <f>MAX(0,J972-I972)</f>
        <v/>
      </c>
      <c r="O972">
        <f>IF(M972-N972&gt;1E-9,M972-N972,0)</f>
        <v/>
      </c>
      <c r="P972">
        <f>O971*$G$53</f>
        <v/>
      </c>
      <c r="Q972">
        <f>IF(S971&gt;0,MAX(0,S971*(1+$G$54)-$H$54),0)</f>
        <v/>
      </c>
      <c r="R972">
        <f>MAX(0,N972-M972)</f>
        <v/>
      </c>
      <c r="S972">
        <f>IF(Q972-R972&gt;1E-9,Q972-R972,0)</f>
        <v/>
      </c>
      <c r="T972">
        <f>S971*$G$54</f>
        <v/>
      </c>
      <c r="U972">
        <f>IF(W971&gt;0,MAX(0,W971*(1+$G$55)-$H$55),0)</f>
        <v/>
      </c>
      <c r="V972">
        <f>MAX(0,R972-Q972)</f>
        <v/>
      </c>
      <c r="W972">
        <f>IF(U972-V972&gt;1E-9,U972-V972,0)</f>
        <v/>
      </c>
      <c r="X972">
        <f>W971*$G$55</f>
        <v/>
      </c>
      <c r="Y972">
        <f>IF(Y971&gt;1E-9,IF(Y971*(1+$G$51)-MAX($B$9,0.01*Y971+Y971*$G$51)&gt;1E-9,Y971*(1+$G$51)-MAX($B$9,0.01*Y971+Y971*$G$51),0),0)</f>
        <v/>
      </c>
      <c r="Z972">
        <f>Y971*$G$51</f>
        <v/>
      </c>
      <c r="AA972">
        <f>IF(AA971&gt;1E-9,IF(AA971*(1+$G$52)-MAX($B$9,0.01*AA971+AA971*$G$52)&gt;1E-9,AA971*(1+$G$52)-MAX($B$9,0.01*AA971+AA971*$G$52),0),0)</f>
        <v/>
      </c>
      <c r="AB972">
        <f>AA971*$G$52</f>
        <v/>
      </c>
      <c r="AC972">
        <f>IF(AC971&gt;1E-9,IF(AC971*(1+$G$53)-MAX($B$9,0.01*AC971+AC971*$G$53)&gt;1E-9,AC971*(1+$G$53)-MAX($B$9,0.01*AC971+AC971*$G$53),0),0)</f>
        <v/>
      </c>
      <c r="AD972">
        <f>AC971*$G$53</f>
        <v/>
      </c>
      <c r="AE972">
        <f>IF(AE971&gt;1E-9,IF(AE971*(1+$G$54)-MAX($B$9,0.01*AE971+AE971*$G$54)&gt;1E-9,AE971*(1+$G$54)-MAX($B$9,0.01*AE971+AE971*$G$54),0),0)</f>
        <v/>
      </c>
      <c r="AF972">
        <f>AE971*$G$54</f>
        <v/>
      </c>
      <c r="AG972">
        <f>IF(AG971&gt;1E-9,IF(AG971*(1+$G$55)-MAX($B$9,0.01*AG971+AG971*$G$55)&gt;1E-9,AG971*(1+$G$55)-MAX($B$9,0.01*AG971+AG971*$G$55),0),0)</f>
        <v/>
      </c>
      <c r="AH972">
        <f>AG971*$G$55</f>
        <v/>
      </c>
      <c r="AI972">
        <f>G972+K972+O972+S972+W972</f>
        <v/>
      </c>
      <c r="AJ972">
        <f>AI971+AK972-AI972</f>
        <v/>
      </c>
      <c r="AK972">
        <f>H972+L972+P972+T972+X972</f>
        <v/>
      </c>
      <c r="AL972">
        <f>TEXT(EDATE($B$5,D972-1),"mmm yyyy")</f>
        <v/>
      </c>
      <c r="AM972">
        <f>AI972</f>
        <v/>
      </c>
    </row>
    <row r="973">
      <c r="D973" t="n">
        <v>912</v>
      </c>
      <c r="E973">
        <f>IF(G972&gt;0,MAX(0,G972*(1+$G$51)-$H$51),0)</f>
        <v/>
      </c>
      <c r="F973">
        <f>$B$6+IF($D973=$B$8,$B$7,0)</f>
        <v/>
      </c>
      <c r="G973">
        <f>IF(E973-F973&gt;1E-9,E973-F973,0)</f>
        <v/>
      </c>
      <c r="H973">
        <f>G972*$G$51</f>
        <v/>
      </c>
      <c r="I973">
        <f>IF(K972&gt;0,MAX(0,K972*(1+$G$52)-$H$52),0)</f>
        <v/>
      </c>
      <c r="J973">
        <f>MAX(0,F973-E973)</f>
        <v/>
      </c>
      <c r="K973">
        <f>IF(I973-J973&gt;1E-9,I973-J973,0)</f>
        <v/>
      </c>
      <c r="L973">
        <f>K972*$G$52</f>
        <v/>
      </c>
      <c r="M973">
        <f>IF(O972&gt;0,MAX(0,O972*(1+$G$53)-$H$53),0)</f>
        <v/>
      </c>
      <c r="N973">
        <f>MAX(0,J973-I973)</f>
        <v/>
      </c>
      <c r="O973">
        <f>IF(M973-N973&gt;1E-9,M973-N973,0)</f>
        <v/>
      </c>
      <c r="P973">
        <f>O972*$G$53</f>
        <v/>
      </c>
      <c r="Q973">
        <f>IF(S972&gt;0,MAX(0,S972*(1+$G$54)-$H$54),0)</f>
        <v/>
      </c>
      <c r="R973">
        <f>MAX(0,N973-M973)</f>
        <v/>
      </c>
      <c r="S973">
        <f>IF(Q973-R973&gt;1E-9,Q973-R973,0)</f>
        <v/>
      </c>
      <c r="T973">
        <f>S972*$G$54</f>
        <v/>
      </c>
      <c r="U973">
        <f>IF(W972&gt;0,MAX(0,W972*(1+$G$55)-$H$55),0)</f>
        <v/>
      </c>
      <c r="V973">
        <f>MAX(0,R973-Q973)</f>
        <v/>
      </c>
      <c r="W973">
        <f>IF(U973-V973&gt;1E-9,U973-V973,0)</f>
        <v/>
      </c>
      <c r="X973">
        <f>W972*$G$55</f>
        <v/>
      </c>
      <c r="Y973">
        <f>IF(Y972&gt;1E-9,IF(Y972*(1+$G$51)-MAX($B$9,0.01*Y972+Y972*$G$51)&gt;1E-9,Y972*(1+$G$51)-MAX($B$9,0.01*Y972+Y972*$G$51),0),0)</f>
        <v/>
      </c>
      <c r="Z973">
        <f>Y972*$G$51</f>
        <v/>
      </c>
      <c r="AA973">
        <f>IF(AA972&gt;1E-9,IF(AA972*(1+$G$52)-MAX($B$9,0.01*AA972+AA972*$G$52)&gt;1E-9,AA972*(1+$G$52)-MAX($B$9,0.01*AA972+AA972*$G$52),0),0)</f>
        <v/>
      </c>
      <c r="AB973">
        <f>AA972*$G$52</f>
        <v/>
      </c>
      <c r="AC973">
        <f>IF(AC972&gt;1E-9,IF(AC972*(1+$G$53)-MAX($B$9,0.01*AC972+AC972*$G$53)&gt;1E-9,AC972*(1+$G$53)-MAX($B$9,0.01*AC972+AC972*$G$53),0),0)</f>
        <v/>
      </c>
      <c r="AD973">
        <f>AC972*$G$53</f>
        <v/>
      </c>
      <c r="AE973">
        <f>IF(AE972&gt;1E-9,IF(AE972*(1+$G$54)-MAX($B$9,0.01*AE972+AE972*$G$54)&gt;1E-9,AE972*(1+$G$54)-MAX($B$9,0.01*AE972+AE972*$G$54),0),0)</f>
        <v/>
      </c>
      <c r="AF973">
        <f>AE972*$G$54</f>
        <v/>
      </c>
      <c r="AG973">
        <f>IF(AG972&gt;1E-9,IF(AG972*(1+$G$55)-MAX($B$9,0.01*AG972+AG972*$G$55)&gt;1E-9,AG972*(1+$G$55)-MAX($B$9,0.01*AG972+AG972*$G$55),0),0)</f>
        <v/>
      </c>
      <c r="AH973">
        <f>AG972*$G$55</f>
        <v/>
      </c>
      <c r="AI973">
        <f>G973+K973+O973+S973+W973</f>
        <v/>
      </c>
      <c r="AJ973">
        <f>AI972+AK973-AI973</f>
        <v/>
      </c>
      <c r="AK973">
        <f>H973+L973+P973+T973+X973</f>
        <v/>
      </c>
      <c r="AL973">
        <f>TEXT(EDATE($B$5,D973-1),"mmm yyyy")</f>
        <v/>
      </c>
      <c r="AM973">
        <f>AI973</f>
        <v/>
      </c>
    </row>
    <row r="974">
      <c r="D974" t="n">
        <v>913</v>
      </c>
      <c r="E974">
        <f>IF(G973&gt;0,MAX(0,G973*(1+$G$51)-$H$51),0)</f>
        <v/>
      </c>
      <c r="F974">
        <f>$B$6+IF($D974=$B$8,$B$7,0)</f>
        <v/>
      </c>
      <c r="G974">
        <f>IF(E974-F974&gt;1E-9,E974-F974,0)</f>
        <v/>
      </c>
      <c r="H974">
        <f>G973*$G$51</f>
        <v/>
      </c>
      <c r="I974">
        <f>IF(K973&gt;0,MAX(0,K973*(1+$G$52)-$H$52),0)</f>
        <v/>
      </c>
      <c r="J974">
        <f>MAX(0,F974-E974)</f>
        <v/>
      </c>
      <c r="K974">
        <f>IF(I974-J974&gt;1E-9,I974-J974,0)</f>
        <v/>
      </c>
      <c r="L974">
        <f>K973*$G$52</f>
        <v/>
      </c>
      <c r="M974">
        <f>IF(O973&gt;0,MAX(0,O973*(1+$G$53)-$H$53),0)</f>
        <v/>
      </c>
      <c r="N974">
        <f>MAX(0,J974-I974)</f>
        <v/>
      </c>
      <c r="O974">
        <f>IF(M974-N974&gt;1E-9,M974-N974,0)</f>
        <v/>
      </c>
      <c r="P974">
        <f>O973*$G$53</f>
        <v/>
      </c>
      <c r="Q974">
        <f>IF(S973&gt;0,MAX(0,S973*(1+$G$54)-$H$54),0)</f>
        <v/>
      </c>
      <c r="R974">
        <f>MAX(0,N974-M974)</f>
        <v/>
      </c>
      <c r="S974">
        <f>IF(Q974-R974&gt;1E-9,Q974-R974,0)</f>
        <v/>
      </c>
      <c r="T974">
        <f>S973*$G$54</f>
        <v/>
      </c>
      <c r="U974">
        <f>IF(W973&gt;0,MAX(0,W973*(1+$G$55)-$H$55),0)</f>
        <v/>
      </c>
      <c r="V974">
        <f>MAX(0,R974-Q974)</f>
        <v/>
      </c>
      <c r="W974">
        <f>IF(U974-V974&gt;1E-9,U974-V974,0)</f>
        <v/>
      </c>
      <c r="X974">
        <f>W973*$G$55</f>
        <v/>
      </c>
      <c r="Y974">
        <f>IF(Y973&gt;1E-9,IF(Y973*(1+$G$51)-MAX($B$9,0.01*Y973+Y973*$G$51)&gt;1E-9,Y973*(1+$G$51)-MAX($B$9,0.01*Y973+Y973*$G$51),0),0)</f>
        <v/>
      </c>
      <c r="Z974">
        <f>Y973*$G$51</f>
        <v/>
      </c>
      <c r="AA974">
        <f>IF(AA973&gt;1E-9,IF(AA973*(1+$G$52)-MAX($B$9,0.01*AA973+AA973*$G$52)&gt;1E-9,AA973*(1+$G$52)-MAX($B$9,0.01*AA973+AA973*$G$52),0),0)</f>
        <v/>
      </c>
      <c r="AB974">
        <f>AA973*$G$52</f>
        <v/>
      </c>
      <c r="AC974">
        <f>IF(AC973&gt;1E-9,IF(AC973*(1+$G$53)-MAX($B$9,0.01*AC973+AC973*$G$53)&gt;1E-9,AC973*(1+$G$53)-MAX($B$9,0.01*AC973+AC973*$G$53),0),0)</f>
        <v/>
      </c>
      <c r="AD974">
        <f>AC973*$G$53</f>
        <v/>
      </c>
      <c r="AE974">
        <f>IF(AE973&gt;1E-9,IF(AE973*(1+$G$54)-MAX($B$9,0.01*AE973+AE973*$G$54)&gt;1E-9,AE973*(1+$G$54)-MAX($B$9,0.01*AE973+AE973*$G$54),0),0)</f>
        <v/>
      </c>
      <c r="AF974">
        <f>AE973*$G$54</f>
        <v/>
      </c>
      <c r="AG974">
        <f>IF(AG973&gt;1E-9,IF(AG973*(1+$G$55)-MAX($B$9,0.01*AG973+AG973*$G$55)&gt;1E-9,AG973*(1+$G$55)-MAX($B$9,0.01*AG973+AG973*$G$55),0),0)</f>
        <v/>
      </c>
      <c r="AH974">
        <f>AG973*$G$55</f>
        <v/>
      </c>
      <c r="AI974">
        <f>G974+K974+O974+S974+W974</f>
        <v/>
      </c>
      <c r="AJ974">
        <f>AI973+AK974-AI974</f>
        <v/>
      </c>
      <c r="AK974">
        <f>H974+L974+P974+T974+X974</f>
        <v/>
      </c>
      <c r="AL974">
        <f>TEXT(EDATE($B$5,D974-1),"mmm yyyy")</f>
        <v/>
      </c>
      <c r="AM974">
        <f>AI974</f>
        <v/>
      </c>
    </row>
    <row r="975">
      <c r="D975" t="n">
        <v>914</v>
      </c>
      <c r="E975">
        <f>IF(G974&gt;0,MAX(0,G974*(1+$G$51)-$H$51),0)</f>
        <v/>
      </c>
      <c r="F975">
        <f>$B$6+IF($D975=$B$8,$B$7,0)</f>
        <v/>
      </c>
      <c r="G975">
        <f>IF(E975-F975&gt;1E-9,E975-F975,0)</f>
        <v/>
      </c>
      <c r="H975">
        <f>G974*$G$51</f>
        <v/>
      </c>
      <c r="I975">
        <f>IF(K974&gt;0,MAX(0,K974*(1+$G$52)-$H$52),0)</f>
        <v/>
      </c>
      <c r="J975">
        <f>MAX(0,F975-E975)</f>
        <v/>
      </c>
      <c r="K975">
        <f>IF(I975-J975&gt;1E-9,I975-J975,0)</f>
        <v/>
      </c>
      <c r="L975">
        <f>K974*$G$52</f>
        <v/>
      </c>
      <c r="M975">
        <f>IF(O974&gt;0,MAX(0,O974*(1+$G$53)-$H$53),0)</f>
        <v/>
      </c>
      <c r="N975">
        <f>MAX(0,J975-I975)</f>
        <v/>
      </c>
      <c r="O975">
        <f>IF(M975-N975&gt;1E-9,M975-N975,0)</f>
        <v/>
      </c>
      <c r="P975">
        <f>O974*$G$53</f>
        <v/>
      </c>
      <c r="Q975">
        <f>IF(S974&gt;0,MAX(0,S974*(1+$G$54)-$H$54),0)</f>
        <v/>
      </c>
      <c r="R975">
        <f>MAX(0,N975-M975)</f>
        <v/>
      </c>
      <c r="S975">
        <f>IF(Q975-R975&gt;1E-9,Q975-R975,0)</f>
        <v/>
      </c>
      <c r="T975">
        <f>S974*$G$54</f>
        <v/>
      </c>
      <c r="U975">
        <f>IF(W974&gt;0,MAX(0,W974*(1+$G$55)-$H$55),0)</f>
        <v/>
      </c>
      <c r="V975">
        <f>MAX(0,R975-Q975)</f>
        <v/>
      </c>
      <c r="W975">
        <f>IF(U975-V975&gt;1E-9,U975-V975,0)</f>
        <v/>
      </c>
      <c r="X975">
        <f>W974*$G$55</f>
        <v/>
      </c>
      <c r="Y975">
        <f>IF(Y974&gt;1E-9,IF(Y974*(1+$G$51)-MAX($B$9,0.01*Y974+Y974*$G$51)&gt;1E-9,Y974*(1+$G$51)-MAX($B$9,0.01*Y974+Y974*$G$51),0),0)</f>
        <v/>
      </c>
      <c r="Z975">
        <f>Y974*$G$51</f>
        <v/>
      </c>
      <c r="AA975">
        <f>IF(AA974&gt;1E-9,IF(AA974*(1+$G$52)-MAX($B$9,0.01*AA974+AA974*$G$52)&gt;1E-9,AA974*(1+$G$52)-MAX($B$9,0.01*AA974+AA974*$G$52),0),0)</f>
        <v/>
      </c>
      <c r="AB975">
        <f>AA974*$G$52</f>
        <v/>
      </c>
      <c r="AC975">
        <f>IF(AC974&gt;1E-9,IF(AC974*(1+$G$53)-MAX($B$9,0.01*AC974+AC974*$G$53)&gt;1E-9,AC974*(1+$G$53)-MAX($B$9,0.01*AC974+AC974*$G$53),0),0)</f>
        <v/>
      </c>
      <c r="AD975">
        <f>AC974*$G$53</f>
        <v/>
      </c>
      <c r="AE975">
        <f>IF(AE974&gt;1E-9,IF(AE974*(1+$G$54)-MAX($B$9,0.01*AE974+AE974*$G$54)&gt;1E-9,AE974*(1+$G$54)-MAX($B$9,0.01*AE974+AE974*$G$54),0),0)</f>
        <v/>
      </c>
      <c r="AF975">
        <f>AE974*$G$54</f>
        <v/>
      </c>
      <c r="AG975">
        <f>IF(AG974&gt;1E-9,IF(AG974*(1+$G$55)-MAX($B$9,0.01*AG974+AG974*$G$55)&gt;1E-9,AG974*(1+$G$55)-MAX($B$9,0.01*AG974+AG974*$G$55),0),0)</f>
        <v/>
      </c>
      <c r="AH975">
        <f>AG974*$G$55</f>
        <v/>
      </c>
      <c r="AI975">
        <f>G975+K975+O975+S975+W975</f>
        <v/>
      </c>
      <c r="AJ975">
        <f>AI974+AK975-AI975</f>
        <v/>
      </c>
      <c r="AK975">
        <f>H975+L975+P975+T975+X975</f>
        <v/>
      </c>
      <c r="AL975">
        <f>TEXT(EDATE($B$5,D975-1),"mmm yyyy")</f>
        <v/>
      </c>
      <c r="AM975">
        <f>AI975</f>
        <v/>
      </c>
    </row>
    <row r="976">
      <c r="D976" t="n">
        <v>915</v>
      </c>
      <c r="E976">
        <f>IF(G975&gt;0,MAX(0,G975*(1+$G$51)-$H$51),0)</f>
        <v/>
      </c>
      <c r="F976">
        <f>$B$6+IF($D976=$B$8,$B$7,0)</f>
        <v/>
      </c>
      <c r="G976">
        <f>IF(E976-F976&gt;1E-9,E976-F976,0)</f>
        <v/>
      </c>
      <c r="H976">
        <f>G975*$G$51</f>
        <v/>
      </c>
      <c r="I976">
        <f>IF(K975&gt;0,MAX(0,K975*(1+$G$52)-$H$52),0)</f>
        <v/>
      </c>
      <c r="J976">
        <f>MAX(0,F976-E976)</f>
        <v/>
      </c>
      <c r="K976">
        <f>IF(I976-J976&gt;1E-9,I976-J976,0)</f>
        <v/>
      </c>
      <c r="L976">
        <f>K975*$G$52</f>
        <v/>
      </c>
      <c r="M976">
        <f>IF(O975&gt;0,MAX(0,O975*(1+$G$53)-$H$53),0)</f>
        <v/>
      </c>
      <c r="N976">
        <f>MAX(0,J976-I976)</f>
        <v/>
      </c>
      <c r="O976">
        <f>IF(M976-N976&gt;1E-9,M976-N976,0)</f>
        <v/>
      </c>
      <c r="P976">
        <f>O975*$G$53</f>
        <v/>
      </c>
      <c r="Q976">
        <f>IF(S975&gt;0,MAX(0,S975*(1+$G$54)-$H$54),0)</f>
        <v/>
      </c>
      <c r="R976">
        <f>MAX(0,N976-M976)</f>
        <v/>
      </c>
      <c r="S976">
        <f>IF(Q976-R976&gt;1E-9,Q976-R976,0)</f>
        <v/>
      </c>
      <c r="T976">
        <f>S975*$G$54</f>
        <v/>
      </c>
      <c r="U976">
        <f>IF(W975&gt;0,MAX(0,W975*(1+$G$55)-$H$55),0)</f>
        <v/>
      </c>
      <c r="V976">
        <f>MAX(0,R976-Q976)</f>
        <v/>
      </c>
      <c r="W976">
        <f>IF(U976-V976&gt;1E-9,U976-V976,0)</f>
        <v/>
      </c>
      <c r="X976">
        <f>W975*$G$55</f>
        <v/>
      </c>
      <c r="Y976">
        <f>IF(Y975&gt;1E-9,IF(Y975*(1+$G$51)-MAX($B$9,0.01*Y975+Y975*$G$51)&gt;1E-9,Y975*(1+$G$51)-MAX($B$9,0.01*Y975+Y975*$G$51),0),0)</f>
        <v/>
      </c>
      <c r="Z976">
        <f>Y975*$G$51</f>
        <v/>
      </c>
      <c r="AA976">
        <f>IF(AA975&gt;1E-9,IF(AA975*(1+$G$52)-MAX($B$9,0.01*AA975+AA975*$G$52)&gt;1E-9,AA975*(1+$G$52)-MAX($B$9,0.01*AA975+AA975*$G$52),0),0)</f>
        <v/>
      </c>
      <c r="AB976">
        <f>AA975*$G$52</f>
        <v/>
      </c>
      <c r="AC976">
        <f>IF(AC975&gt;1E-9,IF(AC975*(1+$G$53)-MAX($B$9,0.01*AC975+AC975*$G$53)&gt;1E-9,AC975*(1+$G$53)-MAX($B$9,0.01*AC975+AC975*$G$53),0),0)</f>
        <v/>
      </c>
      <c r="AD976">
        <f>AC975*$G$53</f>
        <v/>
      </c>
      <c r="AE976">
        <f>IF(AE975&gt;1E-9,IF(AE975*(1+$G$54)-MAX($B$9,0.01*AE975+AE975*$G$54)&gt;1E-9,AE975*(1+$G$54)-MAX($B$9,0.01*AE975+AE975*$G$54),0),0)</f>
        <v/>
      </c>
      <c r="AF976">
        <f>AE975*$G$54</f>
        <v/>
      </c>
      <c r="AG976">
        <f>IF(AG975&gt;1E-9,IF(AG975*(1+$G$55)-MAX($B$9,0.01*AG975+AG975*$G$55)&gt;1E-9,AG975*(1+$G$55)-MAX($B$9,0.01*AG975+AG975*$G$55),0),0)</f>
        <v/>
      </c>
      <c r="AH976">
        <f>AG975*$G$55</f>
        <v/>
      </c>
      <c r="AI976">
        <f>G976+K976+O976+S976+W976</f>
        <v/>
      </c>
      <c r="AJ976">
        <f>AI975+AK976-AI976</f>
        <v/>
      </c>
      <c r="AK976">
        <f>H976+L976+P976+T976+X976</f>
        <v/>
      </c>
      <c r="AL976">
        <f>TEXT(EDATE($B$5,D976-1),"mmm yyyy")</f>
        <v/>
      </c>
      <c r="AM976">
        <f>AI976</f>
        <v/>
      </c>
    </row>
    <row r="977">
      <c r="D977" t="n">
        <v>916</v>
      </c>
      <c r="E977">
        <f>IF(G976&gt;0,MAX(0,G976*(1+$G$51)-$H$51),0)</f>
        <v/>
      </c>
      <c r="F977">
        <f>$B$6+IF($D977=$B$8,$B$7,0)</f>
        <v/>
      </c>
      <c r="G977">
        <f>IF(E977-F977&gt;1E-9,E977-F977,0)</f>
        <v/>
      </c>
      <c r="H977">
        <f>G976*$G$51</f>
        <v/>
      </c>
      <c r="I977">
        <f>IF(K976&gt;0,MAX(0,K976*(1+$G$52)-$H$52),0)</f>
        <v/>
      </c>
      <c r="J977">
        <f>MAX(0,F977-E977)</f>
        <v/>
      </c>
      <c r="K977">
        <f>IF(I977-J977&gt;1E-9,I977-J977,0)</f>
        <v/>
      </c>
      <c r="L977">
        <f>K976*$G$52</f>
        <v/>
      </c>
      <c r="M977">
        <f>IF(O976&gt;0,MAX(0,O976*(1+$G$53)-$H$53),0)</f>
        <v/>
      </c>
      <c r="N977">
        <f>MAX(0,J977-I977)</f>
        <v/>
      </c>
      <c r="O977">
        <f>IF(M977-N977&gt;1E-9,M977-N977,0)</f>
        <v/>
      </c>
      <c r="P977">
        <f>O976*$G$53</f>
        <v/>
      </c>
      <c r="Q977">
        <f>IF(S976&gt;0,MAX(0,S976*(1+$G$54)-$H$54),0)</f>
        <v/>
      </c>
      <c r="R977">
        <f>MAX(0,N977-M977)</f>
        <v/>
      </c>
      <c r="S977">
        <f>IF(Q977-R977&gt;1E-9,Q977-R977,0)</f>
        <v/>
      </c>
      <c r="T977">
        <f>S976*$G$54</f>
        <v/>
      </c>
      <c r="U977">
        <f>IF(W976&gt;0,MAX(0,W976*(1+$G$55)-$H$55),0)</f>
        <v/>
      </c>
      <c r="V977">
        <f>MAX(0,R977-Q977)</f>
        <v/>
      </c>
      <c r="W977">
        <f>IF(U977-V977&gt;1E-9,U977-V977,0)</f>
        <v/>
      </c>
      <c r="X977">
        <f>W976*$G$55</f>
        <v/>
      </c>
      <c r="Y977">
        <f>IF(Y976&gt;1E-9,IF(Y976*(1+$G$51)-MAX($B$9,0.01*Y976+Y976*$G$51)&gt;1E-9,Y976*(1+$G$51)-MAX($B$9,0.01*Y976+Y976*$G$51),0),0)</f>
        <v/>
      </c>
      <c r="Z977">
        <f>Y976*$G$51</f>
        <v/>
      </c>
      <c r="AA977">
        <f>IF(AA976&gt;1E-9,IF(AA976*(1+$G$52)-MAX($B$9,0.01*AA976+AA976*$G$52)&gt;1E-9,AA976*(1+$G$52)-MAX($B$9,0.01*AA976+AA976*$G$52),0),0)</f>
        <v/>
      </c>
      <c r="AB977">
        <f>AA976*$G$52</f>
        <v/>
      </c>
      <c r="AC977">
        <f>IF(AC976&gt;1E-9,IF(AC976*(1+$G$53)-MAX($B$9,0.01*AC976+AC976*$G$53)&gt;1E-9,AC976*(1+$G$53)-MAX($B$9,0.01*AC976+AC976*$G$53),0),0)</f>
        <v/>
      </c>
      <c r="AD977">
        <f>AC976*$G$53</f>
        <v/>
      </c>
      <c r="AE977">
        <f>IF(AE976&gt;1E-9,IF(AE976*(1+$G$54)-MAX($B$9,0.01*AE976+AE976*$G$54)&gt;1E-9,AE976*(1+$G$54)-MAX($B$9,0.01*AE976+AE976*$G$54),0),0)</f>
        <v/>
      </c>
      <c r="AF977">
        <f>AE976*$G$54</f>
        <v/>
      </c>
      <c r="AG977">
        <f>IF(AG976&gt;1E-9,IF(AG976*(1+$G$55)-MAX($B$9,0.01*AG976+AG976*$G$55)&gt;1E-9,AG976*(1+$G$55)-MAX($B$9,0.01*AG976+AG976*$G$55),0),0)</f>
        <v/>
      </c>
      <c r="AH977">
        <f>AG976*$G$55</f>
        <v/>
      </c>
      <c r="AI977">
        <f>G977+K977+O977+S977+W977</f>
        <v/>
      </c>
      <c r="AJ977">
        <f>AI976+AK977-AI977</f>
        <v/>
      </c>
      <c r="AK977">
        <f>H977+L977+P977+T977+X977</f>
        <v/>
      </c>
      <c r="AL977">
        <f>TEXT(EDATE($B$5,D977-1),"mmm yyyy")</f>
        <v/>
      </c>
      <c r="AM977">
        <f>AI977</f>
        <v/>
      </c>
    </row>
    <row r="978">
      <c r="D978" t="n">
        <v>917</v>
      </c>
      <c r="E978">
        <f>IF(G977&gt;0,MAX(0,G977*(1+$G$51)-$H$51),0)</f>
        <v/>
      </c>
      <c r="F978">
        <f>$B$6+IF($D978=$B$8,$B$7,0)</f>
        <v/>
      </c>
      <c r="G978">
        <f>IF(E978-F978&gt;1E-9,E978-F978,0)</f>
        <v/>
      </c>
      <c r="H978">
        <f>G977*$G$51</f>
        <v/>
      </c>
      <c r="I978">
        <f>IF(K977&gt;0,MAX(0,K977*(1+$G$52)-$H$52),0)</f>
        <v/>
      </c>
      <c r="J978">
        <f>MAX(0,F978-E978)</f>
        <v/>
      </c>
      <c r="K978">
        <f>IF(I978-J978&gt;1E-9,I978-J978,0)</f>
        <v/>
      </c>
      <c r="L978">
        <f>K977*$G$52</f>
        <v/>
      </c>
      <c r="M978">
        <f>IF(O977&gt;0,MAX(0,O977*(1+$G$53)-$H$53),0)</f>
        <v/>
      </c>
      <c r="N978">
        <f>MAX(0,J978-I978)</f>
        <v/>
      </c>
      <c r="O978">
        <f>IF(M978-N978&gt;1E-9,M978-N978,0)</f>
        <v/>
      </c>
      <c r="P978">
        <f>O977*$G$53</f>
        <v/>
      </c>
      <c r="Q978">
        <f>IF(S977&gt;0,MAX(0,S977*(1+$G$54)-$H$54),0)</f>
        <v/>
      </c>
      <c r="R978">
        <f>MAX(0,N978-M978)</f>
        <v/>
      </c>
      <c r="S978">
        <f>IF(Q978-R978&gt;1E-9,Q978-R978,0)</f>
        <v/>
      </c>
      <c r="T978">
        <f>S977*$G$54</f>
        <v/>
      </c>
      <c r="U978">
        <f>IF(W977&gt;0,MAX(0,W977*(1+$G$55)-$H$55),0)</f>
        <v/>
      </c>
      <c r="V978">
        <f>MAX(0,R978-Q978)</f>
        <v/>
      </c>
      <c r="W978">
        <f>IF(U978-V978&gt;1E-9,U978-V978,0)</f>
        <v/>
      </c>
      <c r="X978">
        <f>W977*$G$55</f>
        <v/>
      </c>
      <c r="Y978">
        <f>IF(Y977&gt;1E-9,IF(Y977*(1+$G$51)-MAX($B$9,0.01*Y977+Y977*$G$51)&gt;1E-9,Y977*(1+$G$51)-MAX($B$9,0.01*Y977+Y977*$G$51),0),0)</f>
        <v/>
      </c>
      <c r="Z978">
        <f>Y977*$G$51</f>
        <v/>
      </c>
      <c r="AA978">
        <f>IF(AA977&gt;1E-9,IF(AA977*(1+$G$52)-MAX($B$9,0.01*AA977+AA977*$G$52)&gt;1E-9,AA977*(1+$G$52)-MAX($B$9,0.01*AA977+AA977*$G$52),0),0)</f>
        <v/>
      </c>
      <c r="AB978">
        <f>AA977*$G$52</f>
        <v/>
      </c>
      <c r="AC978">
        <f>IF(AC977&gt;1E-9,IF(AC977*(1+$G$53)-MAX($B$9,0.01*AC977+AC977*$G$53)&gt;1E-9,AC977*(1+$G$53)-MAX($B$9,0.01*AC977+AC977*$G$53),0),0)</f>
        <v/>
      </c>
      <c r="AD978">
        <f>AC977*$G$53</f>
        <v/>
      </c>
      <c r="AE978">
        <f>IF(AE977&gt;1E-9,IF(AE977*(1+$G$54)-MAX($B$9,0.01*AE977+AE977*$G$54)&gt;1E-9,AE977*(1+$G$54)-MAX($B$9,0.01*AE977+AE977*$G$54),0),0)</f>
        <v/>
      </c>
      <c r="AF978">
        <f>AE977*$G$54</f>
        <v/>
      </c>
      <c r="AG978">
        <f>IF(AG977&gt;1E-9,IF(AG977*(1+$G$55)-MAX($B$9,0.01*AG977+AG977*$G$55)&gt;1E-9,AG977*(1+$G$55)-MAX($B$9,0.01*AG977+AG977*$G$55),0),0)</f>
        <v/>
      </c>
      <c r="AH978">
        <f>AG977*$G$55</f>
        <v/>
      </c>
      <c r="AI978">
        <f>G978+K978+O978+S978+W978</f>
        <v/>
      </c>
      <c r="AJ978">
        <f>AI977+AK978-AI978</f>
        <v/>
      </c>
      <c r="AK978">
        <f>H978+L978+P978+T978+X978</f>
        <v/>
      </c>
      <c r="AL978">
        <f>TEXT(EDATE($B$5,D978-1),"mmm yyyy")</f>
        <v/>
      </c>
      <c r="AM978">
        <f>AI978</f>
        <v/>
      </c>
    </row>
    <row r="979">
      <c r="D979" t="n">
        <v>918</v>
      </c>
      <c r="E979">
        <f>IF(G978&gt;0,MAX(0,G978*(1+$G$51)-$H$51),0)</f>
        <v/>
      </c>
      <c r="F979">
        <f>$B$6+IF($D979=$B$8,$B$7,0)</f>
        <v/>
      </c>
      <c r="G979">
        <f>IF(E979-F979&gt;1E-9,E979-F979,0)</f>
        <v/>
      </c>
      <c r="H979">
        <f>G978*$G$51</f>
        <v/>
      </c>
      <c r="I979">
        <f>IF(K978&gt;0,MAX(0,K978*(1+$G$52)-$H$52),0)</f>
        <v/>
      </c>
      <c r="J979">
        <f>MAX(0,F979-E979)</f>
        <v/>
      </c>
      <c r="K979">
        <f>IF(I979-J979&gt;1E-9,I979-J979,0)</f>
        <v/>
      </c>
      <c r="L979">
        <f>K978*$G$52</f>
        <v/>
      </c>
      <c r="M979">
        <f>IF(O978&gt;0,MAX(0,O978*(1+$G$53)-$H$53),0)</f>
        <v/>
      </c>
      <c r="N979">
        <f>MAX(0,J979-I979)</f>
        <v/>
      </c>
      <c r="O979">
        <f>IF(M979-N979&gt;1E-9,M979-N979,0)</f>
        <v/>
      </c>
      <c r="P979">
        <f>O978*$G$53</f>
        <v/>
      </c>
      <c r="Q979">
        <f>IF(S978&gt;0,MAX(0,S978*(1+$G$54)-$H$54),0)</f>
        <v/>
      </c>
      <c r="R979">
        <f>MAX(0,N979-M979)</f>
        <v/>
      </c>
      <c r="S979">
        <f>IF(Q979-R979&gt;1E-9,Q979-R979,0)</f>
        <v/>
      </c>
      <c r="T979">
        <f>S978*$G$54</f>
        <v/>
      </c>
      <c r="U979">
        <f>IF(W978&gt;0,MAX(0,W978*(1+$G$55)-$H$55),0)</f>
        <v/>
      </c>
      <c r="V979">
        <f>MAX(0,R979-Q979)</f>
        <v/>
      </c>
      <c r="W979">
        <f>IF(U979-V979&gt;1E-9,U979-V979,0)</f>
        <v/>
      </c>
      <c r="X979">
        <f>W978*$G$55</f>
        <v/>
      </c>
      <c r="Y979">
        <f>IF(Y978&gt;1E-9,IF(Y978*(1+$G$51)-MAX($B$9,0.01*Y978+Y978*$G$51)&gt;1E-9,Y978*(1+$G$51)-MAX($B$9,0.01*Y978+Y978*$G$51),0),0)</f>
        <v/>
      </c>
      <c r="Z979">
        <f>Y978*$G$51</f>
        <v/>
      </c>
      <c r="AA979">
        <f>IF(AA978&gt;1E-9,IF(AA978*(1+$G$52)-MAX($B$9,0.01*AA978+AA978*$G$52)&gt;1E-9,AA978*(1+$G$52)-MAX($B$9,0.01*AA978+AA978*$G$52),0),0)</f>
        <v/>
      </c>
      <c r="AB979">
        <f>AA978*$G$52</f>
        <v/>
      </c>
      <c r="AC979">
        <f>IF(AC978&gt;1E-9,IF(AC978*(1+$G$53)-MAX($B$9,0.01*AC978+AC978*$G$53)&gt;1E-9,AC978*(1+$G$53)-MAX($B$9,0.01*AC978+AC978*$G$53),0),0)</f>
        <v/>
      </c>
      <c r="AD979">
        <f>AC978*$G$53</f>
        <v/>
      </c>
      <c r="AE979">
        <f>IF(AE978&gt;1E-9,IF(AE978*(1+$G$54)-MAX($B$9,0.01*AE978+AE978*$G$54)&gt;1E-9,AE978*(1+$G$54)-MAX($B$9,0.01*AE978+AE978*$G$54),0),0)</f>
        <v/>
      </c>
      <c r="AF979">
        <f>AE978*$G$54</f>
        <v/>
      </c>
      <c r="AG979">
        <f>IF(AG978&gt;1E-9,IF(AG978*(1+$G$55)-MAX($B$9,0.01*AG978+AG978*$G$55)&gt;1E-9,AG978*(1+$G$55)-MAX($B$9,0.01*AG978+AG978*$G$55),0),0)</f>
        <v/>
      </c>
      <c r="AH979">
        <f>AG978*$G$55</f>
        <v/>
      </c>
      <c r="AI979">
        <f>G979+K979+O979+S979+W979</f>
        <v/>
      </c>
      <c r="AJ979">
        <f>AI978+AK979-AI979</f>
        <v/>
      </c>
      <c r="AK979">
        <f>H979+L979+P979+T979+X979</f>
        <v/>
      </c>
      <c r="AL979">
        <f>TEXT(EDATE($B$5,D979-1),"mmm yyyy")</f>
        <v/>
      </c>
      <c r="AM979">
        <f>AI979</f>
        <v/>
      </c>
    </row>
    <row r="980">
      <c r="D980" t="n">
        <v>919</v>
      </c>
      <c r="E980">
        <f>IF(G979&gt;0,MAX(0,G979*(1+$G$51)-$H$51),0)</f>
        <v/>
      </c>
      <c r="F980">
        <f>$B$6+IF($D980=$B$8,$B$7,0)</f>
        <v/>
      </c>
      <c r="G980">
        <f>IF(E980-F980&gt;1E-9,E980-F980,0)</f>
        <v/>
      </c>
      <c r="H980">
        <f>G979*$G$51</f>
        <v/>
      </c>
      <c r="I980">
        <f>IF(K979&gt;0,MAX(0,K979*(1+$G$52)-$H$52),0)</f>
        <v/>
      </c>
      <c r="J980">
        <f>MAX(0,F980-E980)</f>
        <v/>
      </c>
      <c r="K980">
        <f>IF(I980-J980&gt;1E-9,I980-J980,0)</f>
        <v/>
      </c>
      <c r="L980">
        <f>K979*$G$52</f>
        <v/>
      </c>
      <c r="M980">
        <f>IF(O979&gt;0,MAX(0,O979*(1+$G$53)-$H$53),0)</f>
        <v/>
      </c>
      <c r="N980">
        <f>MAX(0,J980-I980)</f>
        <v/>
      </c>
      <c r="O980">
        <f>IF(M980-N980&gt;1E-9,M980-N980,0)</f>
        <v/>
      </c>
      <c r="P980">
        <f>O979*$G$53</f>
        <v/>
      </c>
      <c r="Q980">
        <f>IF(S979&gt;0,MAX(0,S979*(1+$G$54)-$H$54),0)</f>
        <v/>
      </c>
      <c r="R980">
        <f>MAX(0,N980-M980)</f>
        <v/>
      </c>
      <c r="S980">
        <f>IF(Q980-R980&gt;1E-9,Q980-R980,0)</f>
        <v/>
      </c>
      <c r="T980">
        <f>S979*$G$54</f>
        <v/>
      </c>
      <c r="U980">
        <f>IF(W979&gt;0,MAX(0,W979*(1+$G$55)-$H$55),0)</f>
        <v/>
      </c>
      <c r="V980">
        <f>MAX(0,R980-Q980)</f>
        <v/>
      </c>
      <c r="W980">
        <f>IF(U980-V980&gt;1E-9,U980-V980,0)</f>
        <v/>
      </c>
      <c r="X980">
        <f>W979*$G$55</f>
        <v/>
      </c>
      <c r="Y980">
        <f>IF(Y979&gt;1E-9,IF(Y979*(1+$G$51)-MAX($B$9,0.01*Y979+Y979*$G$51)&gt;1E-9,Y979*(1+$G$51)-MAX($B$9,0.01*Y979+Y979*$G$51),0),0)</f>
        <v/>
      </c>
      <c r="Z980">
        <f>Y979*$G$51</f>
        <v/>
      </c>
      <c r="AA980">
        <f>IF(AA979&gt;1E-9,IF(AA979*(1+$G$52)-MAX($B$9,0.01*AA979+AA979*$G$52)&gt;1E-9,AA979*(1+$G$52)-MAX($B$9,0.01*AA979+AA979*$G$52),0),0)</f>
        <v/>
      </c>
      <c r="AB980">
        <f>AA979*$G$52</f>
        <v/>
      </c>
      <c r="AC980">
        <f>IF(AC979&gt;1E-9,IF(AC979*(1+$G$53)-MAX($B$9,0.01*AC979+AC979*$G$53)&gt;1E-9,AC979*(1+$G$53)-MAX($B$9,0.01*AC979+AC979*$G$53),0),0)</f>
        <v/>
      </c>
      <c r="AD980">
        <f>AC979*$G$53</f>
        <v/>
      </c>
      <c r="AE980">
        <f>IF(AE979&gt;1E-9,IF(AE979*(1+$G$54)-MAX($B$9,0.01*AE979+AE979*$G$54)&gt;1E-9,AE979*(1+$G$54)-MAX($B$9,0.01*AE979+AE979*$G$54),0),0)</f>
        <v/>
      </c>
      <c r="AF980">
        <f>AE979*$G$54</f>
        <v/>
      </c>
      <c r="AG980">
        <f>IF(AG979&gt;1E-9,IF(AG979*(1+$G$55)-MAX($B$9,0.01*AG979+AG979*$G$55)&gt;1E-9,AG979*(1+$G$55)-MAX($B$9,0.01*AG979+AG979*$G$55),0),0)</f>
        <v/>
      </c>
      <c r="AH980">
        <f>AG979*$G$55</f>
        <v/>
      </c>
      <c r="AI980">
        <f>G980+K980+O980+S980+W980</f>
        <v/>
      </c>
      <c r="AJ980">
        <f>AI979+AK980-AI980</f>
        <v/>
      </c>
      <c r="AK980">
        <f>H980+L980+P980+T980+X980</f>
        <v/>
      </c>
      <c r="AL980">
        <f>TEXT(EDATE($B$5,D980-1),"mmm yyyy")</f>
        <v/>
      </c>
      <c r="AM980">
        <f>AI980</f>
        <v/>
      </c>
    </row>
    <row r="981">
      <c r="D981" t="n">
        <v>920</v>
      </c>
      <c r="E981">
        <f>IF(G980&gt;0,MAX(0,G980*(1+$G$51)-$H$51),0)</f>
        <v/>
      </c>
      <c r="F981">
        <f>$B$6+IF($D981=$B$8,$B$7,0)</f>
        <v/>
      </c>
      <c r="G981">
        <f>IF(E981-F981&gt;1E-9,E981-F981,0)</f>
        <v/>
      </c>
      <c r="H981">
        <f>G980*$G$51</f>
        <v/>
      </c>
      <c r="I981">
        <f>IF(K980&gt;0,MAX(0,K980*(1+$G$52)-$H$52),0)</f>
        <v/>
      </c>
      <c r="J981">
        <f>MAX(0,F981-E981)</f>
        <v/>
      </c>
      <c r="K981">
        <f>IF(I981-J981&gt;1E-9,I981-J981,0)</f>
        <v/>
      </c>
      <c r="L981">
        <f>K980*$G$52</f>
        <v/>
      </c>
      <c r="M981">
        <f>IF(O980&gt;0,MAX(0,O980*(1+$G$53)-$H$53),0)</f>
        <v/>
      </c>
      <c r="N981">
        <f>MAX(0,J981-I981)</f>
        <v/>
      </c>
      <c r="O981">
        <f>IF(M981-N981&gt;1E-9,M981-N981,0)</f>
        <v/>
      </c>
      <c r="P981">
        <f>O980*$G$53</f>
        <v/>
      </c>
      <c r="Q981">
        <f>IF(S980&gt;0,MAX(0,S980*(1+$G$54)-$H$54),0)</f>
        <v/>
      </c>
      <c r="R981">
        <f>MAX(0,N981-M981)</f>
        <v/>
      </c>
      <c r="S981">
        <f>IF(Q981-R981&gt;1E-9,Q981-R981,0)</f>
        <v/>
      </c>
      <c r="T981">
        <f>S980*$G$54</f>
        <v/>
      </c>
      <c r="U981">
        <f>IF(W980&gt;0,MAX(0,W980*(1+$G$55)-$H$55),0)</f>
        <v/>
      </c>
      <c r="V981">
        <f>MAX(0,R981-Q981)</f>
        <v/>
      </c>
      <c r="W981">
        <f>IF(U981-V981&gt;1E-9,U981-V981,0)</f>
        <v/>
      </c>
      <c r="X981">
        <f>W980*$G$55</f>
        <v/>
      </c>
      <c r="Y981">
        <f>IF(Y980&gt;1E-9,IF(Y980*(1+$G$51)-MAX($B$9,0.01*Y980+Y980*$G$51)&gt;1E-9,Y980*(1+$G$51)-MAX($B$9,0.01*Y980+Y980*$G$51),0),0)</f>
        <v/>
      </c>
      <c r="Z981">
        <f>Y980*$G$51</f>
        <v/>
      </c>
      <c r="AA981">
        <f>IF(AA980&gt;1E-9,IF(AA980*(1+$G$52)-MAX($B$9,0.01*AA980+AA980*$G$52)&gt;1E-9,AA980*(1+$G$52)-MAX($B$9,0.01*AA980+AA980*$G$52),0),0)</f>
        <v/>
      </c>
      <c r="AB981">
        <f>AA980*$G$52</f>
        <v/>
      </c>
      <c r="AC981">
        <f>IF(AC980&gt;1E-9,IF(AC980*(1+$G$53)-MAX($B$9,0.01*AC980+AC980*$G$53)&gt;1E-9,AC980*(1+$G$53)-MAX($B$9,0.01*AC980+AC980*$G$53),0),0)</f>
        <v/>
      </c>
      <c r="AD981">
        <f>AC980*$G$53</f>
        <v/>
      </c>
      <c r="AE981">
        <f>IF(AE980&gt;1E-9,IF(AE980*(1+$G$54)-MAX($B$9,0.01*AE980+AE980*$G$54)&gt;1E-9,AE980*(1+$G$54)-MAX($B$9,0.01*AE980+AE980*$G$54),0),0)</f>
        <v/>
      </c>
      <c r="AF981">
        <f>AE980*$G$54</f>
        <v/>
      </c>
      <c r="AG981">
        <f>IF(AG980&gt;1E-9,IF(AG980*(1+$G$55)-MAX($B$9,0.01*AG980+AG980*$G$55)&gt;1E-9,AG980*(1+$G$55)-MAX($B$9,0.01*AG980+AG980*$G$55),0),0)</f>
        <v/>
      </c>
      <c r="AH981">
        <f>AG980*$G$55</f>
        <v/>
      </c>
      <c r="AI981">
        <f>G981+K981+O981+S981+W981</f>
        <v/>
      </c>
      <c r="AJ981">
        <f>AI980+AK981-AI981</f>
        <v/>
      </c>
      <c r="AK981">
        <f>H981+L981+P981+T981+X981</f>
        <v/>
      </c>
      <c r="AL981">
        <f>TEXT(EDATE($B$5,D981-1),"mmm yyyy")</f>
        <v/>
      </c>
      <c r="AM981">
        <f>AI981</f>
        <v/>
      </c>
    </row>
    <row r="982">
      <c r="D982" t="n">
        <v>921</v>
      </c>
      <c r="E982">
        <f>IF(G981&gt;0,MAX(0,G981*(1+$G$51)-$H$51),0)</f>
        <v/>
      </c>
      <c r="F982">
        <f>$B$6+IF($D982=$B$8,$B$7,0)</f>
        <v/>
      </c>
      <c r="G982">
        <f>IF(E982-F982&gt;1E-9,E982-F982,0)</f>
        <v/>
      </c>
      <c r="H982">
        <f>G981*$G$51</f>
        <v/>
      </c>
      <c r="I982">
        <f>IF(K981&gt;0,MAX(0,K981*(1+$G$52)-$H$52),0)</f>
        <v/>
      </c>
      <c r="J982">
        <f>MAX(0,F982-E982)</f>
        <v/>
      </c>
      <c r="K982">
        <f>IF(I982-J982&gt;1E-9,I982-J982,0)</f>
        <v/>
      </c>
      <c r="L982">
        <f>K981*$G$52</f>
        <v/>
      </c>
      <c r="M982">
        <f>IF(O981&gt;0,MAX(0,O981*(1+$G$53)-$H$53),0)</f>
        <v/>
      </c>
      <c r="N982">
        <f>MAX(0,J982-I982)</f>
        <v/>
      </c>
      <c r="O982">
        <f>IF(M982-N982&gt;1E-9,M982-N982,0)</f>
        <v/>
      </c>
      <c r="P982">
        <f>O981*$G$53</f>
        <v/>
      </c>
      <c r="Q982">
        <f>IF(S981&gt;0,MAX(0,S981*(1+$G$54)-$H$54),0)</f>
        <v/>
      </c>
      <c r="R982">
        <f>MAX(0,N982-M982)</f>
        <v/>
      </c>
      <c r="S982">
        <f>IF(Q982-R982&gt;1E-9,Q982-R982,0)</f>
        <v/>
      </c>
      <c r="T982">
        <f>S981*$G$54</f>
        <v/>
      </c>
      <c r="U982">
        <f>IF(W981&gt;0,MAX(0,W981*(1+$G$55)-$H$55),0)</f>
        <v/>
      </c>
      <c r="V982">
        <f>MAX(0,R982-Q982)</f>
        <v/>
      </c>
      <c r="W982">
        <f>IF(U982-V982&gt;1E-9,U982-V982,0)</f>
        <v/>
      </c>
      <c r="X982">
        <f>W981*$G$55</f>
        <v/>
      </c>
      <c r="Y982">
        <f>IF(Y981&gt;1E-9,IF(Y981*(1+$G$51)-MAX($B$9,0.01*Y981+Y981*$G$51)&gt;1E-9,Y981*(1+$G$51)-MAX($B$9,0.01*Y981+Y981*$G$51),0),0)</f>
        <v/>
      </c>
      <c r="Z982">
        <f>Y981*$G$51</f>
        <v/>
      </c>
      <c r="AA982">
        <f>IF(AA981&gt;1E-9,IF(AA981*(1+$G$52)-MAX($B$9,0.01*AA981+AA981*$G$52)&gt;1E-9,AA981*(1+$G$52)-MAX($B$9,0.01*AA981+AA981*$G$52),0),0)</f>
        <v/>
      </c>
      <c r="AB982">
        <f>AA981*$G$52</f>
        <v/>
      </c>
      <c r="AC982">
        <f>IF(AC981&gt;1E-9,IF(AC981*(1+$G$53)-MAX($B$9,0.01*AC981+AC981*$G$53)&gt;1E-9,AC981*(1+$G$53)-MAX($B$9,0.01*AC981+AC981*$G$53),0),0)</f>
        <v/>
      </c>
      <c r="AD982">
        <f>AC981*$G$53</f>
        <v/>
      </c>
      <c r="AE982">
        <f>IF(AE981&gt;1E-9,IF(AE981*(1+$G$54)-MAX($B$9,0.01*AE981+AE981*$G$54)&gt;1E-9,AE981*(1+$G$54)-MAX($B$9,0.01*AE981+AE981*$G$54),0),0)</f>
        <v/>
      </c>
      <c r="AF982">
        <f>AE981*$G$54</f>
        <v/>
      </c>
      <c r="AG982">
        <f>IF(AG981&gt;1E-9,IF(AG981*(1+$G$55)-MAX($B$9,0.01*AG981+AG981*$G$55)&gt;1E-9,AG981*(1+$G$55)-MAX($B$9,0.01*AG981+AG981*$G$55),0),0)</f>
        <v/>
      </c>
      <c r="AH982">
        <f>AG981*$G$55</f>
        <v/>
      </c>
      <c r="AI982">
        <f>G982+K982+O982+S982+W982</f>
        <v/>
      </c>
      <c r="AJ982">
        <f>AI981+AK982-AI982</f>
        <v/>
      </c>
      <c r="AK982">
        <f>H982+L982+P982+T982+X982</f>
        <v/>
      </c>
      <c r="AL982">
        <f>TEXT(EDATE($B$5,D982-1),"mmm yyyy")</f>
        <v/>
      </c>
      <c r="AM982">
        <f>AI982</f>
        <v/>
      </c>
    </row>
    <row r="983">
      <c r="D983" t="n">
        <v>922</v>
      </c>
      <c r="E983">
        <f>IF(G982&gt;0,MAX(0,G982*(1+$G$51)-$H$51),0)</f>
        <v/>
      </c>
      <c r="F983">
        <f>$B$6+IF($D983=$B$8,$B$7,0)</f>
        <v/>
      </c>
      <c r="G983">
        <f>IF(E983-F983&gt;1E-9,E983-F983,0)</f>
        <v/>
      </c>
      <c r="H983">
        <f>G982*$G$51</f>
        <v/>
      </c>
      <c r="I983">
        <f>IF(K982&gt;0,MAX(0,K982*(1+$G$52)-$H$52),0)</f>
        <v/>
      </c>
      <c r="J983">
        <f>MAX(0,F983-E983)</f>
        <v/>
      </c>
      <c r="K983">
        <f>IF(I983-J983&gt;1E-9,I983-J983,0)</f>
        <v/>
      </c>
      <c r="L983">
        <f>K982*$G$52</f>
        <v/>
      </c>
      <c r="M983">
        <f>IF(O982&gt;0,MAX(0,O982*(1+$G$53)-$H$53),0)</f>
        <v/>
      </c>
      <c r="N983">
        <f>MAX(0,J983-I983)</f>
        <v/>
      </c>
      <c r="O983">
        <f>IF(M983-N983&gt;1E-9,M983-N983,0)</f>
        <v/>
      </c>
      <c r="P983">
        <f>O982*$G$53</f>
        <v/>
      </c>
      <c r="Q983">
        <f>IF(S982&gt;0,MAX(0,S982*(1+$G$54)-$H$54),0)</f>
        <v/>
      </c>
      <c r="R983">
        <f>MAX(0,N983-M983)</f>
        <v/>
      </c>
      <c r="S983">
        <f>IF(Q983-R983&gt;1E-9,Q983-R983,0)</f>
        <v/>
      </c>
      <c r="T983">
        <f>S982*$G$54</f>
        <v/>
      </c>
      <c r="U983">
        <f>IF(W982&gt;0,MAX(0,W982*(1+$G$55)-$H$55),0)</f>
        <v/>
      </c>
      <c r="V983">
        <f>MAX(0,R983-Q983)</f>
        <v/>
      </c>
      <c r="W983">
        <f>IF(U983-V983&gt;1E-9,U983-V983,0)</f>
        <v/>
      </c>
      <c r="X983">
        <f>W982*$G$55</f>
        <v/>
      </c>
      <c r="Y983">
        <f>IF(Y982&gt;1E-9,IF(Y982*(1+$G$51)-MAX($B$9,0.01*Y982+Y982*$G$51)&gt;1E-9,Y982*(1+$G$51)-MAX($B$9,0.01*Y982+Y982*$G$51),0),0)</f>
        <v/>
      </c>
      <c r="Z983">
        <f>Y982*$G$51</f>
        <v/>
      </c>
      <c r="AA983">
        <f>IF(AA982&gt;1E-9,IF(AA982*(1+$G$52)-MAX($B$9,0.01*AA982+AA982*$G$52)&gt;1E-9,AA982*(1+$G$52)-MAX($B$9,0.01*AA982+AA982*$G$52),0),0)</f>
        <v/>
      </c>
      <c r="AB983">
        <f>AA982*$G$52</f>
        <v/>
      </c>
      <c r="AC983">
        <f>IF(AC982&gt;1E-9,IF(AC982*(1+$G$53)-MAX($B$9,0.01*AC982+AC982*$G$53)&gt;1E-9,AC982*(1+$G$53)-MAX($B$9,0.01*AC982+AC982*$G$53),0),0)</f>
        <v/>
      </c>
      <c r="AD983">
        <f>AC982*$G$53</f>
        <v/>
      </c>
      <c r="AE983">
        <f>IF(AE982&gt;1E-9,IF(AE982*(1+$G$54)-MAX($B$9,0.01*AE982+AE982*$G$54)&gt;1E-9,AE982*(1+$G$54)-MAX($B$9,0.01*AE982+AE982*$G$54),0),0)</f>
        <v/>
      </c>
      <c r="AF983">
        <f>AE982*$G$54</f>
        <v/>
      </c>
      <c r="AG983">
        <f>IF(AG982&gt;1E-9,IF(AG982*(1+$G$55)-MAX($B$9,0.01*AG982+AG982*$G$55)&gt;1E-9,AG982*(1+$G$55)-MAX($B$9,0.01*AG982+AG982*$G$55),0),0)</f>
        <v/>
      </c>
      <c r="AH983">
        <f>AG982*$G$55</f>
        <v/>
      </c>
      <c r="AI983">
        <f>G983+K983+O983+S983+W983</f>
        <v/>
      </c>
      <c r="AJ983">
        <f>AI982+AK983-AI983</f>
        <v/>
      </c>
      <c r="AK983">
        <f>H983+L983+P983+T983+X983</f>
        <v/>
      </c>
      <c r="AL983">
        <f>TEXT(EDATE($B$5,D983-1),"mmm yyyy")</f>
        <v/>
      </c>
      <c r="AM983">
        <f>AI983</f>
        <v/>
      </c>
    </row>
    <row r="984">
      <c r="D984" t="n">
        <v>923</v>
      </c>
      <c r="E984">
        <f>IF(G983&gt;0,MAX(0,G983*(1+$G$51)-$H$51),0)</f>
        <v/>
      </c>
      <c r="F984">
        <f>$B$6+IF($D984=$B$8,$B$7,0)</f>
        <v/>
      </c>
      <c r="G984">
        <f>IF(E984-F984&gt;1E-9,E984-F984,0)</f>
        <v/>
      </c>
      <c r="H984">
        <f>G983*$G$51</f>
        <v/>
      </c>
      <c r="I984">
        <f>IF(K983&gt;0,MAX(0,K983*(1+$G$52)-$H$52),0)</f>
        <v/>
      </c>
      <c r="J984">
        <f>MAX(0,F984-E984)</f>
        <v/>
      </c>
      <c r="K984">
        <f>IF(I984-J984&gt;1E-9,I984-J984,0)</f>
        <v/>
      </c>
      <c r="L984">
        <f>K983*$G$52</f>
        <v/>
      </c>
      <c r="M984">
        <f>IF(O983&gt;0,MAX(0,O983*(1+$G$53)-$H$53),0)</f>
        <v/>
      </c>
      <c r="N984">
        <f>MAX(0,J984-I984)</f>
        <v/>
      </c>
      <c r="O984">
        <f>IF(M984-N984&gt;1E-9,M984-N984,0)</f>
        <v/>
      </c>
      <c r="P984">
        <f>O983*$G$53</f>
        <v/>
      </c>
      <c r="Q984">
        <f>IF(S983&gt;0,MAX(0,S983*(1+$G$54)-$H$54),0)</f>
        <v/>
      </c>
      <c r="R984">
        <f>MAX(0,N984-M984)</f>
        <v/>
      </c>
      <c r="S984">
        <f>IF(Q984-R984&gt;1E-9,Q984-R984,0)</f>
        <v/>
      </c>
      <c r="T984">
        <f>S983*$G$54</f>
        <v/>
      </c>
      <c r="U984">
        <f>IF(W983&gt;0,MAX(0,W983*(1+$G$55)-$H$55),0)</f>
        <v/>
      </c>
      <c r="V984">
        <f>MAX(0,R984-Q984)</f>
        <v/>
      </c>
      <c r="W984">
        <f>IF(U984-V984&gt;1E-9,U984-V984,0)</f>
        <v/>
      </c>
      <c r="X984">
        <f>W983*$G$55</f>
        <v/>
      </c>
      <c r="Y984">
        <f>IF(Y983&gt;1E-9,IF(Y983*(1+$G$51)-MAX($B$9,0.01*Y983+Y983*$G$51)&gt;1E-9,Y983*(1+$G$51)-MAX($B$9,0.01*Y983+Y983*$G$51),0),0)</f>
        <v/>
      </c>
      <c r="Z984">
        <f>Y983*$G$51</f>
        <v/>
      </c>
      <c r="AA984">
        <f>IF(AA983&gt;1E-9,IF(AA983*(1+$G$52)-MAX($B$9,0.01*AA983+AA983*$G$52)&gt;1E-9,AA983*(1+$G$52)-MAX($B$9,0.01*AA983+AA983*$G$52),0),0)</f>
        <v/>
      </c>
      <c r="AB984">
        <f>AA983*$G$52</f>
        <v/>
      </c>
      <c r="AC984">
        <f>IF(AC983&gt;1E-9,IF(AC983*(1+$G$53)-MAX($B$9,0.01*AC983+AC983*$G$53)&gt;1E-9,AC983*(1+$G$53)-MAX($B$9,0.01*AC983+AC983*$G$53),0),0)</f>
        <v/>
      </c>
      <c r="AD984">
        <f>AC983*$G$53</f>
        <v/>
      </c>
      <c r="AE984">
        <f>IF(AE983&gt;1E-9,IF(AE983*(1+$G$54)-MAX($B$9,0.01*AE983+AE983*$G$54)&gt;1E-9,AE983*(1+$G$54)-MAX($B$9,0.01*AE983+AE983*$G$54),0),0)</f>
        <v/>
      </c>
      <c r="AF984">
        <f>AE983*$G$54</f>
        <v/>
      </c>
      <c r="AG984">
        <f>IF(AG983&gt;1E-9,IF(AG983*(1+$G$55)-MAX($B$9,0.01*AG983+AG983*$G$55)&gt;1E-9,AG983*(1+$G$55)-MAX($B$9,0.01*AG983+AG983*$G$55),0),0)</f>
        <v/>
      </c>
      <c r="AH984">
        <f>AG983*$G$55</f>
        <v/>
      </c>
      <c r="AI984">
        <f>G984+K984+O984+S984+W984</f>
        <v/>
      </c>
      <c r="AJ984">
        <f>AI983+AK984-AI984</f>
        <v/>
      </c>
      <c r="AK984">
        <f>H984+L984+P984+T984+X984</f>
        <v/>
      </c>
      <c r="AL984">
        <f>TEXT(EDATE($B$5,D984-1),"mmm yyyy")</f>
        <v/>
      </c>
      <c r="AM984">
        <f>AI984</f>
        <v/>
      </c>
    </row>
    <row r="985">
      <c r="D985" t="n">
        <v>924</v>
      </c>
      <c r="E985">
        <f>IF(G984&gt;0,MAX(0,G984*(1+$G$51)-$H$51),0)</f>
        <v/>
      </c>
      <c r="F985">
        <f>$B$6+IF($D985=$B$8,$B$7,0)</f>
        <v/>
      </c>
      <c r="G985">
        <f>IF(E985-F985&gt;1E-9,E985-F985,0)</f>
        <v/>
      </c>
      <c r="H985">
        <f>G984*$G$51</f>
        <v/>
      </c>
      <c r="I985">
        <f>IF(K984&gt;0,MAX(0,K984*(1+$G$52)-$H$52),0)</f>
        <v/>
      </c>
      <c r="J985">
        <f>MAX(0,F985-E985)</f>
        <v/>
      </c>
      <c r="K985">
        <f>IF(I985-J985&gt;1E-9,I985-J985,0)</f>
        <v/>
      </c>
      <c r="L985">
        <f>K984*$G$52</f>
        <v/>
      </c>
      <c r="M985">
        <f>IF(O984&gt;0,MAX(0,O984*(1+$G$53)-$H$53),0)</f>
        <v/>
      </c>
      <c r="N985">
        <f>MAX(0,J985-I985)</f>
        <v/>
      </c>
      <c r="O985">
        <f>IF(M985-N985&gt;1E-9,M985-N985,0)</f>
        <v/>
      </c>
      <c r="P985">
        <f>O984*$G$53</f>
        <v/>
      </c>
      <c r="Q985">
        <f>IF(S984&gt;0,MAX(0,S984*(1+$G$54)-$H$54),0)</f>
        <v/>
      </c>
      <c r="R985">
        <f>MAX(0,N985-M985)</f>
        <v/>
      </c>
      <c r="S985">
        <f>IF(Q985-R985&gt;1E-9,Q985-R985,0)</f>
        <v/>
      </c>
      <c r="T985">
        <f>S984*$G$54</f>
        <v/>
      </c>
      <c r="U985">
        <f>IF(W984&gt;0,MAX(0,W984*(1+$G$55)-$H$55),0)</f>
        <v/>
      </c>
      <c r="V985">
        <f>MAX(0,R985-Q985)</f>
        <v/>
      </c>
      <c r="W985">
        <f>IF(U985-V985&gt;1E-9,U985-V985,0)</f>
        <v/>
      </c>
      <c r="X985">
        <f>W984*$G$55</f>
        <v/>
      </c>
      <c r="Y985">
        <f>IF(Y984&gt;1E-9,IF(Y984*(1+$G$51)-MAX($B$9,0.01*Y984+Y984*$G$51)&gt;1E-9,Y984*(1+$G$51)-MAX($B$9,0.01*Y984+Y984*$G$51),0),0)</f>
        <v/>
      </c>
      <c r="Z985">
        <f>Y984*$G$51</f>
        <v/>
      </c>
      <c r="AA985">
        <f>IF(AA984&gt;1E-9,IF(AA984*(1+$G$52)-MAX($B$9,0.01*AA984+AA984*$G$52)&gt;1E-9,AA984*(1+$G$52)-MAX($B$9,0.01*AA984+AA984*$G$52),0),0)</f>
        <v/>
      </c>
      <c r="AB985">
        <f>AA984*$G$52</f>
        <v/>
      </c>
      <c r="AC985">
        <f>IF(AC984&gt;1E-9,IF(AC984*(1+$G$53)-MAX($B$9,0.01*AC984+AC984*$G$53)&gt;1E-9,AC984*(1+$G$53)-MAX($B$9,0.01*AC984+AC984*$G$53),0),0)</f>
        <v/>
      </c>
      <c r="AD985">
        <f>AC984*$G$53</f>
        <v/>
      </c>
      <c r="AE985">
        <f>IF(AE984&gt;1E-9,IF(AE984*(1+$G$54)-MAX($B$9,0.01*AE984+AE984*$G$54)&gt;1E-9,AE984*(1+$G$54)-MAX($B$9,0.01*AE984+AE984*$G$54),0),0)</f>
        <v/>
      </c>
      <c r="AF985">
        <f>AE984*$G$54</f>
        <v/>
      </c>
      <c r="AG985">
        <f>IF(AG984&gt;1E-9,IF(AG984*(1+$G$55)-MAX($B$9,0.01*AG984+AG984*$G$55)&gt;1E-9,AG984*(1+$G$55)-MAX($B$9,0.01*AG984+AG984*$G$55),0),0)</f>
        <v/>
      </c>
      <c r="AH985">
        <f>AG984*$G$55</f>
        <v/>
      </c>
      <c r="AI985">
        <f>G985+K985+O985+S985+W985</f>
        <v/>
      </c>
      <c r="AJ985">
        <f>AI984+AK985-AI985</f>
        <v/>
      </c>
      <c r="AK985">
        <f>H985+L985+P985+T985+X985</f>
        <v/>
      </c>
      <c r="AL985">
        <f>TEXT(EDATE($B$5,D985-1),"mmm yyyy")</f>
        <v/>
      </c>
      <c r="AM985">
        <f>AI985</f>
        <v/>
      </c>
    </row>
    <row r="986">
      <c r="D986" t="n">
        <v>925</v>
      </c>
      <c r="E986">
        <f>IF(G985&gt;0,MAX(0,G985*(1+$G$51)-$H$51),0)</f>
        <v/>
      </c>
      <c r="F986">
        <f>$B$6+IF($D986=$B$8,$B$7,0)</f>
        <v/>
      </c>
      <c r="G986">
        <f>IF(E986-F986&gt;1E-9,E986-F986,0)</f>
        <v/>
      </c>
      <c r="H986">
        <f>G985*$G$51</f>
        <v/>
      </c>
      <c r="I986">
        <f>IF(K985&gt;0,MAX(0,K985*(1+$G$52)-$H$52),0)</f>
        <v/>
      </c>
      <c r="J986">
        <f>MAX(0,F986-E986)</f>
        <v/>
      </c>
      <c r="K986">
        <f>IF(I986-J986&gt;1E-9,I986-J986,0)</f>
        <v/>
      </c>
      <c r="L986">
        <f>K985*$G$52</f>
        <v/>
      </c>
      <c r="M986">
        <f>IF(O985&gt;0,MAX(0,O985*(1+$G$53)-$H$53),0)</f>
        <v/>
      </c>
      <c r="N986">
        <f>MAX(0,J986-I986)</f>
        <v/>
      </c>
      <c r="O986">
        <f>IF(M986-N986&gt;1E-9,M986-N986,0)</f>
        <v/>
      </c>
      <c r="P986">
        <f>O985*$G$53</f>
        <v/>
      </c>
      <c r="Q986">
        <f>IF(S985&gt;0,MAX(0,S985*(1+$G$54)-$H$54),0)</f>
        <v/>
      </c>
      <c r="R986">
        <f>MAX(0,N986-M986)</f>
        <v/>
      </c>
      <c r="S986">
        <f>IF(Q986-R986&gt;1E-9,Q986-R986,0)</f>
        <v/>
      </c>
      <c r="T986">
        <f>S985*$G$54</f>
        <v/>
      </c>
      <c r="U986">
        <f>IF(W985&gt;0,MAX(0,W985*(1+$G$55)-$H$55),0)</f>
        <v/>
      </c>
      <c r="V986">
        <f>MAX(0,R986-Q986)</f>
        <v/>
      </c>
      <c r="W986">
        <f>IF(U986-V986&gt;1E-9,U986-V986,0)</f>
        <v/>
      </c>
      <c r="X986">
        <f>W985*$G$55</f>
        <v/>
      </c>
      <c r="Y986">
        <f>IF(Y985&gt;1E-9,IF(Y985*(1+$G$51)-MAX($B$9,0.01*Y985+Y985*$G$51)&gt;1E-9,Y985*(1+$G$51)-MAX($B$9,0.01*Y985+Y985*$G$51),0),0)</f>
        <v/>
      </c>
      <c r="Z986">
        <f>Y985*$G$51</f>
        <v/>
      </c>
      <c r="AA986">
        <f>IF(AA985&gt;1E-9,IF(AA985*(1+$G$52)-MAX($B$9,0.01*AA985+AA985*$G$52)&gt;1E-9,AA985*(1+$G$52)-MAX($B$9,0.01*AA985+AA985*$G$52),0),0)</f>
        <v/>
      </c>
      <c r="AB986">
        <f>AA985*$G$52</f>
        <v/>
      </c>
      <c r="AC986">
        <f>IF(AC985&gt;1E-9,IF(AC985*(1+$G$53)-MAX($B$9,0.01*AC985+AC985*$G$53)&gt;1E-9,AC985*(1+$G$53)-MAX($B$9,0.01*AC985+AC985*$G$53),0),0)</f>
        <v/>
      </c>
      <c r="AD986">
        <f>AC985*$G$53</f>
        <v/>
      </c>
      <c r="AE986">
        <f>IF(AE985&gt;1E-9,IF(AE985*(1+$G$54)-MAX($B$9,0.01*AE985+AE985*$G$54)&gt;1E-9,AE985*(1+$G$54)-MAX($B$9,0.01*AE985+AE985*$G$54),0),0)</f>
        <v/>
      </c>
      <c r="AF986">
        <f>AE985*$G$54</f>
        <v/>
      </c>
      <c r="AG986">
        <f>IF(AG985&gt;1E-9,IF(AG985*(1+$G$55)-MAX($B$9,0.01*AG985+AG985*$G$55)&gt;1E-9,AG985*(1+$G$55)-MAX($B$9,0.01*AG985+AG985*$G$55),0),0)</f>
        <v/>
      </c>
      <c r="AH986">
        <f>AG985*$G$55</f>
        <v/>
      </c>
      <c r="AI986">
        <f>G986+K986+O986+S986+W986</f>
        <v/>
      </c>
      <c r="AJ986">
        <f>AI985+AK986-AI986</f>
        <v/>
      </c>
      <c r="AK986">
        <f>H986+L986+P986+T986+X986</f>
        <v/>
      </c>
      <c r="AL986">
        <f>TEXT(EDATE($B$5,D986-1),"mmm yyyy")</f>
        <v/>
      </c>
      <c r="AM986">
        <f>AI986</f>
        <v/>
      </c>
    </row>
    <row r="987">
      <c r="D987" t="n">
        <v>926</v>
      </c>
      <c r="E987">
        <f>IF(G986&gt;0,MAX(0,G986*(1+$G$51)-$H$51),0)</f>
        <v/>
      </c>
      <c r="F987">
        <f>$B$6+IF($D987=$B$8,$B$7,0)</f>
        <v/>
      </c>
      <c r="G987">
        <f>IF(E987-F987&gt;1E-9,E987-F987,0)</f>
        <v/>
      </c>
      <c r="H987">
        <f>G986*$G$51</f>
        <v/>
      </c>
      <c r="I987">
        <f>IF(K986&gt;0,MAX(0,K986*(1+$G$52)-$H$52),0)</f>
        <v/>
      </c>
      <c r="J987">
        <f>MAX(0,F987-E987)</f>
        <v/>
      </c>
      <c r="K987">
        <f>IF(I987-J987&gt;1E-9,I987-J987,0)</f>
        <v/>
      </c>
      <c r="L987">
        <f>K986*$G$52</f>
        <v/>
      </c>
      <c r="M987">
        <f>IF(O986&gt;0,MAX(0,O986*(1+$G$53)-$H$53),0)</f>
        <v/>
      </c>
      <c r="N987">
        <f>MAX(0,J987-I987)</f>
        <v/>
      </c>
      <c r="O987">
        <f>IF(M987-N987&gt;1E-9,M987-N987,0)</f>
        <v/>
      </c>
      <c r="P987">
        <f>O986*$G$53</f>
        <v/>
      </c>
      <c r="Q987">
        <f>IF(S986&gt;0,MAX(0,S986*(1+$G$54)-$H$54),0)</f>
        <v/>
      </c>
      <c r="R987">
        <f>MAX(0,N987-M987)</f>
        <v/>
      </c>
      <c r="S987">
        <f>IF(Q987-R987&gt;1E-9,Q987-R987,0)</f>
        <v/>
      </c>
      <c r="T987">
        <f>S986*$G$54</f>
        <v/>
      </c>
      <c r="U987">
        <f>IF(W986&gt;0,MAX(0,W986*(1+$G$55)-$H$55),0)</f>
        <v/>
      </c>
      <c r="V987">
        <f>MAX(0,R987-Q987)</f>
        <v/>
      </c>
      <c r="W987">
        <f>IF(U987-V987&gt;1E-9,U987-V987,0)</f>
        <v/>
      </c>
      <c r="X987">
        <f>W986*$G$55</f>
        <v/>
      </c>
      <c r="Y987">
        <f>IF(Y986&gt;1E-9,IF(Y986*(1+$G$51)-MAX($B$9,0.01*Y986+Y986*$G$51)&gt;1E-9,Y986*(1+$G$51)-MAX($B$9,0.01*Y986+Y986*$G$51),0),0)</f>
        <v/>
      </c>
      <c r="Z987">
        <f>Y986*$G$51</f>
        <v/>
      </c>
      <c r="AA987">
        <f>IF(AA986&gt;1E-9,IF(AA986*(1+$G$52)-MAX($B$9,0.01*AA986+AA986*$G$52)&gt;1E-9,AA986*(1+$G$52)-MAX($B$9,0.01*AA986+AA986*$G$52),0),0)</f>
        <v/>
      </c>
      <c r="AB987">
        <f>AA986*$G$52</f>
        <v/>
      </c>
      <c r="AC987">
        <f>IF(AC986&gt;1E-9,IF(AC986*(1+$G$53)-MAX($B$9,0.01*AC986+AC986*$G$53)&gt;1E-9,AC986*(1+$G$53)-MAX($B$9,0.01*AC986+AC986*$G$53),0),0)</f>
        <v/>
      </c>
      <c r="AD987">
        <f>AC986*$G$53</f>
        <v/>
      </c>
      <c r="AE987">
        <f>IF(AE986&gt;1E-9,IF(AE986*(1+$G$54)-MAX($B$9,0.01*AE986+AE986*$G$54)&gt;1E-9,AE986*(1+$G$54)-MAX($B$9,0.01*AE986+AE986*$G$54),0),0)</f>
        <v/>
      </c>
      <c r="AF987">
        <f>AE986*$G$54</f>
        <v/>
      </c>
      <c r="AG987">
        <f>IF(AG986&gt;1E-9,IF(AG986*(1+$G$55)-MAX($B$9,0.01*AG986+AG986*$G$55)&gt;1E-9,AG986*(1+$G$55)-MAX($B$9,0.01*AG986+AG986*$G$55),0),0)</f>
        <v/>
      </c>
      <c r="AH987">
        <f>AG986*$G$55</f>
        <v/>
      </c>
      <c r="AI987">
        <f>G987+K987+O987+S987+W987</f>
        <v/>
      </c>
      <c r="AJ987">
        <f>AI986+AK987-AI987</f>
        <v/>
      </c>
      <c r="AK987">
        <f>H987+L987+P987+T987+X987</f>
        <v/>
      </c>
      <c r="AL987">
        <f>TEXT(EDATE($B$5,D987-1),"mmm yyyy")</f>
        <v/>
      </c>
      <c r="AM987">
        <f>AI987</f>
        <v/>
      </c>
    </row>
    <row r="988">
      <c r="D988" t="n">
        <v>927</v>
      </c>
      <c r="E988">
        <f>IF(G987&gt;0,MAX(0,G987*(1+$G$51)-$H$51),0)</f>
        <v/>
      </c>
      <c r="F988">
        <f>$B$6+IF($D988=$B$8,$B$7,0)</f>
        <v/>
      </c>
      <c r="G988">
        <f>IF(E988-F988&gt;1E-9,E988-F988,0)</f>
        <v/>
      </c>
      <c r="H988">
        <f>G987*$G$51</f>
        <v/>
      </c>
      <c r="I988">
        <f>IF(K987&gt;0,MAX(0,K987*(1+$G$52)-$H$52),0)</f>
        <v/>
      </c>
      <c r="J988">
        <f>MAX(0,F988-E988)</f>
        <v/>
      </c>
      <c r="K988">
        <f>IF(I988-J988&gt;1E-9,I988-J988,0)</f>
        <v/>
      </c>
      <c r="L988">
        <f>K987*$G$52</f>
        <v/>
      </c>
      <c r="M988">
        <f>IF(O987&gt;0,MAX(0,O987*(1+$G$53)-$H$53),0)</f>
        <v/>
      </c>
      <c r="N988">
        <f>MAX(0,J988-I988)</f>
        <v/>
      </c>
      <c r="O988">
        <f>IF(M988-N988&gt;1E-9,M988-N988,0)</f>
        <v/>
      </c>
      <c r="P988">
        <f>O987*$G$53</f>
        <v/>
      </c>
      <c r="Q988">
        <f>IF(S987&gt;0,MAX(0,S987*(1+$G$54)-$H$54),0)</f>
        <v/>
      </c>
      <c r="R988">
        <f>MAX(0,N988-M988)</f>
        <v/>
      </c>
      <c r="S988">
        <f>IF(Q988-R988&gt;1E-9,Q988-R988,0)</f>
        <v/>
      </c>
      <c r="T988">
        <f>S987*$G$54</f>
        <v/>
      </c>
      <c r="U988">
        <f>IF(W987&gt;0,MAX(0,W987*(1+$G$55)-$H$55),0)</f>
        <v/>
      </c>
      <c r="V988">
        <f>MAX(0,R988-Q988)</f>
        <v/>
      </c>
      <c r="W988">
        <f>IF(U988-V988&gt;1E-9,U988-V988,0)</f>
        <v/>
      </c>
      <c r="X988">
        <f>W987*$G$55</f>
        <v/>
      </c>
      <c r="Y988">
        <f>IF(Y987&gt;1E-9,IF(Y987*(1+$G$51)-MAX($B$9,0.01*Y987+Y987*$G$51)&gt;1E-9,Y987*(1+$G$51)-MAX($B$9,0.01*Y987+Y987*$G$51),0),0)</f>
        <v/>
      </c>
      <c r="Z988">
        <f>Y987*$G$51</f>
        <v/>
      </c>
      <c r="AA988">
        <f>IF(AA987&gt;1E-9,IF(AA987*(1+$G$52)-MAX($B$9,0.01*AA987+AA987*$G$52)&gt;1E-9,AA987*(1+$G$52)-MAX($B$9,0.01*AA987+AA987*$G$52),0),0)</f>
        <v/>
      </c>
      <c r="AB988">
        <f>AA987*$G$52</f>
        <v/>
      </c>
      <c r="AC988">
        <f>IF(AC987&gt;1E-9,IF(AC987*(1+$G$53)-MAX($B$9,0.01*AC987+AC987*$G$53)&gt;1E-9,AC987*(1+$G$53)-MAX($B$9,0.01*AC987+AC987*$G$53),0),0)</f>
        <v/>
      </c>
      <c r="AD988">
        <f>AC987*$G$53</f>
        <v/>
      </c>
      <c r="AE988">
        <f>IF(AE987&gt;1E-9,IF(AE987*(1+$G$54)-MAX($B$9,0.01*AE987+AE987*$G$54)&gt;1E-9,AE987*(1+$G$54)-MAX($B$9,0.01*AE987+AE987*$G$54),0),0)</f>
        <v/>
      </c>
      <c r="AF988">
        <f>AE987*$G$54</f>
        <v/>
      </c>
      <c r="AG988">
        <f>IF(AG987&gt;1E-9,IF(AG987*(1+$G$55)-MAX($B$9,0.01*AG987+AG987*$G$55)&gt;1E-9,AG987*(1+$G$55)-MAX($B$9,0.01*AG987+AG987*$G$55),0),0)</f>
        <v/>
      </c>
      <c r="AH988">
        <f>AG987*$G$55</f>
        <v/>
      </c>
      <c r="AI988">
        <f>G988+K988+O988+S988+W988</f>
        <v/>
      </c>
      <c r="AJ988">
        <f>AI987+AK988-AI988</f>
        <v/>
      </c>
      <c r="AK988">
        <f>H988+L988+P988+T988+X988</f>
        <v/>
      </c>
      <c r="AL988">
        <f>TEXT(EDATE($B$5,D988-1),"mmm yyyy")</f>
        <v/>
      </c>
      <c r="AM988">
        <f>AI988</f>
        <v/>
      </c>
    </row>
    <row r="989">
      <c r="D989" t="n">
        <v>928</v>
      </c>
      <c r="E989">
        <f>IF(G988&gt;0,MAX(0,G988*(1+$G$51)-$H$51),0)</f>
        <v/>
      </c>
      <c r="F989">
        <f>$B$6+IF($D989=$B$8,$B$7,0)</f>
        <v/>
      </c>
      <c r="G989">
        <f>IF(E989-F989&gt;1E-9,E989-F989,0)</f>
        <v/>
      </c>
      <c r="H989">
        <f>G988*$G$51</f>
        <v/>
      </c>
      <c r="I989">
        <f>IF(K988&gt;0,MAX(0,K988*(1+$G$52)-$H$52),0)</f>
        <v/>
      </c>
      <c r="J989">
        <f>MAX(0,F989-E989)</f>
        <v/>
      </c>
      <c r="K989">
        <f>IF(I989-J989&gt;1E-9,I989-J989,0)</f>
        <v/>
      </c>
      <c r="L989">
        <f>K988*$G$52</f>
        <v/>
      </c>
      <c r="M989">
        <f>IF(O988&gt;0,MAX(0,O988*(1+$G$53)-$H$53),0)</f>
        <v/>
      </c>
      <c r="N989">
        <f>MAX(0,J989-I989)</f>
        <v/>
      </c>
      <c r="O989">
        <f>IF(M989-N989&gt;1E-9,M989-N989,0)</f>
        <v/>
      </c>
      <c r="P989">
        <f>O988*$G$53</f>
        <v/>
      </c>
      <c r="Q989">
        <f>IF(S988&gt;0,MAX(0,S988*(1+$G$54)-$H$54),0)</f>
        <v/>
      </c>
      <c r="R989">
        <f>MAX(0,N989-M989)</f>
        <v/>
      </c>
      <c r="S989">
        <f>IF(Q989-R989&gt;1E-9,Q989-R989,0)</f>
        <v/>
      </c>
      <c r="T989">
        <f>S988*$G$54</f>
        <v/>
      </c>
      <c r="U989">
        <f>IF(W988&gt;0,MAX(0,W988*(1+$G$55)-$H$55),0)</f>
        <v/>
      </c>
      <c r="V989">
        <f>MAX(0,R989-Q989)</f>
        <v/>
      </c>
      <c r="W989">
        <f>IF(U989-V989&gt;1E-9,U989-V989,0)</f>
        <v/>
      </c>
      <c r="X989">
        <f>W988*$G$55</f>
        <v/>
      </c>
      <c r="Y989">
        <f>IF(Y988&gt;1E-9,IF(Y988*(1+$G$51)-MAX($B$9,0.01*Y988+Y988*$G$51)&gt;1E-9,Y988*(1+$G$51)-MAX($B$9,0.01*Y988+Y988*$G$51),0),0)</f>
        <v/>
      </c>
      <c r="Z989">
        <f>Y988*$G$51</f>
        <v/>
      </c>
      <c r="AA989">
        <f>IF(AA988&gt;1E-9,IF(AA988*(1+$G$52)-MAX($B$9,0.01*AA988+AA988*$G$52)&gt;1E-9,AA988*(1+$G$52)-MAX($B$9,0.01*AA988+AA988*$G$52),0),0)</f>
        <v/>
      </c>
      <c r="AB989">
        <f>AA988*$G$52</f>
        <v/>
      </c>
      <c r="AC989">
        <f>IF(AC988&gt;1E-9,IF(AC988*(1+$G$53)-MAX($B$9,0.01*AC988+AC988*$G$53)&gt;1E-9,AC988*(1+$G$53)-MAX($B$9,0.01*AC988+AC988*$G$53),0),0)</f>
        <v/>
      </c>
      <c r="AD989">
        <f>AC988*$G$53</f>
        <v/>
      </c>
      <c r="AE989">
        <f>IF(AE988&gt;1E-9,IF(AE988*(1+$G$54)-MAX($B$9,0.01*AE988+AE988*$G$54)&gt;1E-9,AE988*(1+$G$54)-MAX($B$9,0.01*AE988+AE988*$G$54),0),0)</f>
        <v/>
      </c>
      <c r="AF989">
        <f>AE988*$G$54</f>
        <v/>
      </c>
      <c r="AG989">
        <f>IF(AG988&gt;1E-9,IF(AG988*(1+$G$55)-MAX($B$9,0.01*AG988+AG988*$G$55)&gt;1E-9,AG988*(1+$G$55)-MAX($B$9,0.01*AG988+AG988*$G$55),0),0)</f>
        <v/>
      </c>
      <c r="AH989">
        <f>AG988*$G$55</f>
        <v/>
      </c>
      <c r="AI989">
        <f>G989+K989+O989+S989+W989</f>
        <v/>
      </c>
      <c r="AJ989">
        <f>AI988+AK989-AI989</f>
        <v/>
      </c>
      <c r="AK989">
        <f>H989+L989+P989+T989+X989</f>
        <v/>
      </c>
      <c r="AL989">
        <f>TEXT(EDATE($B$5,D989-1),"mmm yyyy")</f>
        <v/>
      </c>
      <c r="AM989">
        <f>AI989</f>
        <v/>
      </c>
    </row>
    <row r="990">
      <c r="D990" t="n">
        <v>929</v>
      </c>
      <c r="E990">
        <f>IF(G989&gt;0,MAX(0,G989*(1+$G$51)-$H$51),0)</f>
        <v/>
      </c>
      <c r="F990">
        <f>$B$6+IF($D990=$B$8,$B$7,0)</f>
        <v/>
      </c>
      <c r="G990">
        <f>IF(E990-F990&gt;1E-9,E990-F990,0)</f>
        <v/>
      </c>
      <c r="H990">
        <f>G989*$G$51</f>
        <v/>
      </c>
      <c r="I990">
        <f>IF(K989&gt;0,MAX(0,K989*(1+$G$52)-$H$52),0)</f>
        <v/>
      </c>
      <c r="J990">
        <f>MAX(0,F990-E990)</f>
        <v/>
      </c>
      <c r="K990">
        <f>IF(I990-J990&gt;1E-9,I990-J990,0)</f>
        <v/>
      </c>
      <c r="L990">
        <f>K989*$G$52</f>
        <v/>
      </c>
      <c r="M990">
        <f>IF(O989&gt;0,MAX(0,O989*(1+$G$53)-$H$53),0)</f>
        <v/>
      </c>
      <c r="N990">
        <f>MAX(0,J990-I990)</f>
        <v/>
      </c>
      <c r="O990">
        <f>IF(M990-N990&gt;1E-9,M990-N990,0)</f>
        <v/>
      </c>
      <c r="P990">
        <f>O989*$G$53</f>
        <v/>
      </c>
      <c r="Q990">
        <f>IF(S989&gt;0,MAX(0,S989*(1+$G$54)-$H$54),0)</f>
        <v/>
      </c>
      <c r="R990">
        <f>MAX(0,N990-M990)</f>
        <v/>
      </c>
      <c r="S990">
        <f>IF(Q990-R990&gt;1E-9,Q990-R990,0)</f>
        <v/>
      </c>
      <c r="T990">
        <f>S989*$G$54</f>
        <v/>
      </c>
      <c r="U990">
        <f>IF(W989&gt;0,MAX(0,W989*(1+$G$55)-$H$55),0)</f>
        <v/>
      </c>
      <c r="V990">
        <f>MAX(0,R990-Q990)</f>
        <v/>
      </c>
      <c r="W990">
        <f>IF(U990-V990&gt;1E-9,U990-V990,0)</f>
        <v/>
      </c>
      <c r="X990">
        <f>W989*$G$55</f>
        <v/>
      </c>
      <c r="Y990">
        <f>IF(Y989&gt;1E-9,IF(Y989*(1+$G$51)-MAX($B$9,0.01*Y989+Y989*$G$51)&gt;1E-9,Y989*(1+$G$51)-MAX($B$9,0.01*Y989+Y989*$G$51),0),0)</f>
        <v/>
      </c>
      <c r="Z990">
        <f>Y989*$G$51</f>
        <v/>
      </c>
      <c r="AA990">
        <f>IF(AA989&gt;1E-9,IF(AA989*(1+$G$52)-MAX($B$9,0.01*AA989+AA989*$G$52)&gt;1E-9,AA989*(1+$G$52)-MAX($B$9,0.01*AA989+AA989*$G$52),0),0)</f>
        <v/>
      </c>
      <c r="AB990">
        <f>AA989*$G$52</f>
        <v/>
      </c>
      <c r="AC990">
        <f>IF(AC989&gt;1E-9,IF(AC989*(1+$G$53)-MAX($B$9,0.01*AC989+AC989*$G$53)&gt;1E-9,AC989*(1+$G$53)-MAX($B$9,0.01*AC989+AC989*$G$53),0),0)</f>
        <v/>
      </c>
      <c r="AD990">
        <f>AC989*$G$53</f>
        <v/>
      </c>
      <c r="AE990">
        <f>IF(AE989&gt;1E-9,IF(AE989*(1+$G$54)-MAX($B$9,0.01*AE989+AE989*$G$54)&gt;1E-9,AE989*(1+$G$54)-MAX($B$9,0.01*AE989+AE989*$G$54),0),0)</f>
        <v/>
      </c>
      <c r="AF990">
        <f>AE989*$G$54</f>
        <v/>
      </c>
      <c r="AG990">
        <f>IF(AG989&gt;1E-9,IF(AG989*(1+$G$55)-MAX($B$9,0.01*AG989+AG989*$G$55)&gt;1E-9,AG989*(1+$G$55)-MAX($B$9,0.01*AG989+AG989*$G$55),0),0)</f>
        <v/>
      </c>
      <c r="AH990">
        <f>AG989*$G$55</f>
        <v/>
      </c>
      <c r="AI990">
        <f>G990+K990+O990+S990+W990</f>
        <v/>
      </c>
      <c r="AJ990">
        <f>AI989+AK990-AI990</f>
        <v/>
      </c>
      <c r="AK990">
        <f>H990+L990+P990+T990+X990</f>
        <v/>
      </c>
      <c r="AL990">
        <f>TEXT(EDATE($B$5,D990-1),"mmm yyyy")</f>
        <v/>
      </c>
      <c r="AM990">
        <f>AI990</f>
        <v/>
      </c>
    </row>
    <row r="991">
      <c r="D991" t="n">
        <v>930</v>
      </c>
      <c r="E991">
        <f>IF(G990&gt;0,MAX(0,G990*(1+$G$51)-$H$51),0)</f>
        <v/>
      </c>
      <c r="F991">
        <f>$B$6+IF($D991=$B$8,$B$7,0)</f>
        <v/>
      </c>
      <c r="G991">
        <f>IF(E991-F991&gt;1E-9,E991-F991,0)</f>
        <v/>
      </c>
      <c r="H991">
        <f>G990*$G$51</f>
        <v/>
      </c>
      <c r="I991">
        <f>IF(K990&gt;0,MAX(0,K990*(1+$G$52)-$H$52),0)</f>
        <v/>
      </c>
      <c r="J991">
        <f>MAX(0,F991-E991)</f>
        <v/>
      </c>
      <c r="K991">
        <f>IF(I991-J991&gt;1E-9,I991-J991,0)</f>
        <v/>
      </c>
      <c r="L991">
        <f>K990*$G$52</f>
        <v/>
      </c>
      <c r="M991">
        <f>IF(O990&gt;0,MAX(0,O990*(1+$G$53)-$H$53),0)</f>
        <v/>
      </c>
      <c r="N991">
        <f>MAX(0,J991-I991)</f>
        <v/>
      </c>
      <c r="O991">
        <f>IF(M991-N991&gt;1E-9,M991-N991,0)</f>
        <v/>
      </c>
      <c r="P991">
        <f>O990*$G$53</f>
        <v/>
      </c>
      <c r="Q991">
        <f>IF(S990&gt;0,MAX(0,S990*(1+$G$54)-$H$54),0)</f>
        <v/>
      </c>
      <c r="R991">
        <f>MAX(0,N991-M991)</f>
        <v/>
      </c>
      <c r="S991">
        <f>IF(Q991-R991&gt;1E-9,Q991-R991,0)</f>
        <v/>
      </c>
      <c r="T991">
        <f>S990*$G$54</f>
        <v/>
      </c>
      <c r="U991">
        <f>IF(W990&gt;0,MAX(0,W990*(1+$G$55)-$H$55),0)</f>
        <v/>
      </c>
      <c r="V991">
        <f>MAX(0,R991-Q991)</f>
        <v/>
      </c>
      <c r="W991">
        <f>IF(U991-V991&gt;1E-9,U991-V991,0)</f>
        <v/>
      </c>
      <c r="X991">
        <f>W990*$G$55</f>
        <v/>
      </c>
      <c r="Y991">
        <f>IF(Y990&gt;1E-9,IF(Y990*(1+$G$51)-MAX($B$9,0.01*Y990+Y990*$G$51)&gt;1E-9,Y990*(1+$G$51)-MAX($B$9,0.01*Y990+Y990*$G$51),0),0)</f>
        <v/>
      </c>
      <c r="Z991">
        <f>Y990*$G$51</f>
        <v/>
      </c>
      <c r="AA991">
        <f>IF(AA990&gt;1E-9,IF(AA990*(1+$G$52)-MAX($B$9,0.01*AA990+AA990*$G$52)&gt;1E-9,AA990*(1+$G$52)-MAX($B$9,0.01*AA990+AA990*$G$52),0),0)</f>
        <v/>
      </c>
      <c r="AB991">
        <f>AA990*$G$52</f>
        <v/>
      </c>
      <c r="AC991">
        <f>IF(AC990&gt;1E-9,IF(AC990*(1+$G$53)-MAX($B$9,0.01*AC990+AC990*$G$53)&gt;1E-9,AC990*(1+$G$53)-MAX($B$9,0.01*AC990+AC990*$G$53),0),0)</f>
        <v/>
      </c>
      <c r="AD991">
        <f>AC990*$G$53</f>
        <v/>
      </c>
      <c r="AE991">
        <f>IF(AE990&gt;1E-9,IF(AE990*(1+$G$54)-MAX($B$9,0.01*AE990+AE990*$G$54)&gt;1E-9,AE990*(1+$G$54)-MAX($B$9,0.01*AE990+AE990*$G$54),0),0)</f>
        <v/>
      </c>
      <c r="AF991">
        <f>AE990*$G$54</f>
        <v/>
      </c>
      <c r="AG991">
        <f>IF(AG990&gt;1E-9,IF(AG990*(1+$G$55)-MAX($B$9,0.01*AG990+AG990*$G$55)&gt;1E-9,AG990*(1+$G$55)-MAX($B$9,0.01*AG990+AG990*$G$55),0),0)</f>
        <v/>
      </c>
      <c r="AH991">
        <f>AG990*$G$55</f>
        <v/>
      </c>
      <c r="AI991">
        <f>G991+K991+O991+S991+W991</f>
        <v/>
      </c>
      <c r="AJ991">
        <f>AI990+AK991-AI991</f>
        <v/>
      </c>
      <c r="AK991">
        <f>H991+L991+P991+T991+X991</f>
        <v/>
      </c>
      <c r="AL991">
        <f>TEXT(EDATE($B$5,D991-1),"mmm yyyy")</f>
        <v/>
      </c>
      <c r="AM991">
        <f>AI991</f>
        <v/>
      </c>
    </row>
    <row r="992">
      <c r="D992" t="n">
        <v>931</v>
      </c>
      <c r="E992">
        <f>IF(G991&gt;0,MAX(0,G991*(1+$G$51)-$H$51),0)</f>
        <v/>
      </c>
      <c r="F992">
        <f>$B$6+IF($D992=$B$8,$B$7,0)</f>
        <v/>
      </c>
      <c r="G992">
        <f>IF(E992-F992&gt;1E-9,E992-F992,0)</f>
        <v/>
      </c>
      <c r="H992">
        <f>G991*$G$51</f>
        <v/>
      </c>
      <c r="I992">
        <f>IF(K991&gt;0,MAX(0,K991*(1+$G$52)-$H$52),0)</f>
        <v/>
      </c>
      <c r="J992">
        <f>MAX(0,F992-E992)</f>
        <v/>
      </c>
      <c r="K992">
        <f>IF(I992-J992&gt;1E-9,I992-J992,0)</f>
        <v/>
      </c>
      <c r="L992">
        <f>K991*$G$52</f>
        <v/>
      </c>
      <c r="M992">
        <f>IF(O991&gt;0,MAX(0,O991*(1+$G$53)-$H$53),0)</f>
        <v/>
      </c>
      <c r="N992">
        <f>MAX(0,J992-I992)</f>
        <v/>
      </c>
      <c r="O992">
        <f>IF(M992-N992&gt;1E-9,M992-N992,0)</f>
        <v/>
      </c>
      <c r="P992">
        <f>O991*$G$53</f>
        <v/>
      </c>
      <c r="Q992">
        <f>IF(S991&gt;0,MAX(0,S991*(1+$G$54)-$H$54),0)</f>
        <v/>
      </c>
      <c r="R992">
        <f>MAX(0,N992-M992)</f>
        <v/>
      </c>
      <c r="S992">
        <f>IF(Q992-R992&gt;1E-9,Q992-R992,0)</f>
        <v/>
      </c>
      <c r="T992">
        <f>S991*$G$54</f>
        <v/>
      </c>
      <c r="U992">
        <f>IF(W991&gt;0,MAX(0,W991*(1+$G$55)-$H$55),0)</f>
        <v/>
      </c>
      <c r="V992">
        <f>MAX(0,R992-Q992)</f>
        <v/>
      </c>
      <c r="W992">
        <f>IF(U992-V992&gt;1E-9,U992-V992,0)</f>
        <v/>
      </c>
      <c r="X992">
        <f>W991*$G$55</f>
        <v/>
      </c>
      <c r="Y992">
        <f>IF(Y991&gt;1E-9,IF(Y991*(1+$G$51)-MAX($B$9,0.01*Y991+Y991*$G$51)&gt;1E-9,Y991*(1+$G$51)-MAX($B$9,0.01*Y991+Y991*$G$51),0),0)</f>
        <v/>
      </c>
      <c r="Z992">
        <f>Y991*$G$51</f>
        <v/>
      </c>
      <c r="AA992">
        <f>IF(AA991&gt;1E-9,IF(AA991*(1+$G$52)-MAX($B$9,0.01*AA991+AA991*$G$52)&gt;1E-9,AA991*(1+$G$52)-MAX($B$9,0.01*AA991+AA991*$G$52),0),0)</f>
        <v/>
      </c>
      <c r="AB992">
        <f>AA991*$G$52</f>
        <v/>
      </c>
      <c r="AC992">
        <f>IF(AC991&gt;1E-9,IF(AC991*(1+$G$53)-MAX($B$9,0.01*AC991+AC991*$G$53)&gt;1E-9,AC991*(1+$G$53)-MAX($B$9,0.01*AC991+AC991*$G$53),0),0)</f>
        <v/>
      </c>
      <c r="AD992">
        <f>AC991*$G$53</f>
        <v/>
      </c>
      <c r="AE992">
        <f>IF(AE991&gt;1E-9,IF(AE991*(1+$G$54)-MAX($B$9,0.01*AE991+AE991*$G$54)&gt;1E-9,AE991*(1+$G$54)-MAX($B$9,0.01*AE991+AE991*$G$54),0),0)</f>
        <v/>
      </c>
      <c r="AF992">
        <f>AE991*$G$54</f>
        <v/>
      </c>
      <c r="AG992">
        <f>IF(AG991&gt;1E-9,IF(AG991*(1+$G$55)-MAX($B$9,0.01*AG991+AG991*$G$55)&gt;1E-9,AG991*(1+$G$55)-MAX($B$9,0.01*AG991+AG991*$G$55),0),0)</f>
        <v/>
      </c>
      <c r="AH992">
        <f>AG991*$G$55</f>
        <v/>
      </c>
      <c r="AI992">
        <f>G992+K992+O992+S992+W992</f>
        <v/>
      </c>
      <c r="AJ992">
        <f>AI991+AK992-AI992</f>
        <v/>
      </c>
      <c r="AK992">
        <f>H992+L992+P992+T992+X992</f>
        <v/>
      </c>
      <c r="AL992">
        <f>TEXT(EDATE($B$5,D992-1),"mmm yyyy")</f>
        <v/>
      </c>
      <c r="AM992">
        <f>AI992</f>
        <v/>
      </c>
    </row>
    <row r="993">
      <c r="D993" t="n">
        <v>932</v>
      </c>
      <c r="E993">
        <f>IF(G992&gt;0,MAX(0,G992*(1+$G$51)-$H$51),0)</f>
        <v/>
      </c>
      <c r="F993">
        <f>$B$6+IF($D993=$B$8,$B$7,0)</f>
        <v/>
      </c>
      <c r="G993">
        <f>IF(E993-F993&gt;1E-9,E993-F993,0)</f>
        <v/>
      </c>
      <c r="H993">
        <f>G992*$G$51</f>
        <v/>
      </c>
      <c r="I993">
        <f>IF(K992&gt;0,MAX(0,K992*(1+$G$52)-$H$52),0)</f>
        <v/>
      </c>
      <c r="J993">
        <f>MAX(0,F993-E993)</f>
        <v/>
      </c>
      <c r="K993">
        <f>IF(I993-J993&gt;1E-9,I993-J993,0)</f>
        <v/>
      </c>
      <c r="L993">
        <f>K992*$G$52</f>
        <v/>
      </c>
      <c r="M993">
        <f>IF(O992&gt;0,MAX(0,O992*(1+$G$53)-$H$53),0)</f>
        <v/>
      </c>
      <c r="N993">
        <f>MAX(0,J993-I993)</f>
        <v/>
      </c>
      <c r="O993">
        <f>IF(M993-N993&gt;1E-9,M993-N993,0)</f>
        <v/>
      </c>
      <c r="P993">
        <f>O992*$G$53</f>
        <v/>
      </c>
      <c r="Q993">
        <f>IF(S992&gt;0,MAX(0,S992*(1+$G$54)-$H$54),0)</f>
        <v/>
      </c>
      <c r="R993">
        <f>MAX(0,N993-M993)</f>
        <v/>
      </c>
      <c r="S993">
        <f>IF(Q993-R993&gt;1E-9,Q993-R993,0)</f>
        <v/>
      </c>
      <c r="T993">
        <f>S992*$G$54</f>
        <v/>
      </c>
      <c r="U993">
        <f>IF(W992&gt;0,MAX(0,W992*(1+$G$55)-$H$55),0)</f>
        <v/>
      </c>
      <c r="V993">
        <f>MAX(0,R993-Q993)</f>
        <v/>
      </c>
      <c r="W993">
        <f>IF(U993-V993&gt;1E-9,U993-V993,0)</f>
        <v/>
      </c>
      <c r="X993">
        <f>W992*$G$55</f>
        <v/>
      </c>
      <c r="Y993">
        <f>IF(Y992&gt;1E-9,IF(Y992*(1+$G$51)-MAX($B$9,0.01*Y992+Y992*$G$51)&gt;1E-9,Y992*(1+$G$51)-MAX($B$9,0.01*Y992+Y992*$G$51),0),0)</f>
        <v/>
      </c>
      <c r="Z993">
        <f>Y992*$G$51</f>
        <v/>
      </c>
      <c r="AA993">
        <f>IF(AA992&gt;1E-9,IF(AA992*(1+$G$52)-MAX($B$9,0.01*AA992+AA992*$G$52)&gt;1E-9,AA992*(1+$G$52)-MAX($B$9,0.01*AA992+AA992*$G$52),0),0)</f>
        <v/>
      </c>
      <c r="AB993">
        <f>AA992*$G$52</f>
        <v/>
      </c>
      <c r="AC993">
        <f>IF(AC992&gt;1E-9,IF(AC992*(1+$G$53)-MAX($B$9,0.01*AC992+AC992*$G$53)&gt;1E-9,AC992*(1+$G$53)-MAX($B$9,0.01*AC992+AC992*$G$53),0),0)</f>
        <v/>
      </c>
      <c r="AD993">
        <f>AC992*$G$53</f>
        <v/>
      </c>
      <c r="AE993">
        <f>IF(AE992&gt;1E-9,IF(AE992*(1+$G$54)-MAX($B$9,0.01*AE992+AE992*$G$54)&gt;1E-9,AE992*(1+$G$54)-MAX($B$9,0.01*AE992+AE992*$G$54),0),0)</f>
        <v/>
      </c>
      <c r="AF993">
        <f>AE992*$G$54</f>
        <v/>
      </c>
      <c r="AG993">
        <f>IF(AG992&gt;1E-9,IF(AG992*(1+$G$55)-MAX($B$9,0.01*AG992+AG992*$G$55)&gt;1E-9,AG992*(1+$G$55)-MAX($B$9,0.01*AG992+AG992*$G$55),0),0)</f>
        <v/>
      </c>
      <c r="AH993">
        <f>AG992*$G$55</f>
        <v/>
      </c>
      <c r="AI993">
        <f>G993+K993+O993+S993+W993</f>
        <v/>
      </c>
      <c r="AJ993">
        <f>AI992+AK993-AI993</f>
        <v/>
      </c>
      <c r="AK993">
        <f>H993+L993+P993+T993+X993</f>
        <v/>
      </c>
      <c r="AL993">
        <f>TEXT(EDATE($B$5,D993-1),"mmm yyyy")</f>
        <v/>
      </c>
      <c r="AM993">
        <f>AI993</f>
        <v/>
      </c>
    </row>
    <row r="994">
      <c r="D994" t="n">
        <v>933</v>
      </c>
      <c r="E994">
        <f>IF(G993&gt;0,MAX(0,G993*(1+$G$51)-$H$51),0)</f>
        <v/>
      </c>
      <c r="F994">
        <f>$B$6+IF($D994=$B$8,$B$7,0)</f>
        <v/>
      </c>
      <c r="G994">
        <f>IF(E994-F994&gt;1E-9,E994-F994,0)</f>
        <v/>
      </c>
      <c r="H994">
        <f>G993*$G$51</f>
        <v/>
      </c>
      <c r="I994">
        <f>IF(K993&gt;0,MAX(0,K993*(1+$G$52)-$H$52),0)</f>
        <v/>
      </c>
      <c r="J994">
        <f>MAX(0,F994-E994)</f>
        <v/>
      </c>
      <c r="K994">
        <f>IF(I994-J994&gt;1E-9,I994-J994,0)</f>
        <v/>
      </c>
      <c r="L994">
        <f>K993*$G$52</f>
        <v/>
      </c>
      <c r="M994">
        <f>IF(O993&gt;0,MAX(0,O993*(1+$G$53)-$H$53),0)</f>
        <v/>
      </c>
      <c r="N994">
        <f>MAX(0,J994-I994)</f>
        <v/>
      </c>
      <c r="O994">
        <f>IF(M994-N994&gt;1E-9,M994-N994,0)</f>
        <v/>
      </c>
      <c r="P994">
        <f>O993*$G$53</f>
        <v/>
      </c>
      <c r="Q994">
        <f>IF(S993&gt;0,MAX(0,S993*(1+$G$54)-$H$54),0)</f>
        <v/>
      </c>
      <c r="R994">
        <f>MAX(0,N994-M994)</f>
        <v/>
      </c>
      <c r="S994">
        <f>IF(Q994-R994&gt;1E-9,Q994-R994,0)</f>
        <v/>
      </c>
      <c r="T994">
        <f>S993*$G$54</f>
        <v/>
      </c>
      <c r="U994">
        <f>IF(W993&gt;0,MAX(0,W993*(1+$G$55)-$H$55),0)</f>
        <v/>
      </c>
      <c r="V994">
        <f>MAX(0,R994-Q994)</f>
        <v/>
      </c>
      <c r="W994">
        <f>IF(U994-V994&gt;1E-9,U994-V994,0)</f>
        <v/>
      </c>
      <c r="X994">
        <f>W993*$G$55</f>
        <v/>
      </c>
      <c r="Y994">
        <f>IF(Y993&gt;1E-9,IF(Y993*(1+$G$51)-MAX($B$9,0.01*Y993+Y993*$G$51)&gt;1E-9,Y993*(1+$G$51)-MAX($B$9,0.01*Y993+Y993*$G$51),0),0)</f>
        <v/>
      </c>
      <c r="Z994">
        <f>Y993*$G$51</f>
        <v/>
      </c>
      <c r="AA994">
        <f>IF(AA993&gt;1E-9,IF(AA993*(1+$G$52)-MAX($B$9,0.01*AA993+AA993*$G$52)&gt;1E-9,AA993*(1+$G$52)-MAX($B$9,0.01*AA993+AA993*$G$52),0),0)</f>
        <v/>
      </c>
      <c r="AB994">
        <f>AA993*$G$52</f>
        <v/>
      </c>
      <c r="AC994">
        <f>IF(AC993&gt;1E-9,IF(AC993*(1+$G$53)-MAX($B$9,0.01*AC993+AC993*$G$53)&gt;1E-9,AC993*(1+$G$53)-MAX($B$9,0.01*AC993+AC993*$G$53),0),0)</f>
        <v/>
      </c>
      <c r="AD994">
        <f>AC993*$G$53</f>
        <v/>
      </c>
      <c r="AE994">
        <f>IF(AE993&gt;1E-9,IF(AE993*(1+$G$54)-MAX($B$9,0.01*AE993+AE993*$G$54)&gt;1E-9,AE993*(1+$G$54)-MAX($B$9,0.01*AE993+AE993*$G$54),0),0)</f>
        <v/>
      </c>
      <c r="AF994">
        <f>AE993*$G$54</f>
        <v/>
      </c>
      <c r="AG994">
        <f>IF(AG993&gt;1E-9,IF(AG993*(1+$G$55)-MAX($B$9,0.01*AG993+AG993*$G$55)&gt;1E-9,AG993*(1+$G$55)-MAX($B$9,0.01*AG993+AG993*$G$55),0),0)</f>
        <v/>
      </c>
      <c r="AH994">
        <f>AG993*$G$55</f>
        <v/>
      </c>
      <c r="AI994">
        <f>G994+K994+O994+S994+W994</f>
        <v/>
      </c>
      <c r="AJ994">
        <f>AI993+AK994-AI994</f>
        <v/>
      </c>
      <c r="AK994">
        <f>H994+L994+P994+T994+X994</f>
        <v/>
      </c>
      <c r="AL994">
        <f>TEXT(EDATE($B$5,D994-1),"mmm yyyy")</f>
        <v/>
      </c>
      <c r="AM994">
        <f>AI994</f>
        <v/>
      </c>
    </row>
    <row r="995">
      <c r="D995" t="n">
        <v>934</v>
      </c>
      <c r="E995">
        <f>IF(G994&gt;0,MAX(0,G994*(1+$G$51)-$H$51),0)</f>
        <v/>
      </c>
      <c r="F995">
        <f>$B$6+IF($D995=$B$8,$B$7,0)</f>
        <v/>
      </c>
      <c r="G995">
        <f>IF(E995-F995&gt;1E-9,E995-F995,0)</f>
        <v/>
      </c>
      <c r="H995">
        <f>G994*$G$51</f>
        <v/>
      </c>
      <c r="I995">
        <f>IF(K994&gt;0,MAX(0,K994*(1+$G$52)-$H$52),0)</f>
        <v/>
      </c>
      <c r="J995">
        <f>MAX(0,F995-E995)</f>
        <v/>
      </c>
      <c r="K995">
        <f>IF(I995-J995&gt;1E-9,I995-J995,0)</f>
        <v/>
      </c>
      <c r="L995">
        <f>K994*$G$52</f>
        <v/>
      </c>
      <c r="M995">
        <f>IF(O994&gt;0,MAX(0,O994*(1+$G$53)-$H$53),0)</f>
        <v/>
      </c>
      <c r="N995">
        <f>MAX(0,J995-I995)</f>
        <v/>
      </c>
      <c r="O995">
        <f>IF(M995-N995&gt;1E-9,M995-N995,0)</f>
        <v/>
      </c>
      <c r="P995">
        <f>O994*$G$53</f>
        <v/>
      </c>
      <c r="Q995">
        <f>IF(S994&gt;0,MAX(0,S994*(1+$G$54)-$H$54),0)</f>
        <v/>
      </c>
      <c r="R995">
        <f>MAX(0,N995-M995)</f>
        <v/>
      </c>
      <c r="S995">
        <f>IF(Q995-R995&gt;1E-9,Q995-R995,0)</f>
        <v/>
      </c>
      <c r="T995">
        <f>S994*$G$54</f>
        <v/>
      </c>
      <c r="U995">
        <f>IF(W994&gt;0,MAX(0,W994*(1+$G$55)-$H$55),0)</f>
        <v/>
      </c>
      <c r="V995">
        <f>MAX(0,R995-Q995)</f>
        <v/>
      </c>
      <c r="W995">
        <f>IF(U995-V995&gt;1E-9,U995-V995,0)</f>
        <v/>
      </c>
      <c r="X995">
        <f>W994*$G$55</f>
        <v/>
      </c>
      <c r="Y995">
        <f>IF(Y994&gt;1E-9,IF(Y994*(1+$G$51)-MAX($B$9,0.01*Y994+Y994*$G$51)&gt;1E-9,Y994*(1+$G$51)-MAX($B$9,0.01*Y994+Y994*$G$51),0),0)</f>
        <v/>
      </c>
      <c r="Z995">
        <f>Y994*$G$51</f>
        <v/>
      </c>
      <c r="AA995">
        <f>IF(AA994&gt;1E-9,IF(AA994*(1+$G$52)-MAX($B$9,0.01*AA994+AA994*$G$52)&gt;1E-9,AA994*(1+$G$52)-MAX($B$9,0.01*AA994+AA994*$G$52),0),0)</f>
        <v/>
      </c>
      <c r="AB995">
        <f>AA994*$G$52</f>
        <v/>
      </c>
      <c r="AC995">
        <f>IF(AC994&gt;1E-9,IF(AC994*(1+$G$53)-MAX($B$9,0.01*AC994+AC994*$G$53)&gt;1E-9,AC994*(1+$G$53)-MAX($B$9,0.01*AC994+AC994*$G$53),0),0)</f>
        <v/>
      </c>
      <c r="AD995">
        <f>AC994*$G$53</f>
        <v/>
      </c>
      <c r="AE995">
        <f>IF(AE994&gt;1E-9,IF(AE994*(1+$G$54)-MAX($B$9,0.01*AE994+AE994*$G$54)&gt;1E-9,AE994*(1+$G$54)-MAX($B$9,0.01*AE994+AE994*$G$54),0),0)</f>
        <v/>
      </c>
      <c r="AF995">
        <f>AE994*$G$54</f>
        <v/>
      </c>
      <c r="AG995">
        <f>IF(AG994&gt;1E-9,IF(AG994*(1+$G$55)-MAX($B$9,0.01*AG994+AG994*$G$55)&gt;1E-9,AG994*(1+$G$55)-MAX($B$9,0.01*AG994+AG994*$G$55),0),0)</f>
        <v/>
      </c>
      <c r="AH995">
        <f>AG994*$G$55</f>
        <v/>
      </c>
      <c r="AI995">
        <f>G995+K995+O995+S995+W995</f>
        <v/>
      </c>
      <c r="AJ995">
        <f>AI994+AK995-AI995</f>
        <v/>
      </c>
      <c r="AK995">
        <f>H995+L995+P995+T995+X995</f>
        <v/>
      </c>
      <c r="AL995">
        <f>TEXT(EDATE($B$5,D995-1),"mmm yyyy")</f>
        <v/>
      </c>
      <c r="AM995">
        <f>AI995</f>
        <v/>
      </c>
    </row>
    <row r="996">
      <c r="D996" t="n">
        <v>935</v>
      </c>
      <c r="E996">
        <f>IF(G995&gt;0,MAX(0,G995*(1+$G$51)-$H$51),0)</f>
        <v/>
      </c>
      <c r="F996">
        <f>$B$6+IF($D996=$B$8,$B$7,0)</f>
        <v/>
      </c>
      <c r="G996">
        <f>IF(E996-F996&gt;1E-9,E996-F996,0)</f>
        <v/>
      </c>
      <c r="H996">
        <f>G995*$G$51</f>
        <v/>
      </c>
      <c r="I996">
        <f>IF(K995&gt;0,MAX(0,K995*(1+$G$52)-$H$52),0)</f>
        <v/>
      </c>
      <c r="J996">
        <f>MAX(0,F996-E996)</f>
        <v/>
      </c>
      <c r="K996">
        <f>IF(I996-J996&gt;1E-9,I996-J996,0)</f>
        <v/>
      </c>
      <c r="L996">
        <f>K995*$G$52</f>
        <v/>
      </c>
      <c r="M996">
        <f>IF(O995&gt;0,MAX(0,O995*(1+$G$53)-$H$53),0)</f>
        <v/>
      </c>
      <c r="N996">
        <f>MAX(0,J996-I996)</f>
        <v/>
      </c>
      <c r="O996">
        <f>IF(M996-N996&gt;1E-9,M996-N996,0)</f>
        <v/>
      </c>
      <c r="P996">
        <f>O995*$G$53</f>
        <v/>
      </c>
      <c r="Q996">
        <f>IF(S995&gt;0,MAX(0,S995*(1+$G$54)-$H$54),0)</f>
        <v/>
      </c>
      <c r="R996">
        <f>MAX(0,N996-M996)</f>
        <v/>
      </c>
      <c r="S996">
        <f>IF(Q996-R996&gt;1E-9,Q996-R996,0)</f>
        <v/>
      </c>
      <c r="T996">
        <f>S995*$G$54</f>
        <v/>
      </c>
      <c r="U996">
        <f>IF(W995&gt;0,MAX(0,W995*(1+$G$55)-$H$55),0)</f>
        <v/>
      </c>
      <c r="V996">
        <f>MAX(0,R996-Q996)</f>
        <v/>
      </c>
      <c r="W996">
        <f>IF(U996-V996&gt;1E-9,U996-V996,0)</f>
        <v/>
      </c>
      <c r="X996">
        <f>W995*$G$55</f>
        <v/>
      </c>
      <c r="Y996">
        <f>IF(Y995&gt;1E-9,IF(Y995*(1+$G$51)-MAX($B$9,0.01*Y995+Y995*$G$51)&gt;1E-9,Y995*(1+$G$51)-MAX($B$9,0.01*Y995+Y995*$G$51),0),0)</f>
        <v/>
      </c>
      <c r="Z996">
        <f>Y995*$G$51</f>
        <v/>
      </c>
      <c r="AA996">
        <f>IF(AA995&gt;1E-9,IF(AA995*(1+$G$52)-MAX($B$9,0.01*AA995+AA995*$G$52)&gt;1E-9,AA995*(1+$G$52)-MAX($B$9,0.01*AA995+AA995*$G$52),0),0)</f>
        <v/>
      </c>
      <c r="AB996">
        <f>AA995*$G$52</f>
        <v/>
      </c>
      <c r="AC996">
        <f>IF(AC995&gt;1E-9,IF(AC995*(1+$G$53)-MAX($B$9,0.01*AC995+AC995*$G$53)&gt;1E-9,AC995*(1+$G$53)-MAX($B$9,0.01*AC995+AC995*$G$53),0),0)</f>
        <v/>
      </c>
      <c r="AD996">
        <f>AC995*$G$53</f>
        <v/>
      </c>
      <c r="AE996">
        <f>IF(AE995&gt;1E-9,IF(AE995*(1+$G$54)-MAX($B$9,0.01*AE995+AE995*$G$54)&gt;1E-9,AE995*(1+$G$54)-MAX($B$9,0.01*AE995+AE995*$G$54),0),0)</f>
        <v/>
      </c>
      <c r="AF996">
        <f>AE995*$G$54</f>
        <v/>
      </c>
      <c r="AG996">
        <f>IF(AG995&gt;1E-9,IF(AG995*(1+$G$55)-MAX($B$9,0.01*AG995+AG995*$G$55)&gt;1E-9,AG995*(1+$G$55)-MAX($B$9,0.01*AG995+AG995*$G$55),0),0)</f>
        <v/>
      </c>
      <c r="AH996">
        <f>AG995*$G$55</f>
        <v/>
      </c>
      <c r="AI996">
        <f>G996+K996+O996+S996+W996</f>
        <v/>
      </c>
      <c r="AJ996">
        <f>AI995+AK996-AI996</f>
        <v/>
      </c>
      <c r="AK996">
        <f>H996+L996+P996+T996+X996</f>
        <v/>
      </c>
      <c r="AL996">
        <f>TEXT(EDATE($B$5,D996-1),"mmm yyyy")</f>
        <v/>
      </c>
      <c r="AM996">
        <f>AI996</f>
        <v/>
      </c>
    </row>
    <row r="997">
      <c r="D997" t="n">
        <v>936</v>
      </c>
      <c r="E997">
        <f>IF(G996&gt;0,MAX(0,G996*(1+$G$51)-$H$51),0)</f>
        <v/>
      </c>
      <c r="F997">
        <f>$B$6+IF($D997=$B$8,$B$7,0)</f>
        <v/>
      </c>
      <c r="G997">
        <f>IF(E997-F997&gt;1E-9,E997-F997,0)</f>
        <v/>
      </c>
      <c r="H997">
        <f>G996*$G$51</f>
        <v/>
      </c>
      <c r="I997">
        <f>IF(K996&gt;0,MAX(0,K996*(1+$G$52)-$H$52),0)</f>
        <v/>
      </c>
      <c r="J997">
        <f>MAX(0,F997-E997)</f>
        <v/>
      </c>
      <c r="K997">
        <f>IF(I997-J997&gt;1E-9,I997-J997,0)</f>
        <v/>
      </c>
      <c r="L997">
        <f>K996*$G$52</f>
        <v/>
      </c>
      <c r="M997">
        <f>IF(O996&gt;0,MAX(0,O996*(1+$G$53)-$H$53),0)</f>
        <v/>
      </c>
      <c r="N997">
        <f>MAX(0,J997-I997)</f>
        <v/>
      </c>
      <c r="O997">
        <f>IF(M997-N997&gt;1E-9,M997-N997,0)</f>
        <v/>
      </c>
      <c r="P997">
        <f>O996*$G$53</f>
        <v/>
      </c>
      <c r="Q997">
        <f>IF(S996&gt;0,MAX(0,S996*(1+$G$54)-$H$54),0)</f>
        <v/>
      </c>
      <c r="R997">
        <f>MAX(0,N997-M997)</f>
        <v/>
      </c>
      <c r="S997">
        <f>IF(Q997-R997&gt;1E-9,Q997-R997,0)</f>
        <v/>
      </c>
      <c r="T997">
        <f>S996*$G$54</f>
        <v/>
      </c>
      <c r="U997">
        <f>IF(W996&gt;0,MAX(0,W996*(1+$G$55)-$H$55),0)</f>
        <v/>
      </c>
      <c r="V997">
        <f>MAX(0,R997-Q997)</f>
        <v/>
      </c>
      <c r="W997">
        <f>IF(U997-V997&gt;1E-9,U997-V997,0)</f>
        <v/>
      </c>
      <c r="X997">
        <f>W996*$G$55</f>
        <v/>
      </c>
      <c r="Y997">
        <f>IF(Y996&gt;1E-9,IF(Y996*(1+$G$51)-MAX($B$9,0.01*Y996+Y996*$G$51)&gt;1E-9,Y996*(1+$G$51)-MAX($B$9,0.01*Y996+Y996*$G$51),0),0)</f>
        <v/>
      </c>
      <c r="Z997">
        <f>Y996*$G$51</f>
        <v/>
      </c>
      <c r="AA997">
        <f>IF(AA996&gt;1E-9,IF(AA996*(1+$G$52)-MAX($B$9,0.01*AA996+AA996*$G$52)&gt;1E-9,AA996*(1+$G$52)-MAX($B$9,0.01*AA996+AA996*$G$52),0),0)</f>
        <v/>
      </c>
      <c r="AB997">
        <f>AA996*$G$52</f>
        <v/>
      </c>
      <c r="AC997">
        <f>IF(AC996&gt;1E-9,IF(AC996*(1+$G$53)-MAX($B$9,0.01*AC996+AC996*$G$53)&gt;1E-9,AC996*(1+$G$53)-MAX($B$9,0.01*AC996+AC996*$G$53),0),0)</f>
        <v/>
      </c>
      <c r="AD997">
        <f>AC996*$G$53</f>
        <v/>
      </c>
      <c r="AE997">
        <f>IF(AE996&gt;1E-9,IF(AE996*(1+$G$54)-MAX($B$9,0.01*AE996+AE996*$G$54)&gt;1E-9,AE996*(1+$G$54)-MAX($B$9,0.01*AE996+AE996*$G$54),0),0)</f>
        <v/>
      </c>
      <c r="AF997">
        <f>AE996*$G$54</f>
        <v/>
      </c>
      <c r="AG997">
        <f>IF(AG996&gt;1E-9,IF(AG996*(1+$G$55)-MAX($B$9,0.01*AG996+AG996*$G$55)&gt;1E-9,AG996*(1+$G$55)-MAX($B$9,0.01*AG996+AG996*$G$55),0),0)</f>
        <v/>
      </c>
      <c r="AH997">
        <f>AG996*$G$55</f>
        <v/>
      </c>
      <c r="AI997">
        <f>G997+K997+O997+S997+W997</f>
        <v/>
      </c>
      <c r="AJ997">
        <f>AI996+AK997-AI997</f>
        <v/>
      </c>
      <c r="AK997">
        <f>H997+L997+P997+T997+X997</f>
        <v/>
      </c>
      <c r="AL997">
        <f>TEXT(EDATE($B$5,D997-1),"mmm yyyy")</f>
        <v/>
      </c>
      <c r="AM997">
        <f>AI997</f>
        <v/>
      </c>
    </row>
    <row r="998">
      <c r="D998" t="n">
        <v>937</v>
      </c>
      <c r="E998">
        <f>IF(G997&gt;0,MAX(0,G997*(1+$G$51)-$H$51),0)</f>
        <v/>
      </c>
      <c r="F998">
        <f>$B$6+IF($D998=$B$8,$B$7,0)</f>
        <v/>
      </c>
      <c r="G998">
        <f>IF(E998-F998&gt;1E-9,E998-F998,0)</f>
        <v/>
      </c>
      <c r="H998">
        <f>G997*$G$51</f>
        <v/>
      </c>
      <c r="I998">
        <f>IF(K997&gt;0,MAX(0,K997*(1+$G$52)-$H$52),0)</f>
        <v/>
      </c>
      <c r="J998">
        <f>MAX(0,F998-E998)</f>
        <v/>
      </c>
      <c r="K998">
        <f>IF(I998-J998&gt;1E-9,I998-J998,0)</f>
        <v/>
      </c>
      <c r="L998">
        <f>K997*$G$52</f>
        <v/>
      </c>
      <c r="M998">
        <f>IF(O997&gt;0,MAX(0,O997*(1+$G$53)-$H$53),0)</f>
        <v/>
      </c>
      <c r="N998">
        <f>MAX(0,J998-I998)</f>
        <v/>
      </c>
      <c r="O998">
        <f>IF(M998-N998&gt;1E-9,M998-N998,0)</f>
        <v/>
      </c>
      <c r="P998">
        <f>O997*$G$53</f>
        <v/>
      </c>
      <c r="Q998">
        <f>IF(S997&gt;0,MAX(0,S997*(1+$G$54)-$H$54),0)</f>
        <v/>
      </c>
      <c r="R998">
        <f>MAX(0,N998-M998)</f>
        <v/>
      </c>
      <c r="S998">
        <f>IF(Q998-R998&gt;1E-9,Q998-R998,0)</f>
        <v/>
      </c>
      <c r="T998">
        <f>S997*$G$54</f>
        <v/>
      </c>
      <c r="U998">
        <f>IF(W997&gt;0,MAX(0,W997*(1+$G$55)-$H$55),0)</f>
        <v/>
      </c>
      <c r="V998">
        <f>MAX(0,R998-Q998)</f>
        <v/>
      </c>
      <c r="W998">
        <f>IF(U998-V998&gt;1E-9,U998-V998,0)</f>
        <v/>
      </c>
      <c r="X998">
        <f>W997*$G$55</f>
        <v/>
      </c>
      <c r="Y998">
        <f>IF(Y997&gt;1E-9,IF(Y997*(1+$G$51)-MAX($B$9,0.01*Y997+Y997*$G$51)&gt;1E-9,Y997*(1+$G$51)-MAX($B$9,0.01*Y997+Y997*$G$51),0),0)</f>
        <v/>
      </c>
      <c r="Z998">
        <f>Y997*$G$51</f>
        <v/>
      </c>
      <c r="AA998">
        <f>IF(AA997&gt;1E-9,IF(AA997*(1+$G$52)-MAX($B$9,0.01*AA997+AA997*$G$52)&gt;1E-9,AA997*(1+$G$52)-MAX($B$9,0.01*AA997+AA997*$G$52),0),0)</f>
        <v/>
      </c>
      <c r="AB998">
        <f>AA997*$G$52</f>
        <v/>
      </c>
      <c r="AC998">
        <f>IF(AC997&gt;1E-9,IF(AC997*(1+$G$53)-MAX($B$9,0.01*AC997+AC997*$G$53)&gt;1E-9,AC997*(1+$G$53)-MAX($B$9,0.01*AC997+AC997*$G$53),0),0)</f>
        <v/>
      </c>
      <c r="AD998">
        <f>AC997*$G$53</f>
        <v/>
      </c>
      <c r="AE998">
        <f>IF(AE997&gt;1E-9,IF(AE997*(1+$G$54)-MAX($B$9,0.01*AE997+AE997*$G$54)&gt;1E-9,AE997*(1+$G$54)-MAX($B$9,0.01*AE997+AE997*$G$54),0),0)</f>
        <v/>
      </c>
      <c r="AF998">
        <f>AE997*$G$54</f>
        <v/>
      </c>
      <c r="AG998">
        <f>IF(AG997&gt;1E-9,IF(AG997*(1+$G$55)-MAX($B$9,0.01*AG997+AG997*$G$55)&gt;1E-9,AG997*(1+$G$55)-MAX($B$9,0.01*AG997+AG997*$G$55),0),0)</f>
        <v/>
      </c>
      <c r="AH998">
        <f>AG997*$G$55</f>
        <v/>
      </c>
      <c r="AI998">
        <f>G998+K998+O998+S998+W998</f>
        <v/>
      </c>
      <c r="AJ998">
        <f>AI997+AK998-AI998</f>
        <v/>
      </c>
      <c r="AK998">
        <f>H998+L998+P998+T998+X998</f>
        <v/>
      </c>
      <c r="AL998">
        <f>TEXT(EDATE($B$5,D998-1),"mmm yyyy")</f>
        <v/>
      </c>
      <c r="AM998">
        <f>AI998</f>
        <v/>
      </c>
    </row>
    <row r="999">
      <c r="D999" t="n">
        <v>938</v>
      </c>
      <c r="E999">
        <f>IF(G998&gt;0,MAX(0,G998*(1+$G$51)-$H$51),0)</f>
        <v/>
      </c>
      <c r="F999">
        <f>$B$6+IF($D999=$B$8,$B$7,0)</f>
        <v/>
      </c>
      <c r="G999">
        <f>IF(E999-F999&gt;1E-9,E999-F999,0)</f>
        <v/>
      </c>
      <c r="H999">
        <f>G998*$G$51</f>
        <v/>
      </c>
      <c r="I999">
        <f>IF(K998&gt;0,MAX(0,K998*(1+$G$52)-$H$52),0)</f>
        <v/>
      </c>
      <c r="J999">
        <f>MAX(0,F999-E999)</f>
        <v/>
      </c>
      <c r="K999">
        <f>IF(I999-J999&gt;1E-9,I999-J999,0)</f>
        <v/>
      </c>
      <c r="L999">
        <f>K998*$G$52</f>
        <v/>
      </c>
      <c r="M999">
        <f>IF(O998&gt;0,MAX(0,O998*(1+$G$53)-$H$53),0)</f>
        <v/>
      </c>
      <c r="N999">
        <f>MAX(0,J999-I999)</f>
        <v/>
      </c>
      <c r="O999">
        <f>IF(M999-N999&gt;1E-9,M999-N999,0)</f>
        <v/>
      </c>
      <c r="P999">
        <f>O998*$G$53</f>
        <v/>
      </c>
      <c r="Q999">
        <f>IF(S998&gt;0,MAX(0,S998*(1+$G$54)-$H$54),0)</f>
        <v/>
      </c>
      <c r="R999">
        <f>MAX(0,N999-M999)</f>
        <v/>
      </c>
      <c r="S999">
        <f>IF(Q999-R999&gt;1E-9,Q999-R999,0)</f>
        <v/>
      </c>
      <c r="T999">
        <f>S998*$G$54</f>
        <v/>
      </c>
      <c r="U999">
        <f>IF(W998&gt;0,MAX(0,W998*(1+$G$55)-$H$55),0)</f>
        <v/>
      </c>
      <c r="V999">
        <f>MAX(0,R999-Q999)</f>
        <v/>
      </c>
      <c r="W999">
        <f>IF(U999-V999&gt;1E-9,U999-V999,0)</f>
        <v/>
      </c>
      <c r="X999">
        <f>W998*$G$55</f>
        <v/>
      </c>
      <c r="Y999">
        <f>IF(Y998&gt;1E-9,IF(Y998*(1+$G$51)-MAX($B$9,0.01*Y998+Y998*$G$51)&gt;1E-9,Y998*(1+$G$51)-MAX($B$9,0.01*Y998+Y998*$G$51),0),0)</f>
        <v/>
      </c>
      <c r="Z999">
        <f>Y998*$G$51</f>
        <v/>
      </c>
      <c r="AA999">
        <f>IF(AA998&gt;1E-9,IF(AA998*(1+$G$52)-MAX($B$9,0.01*AA998+AA998*$G$52)&gt;1E-9,AA998*(1+$G$52)-MAX($B$9,0.01*AA998+AA998*$G$52),0),0)</f>
        <v/>
      </c>
      <c r="AB999">
        <f>AA998*$G$52</f>
        <v/>
      </c>
      <c r="AC999">
        <f>IF(AC998&gt;1E-9,IF(AC998*(1+$G$53)-MAX($B$9,0.01*AC998+AC998*$G$53)&gt;1E-9,AC998*(1+$G$53)-MAX($B$9,0.01*AC998+AC998*$G$53),0),0)</f>
        <v/>
      </c>
      <c r="AD999">
        <f>AC998*$G$53</f>
        <v/>
      </c>
      <c r="AE999">
        <f>IF(AE998&gt;1E-9,IF(AE998*(1+$G$54)-MAX($B$9,0.01*AE998+AE998*$G$54)&gt;1E-9,AE998*(1+$G$54)-MAX($B$9,0.01*AE998+AE998*$G$54),0),0)</f>
        <v/>
      </c>
      <c r="AF999">
        <f>AE998*$G$54</f>
        <v/>
      </c>
      <c r="AG999">
        <f>IF(AG998&gt;1E-9,IF(AG998*(1+$G$55)-MAX($B$9,0.01*AG998+AG998*$G$55)&gt;1E-9,AG998*(1+$G$55)-MAX($B$9,0.01*AG998+AG998*$G$55),0),0)</f>
        <v/>
      </c>
      <c r="AH999">
        <f>AG998*$G$55</f>
        <v/>
      </c>
      <c r="AI999">
        <f>G999+K999+O999+S999+W999</f>
        <v/>
      </c>
      <c r="AJ999">
        <f>AI998+AK999-AI999</f>
        <v/>
      </c>
      <c r="AK999">
        <f>H999+L999+P999+T999+X999</f>
        <v/>
      </c>
      <c r="AL999">
        <f>TEXT(EDATE($B$5,D999-1),"mmm yyyy")</f>
        <v/>
      </c>
      <c r="AM999">
        <f>AI999</f>
        <v/>
      </c>
    </row>
    <row r="1000">
      <c r="D1000" t="n">
        <v>939</v>
      </c>
      <c r="E1000">
        <f>IF(G999&gt;0,MAX(0,G999*(1+$G$51)-$H$51),0)</f>
        <v/>
      </c>
      <c r="F1000">
        <f>$B$6+IF($D1000=$B$8,$B$7,0)</f>
        <v/>
      </c>
      <c r="G1000">
        <f>IF(E1000-F1000&gt;1E-9,E1000-F1000,0)</f>
        <v/>
      </c>
      <c r="H1000">
        <f>G999*$G$51</f>
        <v/>
      </c>
      <c r="I1000">
        <f>IF(K999&gt;0,MAX(0,K999*(1+$G$52)-$H$52),0)</f>
        <v/>
      </c>
      <c r="J1000">
        <f>MAX(0,F1000-E1000)</f>
        <v/>
      </c>
      <c r="K1000">
        <f>IF(I1000-J1000&gt;1E-9,I1000-J1000,0)</f>
        <v/>
      </c>
      <c r="L1000">
        <f>K999*$G$52</f>
        <v/>
      </c>
      <c r="M1000">
        <f>IF(O999&gt;0,MAX(0,O999*(1+$G$53)-$H$53),0)</f>
        <v/>
      </c>
      <c r="N1000">
        <f>MAX(0,J1000-I1000)</f>
        <v/>
      </c>
      <c r="O1000">
        <f>IF(M1000-N1000&gt;1E-9,M1000-N1000,0)</f>
        <v/>
      </c>
      <c r="P1000">
        <f>O999*$G$53</f>
        <v/>
      </c>
      <c r="Q1000">
        <f>IF(S999&gt;0,MAX(0,S999*(1+$G$54)-$H$54),0)</f>
        <v/>
      </c>
      <c r="R1000">
        <f>MAX(0,N1000-M1000)</f>
        <v/>
      </c>
      <c r="S1000">
        <f>IF(Q1000-R1000&gt;1E-9,Q1000-R1000,0)</f>
        <v/>
      </c>
      <c r="T1000">
        <f>S999*$G$54</f>
        <v/>
      </c>
      <c r="U1000">
        <f>IF(W999&gt;0,MAX(0,W999*(1+$G$55)-$H$55),0)</f>
        <v/>
      </c>
      <c r="V1000">
        <f>MAX(0,R1000-Q1000)</f>
        <v/>
      </c>
      <c r="W1000">
        <f>IF(U1000-V1000&gt;1E-9,U1000-V1000,0)</f>
        <v/>
      </c>
      <c r="X1000">
        <f>W999*$G$55</f>
        <v/>
      </c>
      <c r="Y1000">
        <f>IF(Y999&gt;1E-9,IF(Y999*(1+$G$51)-MAX($B$9,0.01*Y999+Y999*$G$51)&gt;1E-9,Y999*(1+$G$51)-MAX($B$9,0.01*Y999+Y999*$G$51),0),0)</f>
        <v/>
      </c>
      <c r="Z1000">
        <f>Y999*$G$51</f>
        <v/>
      </c>
      <c r="AA1000">
        <f>IF(AA999&gt;1E-9,IF(AA999*(1+$G$52)-MAX($B$9,0.01*AA999+AA999*$G$52)&gt;1E-9,AA999*(1+$G$52)-MAX($B$9,0.01*AA999+AA999*$G$52),0),0)</f>
        <v/>
      </c>
      <c r="AB1000">
        <f>AA999*$G$52</f>
        <v/>
      </c>
      <c r="AC1000">
        <f>IF(AC999&gt;1E-9,IF(AC999*(1+$G$53)-MAX($B$9,0.01*AC999+AC999*$G$53)&gt;1E-9,AC999*(1+$G$53)-MAX($B$9,0.01*AC999+AC999*$G$53),0),0)</f>
        <v/>
      </c>
      <c r="AD1000">
        <f>AC999*$G$53</f>
        <v/>
      </c>
      <c r="AE1000">
        <f>IF(AE999&gt;1E-9,IF(AE999*(1+$G$54)-MAX($B$9,0.01*AE999+AE999*$G$54)&gt;1E-9,AE999*(1+$G$54)-MAX($B$9,0.01*AE999+AE999*$G$54),0),0)</f>
        <v/>
      </c>
      <c r="AF1000">
        <f>AE999*$G$54</f>
        <v/>
      </c>
      <c r="AG1000">
        <f>IF(AG999&gt;1E-9,IF(AG999*(1+$G$55)-MAX($B$9,0.01*AG999+AG999*$G$55)&gt;1E-9,AG999*(1+$G$55)-MAX($B$9,0.01*AG999+AG999*$G$55),0),0)</f>
        <v/>
      </c>
      <c r="AH1000">
        <f>AG999*$G$55</f>
        <v/>
      </c>
      <c r="AI1000">
        <f>G1000+K1000+O1000+S1000+W1000</f>
        <v/>
      </c>
      <c r="AJ1000">
        <f>AI999+AK1000-AI1000</f>
        <v/>
      </c>
      <c r="AK1000">
        <f>H1000+L1000+P1000+T1000+X1000</f>
        <v/>
      </c>
      <c r="AL1000">
        <f>TEXT(EDATE($B$5,D1000-1),"mmm yyyy")</f>
        <v/>
      </c>
      <c r="AM1000">
        <f>AI1000</f>
        <v/>
      </c>
    </row>
    <row r="1001">
      <c r="D1001" t="n">
        <v>940</v>
      </c>
      <c r="E1001">
        <f>IF(G1000&gt;0,MAX(0,G1000*(1+$G$51)-$H$51),0)</f>
        <v/>
      </c>
      <c r="F1001">
        <f>$B$6+IF($D1001=$B$8,$B$7,0)</f>
        <v/>
      </c>
      <c r="G1001">
        <f>IF(E1001-F1001&gt;1E-9,E1001-F1001,0)</f>
        <v/>
      </c>
      <c r="H1001">
        <f>G1000*$G$51</f>
        <v/>
      </c>
      <c r="I1001">
        <f>IF(K1000&gt;0,MAX(0,K1000*(1+$G$52)-$H$52),0)</f>
        <v/>
      </c>
      <c r="J1001">
        <f>MAX(0,F1001-E1001)</f>
        <v/>
      </c>
      <c r="K1001">
        <f>IF(I1001-J1001&gt;1E-9,I1001-J1001,0)</f>
        <v/>
      </c>
      <c r="L1001">
        <f>K1000*$G$52</f>
        <v/>
      </c>
      <c r="M1001">
        <f>IF(O1000&gt;0,MAX(0,O1000*(1+$G$53)-$H$53),0)</f>
        <v/>
      </c>
      <c r="N1001">
        <f>MAX(0,J1001-I1001)</f>
        <v/>
      </c>
      <c r="O1001">
        <f>IF(M1001-N1001&gt;1E-9,M1001-N1001,0)</f>
        <v/>
      </c>
      <c r="P1001">
        <f>O1000*$G$53</f>
        <v/>
      </c>
      <c r="Q1001">
        <f>IF(S1000&gt;0,MAX(0,S1000*(1+$G$54)-$H$54),0)</f>
        <v/>
      </c>
      <c r="R1001">
        <f>MAX(0,N1001-M1001)</f>
        <v/>
      </c>
      <c r="S1001">
        <f>IF(Q1001-R1001&gt;1E-9,Q1001-R1001,0)</f>
        <v/>
      </c>
      <c r="T1001">
        <f>S1000*$G$54</f>
        <v/>
      </c>
      <c r="U1001">
        <f>IF(W1000&gt;0,MAX(0,W1000*(1+$G$55)-$H$55),0)</f>
        <v/>
      </c>
      <c r="V1001">
        <f>MAX(0,R1001-Q1001)</f>
        <v/>
      </c>
      <c r="W1001">
        <f>IF(U1001-V1001&gt;1E-9,U1001-V1001,0)</f>
        <v/>
      </c>
      <c r="X1001">
        <f>W1000*$G$55</f>
        <v/>
      </c>
      <c r="Y1001">
        <f>IF(Y1000&gt;1E-9,IF(Y1000*(1+$G$51)-MAX($B$9,0.01*Y1000+Y1000*$G$51)&gt;1E-9,Y1000*(1+$G$51)-MAX($B$9,0.01*Y1000+Y1000*$G$51),0),0)</f>
        <v/>
      </c>
      <c r="Z1001">
        <f>Y1000*$G$51</f>
        <v/>
      </c>
      <c r="AA1001">
        <f>IF(AA1000&gt;1E-9,IF(AA1000*(1+$G$52)-MAX($B$9,0.01*AA1000+AA1000*$G$52)&gt;1E-9,AA1000*(1+$G$52)-MAX($B$9,0.01*AA1000+AA1000*$G$52),0),0)</f>
        <v/>
      </c>
      <c r="AB1001">
        <f>AA1000*$G$52</f>
        <v/>
      </c>
      <c r="AC1001">
        <f>IF(AC1000&gt;1E-9,IF(AC1000*(1+$G$53)-MAX($B$9,0.01*AC1000+AC1000*$G$53)&gt;1E-9,AC1000*(1+$G$53)-MAX($B$9,0.01*AC1000+AC1000*$G$53),0),0)</f>
        <v/>
      </c>
      <c r="AD1001">
        <f>AC1000*$G$53</f>
        <v/>
      </c>
      <c r="AE1001">
        <f>IF(AE1000&gt;1E-9,IF(AE1000*(1+$G$54)-MAX($B$9,0.01*AE1000+AE1000*$G$54)&gt;1E-9,AE1000*(1+$G$54)-MAX($B$9,0.01*AE1000+AE1000*$G$54),0),0)</f>
        <v/>
      </c>
      <c r="AF1001">
        <f>AE1000*$G$54</f>
        <v/>
      </c>
      <c r="AG1001">
        <f>IF(AG1000&gt;1E-9,IF(AG1000*(1+$G$55)-MAX($B$9,0.01*AG1000+AG1000*$G$55)&gt;1E-9,AG1000*(1+$G$55)-MAX($B$9,0.01*AG1000+AG1000*$G$55),0),0)</f>
        <v/>
      </c>
      <c r="AH1001">
        <f>AG1000*$G$55</f>
        <v/>
      </c>
      <c r="AI1001">
        <f>G1001+K1001+O1001+S1001+W1001</f>
        <v/>
      </c>
      <c r="AJ1001">
        <f>AI1000+AK1001-AI1001</f>
        <v/>
      </c>
      <c r="AK1001">
        <f>H1001+L1001+P1001+T1001+X1001</f>
        <v/>
      </c>
      <c r="AL1001">
        <f>TEXT(EDATE($B$5,D1001-1),"mmm yyyy")</f>
        <v/>
      </c>
      <c r="AM1001">
        <f>AI1001</f>
        <v/>
      </c>
    </row>
    <row r="1002">
      <c r="D1002" t="n">
        <v>941</v>
      </c>
      <c r="E1002">
        <f>IF(G1001&gt;0,MAX(0,G1001*(1+$G$51)-$H$51),0)</f>
        <v/>
      </c>
      <c r="F1002">
        <f>$B$6+IF($D1002=$B$8,$B$7,0)</f>
        <v/>
      </c>
      <c r="G1002">
        <f>IF(E1002-F1002&gt;1E-9,E1002-F1002,0)</f>
        <v/>
      </c>
      <c r="H1002">
        <f>G1001*$G$51</f>
        <v/>
      </c>
      <c r="I1002">
        <f>IF(K1001&gt;0,MAX(0,K1001*(1+$G$52)-$H$52),0)</f>
        <v/>
      </c>
      <c r="J1002">
        <f>MAX(0,F1002-E1002)</f>
        <v/>
      </c>
      <c r="K1002">
        <f>IF(I1002-J1002&gt;1E-9,I1002-J1002,0)</f>
        <v/>
      </c>
      <c r="L1002">
        <f>K1001*$G$52</f>
        <v/>
      </c>
      <c r="M1002">
        <f>IF(O1001&gt;0,MAX(0,O1001*(1+$G$53)-$H$53),0)</f>
        <v/>
      </c>
      <c r="N1002">
        <f>MAX(0,J1002-I1002)</f>
        <v/>
      </c>
      <c r="O1002">
        <f>IF(M1002-N1002&gt;1E-9,M1002-N1002,0)</f>
        <v/>
      </c>
      <c r="P1002">
        <f>O1001*$G$53</f>
        <v/>
      </c>
      <c r="Q1002">
        <f>IF(S1001&gt;0,MAX(0,S1001*(1+$G$54)-$H$54),0)</f>
        <v/>
      </c>
      <c r="R1002">
        <f>MAX(0,N1002-M1002)</f>
        <v/>
      </c>
      <c r="S1002">
        <f>IF(Q1002-R1002&gt;1E-9,Q1002-R1002,0)</f>
        <v/>
      </c>
      <c r="T1002">
        <f>S1001*$G$54</f>
        <v/>
      </c>
      <c r="U1002">
        <f>IF(W1001&gt;0,MAX(0,W1001*(1+$G$55)-$H$55),0)</f>
        <v/>
      </c>
      <c r="V1002">
        <f>MAX(0,R1002-Q1002)</f>
        <v/>
      </c>
      <c r="W1002">
        <f>IF(U1002-V1002&gt;1E-9,U1002-V1002,0)</f>
        <v/>
      </c>
      <c r="X1002">
        <f>W1001*$G$55</f>
        <v/>
      </c>
      <c r="Y1002">
        <f>IF(Y1001&gt;1E-9,IF(Y1001*(1+$G$51)-MAX($B$9,0.01*Y1001+Y1001*$G$51)&gt;1E-9,Y1001*(1+$G$51)-MAX($B$9,0.01*Y1001+Y1001*$G$51),0),0)</f>
        <v/>
      </c>
      <c r="Z1002">
        <f>Y1001*$G$51</f>
        <v/>
      </c>
      <c r="AA1002">
        <f>IF(AA1001&gt;1E-9,IF(AA1001*(1+$G$52)-MAX($B$9,0.01*AA1001+AA1001*$G$52)&gt;1E-9,AA1001*(1+$G$52)-MAX($B$9,0.01*AA1001+AA1001*$G$52),0),0)</f>
        <v/>
      </c>
      <c r="AB1002">
        <f>AA1001*$G$52</f>
        <v/>
      </c>
      <c r="AC1002">
        <f>IF(AC1001&gt;1E-9,IF(AC1001*(1+$G$53)-MAX($B$9,0.01*AC1001+AC1001*$G$53)&gt;1E-9,AC1001*(1+$G$53)-MAX($B$9,0.01*AC1001+AC1001*$G$53),0),0)</f>
        <v/>
      </c>
      <c r="AD1002">
        <f>AC1001*$G$53</f>
        <v/>
      </c>
      <c r="AE1002">
        <f>IF(AE1001&gt;1E-9,IF(AE1001*(1+$G$54)-MAX($B$9,0.01*AE1001+AE1001*$G$54)&gt;1E-9,AE1001*(1+$G$54)-MAX($B$9,0.01*AE1001+AE1001*$G$54),0),0)</f>
        <v/>
      </c>
      <c r="AF1002">
        <f>AE1001*$G$54</f>
        <v/>
      </c>
      <c r="AG1002">
        <f>IF(AG1001&gt;1E-9,IF(AG1001*(1+$G$55)-MAX($B$9,0.01*AG1001+AG1001*$G$55)&gt;1E-9,AG1001*(1+$G$55)-MAX($B$9,0.01*AG1001+AG1001*$G$55),0),0)</f>
        <v/>
      </c>
      <c r="AH1002">
        <f>AG1001*$G$55</f>
        <v/>
      </c>
      <c r="AI1002">
        <f>G1002+K1002+O1002+S1002+W1002</f>
        <v/>
      </c>
      <c r="AJ1002">
        <f>AI1001+AK1002-AI1002</f>
        <v/>
      </c>
      <c r="AK1002">
        <f>H1002+L1002+P1002+T1002+X1002</f>
        <v/>
      </c>
      <c r="AL1002">
        <f>TEXT(EDATE($B$5,D1002-1),"mmm yyyy")</f>
        <v/>
      </c>
      <c r="AM1002">
        <f>AI1002</f>
        <v/>
      </c>
    </row>
    <row r="1003">
      <c r="D1003" t="n">
        <v>942</v>
      </c>
      <c r="E1003">
        <f>IF(G1002&gt;0,MAX(0,G1002*(1+$G$51)-$H$51),0)</f>
        <v/>
      </c>
      <c r="F1003">
        <f>$B$6+IF($D1003=$B$8,$B$7,0)</f>
        <v/>
      </c>
      <c r="G1003">
        <f>IF(E1003-F1003&gt;1E-9,E1003-F1003,0)</f>
        <v/>
      </c>
      <c r="H1003">
        <f>G1002*$G$51</f>
        <v/>
      </c>
      <c r="I1003">
        <f>IF(K1002&gt;0,MAX(0,K1002*(1+$G$52)-$H$52),0)</f>
        <v/>
      </c>
      <c r="J1003">
        <f>MAX(0,F1003-E1003)</f>
        <v/>
      </c>
      <c r="K1003">
        <f>IF(I1003-J1003&gt;1E-9,I1003-J1003,0)</f>
        <v/>
      </c>
      <c r="L1003">
        <f>K1002*$G$52</f>
        <v/>
      </c>
      <c r="M1003">
        <f>IF(O1002&gt;0,MAX(0,O1002*(1+$G$53)-$H$53),0)</f>
        <v/>
      </c>
      <c r="N1003">
        <f>MAX(0,J1003-I1003)</f>
        <v/>
      </c>
      <c r="O1003">
        <f>IF(M1003-N1003&gt;1E-9,M1003-N1003,0)</f>
        <v/>
      </c>
      <c r="P1003">
        <f>O1002*$G$53</f>
        <v/>
      </c>
      <c r="Q1003">
        <f>IF(S1002&gt;0,MAX(0,S1002*(1+$G$54)-$H$54),0)</f>
        <v/>
      </c>
      <c r="R1003">
        <f>MAX(0,N1003-M1003)</f>
        <v/>
      </c>
      <c r="S1003">
        <f>IF(Q1003-R1003&gt;1E-9,Q1003-R1003,0)</f>
        <v/>
      </c>
      <c r="T1003">
        <f>S1002*$G$54</f>
        <v/>
      </c>
      <c r="U1003">
        <f>IF(W1002&gt;0,MAX(0,W1002*(1+$G$55)-$H$55),0)</f>
        <v/>
      </c>
      <c r="V1003">
        <f>MAX(0,R1003-Q1003)</f>
        <v/>
      </c>
      <c r="W1003">
        <f>IF(U1003-V1003&gt;1E-9,U1003-V1003,0)</f>
        <v/>
      </c>
      <c r="X1003">
        <f>W1002*$G$55</f>
        <v/>
      </c>
      <c r="Y1003">
        <f>IF(Y1002&gt;1E-9,IF(Y1002*(1+$G$51)-MAX($B$9,0.01*Y1002+Y1002*$G$51)&gt;1E-9,Y1002*(1+$G$51)-MAX($B$9,0.01*Y1002+Y1002*$G$51),0),0)</f>
        <v/>
      </c>
      <c r="Z1003">
        <f>Y1002*$G$51</f>
        <v/>
      </c>
      <c r="AA1003">
        <f>IF(AA1002&gt;1E-9,IF(AA1002*(1+$G$52)-MAX($B$9,0.01*AA1002+AA1002*$G$52)&gt;1E-9,AA1002*(1+$G$52)-MAX($B$9,0.01*AA1002+AA1002*$G$52),0),0)</f>
        <v/>
      </c>
      <c r="AB1003">
        <f>AA1002*$G$52</f>
        <v/>
      </c>
      <c r="AC1003">
        <f>IF(AC1002&gt;1E-9,IF(AC1002*(1+$G$53)-MAX($B$9,0.01*AC1002+AC1002*$G$53)&gt;1E-9,AC1002*(1+$G$53)-MAX($B$9,0.01*AC1002+AC1002*$G$53),0),0)</f>
        <v/>
      </c>
      <c r="AD1003">
        <f>AC1002*$G$53</f>
        <v/>
      </c>
      <c r="AE1003">
        <f>IF(AE1002&gt;1E-9,IF(AE1002*(1+$G$54)-MAX($B$9,0.01*AE1002+AE1002*$G$54)&gt;1E-9,AE1002*(1+$G$54)-MAX($B$9,0.01*AE1002+AE1002*$G$54),0),0)</f>
        <v/>
      </c>
      <c r="AF1003">
        <f>AE1002*$G$54</f>
        <v/>
      </c>
      <c r="AG1003">
        <f>IF(AG1002&gt;1E-9,IF(AG1002*(1+$G$55)-MAX($B$9,0.01*AG1002+AG1002*$G$55)&gt;1E-9,AG1002*(1+$G$55)-MAX($B$9,0.01*AG1002+AG1002*$G$55),0),0)</f>
        <v/>
      </c>
      <c r="AH1003">
        <f>AG1002*$G$55</f>
        <v/>
      </c>
      <c r="AI1003">
        <f>G1003+K1003+O1003+S1003+W1003</f>
        <v/>
      </c>
      <c r="AJ1003">
        <f>AI1002+AK1003-AI1003</f>
        <v/>
      </c>
      <c r="AK1003">
        <f>H1003+L1003+P1003+T1003+X1003</f>
        <v/>
      </c>
      <c r="AL1003">
        <f>TEXT(EDATE($B$5,D1003-1),"mmm yyyy")</f>
        <v/>
      </c>
      <c r="AM1003">
        <f>AI1003</f>
        <v/>
      </c>
    </row>
    <row r="1004">
      <c r="D1004" t="n">
        <v>943</v>
      </c>
      <c r="E1004">
        <f>IF(G1003&gt;0,MAX(0,G1003*(1+$G$51)-$H$51),0)</f>
        <v/>
      </c>
      <c r="F1004">
        <f>$B$6+IF($D1004=$B$8,$B$7,0)</f>
        <v/>
      </c>
      <c r="G1004">
        <f>IF(E1004-F1004&gt;1E-9,E1004-F1004,0)</f>
        <v/>
      </c>
      <c r="H1004">
        <f>G1003*$G$51</f>
        <v/>
      </c>
      <c r="I1004">
        <f>IF(K1003&gt;0,MAX(0,K1003*(1+$G$52)-$H$52),0)</f>
        <v/>
      </c>
      <c r="J1004">
        <f>MAX(0,F1004-E1004)</f>
        <v/>
      </c>
      <c r="K1004">
        <f>IF(I1004-J1004&gt;1E-9,I1004-J1004,0)</f>
        <v/>
      </c>
      <c r="L1004">
        <f>K1003*$G$52</f>
        <v/>
      </c>
      <c r="M1004">
        <f>IF(O1003&gt;0,MAX(0,O1003*(1+$G$53)-$H$53),0)</f>
        <v/>
      </c>
      <c r="N1004">
        <f>MAX(0,J1004-I1004)</f>
        <v/>
      </c>
      <c r="O1004">
        <f>IF(M1004-N1004&gt;1E-9,M1004-N1004,0)</f>
        <v/>
      </c>
      <c r="P1004">
        <f>O1003*$G$53</f>
        <v/>
      </c>
      <c r="Q1004">
        <f>IF(S1003&gt;0,MAX(0,S1003*(1+$G$54)-$H$54),0)</f>
        <v/>
      </c>
      <c r="R1004">
        <f>MAX(0,N1004-M1004)</f>
        <v/>
      </c>
      <c r="S1004">
        <f>IF(Q1004-R1004&gt;1E-9,Q1004-R1004,0)</f>
        <v/>
      </c>
      <c r="T1004">
        <f>S1003*$G$54</f>
        <v/>
      </c>
      <c r="U1004">
        <f>IF(W1003&gt;0,MAX(0,W1003*(1+$G$55)-$H$55),0)</f>
        <v/>
      </c>
      <c r="V1004">
        <f>MAX(0,R1004-Q1004)</f>
        <v/>
      </c>
      <c r="W1004">
        <f>IF(U1004-V1004&gt;1E-9,U1004-V1004,0)</f>
        <v/>
      </c>
      <c r="X1004">
        <f>W1003*$G$55</f>
        <v/>
      </c>
      <c r="Y1004">
        <f>IF(Y1003&gt;1E-9,IF(Y1003*(1+$G$51)-MAX($B$9,0.01*Y1003+Y1003*$G$51)&gt;1E-9,Y1003*(1+$G$51)-MAX($B$9,0.01*Y1003+Y1003*$G$51),0),0)</f>
        <v/>
      </c>
      <c r="Z1004">
        <f>Y1003*$G$51</f>
        <v/>
      </c>
      <c r="AA1004">
        <f>IF(AA1003&gt;1E-9,IF(AA1003*(1+$G$52)-MAX($B$9,0.01*AA1003+AA1003*$G$52)&gt;1E-9,AA1003*(1+$G$52)-MAX($B$9,0.01*AA1003+AA1003*$G$52),0),0)</f>
        <v/>
      </c>
      <c r="AB1004">
        <f>AA1003*$G$52</f>
        <v/>
      </c>
      <c r="AC1004">
        <f>IF(AC1003&gt;1E-9,IF(AC1003*(1+$G$53)-MAX($B$9,0.01*AC1003+AC1003*$G$53)&gt;1E-9,AC1003*(1+$G$53)-MAX($B$9,0.01*AC1003+AC1003*$G$53),0),0)</f>
        <v/>
      </c>
      <c r="AD1004">
        <f>AC1003*$G$53</f>
        <v/>
      </c>
      <c r="AE1004">
        <f>IF(AE1003&gt;1E-9,IF(AE1003*(1+$G$54)-MAX($B$9,0.01*AE1003+AE1003*$G$54)&gt;1E-9,AE1003*(1+$G$54)-MAX($B$9,0.01*AE1003+AE1003*$G$54),0),0)</f>
        <v/>
      </c>
      <c r="AF1004">
        <f>AE1003*$G$54</f>
        <v/>
      </c>
      <c r="AG1004">
        <f>IF(AG1003&gt;1E-9,IF(AG1003*(1+$G$55)-MAX($B$9,0.01*AG1003+AG1003*$G$55)&gt;1E-9,AG1003*(1+$G$55)-MAX($B$9,0.01*AG1003+AG1003*$G$55),0),0)</f>
        <v/>
      </c>
      <c r="AH1004">
        <f>AG1003*$G$55</f>
        <v/>
      </c>
      <c r="AI1004">
        <f>G1004+K1004+O1004+S1004+W1004</f>
        <v/>
      </c>
      <c r="AJ1004">
        <f>AI1003+AK1004-AI1004</f>
        <v/>
      </c>
      <c r="AK1004">
        <f>H1004+L1004+P1004+T1004+X1004</f>
        <v/>
      </c>
      <c r="AL1004">
        <f>TEXT(EDATE($B$5,D1004-1),"mmm yyyy")</f>
        <v/>
      </c>
      <c r="AM1004">
        <f>AI1004</f>
        <v/>
      </c>
    </row>
    <row r="1005">
      <c r="D1005" t="n">
        <v>944</v>
      </c>
      <c r="E1005">
        <f>IF(G1004&gt;0,MAX(0,G1004*(1+$G$51)-$H$51),0)</f>
        <v/>
      </c>
      <c r="F1005">
        <f>$B$6+IF($D1005=$B$8,$B$7,0)</f>
        <v/>
      </c>
      <c r="G1005">
        <f>IF(E1005-F1005&gt;1E-9,E1005-F1005,0)</f>
        <v/>
      </c>
      <c r="H1005">
        <f>G1004*$G$51</f>
        <v/>
      </c>
      <c r="I1005">
        <f>IF(K1004&gt;0,MAX(0,K1004*(1+$G$52)-$H$52),0)</f>
        <v/>
      </c>
      <c r="J1005">
        <f>MAX(0,F1005-E1005)</f>
        <v/>
      </c>
      <c r="K1005">
        <f>IF(I1005-J1005&gt;1E-9,I1005-J1005,0)</f>
        <v/>
      </c>
      <c r="L1005">
        <f>K1004*$G$52</f>
        <v/>
      </c>
      <c r="M1005">
        <f>IF(O1004&gt;0,MAX(0,O1004*(1+$G$53)-$H$53),0)</f>
        <v/>
      </c>
      <c r="N1005">
        <f>MAX(0,J1005-I1005)</f>
        <v/>
      </c>
      <c r="O1005">
        <f>IF(M1005-N1005&gt;1E-9,M1005-N1005,0)</f>
        <v/>
      </c>
      <c r="P1005">
        <f>O1004*$G$53</f>
        <v/>
      </c>
      <c r="Q1005">
        <f>IF(S1004&gt;0,MAX(0,S1004*(1+$G$54)-$H$54),0)</f>
        <v/>
      </c>
      <c r="R1005">
        <f>MAX(0,N1005-M1005)</f>
        <v/>
      </c>
      <c r="S1005">
        <f>IF(Q1005-R1005&gt;1E-9,Q1005-R1005,0)</f>
        <v/>
      </c>
      <c r="T1005">
        <f>S1004*$G$54</f>
        <v/>
      </c>
      <c r="U1005">
        <f>IF(W1004&gt;0,MAX(0,W1004*(1+$G$55)-$H$55),0)</f>
        <v/>
      </c>
      <c r="V1005">
        <f>MAX(0,R1005-Q1005)</f>
        <v/>
      </c>
      <c r="W1005">
        <f>IF(U1005-V1005&gt;1E-9,U1005-V1005,0)</f>
        <v/>
      </c>
      <c r="X1005">
        <f>W1004*$G$55</f>
        <v/>
      </c>
      <c r="Y1005">
        <f>IF(Y1004&gt;1E-9,IF(Y1004*(1+$G$51)-MAX($B$9,0.01*Y1004+Y1004*$G$51)&gt;1E-9,Y1004*(1+$G$51)-MAX($B$9,0.01*Y1004+Y1004*$G$51),0),0)</f>
        <v/>
      </c>
      <c r="Z1005">
        <f>Y1004*$G$51</f>
        <v/>
      </c>
      <c r="AA1005">
        <f>IF(AA1004&gt;1E-9,IF(AA1004*(1+$G$52)-MAX($B$9,0.01*AA1004+AA1004*$G$52)&gt;1E-9,AA1004*(1+$G$52)-MAX($B$9,0.01*AA1004+AA1004*$G$52),0),0)</f>
        <v/>
      </c>
      <c r="AB1005">
        <f>AA1004*$G$52</f>
        <v/>
      </c>
      <c r="AC1005">
        <f>IF(AC1004&gt;1E-9,IF(AC1004*(1+$G$53)-MAX($B$9,0.01*AC1004+AC1004*$G$53)&gt;1E-9,AC1004*(1+$G$53)-MAX($B$9,0.01*AC1004+AC1004*$G$53),0),0)</f>
        <v/>
      </c>
      <c r="AD1005">
        <f>AC1004*$G$53</f>
        <v/>
      </c>
      <c r="AE1005">
        <f>IF(AE1004&gt;1E-9,IF(AE1004*(1+$G$54)-MAX($B$9,0.01*AE1004+AE1004*$G$54)&gt;1E-9,AE1004*(1+$G$54)-MAX($B$9,0.01*AE1004+AE1004*$G$54),0),0)</f>
        <v/>
      </c>
      <c r="AF1005">
        <f>AE1004*$G$54</f>
        <v/>
      </c>
      <c r="AG1005">
        <f>IF(AG1004&gt;1E-9,IF(AG1004*(1+$G$55)-MAX($B$9,0.01*AG1004+AG1004*$G$55)&gt;1E-9,AG1004*(1+$G$55)-MAX($B$9,0.01*AG1004+AG1004*$G$55),0),0)</f>
        <v/>
      </c>
      <c r="AH1005">
        <f>AG1004*$G$55</f>
        <v/>
      </c>
      <c r="AI1005">
        <f>G1005+K1005+O1005+S1005+W1005</f>
        <v/>
      </c>
      <c r="AJ1005">
        <f>AI1004+AK1005-AI1005</f>
        <v/>
      </c>
      <c r="AK1005">
        <f>H1005+L1005+P1005+T1005+X1005</f>
        <v/>
      </c>
      <c r="AL1005">
        <f>TEXT(EDATE($B$5,D1005-1),"mmm yyyy")</f>
        <v/>
      </c>
      <c r="AM1005">
        <f>AI1005</f>
        <v/>
      </c>
    </row>
    <row r="1006">
      <c r="D1006" t="n">
        <v>945</v>
      </c>
      <c r="E1006">
        <f>IF(G1005&gt;0,MAX(0,G1005*(1+$G$51)-$H$51),0)</f>
        <v/>
      </c>
      <c r="F1006">
        <f>$B$6+IF($D1006=$B$8,$B$7,0)</f>
        <v/>
      </c>
      <c r="G1006">
        <f>IF(E1006-F1006&gt;1E-9,E1006-F1006,0)</f>
        <v/>
      </c>
      <c r="H1006">
        <f>G1005*$G$51</f>
        <v/>
      </c>
      <c r="I1006">
        <f>IF(K1005&gt;0,MAX(0,K1005*(1+$G$52)-$H$52),0)</f>
        <v/>
      </c>
      <c r="J1006">
        <f>MAX(0,F1006-E1006)</f>
        <v/>
      </c>
      <c r="K1006">
        <f>IF(I1006-J1006&gt;1E-9,I1006-J1006,0)</f>
        <v/>
      </c>
      <c r="L1006">
        <f>K1005*$G$52</f>
        <v/>
      </c>
      <c r="M1006">
        <f>IF(O1005&gt;0,MAX(0,O1005*(1+$G$53)-$H$53),0)</f>
        <v/>
      </c>
      <c r="N1006">
        <f>MAX(0,J1006-I1006)</f>
        <v/>
      </c>
      <c r="O1006">
        <f>IF(M1006-N1006&gt;1E-9,M1006-N1006,0)</f>
        <v/>
      </c>
      <c r="P1006">
        <f>O1005*$G$53</f>
        <v/>
      </c>
      <c r="Q1006">
        <f>IF(S1005&gt;0,MAX(0,S1005*(1+$G$54)-$H$54),0)</f>
        <v/>
      </c>
      <c r="R1006">
        <f>MAX(0,N1006-M1006)</f>
        <v/>
      </c>
      <c r="S1006">
        <f>IF(Q1006-R1006&gt;1E-9,Q1006-R1006,0)</f>
        <v/>
      </c>
      <c r="T1006">
        <f>S1005*$G$54</f>
        <v/>
      </c>
      <c r="U1006">
        <f>IF(W1005&gt;0,MAX(0,W1005*(1+$G$55)-$H$55),0)</f>
        <v/>
      </c>
      <c r="V1006">
        <f>MAX(0,R1006-Q1006)</f>
        <v/>
      </c>
      <c r="W1006">
        <f>IF(U1006-V1006&gt;1E-9,U1006-V1006,0)</f>
        <v/>
      </c>
      <c r="X1006">
        <f>W1005*$G$55</f>
        <v/>
      </c>
      <c r="Y1006">
        <f>IF(Y1005&gt;1E-9,IF(Y1005*(1+$G$51)-MAX($B$9,0.01*Y1005+Y1005*$G$51)&gt;1E-9,Y1005*(1+$G$51)-MAX($B$9,0.01*Y1005+Y1005*$G$51),0),0)</f>
        <v/>
      </c>
      <c r="Z1006">
        <f>Y1005*$G$51</f>
        <v/>
      </c>
      <c r="AA1006">
        <f>IF(AA1005&gt;1E-9,IF(AA1005*(1+$G$52)-MAX($B$9,0.01*AA1005+AA1005*$G$52)&gt;1E-9,AA1005*(1+$G$52)-MAX($B$9,0.01*AA1005+AA1005*$G$52),0),0)</f>
        <v/>
      </c>
      <c r="AB1006">
        <f>AA1005*$G$52</f>
        <v/>
      </c>
      <c r="AC1006">
        <f>IF(AC1005&gt;1E-9,IF(AC1005*(1+$G$53)-MAX($B$9,0.01*AC1005+AC1005*$G$53)&gt;1E-9,AC1005*(1+$G$53)-MAX($B$9,0.01*AC1005+AC1005*$G$53),0),0)</f>
        <v/>
      </c>
      <c r="AD1006">
        <f>AC1005*$G$53</f>
        <v/>
      </c>
      <c r="AE1006">
        <f>IF(AE1005&gt;1E-9,IF(AE1005*(1+$G$54)-MAX($B$9,0.01*AE1005+AE1005*$G$54)&gt;1E-9,AE1005*(1+$G$54)-MAX($B$9,0.01*AE1005+AE1005*$G$54),0),0)</f>
        <v/>
      </c>
      <c r="AF1006">
        <f>AE1005*$G$54</f>
        <v/>
      </c>
      <c r="AG1006">
        <f>IF(AG1005&gt;1E-9,IF(AG1005*(1+$G$55)-MAX($B$9,0.01*AG1005+AG1005*$G$55)&gt;1E-9,AG1005*(1+$G$55)-MAX($B$9,0.01*AG1005+AG1005*$G$55),0),0)</f>
        <v/>
      </c>
      <c r="AH1006">
        <f>AG1005*$G$55</f>
        <v/>
      </c>
      <c r="AI1006">
        <f>G1006+K1006+O1006+S1006+W1006</f>
        <v/>
      </c>
      <c r="AJ1006">
        <f>AI1005+AK1006-AI1006</f>
        <v/>
      </c>
      <c r="AK1006">
        <f>H1006+L1006+P1006+T1006+X1006</f>
        <v/>
      </c>
      <c r="AL1006">
        <f>TEXT(EDATE($B$5,D1006-1),"mmm yyyy")</f>
        <v/>
      </c>
      <c r="AM1006">
        <f>AI1006</f>
        <v/>
      </c>
    </row>
    <row r="1007">
      <c r="D1007" t="n">
        <v>946</v>
      </c>
      <c r="E1007">
        <f>IF(G1006&gt;0,MAX(0,G1006*(1+$G$51)-$H$51),0)</f>
        <v/>
      </c>
      <c r="F1007">
        <f>$B$6+IF($D1007=$B$8,$B$7,0)</f>
        <v/>
      </c>
      <c r="G1007">
        <f>IF(E1007-F1007&gt;1E-9,E1007-F1007,0)</f>
        <v/>
      </c>
      <c r="H1007">
        <f>G1006*$G$51</f>
        <v/>
      </c>
      <c r="I1007">
        <f>IF(K1006&gt;0,MAX(0,K1006*(1+$G$52)-$H$52),0)</f>
        <v/>
      </c>
      <c r="J1007">
        <f>MAX(0,F1007-E1007)</f>
        <v/>
      </c>
      <c r="K1007">
        <f>IF(I1007-J1007&gt;1E-9,I1007-J1007,0)</f>
        <v/>
      </c>
      <c r="L1007">
        <f>K1006*$G$52</f>
        <v/>
      </c>
      <c r="M1007">
        <f>IF(O1006&gt;0,MAX(0,O1006*(1+$G$53)-$H$53),0)</f>
        <v/>
      </c>
      <c r="N1007">
        <f>MAX(0,J1007-I1007)</f>
        <v/>
      </c>
      <c r="O1007">
        <f>IF(M1007-N1007&gt;1E-9,M1007-N1007,0)</f>
        <v/>
      </c>
      <c r="P1007">
        <f>O1006*$G$53</f>
        <v/>
      </c>
      <c r="Q1007">
        <f>IF(S1006&gt;0,MAX(0,S1006*(1+$G$54)-$H$54),0)</f>
        <v/>
      </c>
      <c r="R1007">
        <f>MAX(0,N1007-M1007)</f>
        <v/>
      </c>
      <c r="S1007">
        <f>IF(Q1007-R1007&gt;1E-9,Q1007-R1007,0)</f>
        <v/>
      </c>
      <c r="T1007">
        <f>S1006*$G$54</f>
        <v/>
      </c>
      <c r="U1007">
        <f>IF(W1006&gt;0,MAX(0,W1006*(1+$G$55)-$H$55),0)</f>
        <v/>
      </c>
      <c r="V1007">
        <f>MAX(0,R1007-Q1007)</f>
        <v/>
      </c>
      <c r="W1007">
        <f>IF(U1007-V1007&gt;1E-9,U1007-V1007,0)</f>
        <v/>
      </c>
      <c r="X1007">
        <f>W1006*$G$55</f>
        <v/>
      </c>
      <c r="Y1007">
        <f>IF(Y1006&gt;1E-9,IF(Y1006*(1+$G$51)-MAX($B$9,0.01*Y1006+Y1006*$G$51)&gt;1E-9,Y1006*(1+$G$51)-MAX($B$9,0.01*Y1006+Y1006*$G$51),0),0)</f>
        <v/>
      </c>
      <c r="Z1007">
        <f>Y1006*$G$51</f>
        <v/>
      </c>
      <c r="AA1007">
        <f>IF(AA1006&gt;1E-9,IF(AA1006*(1+$G$52)-MAX($B$9,0.01*AA1006+AA1006*$G$52)&gt;1E-9,AA1006*(1+$G$52)-MAX($B$9,0.01*AA1006+AA1006*$G$52),0),0)</f>
        <v/>
      </c>
      <c r="AB1007">
        <f>AA1006*$G$52</f>
        <v/>
      </c>
      <c r="AC1007">
        <f>IF(AC1006&gt;1E-9,IF(AC1006*(1+$G$53)-MAX($B$9,0.01*AC1006+AC1006*$G$53)&gt;1E-9,AC1006*(1+$G$53)-MAX($B$9,0.01*AC1006+AC1006*$G$53),0),0)</f>
        <v/>
      </c>
      <c r="AD1007">
        <f>AC1006*$G$53</f>
        <v/>
      </c>
      <c r="AE1007">
        <f>IF(AE1006&gt;1E-9,IF(AE1006*(1+$G$54)-MAX($B$9,0.01*AE1006+AE1006*$G$54)&gt;1E-9,AE1006*(1+$G$54)-MAX($B$9,0.01*AE1006+AE1006*$G$54),0),0)</f>
        <v/>
      </c>
      <c r="AF1007">
        <f>AE1006*$G$54</f>
        <v/>
      </c>
      <c r="AG1007">
        <f>IF(AG1006&gt;1E-9,IF(AG1006*(1+$G$55)-MAX($B$9,0.01*AG1006+AG1006*$G$55)&gt;1E-9,AG1006*(1+$G$55)-MAX($B$9,0.01*AG1006+AG1006*$G$55),0),0)</f>
        <v/>
      </c>
      <c r="AH1007">
        <f>AG1006*$G$55</f>
        <v/>
      </c>
      <c r="AI1007">
        <f>G1007+K1007+O1007+S1007+W1007</f>
        <v/>
      </c>
      <c r="AJ1007">
        <f>AI1006+AK1007-AI1007</f>
        <v/>
      </c>
      <c r="AK1007">
        <f>H1007+L1007+P1007+T1007+X1007</f>
        <v/>
      </c>
      <c r="AL1007">
        <f>TEXT(EDATE($B$5,D1007-1),"mmm yyyy")</f>
        <v/>
      </c>
      <c r="AM1007">
        <f>AI1007</f>
        <v/>
      </c>
    </row>
    <row r="1008">
      <c r="D1008" t="n">
        <v>947</v>
      </c>
      <c r="E1008">
        <f>IF(G1007&gt;0,MAX(0,G1007*(1+$G$51)-$H$51),0)</f>
        <v/>
      </c>
      <c r="F1008">
        <f>$B$6+IF($D1008=$B$8,$B$7,0)</f>
        <v/>
      </c>
      <c r="G1008">
        <f>IF(E1008-F1008&gt;1E-9,E1008-F1008,0)</f>
        <v/>
      </c>
      <c r="H1008">
        <f>G1007*$G$51</f>
        <v/>
      </c>
      <c r="I1008">
        <f>IF(K1007&gt;0,MAX(0,K1007*(1+$G$52)-$H$52),0)</f>
        <v/>
      </c>
      <c r="J1008">
        <f>MAX(0,F1008-E1008)</f>
        <v/>
      </c>
      <c r="K1008">
        <f>IF(I1008-J1008&gt;1E-9,I1008-J1008,0)</f>
        <v/>
      </c>
      <c r="L1008">
        <f>K1007*$G$52</f>
        <v/>
      </c>
      <c r="M1008">
        <f>IF(O1007&gt;0,MAX(0,O1007*(1+$G$53)-$H$53),0)</f>
        <v/>
      </c>
      <c r="N1008">
        <f>MAX(0,J1008-I1008)</f>
        <v/>
      </c>
      <c r="O1008">
        <f>IF(M1008-N1008&gt;1E-9,M1008-N1008,0)</f>
        <v/>
      </c>
      <c r="P1008">
        <f>O1007*$G$53</f>
        <v/>
      </c>
      <c r="Q1008">
        <f>IF(S1007&gt;0,MAX(0,S1007*(1+$G$54)-$H$54),0)</f>
        <v/>
      </c>
      <c r="R1008">
        <f>MAX(0,N1008-M1008)</f>
        <v/>
      </c>
      <c r="S1008">
        <f>IF(Q1008-R1008&gt;1E-9,Q1008-R1008,0)</f>
        <v/>
      </c>
      <c r="T1008">
        <f>S1007*$G$54</f>
        <v/>
      </c>
      <c r="U1008">
        <f>IF(W1007&gt;0,MAX(0,W1007*(1+$G$55)-$H$55),0)</f>
        <v/>
      </c>
      <c r="V1008">
        <f>MAX(0,R1008-Q1008)</f>
        <v/>
      </c>
      <c r="W1008">
        <f>IF(U1008-V1008&gt;1E-9,U1008-V1008,0)</f>
        <v/>
      </c>
      <c r="X1008">
        <f>W1007*$G$55</f>
        <v/>
      </c>
      <c r="Y1008">
        <f>IF(Y1007&gt;1E-9,IF(Y1007*(1+$G$51)-MAX($B$9,0.01*Y1007+Y1007*$G$51)&gt;1E-9,Y1007*(1+$G$51)-MAX($B$9,0.01*Y1007+Y1007*$G$51),0),0)</f>
        <v/>
      </c>
      <c r="Z1008">
        <f>Y1007*$G$51</f>
        <v/>
      </c>
      <c r="AA1008">
        <f>IF(AA1007&gt;1E-9,IF(AA1007*(1+$G$52)-MAX($B$9,0.01*AA1007+AA1007*$G$52)&gt;1E-9,AA1007*(1+$G$52)-MAX($B$9,0.01*AA1007+AA1007*$G$52),0),0)</f>
        <v/>
      </c>
      <c r="AB1008">
        <f>AA1007*$G$52</f>
        <v/>
      </c>
      <c r="AC1008">
        <f>IF(AC1007&gt;1E-9,IF(AC1007*(1+$G$53)-MAX($B$9,0.01*AC1007+AC1007*$G$53)&gt;1E-9,AC1007*(1+$G$53)-MAX($B$9,0.01*AC1007+AC1007*$G$53),0),0)</f>
        <v/>
      </c>
      <c r="AD1008">
        <f>AC1007*$G$53</f>
        <v/>
      </c>
      <c r="AE1008">
        <f>IF(AE1007&gt;1E-9,IF(AE1007*(1+$G$54)-MAX($B$9,0.01*AE1007+AE1007*$G$54)&gt;1E-9,AE1007*(1+$G$54)-MAX($B$9,0.01*AE1007+AE1007*$G$54),0),0)</f>
        <v/>
      </c>
      <c r="AF1008">
        <f>AE1007*$G$54</f>
        <v/>
      </c>
      <c r="AG1008">
        <f>IF(AG1007&gt;1E-9,IF(AG1007*(1+$G$55)-MAX($B$9,0.01*AG1007+AG1007*$G$55)&gt;1E-9,AG1007*(1+$G$55)-MAX($B$9,0.01*AG1007+AG1007*$G$55),0),0)</f>
        <v/>
      </c>
      <c r="AH1008">
        <f>AG1007*$G$55</f>
        <v/>
      </c>
      <c r="AI1008">
        <f>G1008+K1008+O1008+S1008+W1008</f>
        <v/>
      </c>
      <c r="AJ1008">
        <f>AI1007+AK1008-AI1008</f>
        <v/>
      </c>
      <c r="AK1008">
        <f>H1008+L1008+P1008+T1008+X1008</f>
        <v/>
      </c>
      <c r="AL1008">
        <f>TEXT(EDATE($B$5,D1008-1),"mmm yyyy")</f>
        <v/>
      </c>
      <c r="AM1008">
        <f>AI1008</f>
        <v/>
      </c>
    </row>
    <row r="1009">
      <c r="D1009" t="n">
        <v>948</v>
      </c>
      <c r="E1009">
        <f>IF(G1008&gt;0,MAX(0,G1008*(1+$G$51)-$H$51),0)</f>
        <v/>
      </c>
      <c r="F1009">
        <f>$B$6+IF($D1009=$B$8,$B$7,0)</f>
        <v/>
      </c>
      <c r="G1009">
        <f>IF(E1009-F1009&gt;1E-9,E1009-F1009,0)</f>
        <v/>
      </c>
      <c r="H1009">
        <f>G1008*$G$51</f>
        <v/>
      </c>
      <c r="I1009">
        <f>IF(K1008&gt;0,MAX(0,K1008*(1+$G$52)-$H$52),0)</f>
        <v/>
      </c>
      <c r="J1009">
        <f>MAX(0,F1009-E1009)</f>
        <v/>
      </c>
      <c r="K1009">
        <f>IF(I1009-J1009&gt;1E-9,I1009-J1009,0)</f>
        <v/>
      </c>
      <c r="L1009">
        <f>K1008*$G$52</f>
        <v/>
      </c>
      <c r="M1009">
        <f>IF(O1008&gt;0,MAX(0,O1008*(1+$G$53)-$H$53),0)</f>
        <v/>
      </c>
      <c r="N1009">
        <f>MAX(0,J1009-I1009)</f>
        <v/>
      </c>
      <c r="O1009">
        <f>IF(M1009-N1009&gt;1E-9,M1009-N1009,0)</f>
        <v/>
      </c>
      <c r="P1009">
        <f>O1008*$G$53</f>
        <v/>
      </c>
      <c r="Q1009">
        <f>IF(S1008&gt;0,MAX(0,S1008*(1+$G$54)-$H$54),0)</f>
        <v/>
      </c>
      <c r="R1009">
        <f>MAX(0,N1009-M1009)</f>
        <v/>
      </c>
      <c r="S1009">
        <f>IF(Q1009-R1009&gt;1E-9,Q1009-R1009,0)</f>
        <v/>
      </c>
      <c r="T1009">
        <f>S1008*$G$54</f>
        <v/>
      </c>
      <c r="U1009">
        <f>IF(W1008&gt;0,MAX(0,W1008*(1+$G$55)-$H$55),0)</f>
        <v/>
      </c>
      <c r="V1009">
        <f>MAX(0,R1009-Q1009)</f>
        <v/>
      </c>
      <c r="W1009">
        <f>IF(U1009-V1009&gt;1E-9,U1009-V1009,0)</f>
        <v/>
      </c>
      <c r="X1009">
        <f>W1008*$G$55</f>
        <v/>
      </c>
      <c r="Y1009">
        <f>IF(Y1008&gt;1E-9,IF(Y1008*(1+$G$51)-MAX($B$9,0.01*Y1008+Y1008*$G$51)&gt;1E-9,Y1008*(1+$G$51)-MAX($B$9,0.01*Y1008+Y1008*$G$51),0),0)</f>
        <v/>
      </c>
      <c r="Z1009">
        <f>Y1008*$G$51</f>
        <v/>
      </c>
      <c r="AA1009">
        <f>IF(AA1008&gt;1E-9,IF(AA1008*(1+$G$52)-MAX($B$9,0.01*AA1008+AA1008*$G$52)&gt;1E-9,AA1008*(1+$G$52)-MAX($B$9,0.01*AA1008+AA1008*$G$52),0),0)</f>
        <v/>
      </c>
      <c r="AB1009">
        <f>AA1008*$G$52</f>
        <v/>
      </c>
      <c r="AC1009">
        <f>IF(AC1008&gt;1E-9,IF(AC1008*(1+$G$53)-MAX($B$9,0.01*AC1008+AC1008*$G$53)&gt;1E-9,AC1008*(1+$G$53)-MAX($B$9,0.01*AC1008+AC1008*$G$53),0),0)</f>
        <v/>
      </c>
      <c r="AD1009">
        <f>AC1008*$G$53</f>
        <v/>
      </c>
      <c r="AE1009">
        <f>IF(AE1008&gt;1E-9,IF(AE1008*(1+$G$54)-MAX($B$9,0.01*AE1008+AE1008*$G$54)&gt;1E-9,AE1008*(1+$G$54)-MAX($B$9,0.01*AE1008+AE1008*$G$54),0),0)</f>
        <v/>
      </c>
      <c r="AF1009">
        <f>AE1008*$G$54</f>
        <v/>
      </c>
      <c r="AG1009">
        <f>IF(AG1008&gt;1E-9,IF(AG1008*(1+$G$55)-MAX($B$9,0.01*AG1008+AG1008*$G$55)&gt;1E-9,AG1008*(1+$G$55)-MAX($B$9,0.01*AG1008+AG1008*$G$55),0),0)</f>
        <v/>
      </c>
      <c r="AH1009">
        <f>AG1008*$G$55</f>
        <v/>
      </c>
      <c r="AI1009">
        <f>G1009+K1009+O1009+S1009+W1009</f>
        <v/>
      </c>
      <c r="AJ1009">
        <f>AI1008+AK1009-AI1009</f>
        <v/>
      </c>
      <c r="AK1009">
        <f>H1009+L1009+P1009+T1009+X1009</f>
        <v/>
      </c>
      <c r="AL1009">
        <f>TEXT(EDATE($B$5,D1009-1),"mmm yyyy")</f>
        <v/>
      </c>
      <c r="AM1009">
        <f>AI1009</f>
        <v/>
      </c>
    </row>
    <row r="1010">
      <c r="D1010" t="n">
        <v>949</v>
      </c>
      <c r="E1010">
        <f>IF(G1009&gt;0,MAX(0,G1009*(1+$G$51)-$H$51),0)</f>
        <v/>
      </c>
      <c r="F1010">
        <f>$B$6+IF($D1010=$B$8,$B$7,0)</f>
        <v/>
      </c>
      <c r="G1010">
        <f>IF(E1010-F1010&gt;1E-9,E1010-F1010,0)</f>
        <v/>
      </c>
      <c r="H1010">
        <f>G1009*$G$51</f>
        <v/>
      </c>
      <c r="I1010">
        <f>IF(K1009&gt;0,MAX(0,K1009*(1+$G$52)-$H$52),0)</f>
        <v/>
      </c>
      <c r="J1010">
        <f>MAX(0,F1010-E1010)</f>
        <v/>
      </c>
      <c r="K1010">
        <f>IF(I1010-J1010&gt;1E-9,I1010-J1010,0)</f>
        <v/>
      </c>
      <c r="L1010">
        <f>K1009*$G$52</f>
        <v/>
      </c>
      <c r="M1010">
        <f>IF(O1009&gt;0,MAX(0,O1009*(1+$G$53)-$H$53),0)</f>
        <v/>
      </c>
      <c r="N1010">
        <f>MAX(0,J1010-I1010)</f>
        <v/>
      </c>
      <c r="O1010">
        <f>IF(M1010-N1010&gt;1E-9,M1010-N1010,0)</f>
        <v/>
      </c>
      <c r="P1010">
        <f>O1009*$G$53</f>
        <v/>
      </c>
      <c r="Q1010">
        <f>IF(S1009&gt;0,MAX(0,S1009*(1+$G$54)-$H$54),0)</f>
        <v/>
      </c>
      <c r="R1010">
        <f>MAX(0,N1010-M1010)</f>
        <v/>
      </c>
      <c r="S1010">
        <f>IF(Q1010-R1010&gt;1E-9,Q1010-R1010,0)</f>
        <v/>
      </c>
      <c r="T1010">
        <f>S1009*$G$54</f>
        <v/>
      </c>
      <c r="U1010">
        <f>IF(W1009&gt;0,MAX(0,W1009*(1+$G$55)-$H$55),0)</f>
        <v/>
      </c>
      <c r="V1010">
        <f>MAX(0,R1010-Q1010)</f>
        <v/>
      </c>
      <c r="W1010">
        <f>IF(U1010-V1010&gt;1E-9,U1010-V1010,0)</f>
        <v/>
      </c>
      <c r="X1010">
        <f>W1009*$G$55</f>
        <v/>
      </c>
      <c r="Y1010">
        <f>IF(Y1009&gt;1E-9,IF(Y1009*(1+$G$51)-MAX($B$9,0.01*Y1009+Y1009*$G$51)&gt;1E-9,Y1009*(1+$G$51)-MAX($B$9,0.01*Y1009+Y1009*$G$51),0),0)</f>
        <v/>
      </c>
      <c r="Z1010">
        <f>Y1009*$G$51</f>
        <v/>
      </c>
      <c r="AA1010">
        <f>IF(AA1009&gt;1E-9,IF(AA1009*(1+$G$52)-MAX($B$9,0.01*AA1009+AA1009*$G$52)&gt;1E-9,AA1009*(1+$G$52)-MAX($B$9,0.01*AA1009+AA1009*$G$52),0),0)</f>
        <v/>
      </c>
      <c r="AB1010">
        <f>AA1009*$G$52</f>
        <v/>
      </c>
      <c r="AC1010">
        <f>IF(AC1009&gt;1E-9,IF(AC1009*(1+$G$53)-MAX($B$9,0.01*AC1009+AC1009*$G$53)&gt;1E-9,AC1009*(1+$G$53)-MAX($B$9,0.01*AC1009+AC1009*$G$53),0),0)</f>
        <v/>
      </c>
      <c r="AD1010">
        <f>AC1009*$G$53</f>
        <v/>
      </c>
      <c r="AE1010">
        <f>IF(AE1009&gt;1E-9,IF(AE1009*(1+$G$54)-MAX($B$9,0.01*AE1009+AE1009*$G$54)&gt;1E-9,AE1009*(1+$G$54)-MAX($B$9,0.01*AE1009+AE1009*$G$54),0),0)</f>
        <v/>
      </c>
      <c r="AF1010">
        <f>AE1009*$G$54</f>
        <v/>
      </c>
      <c r="AG1010">
        <f>IF(AG1009&gt;1E-9,IF(AG1009*(1+$G$55)-MAX($B$9,0.01*AG1009+AG1009*$G$55)&gt;1E-9,AG1009*(1+$G$55)-MAX($B$9,0.01*AG1009+AG1009*$G$55),0),0)</f>
        <v/>
      </c>
      <c r="AH1010">
        <f>AG1009*$G$55</f>
        <v/>
      </c>
      <c r="AI1010">
        <f>G1010+K1010+O1010+S1010+W1010</f>
        <v/>
      </c>
      <c r="AJ1010">
        <f>AI1009+AK1010-AI1010</f>
        <v/>
      </c>
      <c r="AK1010">
        <f>H1010+L1010+P1010+T1010+X1010</f>
        <v/>
      </c>
      <c r="AL1010">
        <f>TEXT(EDATE($B$5,D1010-1),"mmm yyyy")</f>
        <v/>
      </c>
      <c r="AM1010">
        <f>AI1010</f>
        <v/>
      </c>
    </row>
    <row r="1011">
      <c r="D1011" t="n">
        <v>950</v>
      </c>
      <c r="E1011">
        <f>IF(G1010&gt;0,MAX(0,G1010*(1+$G$51)-$H$51),0)</f>
        <v/>
      </c>
      <c r="F1011">
        <f>$B$6+IF($D1011=$B$8,$B$7,0)</f>
        <v/>
      </c>
      <c r="G1011">
        <f>IF(E1011-F1011&gt;1E-9,E1011-F1011,0)</f>
        <v/>
      </c>
      <c r="H1011">
        <f>G1010*$G$51</f>
        <v/>
      </c>
      <c r="I1011">
        <f>IF(K1010&gt;0,MAX(0,K1010*(1+$G$52)-$H$52),0)</f>
        <v/>
      </c>
      <c r="J1011">
        <f>MAX(0,F1011-E1011)</f>
        <v/>
      </c>
      <c r="K1011">
        <f>IF(I1011-J1011&gt;1E-9,I1011-J1011,0)</f>
        <v/>
      </c>
      <c r="L1011">
        <f>K1010*$G$52</f>
        <v/>
      </c>
      <c r="M1011">
        <f>IF(O1010&gt;0,MAX(0,O1010*(1+$G$53)-$H$53),0)</f>
        <v/>
      </c>
      <c r="N1011">
        <f>MAX(0,J1011-I1011)</f>
        <v/>
      </c>
      <c r="O1011">
        <f>IF(M1011-N1011&gt;1E-9,M1011-N1011,0)</f>
        <v/>
      </c>
      <c r="P1011">
        <f>O1010*$G$53</f>
        <v/>
      </c>
      <c r="Q1011">
        <f>IF(S1010&gt;0,MAX(0,S1010*(1+$G$54)-$H$54),0)</f>
        <v/>
      </c>
      <c r="R1011">
        <f>MAX(0,N1011-M1011)</f>
        <v/>
      </c>
      <c r="S1011">
        <f>IF(Q1011-R1011&gt;1E-9,Q1011-R1011,0)</f>
        <v/>
      </c>
      <c r="T1011">
        <f>S1010*$G$54</f>
        <v/>
      </c>
      <c r="U1011">
        <f>IF(W1010&gt;0,MAX(0,W1010*(1+$G$55)-$H$55),0)</f>
        <v/>
      </c>
      <c r="V1011">
        <f>MAX(0,R1011-Q1011)</f>
        <v/>
      </c>
      <c r="W1011">
        <f>IF(U1011-V1011&gt;1E-9,U1011-V1011,0)</f>
        <v/>
      </c>
      <c r="X1011">
        <f>W1010*$G$55</f>
        <v/>
      </c>
      <c r="Y1011">
        <f>IF(Y1010&gt;1E-9,IF(Y1010*(1+$G$51)-MAX($B$9,0.01*Y1010+Y1010*$G$51)&gt;1E-9,Y1010*(1+$G$51)-MAX($B$9,0.01*Y1010+Y1010*$G$51),0),0)</f>
        <v/>
      </c>
      <c r="Z1011">
        <f>Y1010*$G$51</f>
        <v/>
      </c>
      <c r="AA1011">
        <f>IF(AA1010&gt;1E-9,IF(AA1010*(1+$G$52)-MAX($B$9,0.01*AA1010+AA1010*$G$52)&gt;1E-9,AA1010*(1+$G$52)-MAX($B$9,0.01*AA1010+AA1010*$G$52),0),0)</f>
        <v/>
      </c>
      <c r="AB1011">
        <f>AA1010*$G$52</f>
        <v/>
      </c>
      <c r="AC1011">
        <f>IF(AC1010&gt;1E-9,IF(AC1010*(1+$G$53)-MAX($B$9,0.01*AC1010+AC1010*$G$53)&gt;1E-9,AC1010*(1+$G$53)-MAX($B$9,0.01*AC1010+AC1010*$G$53),0),0)</f>
        <v/>
      </c>
      <c r="AD1011">
        <f>AC1010*$G$53</f>
        <v/>
      </c>
      <c r="AE1011">
        <f>IF(AE1010&gt;1E-9,IF(AE1010*(1+$G$54)-MAX($B$9,0.01*AE1010+AE1010*$G$54)&gt;1E-9,AE1010*(1+$G$54)-MAX($B$9,0.01*AE1010+AE1010*$G$54),0),0)</f>
        <v/>
      </c>
      <c r="AF1011">
        <f>AE1010*$G$54</f>
        <v/>
      </c>
      <c r="AG1011">
        <f>IF(AG1010&gt;1E-9,IF(AG1010*(1+$G$55)-MAX($B$9,0.01*AG1010+AG1010*$G$55)&gt;1E-9,AG1010*(1+$G$55)-MAX($B$9,0.01*AG1010+AG1010*$G$55),0),0)</f>
        <v/>
      </c>
      <c r="AH1011">
        <f>AG1010*$G$55</f>
        <v/>
      </c>
      <c r="AI1011">
        <f>G1011+K1011+O1011+S1011+W1011</f>
        <v/>
      </c>
      <c r="AJ1011">
        <f>AI1010+AK1011-AI1011</f>
        <v/>
      </c>
      <c r="AK1011">
        <f>H1011+L1011+P1011+T1011+X1011</f>
        <v/>
      </c>
      <c r="AL1011">
        <f>TEXT(EDATE($B$5,D1011-1),"mmm yyyy")</f>
        <v/>
      </c>
      <c r="AM1011">
        <f>AI1011</f>
        <v/>
      </c>
    </row>
    <row r="1012">
      <c r="D1012" t="n">
        <v>951</v>
      </c>
      <c r="E1012">
        <f>IF(G1011&gt;0,MAX(0,G1011*(1+$G$51)-$H$51),0)</f>
        <v/>
      </c>
      <c r="F1012">
        <f>$B$6+IF($D1012=$B$8,$B$7,0)</f>
        <v/>
      </c>
      <c r="G1012">
        <f>IF(E1012-F1012&gt;1E-9,E1012-F1012,0)</f>
        <v/>
      </c>
      <c r="H1012">
        <f>G1011*$G$51</f>
        <v/>
      </c>
      <c r="I1012">
        <f>IF(K1011&gt;0,MAX(0,K1011*(1+$G$52)-$H$52),0)</f>
        <v/>
      </c>
      <c r="J1012">
        <f>MAX(0,F1012-E1012)</f>
        <v/>
      </c>
      <c r="K1012">
        <f>IF(I1012-J1012&gt;1E-9,I1012-J1012,0)</f>
        <v/>
      </c>
      <c r="L1012">
        <f>K1011*$G$52</f>
        <v/>
      </c>
      <c r="M1012">
        <f>IF(O1011&gt;0,MAX(0,O1011*(1+$G$53)-$H$53),0)</f>
        <v/>
      </c>
      <c r="N1012">
        <f>MAX(0,J1012-I1012)</f>
        <v/>
      </c>
      <c r="O1012">
        <f>IF(M1012-N1012&gt;1E-9,M1012-N1012,0)</f>
        <v/>
      </c>
      <c r="P1012">
        <f>O1011*$G$53</f>
        <v/>
      </c>
      <c r="Q1012">
        <f>IF(S1011&gt;0,MAX(0,S1011*(1+$G$54)-$H$54),0)</f>
        <v/>
      </c>
      <c r="R1012">
        <f>MAX(0,N1012-M1012)</f>
        <v/>
      </c>
      <c r="S1012">
        <f>IF(Q1012-R1012&gt;1E-9,Q1012-R1012,0)</f>
        <v/>
      </c>
      <c r="T1012">
        <f>S1011*$G$54</f>
        <v/>
      </c>
      <c r="U1012">
        <f>IF(W1011&gt;0,MAX(0,W1011*(1+$G$55)-$H$55),0)</f>
        <v/>
      </c>
      <c r="V1012">
        <f>MAX(0,R1012-Q1012)</f>
        <v/>
      </c>
      <c r="W1012">
        <f>IF(U1012-V1012&gt;1E-9,U1012-V1012,0)</f>
        <v/>
      </c>
      <c r="X1012">
        <f>W1011*$G$55</f>
        <v/>
      </c>
      <c r="Y1012">
        <f>IF(Y1011&gt;1E-9,IF(Y1011*(1+$G$51)-MAX($B$9,0.01*Y1011+Y1011*$G$51)&gt;1E-9,Y1011*(1+$G$51)-MAX($B$9,0.01*Y1011+Y1011*$G$51),0),0)</f>
        <v/>
      </c>
      <c r="Z1012">
        <f>Y1011*$G$51</f>
        <v/>
      </c>
      <c r="AA1012">
        <f>IF(AA1011&gt;1E-9,IF(AA1011*(1+$G$52)-MAX($B$9,0.01*AA1011+AA1011*$G$52)&gt;1E-9,AA1011*(1+$G$52)-MAX($B$9,0.01*AA1011+AA1011*$G$52),0),0)</f>
        <v/>
      </c>
      <c r="AB1012">
        <f>AA1011*$G$52</f>
        <v/>
      </c>
      <c r="AC1012">
        <f>IF(AC1011&gt;1E-9,IF(AC1011*(1+$G$53)-MAX($B$9,0.01*AC1011+AC1011*$G$53)&gt;1E-9,AC1011*(1+$G$53)-MAX($B$9,0.01*AC1011+AC1011*$G$53),0),0)</f>
        <v/>
      </c>
      <c r="AD1012">
        <f>AC1011*$G$53</f>
        <v/>
      </c>
      <c r="AE1012">
        <f>IF(AE1011&gt;1E-9,IF(AE1011*(1+$G$54)-MAX($B$9,0.01*AE1011+AE1011*$G$54)&gt;1E-9,AE1011*(1+$G$54)-MAX($B$9,0.01*AE1011+AE1011*$G$54),0),0)</f>
        <v/>
      </c>
      <c r="AF1012">
        <f>AE1011*$G$54</f>
        <v/>
      </c>
      <c r="AG1012">
        <f>IF(AG1011&gt;1E-9,IF(AG1011*(1+$G$55)-MAX($B$9,0.01*AG1011+AG1011*$G$55)&gt;1E-9,AG1011*(1+$G$55)-MAX($B$9,0.01*AG1011+AG1011*$G$55),0),0)</f>
        <v/>
      </c>
      <c r="AH1012">
        <f>AG1011*$G$55</f>
        <v/>
      </c>
      <c r="AI1012">
        <f>G1012+K1012+O1012+S1012+W1012</f>
        <v/>
      </c>
      <c r="AJ1012">
        <f>AI1011+AK1012-AI1012</f>
        <v/>
      </c>
      <c r="AK1012">
        <f>H1012+L1012+P1012+T1012+X1012</f>
        <v/>
      </c>
      <c r="AL1012">
        <f>TEXT(EDATE($B$5,D1012-1),"mmm yyyy")</f>
        <v/>
      </c>
      <c r="AM1012">
        <f>AI1012</f>
        <v/>
      </c>
    </row>
    <row r="1013">
      <c r="D1013" t="n">
        <v>952</v>
      </c>
      <c r="E1013">
        <f>IF(G1012&gt;0,MAX(0,G1012*(1+$G$51)-$H$51),0)</f>
        <v/>
      </c>
      <c r="F1013">
        <f>$B$6+IF($D1013=$B$8,$B$7,0)</f>
        <v/>
      </c>
      <c r="G1013">
        <f>IF(E1013-F1013&gt;1E-9,E1013-F1013,0)</f>
        <v/>
      </c>
      <c r="H1013">
        <f>G1012*$G$51</f>
        <v/>
      </c>
      <c r="I1013">
        <f>IF(K1012&gt;0,MAX(0,K1012*(1+$G$52)-$H$52),0)</f>
        <v/>
      </c>
      <c r="J1013">
        <f>MAX(0,F1013-E1013)</f>
        <v/>
      </c>
      <c r="K1013">
        <f>IF(I1013-J1013&gt;1E-9,I1013-J1013,0)</f>
        <v/>
      </c>
      <c r="L1013">
        <f>K1012*$G$52</f>
        <v/>
      </c>
      <c r="M1013">
        <f>IF(O1012&gt;0,MAX(0,O1012*(1+$G$53)-$H$53),0)</f>
        <v/>
      </c>
      <c r="N1013">
        <f>MAX(0,J1013-I1013)</f>
        <v/>
      </c>
      <c r="O1013">
        <f>IF(M1013-N1013&gt;1E-9,M1013-N1013,0)</f>
        <v/>
      </c>
      <c r="P1013">
        <f>O1012*$G$53</f>
        <v/>
      </c>
      <c r="Q1013">
        <f>IF(S1012&gt;0,MAX(0,S1012*(1+$G$54)-$H$54),0)</f>
        <v/>
      </c>
      <c r="R1013">
        <f>MAX(0,N1013-M1013)</f>
        <v/>
      </c>
      <c r="S1013">
        <f>IF(Q1013-R1013&gt;1E-9,Q1013-R1013,0)</f>
        <v/>
      </c>
      <c r="T1013">
        <f>S1012*$G$54</f>
        <v/>
      </c>
      <c r="U1013">
        <f>IF(W1012&gt;0,MAX(0,W1012*(1+$G$55)-$H$55),0)</f>
        <v/>
      </c>
      <c r="V1013">
        <f>MAX(0,R1013-Q1013)</f>
        <v/>
      </c>
      <c r="W1013">
        <f>IF(U1013-V1013&gt;1E-9,U1013-V1013,0)</f>
        <v/>
      </c>
      <c r="X1013">
        <f>W1012*$G$55</f>
        <v/>
      </c>
      <c r="Y1013">
        <f>IF(Y1012&gt;1E-9,IF(Y1012*(1+$G$51)-MAX($B$9,0.01*Y1012+Y1012*$G$51)&gt;1E-9,Y1012*(1+$G$51)-MAX($B$9,0.01*Y1012+Y1012*$G$51),0),0)</f>
        <v/>
      </c>
      <c r="Z1013">
        <f>Y1012*$G$51</f>
        <v/>
      </c>
      <c r="AA1013">
        <f>IF(AA1012&gt;1E-9,IF(AA1012*(1+$G$52)-MAX($B$9,0.01*AA1012+AA1012*$G$52)&gt;1E-9,AA1012*(1+$G$52)-MAX($B$9,0.01*AA1012+AA1012*$G$52),0),0)</f>
        <v/>
      </c>
      <c r="AB1013">
        <f>AA1012*$G$52</f>
        <v/>
      </c>
      <c r="AC1013">
        <f>IF(AC1012&gt;1E-9,IF(AC1012*(1+$G$53)-MAX($B$9,0.01*AC1012+AC1012*$G$53)&gt;1E-9,AC1012*(1+$G$53)-MAX($B$9,0.01*AC1012+AC1012*$G$53),0),0)</f>
        <v/>
      </c>
      <c r="AD1013">
        <f>AC1012*$G$53</f>
        <v/>
      </c>
      <c r="AE1013">
        <f>IF(AE1012&gt;1E-9,IF(AE1012*(1+$G$54)-MAX($B$9,0.01*AE1012+AE1012*$G$54)&gt;1E-9,AE1012*(1+$G$54)-MAX($B$9,0.01*AE1012+AE1012*$G$54),0),0)</f>
        <v/>
      </c>
      <c r="AF1013">
        <f>AE1012*$G$54</f>
        <v/>
      </c>
      <c r="AG1013">
        <f>IF(AG1012&gt;1E-9,IF(AG1012*(1+$G$55)-MAX($B$9,0.01*AG1012+AG1012*$G$55)&gt;1E-9,AG1012*(1+$G$55)-MAX($B$9,0.01*AG1012+AG1012*$G$55),0),0)</f>
        <v/>
      </c>
      <c r="AH1013">
        <f>AG1012*$G$55</f>
        <v/>
      </c>
      <c r="AI1013">
        <f>G1013+K1013+O1013+S1013+W1013</f>
        <v/>
      </c>
      <c r="AJ1013">
        <f>AI1012+AK1013-AI1013</f>
        <v/>
      </c>
      <c r="AK1013">
        <f>H1013+L1013+P1013+T1013+X1013</f>
        <v/>
      </c>
      <c r="AL1013">
        <f>TEXT(EDATE($B$5,D1013-1),"mmm yyyy")</f>
        <v/>
      </c>
      <c r="AM1013">
        <f>AI1013</f>
        <v/>
      </c>
    </row>
    <row r="1014">
      <c r="D1014" t="n">
        <v>953</v>
      </c>
      <c r="E1014">
        <f>IF(G1013&gt;0,MAX(0,G1013*(1+$G$51)-$H$51),0)</f>
        <v/>
      </c>
      <c r="F1014">
        <f>$B$6+IF($D1014=$B$8,$B$7,0)</f>
        <v/>
      </c>
      <c r="G1014">
        <f>IF(E1014-F1014&gt;1E-9,E1014-F1014,0)</f>
        <v/>
      </c>
      <c r="H1014">
        <f>G1013*$G$51</f>
        <v/>
      </c>
      <c r="I1014">
        <f>IF(K1013&gt;0,MAX(0,K1013*(1+$G$52)-$H$52),0)</f>
        <v/>
      </c>
      <c r="J1014">
        <f>MAX(0,F1014-E1014)</f>
        <v/>
      </c>
      <c r="K1014">
        <f>IF(I1014-J1014&gt;1E-9,I1014-J1014,0)</f>
        <v/>
      </c>
      <c r="L1014">
        <f>K1013*$G$52</f>
        <v/>
      </c>
      <c r="M1014">
        <f>IF(O1013&gt;0,MAX(0,O1013*(1+$G$53)-$H$53),0)</f>
        <v/>
      </c>
      <c r="N1014">
        <f>MAX(0,J1014-I1014)</f>
        <v/>
      </c>
      <c r="O1014">
        <f>IF(M1014-N1014&gt;1E-9,M1014-N1014,0)</f>
        <v/>
      </c>
      <c r="P1014">
        <f>O1013*$G$53</f>
        <v/>
      </c>
      <c r="Q1014">
        <f>IF(S1013&gt;0,MAX(0,S1013*(1+$G$54)-$H$54),0)</f>
        <v/>
      </c>
      <c r="R1014">
        <f>MAX(0,N1014-M1014)</f>
        <v/>
      </c>
      <c r="S1014">
        <f>IF(Q1014-R1014&gt;1E-9,Q1014-R1014,0)</f>
        <v/>
      </c>
      <c r="T1014">
        <f>S1013*$G$54</f>
        <v/>
      </c>
      <c r="U1014">
        <f>IF(W1013&gt;0,MAX(0,W1013*(1+$G$55)-$H$55),0)</f>
        <v/>
      </c>
      <c r="V1014">
        <f>MAX(0,R1014-Q1014)</f>
        <v/>
      </c>
      <c r="W1014">
        <f>IF(U1014-V1014&gt;1E-9,U1014-V1014,0)</f>
        <v/>
      </c>
      <c r="X1014">
        <f>W1013*$G$55</f>
        <v/>
      </c>
      <c r="Y1014">
        <f>IF(Y1013&gt;1E-9,IF(Y1013*(1+$G$51)-MAX($B$9,0.01*Y1013+Y1013*$G$51)&gt;1E-9,Y1013*(1+$G$51)-MAX($B$9,0.01*Y1013+Y1013*$G$51),0),0)</f>
        <v/>
      </c>
      <c r="Z1014">
        <f>Y1013*$G$51</f>
        <v/>
      </c>
      <c r="AA1014">
        <f>IF(AA1013&gt;1E-9,IF(AA1013*(1+$G$52)-MAX($B$9,0.01*AA1013+AA1013*$G$52)&gt;1E-9,AA1013*(1+$G$52)-MAX($B$9,0.01*AA1013+AA1013*$G$52),0),0)</f>
        <v/>
      </c>
      <c r="AB1014">
        <f>AA1013*$G$52</f>
        <v/>
      </c>
      <c r="AC1014">
        <f>IF(AC1013&gt;1E-9,IF(AC1013*(1+$G$53)-MAX($B$9,0.01*AC1013+AC1013*$G$53)&gt;1E-9,AC1013*(1+$G$53)-MAX($B$9,0.01*AC1013+AC1013*$G$53),0),0)</f>
        <v/>
      </c>
      <c r="AD1014">
        <f>AC1013*$G$53</f>
        <v/>
      </c>
      <c r="AE1014">
        <f>IF(AE1013&gt;1E-9,IF(AE1013*(1+$G$54)-MAX($B$9,0.01*AE1013+AE1013*$G$54)&gt;1E-9,AE1013*(1+$G$54)-MAX($B$9,0.01*AE1013+AE1013*$G$54),0),0)</f>
        <v/>
      </c>
      <c r="AF1014">
        <f>AE1013*$G$54</f>
        <v/>
      </c>
      <c r="AG1014">
        <f>IF(AG1013&gt;1E-9,IF(AG1013*(1+$G$55)-MAX($B$9,0.01*AG1013+AG1013*$G$55)&gt;1E-9,AG1013*(1+$G$55)-MAX($B$9,0.01*AG1013+AG1013*$G$55),0),0)</f>
        <v/>
      </c>
      <c r="AH1014">
        <f>AG1013*$G$55</f>
        <v/>
      </c>
      <c r="AI1014">
        <f>G1014+K1014+O1014+S1014+W1014</f>
        <v/>
      </c>
      <c r="AJ1014">
        <f>AI1013+AK1014-AI1014</f>
        <v/>
      </c>
      <c r="AK1014">
        <f>H1014+L1014+P1014+T1014+X1014</f>
        <v/>
      </c>
      <c r="AL1014">
        <f>TEXT(EDATE($B$5,D1014-1),"mmm yyyy")</f>
        <v/>
      </c>
      <c r="AM1014">
        <f>AI1014</f>
        <v/>
      </c>
    </row>
    <row r="1015">
      <c r="D1015" t="n">
        <v>954</v>
      </c>
      <c r="E1015">
        <f>IF(G1014&gt;0,MAX(0,G1014*(1+$G$51)-$H$51),0)</f>
        <v/>
      </c>
      <c r="F1015">
        <f>$B$6+IF($D1015=$B$8,$B$7,0)</f>
        <v/>
      </c>
      <c r="G1015">
        <f>IF(E1015-F1015&gt;1E-9,E1015-F1015,0)</f>
        <v/>
      </c>
      <c r="H1015">
        <f>G1014*$G$51</f>
        <v/>
      </c>
      <c r="I1015">
        <f>IF(K1014&gt;0,MAX(0,K1014*(1+$G$52)-$H$52),0)</f>
        <v/>
      </c>
      <c r="J1015">
        <f>MAX(0,F1015-E1015)</f>
        <v/>
      </c>
      <c r="K1015">
        <f>IF(I1015-J1015&gt;1E-9,I1015-J1015,0)</f>
        <v/>
      </c>
      <c r="L1015">
        <f>K1014*$G$52</f>
        <v/>
      </c>
      <c r="M1015">
        <f>IF(O1014&gt;0,MAX(0,O1014*(1+$G$53)-$H$53),0)</f>
        <v/>
      </c>
      <c r="N1015">
        <f>MAX(0,J1015-I1015)</f>
        <v/>
      </c>
      <c r="O1015">
        <f>IF(M1015-N1015&gt;1E-9,M1015-N1015,0)</f>
        <v/>
      </c>
      <c r="P1015">
        <f>O1014*$G$53</f>
        <v/>
      </c>
      <c r="Q1015">
        <f>IF(S1014&gt;0,MAX(0,S1014*(1+$G$54)-$H$54),0)</f>
        <v/>
      </c>
      <c r="R1015">
        <f>MAX(0,N1015-M1015)</f>
        <v/>
      </c>
      <c r="S1015">
        <f>IF(Q1015-R1015&gt;1E-9,Q1015-R1015,0)</f>
        <v/>
      </c>
      <c r="T1015">
        <f>S1014*$G$54</f>
        <v/>
      </c>
      <c r="U1015">
        <f>IF(W1014&gt;0,MAX(0,W1014*(1+$G$55)-$H$55),0)</f>
        <v/>
      </c>
      <c r="V1015">
        <f>MAX(0,R1015-Q1015)</f>
        <v/>
      </c>
      <c r="W1015">
        <f>IF(U1015-V1015&gt;1E-9,U1015-V1015,0)</f>
        <v/>
      </c>
      <c r="X1015">
        <f>W1014*$G$55</f>
        <v/>
      </c>
      <c r="Y1015">
        <f>IF(Y1014&gt;1E-9,IF(Y1014*(1+$G$51)-MAX($B$9,0.01*Y1014+Y1014*$G$51)&gt;1E-9,Y1014*(1+$G$51)-MAX($B$9,0.01*Y1014+Y1014*$G$51),0),0)</f>
        <v/>
      </c>
      <c r="Z1015">
        <f>Y1014*$G$51</f>
        <v/>
      </c>
      <c r="AA1015">
        <f>IF(AA1014&gt;1E-9,IF(AA1014*(1+$G$52)-MAX($B$9,0.01*AA1014+AA1014*$G$52)&gt;1E-9,AA1014*(1+$G$52)-MAX($B$9,0.01*AA1014+AA1014*$G$52),0),0)</f>
        <v/>
      </c>
      <c r="AB1015">
        <f>AA1014*$G$52</f>
        <v/>
      </c>
      <c r="AC1015">
        <f>IF(AC1014&gt;1E-9,IF(AC1014*(1+$G$53)-MAX($B$9,0.01*AC1014+AC1014*$G$53)&gt;1E-9,AC1014*(1+$G$53)-MAX($B$9,0.01*AC1014+AC1014*$G$53),0),0)</f>
        <v/>
      </c>
      <c r="AD1015">
        <f>AC1014*$G$53</f>
        <v/>
      </c>
      <c r="AE1015">
        <f>IF(AE1014&gt;1E-9,IF(AE1014*(1+$G$54)-MAX($B$9,0.01*AE1014+AE1014*$G$54)&gt;1E-9,AE1014*(1+$G$54)-MAX($B$9,0.01*AE1014+AE1014*$G$54),0),0)</f>
        <v/>
      </c>
      <c r="AF1015">
        <f>AE1014*$G$54</f>
        <v/>
      </c>
      <c r="AG1015">
        <f>IF(AG1014&gt;1E-9,IF(AG1014*(1+$G$55)-MAX($B$9,0.01*AG1014+AG1014*$G$55)&gt;1E-9,AG1014*(1+$G$55)-MAX($B$9,0.01*AG1014+AG1014*$G$55),0),0)</f>
        <v/>
      </c>
      <c r="AH1015">
        <f>AG1014*$G$55</f>
        <v/>
      </c>
      <c r="AI1015">
        <f>G1015+K1015+O1015+S1015+W1015</f>
        <v/>
      </c>
      <c r="AJ1015">
        <f>AI1014+AK1015-AI1015</f>
        <v/>
      </c>
      <c r="AK1015">
        <f>H1015+L1015+P1015+T1015+X1015</f>
        <v/>
      </c>
      <c r="AL1015">
        <f>TEXT(EDATE($B$5,D1015-1),"mmm yyyy")</f>
        <v/>
      </c>
      <c r="AM1015">
        <f>AI1015</f>
        <v/>
      </c>
    </row>
    <row r="1016">
      <c r="D1016" t="n">
        <v>955</v>
      </c>
      <c r="E1016">
        <f>IF(G1015&gt;0,MAX(0,G1015*(1+$G$51)-$H$51),0)</f>
        <v/>
      </c>
      <c r="F1016">
        <f>$B$6+IF($D1016=$B$8,$B$7,0)</f>
        <v/>
      </c>
      <c r="G1016">
        <f>IF(E1016-F1016&gt;1E-9,E1016-F1016,0)</f>
        <v/>
      </c>
      <c r="H1016">
        <f>G1015*$G$51</f>
        <v/>
      </c>
      <c r="I1016">
        <f>IF(K1015&gt;0,MAX(0,K1015*(1+$G$52)-$H$52),0)</f>
        <v/>
      </c>
      <c r="J1016">
        <f>MAX(0,F1016-E1016)</f>
        <v/>
      </c>
      <c r="K1016">
        <f>IF(I1016-J1016&gt;1E-9,I1016-J1016,0)</f>
        <v/>
      </c>
      <c r="L1016">
        <f>K1015*$G$52</f>
        <v/>
      </c>
      <c r="M1016">
        <f>IF(O1015&gt;0,MAX(0,O1015*(1+$G$53)-$H$53),0)</f>
        <v/>
      </c>
      <c r="N1016">
        <f>MAX(0,J1016-I1016)</f>
        <v/>
      </c>
      <c r="O1016">
        <f>IF(M1016-N1016&gt;1E-9,M1016-N1016,0)</f>
        <v/>
      </c>
      <c r="P1016">
        <f>O1015*$G$53</f>
        <v/>
      </c>
      <c r="Q1016">
        <f>IF(S1015&gt;0,MAX(0,S1015*(1+$G$54)-$H$54),0)</f>
        <v/>
      </c>
      <c r="R1016">
        <f>MAX(0,N1016-M1016)</f>
        <v/>
      </c>
      <c r="S1016">
        <f>IF(Q1016-R1016&gt;1E-9,Q1016-R1016,0)</f>
        <v/>
      </c>
      <c r="T1016">
        <f>S1015*$G$54</f>
        <v/>
      </c>
      <c r="U1016">
        <f>IF(W1015&gt;0,MAX(0,W1015*(1+$G$55)-$H$55),0)</f>
        <v/>
      </c>
      <c r="V1016">
        <f>MAX(0,R1016-Q1016)</f>
        <v/>
      </c>
      <c r="W1016">
        <f>IF(U1016-V1016&gt;1E-9,U1016-V1016,0)</f>
        <v/>
      </c>
      <c r="X1016">
        <f>W1015*$G$55</f>
        <v/>
      </c>
      <c r="Y1016">
        <f>IF(Y1015&gt;1E-9,IF(Y1015*(1+$G$51)-MAX($B$9,0.01*Y1015+Y1015*$G$51)&gt;1E-9,Y1015*(1+$G$51)-MAX($B$9,0.01*Y1015+Y1015*$G$51),0),0)</f>
        <v/>
      </c>
      <c r="Z1016">
        <f>Y1015*$G$51</f>
        <v/>
      </c>
      <c r="AA1016">
        <f>IF(AA1015&gt;1E-9,IF(AA1015*(1+$G$52)-MAX($B$9,0.01*AA1015+AA1015*$G$52)&gt;1E-9,AA1015*(1+$G$52)-MAX($B$9,0.01*AA1015+AA1015*$G$52),0),0)</f>
        <v/>
      </c>
      <c r="AB1016">
        <f>AA1015*$G$52</f>
        <v/>
      </c>
      <c r="AC1016">
        <f>IF(AC1015&gt;1E-9,IF(AC1015*(1+$G$53)-MAX($B$9,0.01*AC1015+AC1015*$G$53)&gt;1E-9,AC1015*(1+$G$53)-MAX($B$9,0.01*AC1015+AC1015*$G$53),0),0)</f>
        <v/>
      </c>
      <c r="AD1016">
        <f>AC1015*$G$53</f>
        <v/>
      </c>
      <c r="AE1016">
        <f>IF(AE1015&gt;1E-9,IF(AE1015*(1+$G$54)-MAX($B$9,0.01*AE1015+AE1015*$G$54)&gt;1E-9,AE1015*(1+$G$54)-MAX($B$9,0.01*AE1015+AE1015*$G$54),0),0)</f>
        <v/>
      </c>
      <c r="AF1016">
        <f>AE1015*$G$54</f>
        <v/>
      </c>
      <c r="AG1016">
        <f>IF(AG1015&gt;1E-9,IF(AG1015*(1+$G$55)-MAX($B$9,0.01*AG1015+AG1015*$G$55)&gt;1E-9,AG1015*(1+$G$55)-MAX($B$9,0.01*AG1015+AG1015*$G$55),0),0)</f>
        <v/>
      </c>
      <c r="AH1016">
        <f>AG1015*$G$55</f>
        <v/>
      </c>
      <c r="AI1016">
        <f>G1016+K1016+O1016+S1016+W1016</f>
        <v/>
      </c>
      <c r="AJ1016">
        <f>AI1015+AK1016-AI1016</f>
        <v/>
      </c>
      <c r="AK1016">
        <f>H1016+L1016+P1016+T1016+X1016</f>
        <v/>
      </c>
      <c r="AL1016">
        <f>TEXT(EDATE($B$5,D1016-1),"mmm yyyy")</f>
        <v/>
      </c>
      <c r="AM1016">
        <f>AI1016</f>
        <v/>
      </c>
    </row>
    <row r="1017">
      <c r="D1017" t="n">
        <v>956</v>
      </c>
      <c r="E1017">
        <f>IF(G1016&gt;0,MAX(0,G1016*(1+$G$51)-$H$51),0)</f>
        <v/>
      </c>
      <c r="F1017">
        <f>$B$6+IF($D1017=$B$8,$B$7,0)</f>
        <v/>
      </c>
      <c r="G1017">
        <f>IF(E1017-F1017&gt;1E-9,E1017-F1017,0)</f>
        <v/>
      </c>
      <c r="H1017">
        <f>G1016*$G$51</f>
        <v/>
      </c>
      <c r="I1017">
        <f>IF(K1016&gt;0,MAX(0,K1016*(1+$G$52)-$H$52),0)</f>
        <v/>
      </c>
      <c r="J1017">
        <f>MAX(0,F1017-E1017)</f>
        <v/>
      </c>
      <c r="K1017">
        <f>IF(I1017-J1017&gt;1E-9,I1017-J1017,0)</f>
        <v/>
      </c>
      <c r="L1017">
        <f>K1016*$G$52</f>
        <v/>
      </c>
      <c r="M1017">
        <f>IF(O1016&gt;0,MAX(0,O1016*(1+$G$53)-$H$53),0)</f>
        <v/>
      </c>
      <c r="N1017">
        <f>MAX(0,J1017-I1017)</f>
        <v/>
      </c>
      <c r="O1017">
        <f>IF(M1017-N1017&gt;1E-9,M1017-N1017,0)</f>
        <v/>
      </c>
      <c r="P1017">
        <f>O1016*$G$53</f>
        <v/>
      </c>
      <c r="Q1017">
        <f>IF(S1016&gt;0,MAX(0,S1016*(1+$G$54)-$H$54),0)</f>
        <v/>
      </c>
      <c r="R1017">
        <f>MAX(0,N1017-M1017)</f>
        <v/>
      </c>
      <c r="S1017">
        <f>IF(Q1017-R1017&gt;1E-9,Q1017-R1017,0)</f>
        <v/>
      </c>
      <c r="T1017">
        <f>S1016*$G$54</f>
        <v/>
      </c>
      <c r="U1017">
        <f>IF(W1016&gt;0,MAX(0,W1016*(1+$G$55)-$H$55),0)</f>
        <v/>
      </c>
      <c r="V1017">
        <f>MAX(0,R1017-Q1017)</f>
        <v/>
      </c>
      <c r="W1017">
        <f>IF(U1017-V1017&gt;1E-9,U1017-V1017,0)</f>
        <v/>
      </c>
      <c r="X1017">
        <f>W1016*$G$55</f>
        <v/>
      </c>
      <c r="Y1017">
        <f>IF(Y1016&gt;1E-9,IF(Y1016*(1+$G$51)-MAX($B$9,0.01*Y1016+Y1016*$G$51)&gt;1E-9,Y1016*(1+$G$51)-MAX($B$9,0.01*Y1016+Y1016*$G$51),0),0)</f>
        <v/>
      </c>
      <c r="Z1017">
        <f>Y1016*$G$51</f>
        <v/>
      </c>
      <c r="AA1017">
        <f>IF(AA1016&gt;1E-9,IF(AA1016*(1+$G$52)-MAX($B$9,0.01*AA1016+AA1016*$G$52)&gt;1E-9,AA1016*(1+$G$52)-MAX($B$9,0.01*AA1016+AA1016*$G$52),0),0)</f>
        <v/>
      </c>
      <c r="AB1017">
        <f>AA1016*$G$52</f>
        <v/>
      </c>
      <c r="AC1017">
        <f>IF(AC1016&gt;1E-9,IF(AC1016*(1+$G$53)-MAX($B$9,0.01*AC1016+AC1016*$G$53)&gt;1E-9,AC1016*(1+$G$53)-MAX($B$9,0.01*AC1016+AC1016*$G$53),0),0)</f>
        <v/>
      </c>
      <c r="AD1017">
        <f>AC1016*$G$53</f>
        <v/>
      </c>
      <c r="AE1017">
        <f>IF(AE1016&gt;1E-9,IF(AE1016*(1+$G$54)-MAX($B$9,0.01*AE1016+AE1016*$G$54)&gt;1E-9,AE1016*(1+$G$54)-MAX($B$9,0.01*AE1016+AE1016*$G$54),0),0)</f>
        <v/>
      </c>
      <c r="AF1017">
        <f>AE1016*$G$54</f>
        <v/>
      </c>
      <c r="AG1017">
        <f>IF(AG1016&gt;1E-9,IF(AG1016*(1+$G$55)-MAX($B$9,0.01*AG1016+AG1016*$G$55)&gt;1E-9,AG1016*(1+$G$55)-MAX($B$9,0.01*AG1016+AG1016*$G$55),0),0)</f>
        <v/>
      </c>
      <c r="AH1017">
        <f>AG1016*$G$55</f>
        <v/>
      </c>
      <c r="AI1017">
        <f>G1017+K1017+O1017+S1017+W1017</f>
        <v/>
      </c>
      <c r="AJ1017">
        <f>AI1016+AK1017-AI1017</f>
        <v/>
      </c>
      <c r="AK1017">
        <f>H1017+L1017+P1017+T1017+X1017</f>
        <v/>
      </c>
      <c r="AL1017">
        <f>TEXT(EDATE($B$5,D1017-1),"mmm yyyy")</f>
        <v/>
      </c>
      <c r="AM1017">
        <f>AI1017</f>
        <v/>
      </c>
    </row>
    <row r="1018">
      <c r="D1018" t="n">
        <v>957</v>
      </c>
      <c r="E1018">
        <f>IF(G1017&gt;0,MAX(0,G1017*(1+$G$51)-$H$51),0)</f>
        <v/>
      </c>
      <c r="F1018">
        <f>$B$6+IF($D1018=$B$8,$B$7,0)</f>
        <v/>
      </c>
      <c r="G1018">
        <f>IF(E1018-F1018&gt;1E-9,E1018-F1018,0)</f>
        <v/>
      </c>
      <c r="H1018">
        <f>G1017*$G$51</f>
        <v/>
      </c>
      <c r="I1018">
        <f>IF(K1017&gt;0,MAX(0,K1017*(1+$G$52)-$H$52),0)</f>
        <v/>
      </c>
      <c r="J1018">
        <f>MAX(0,F1018-E1018)</f>
        <v/>
      </c>
      <c r="K1018">
        <f>IF(I1018-J1018&gt;1E-9,I1018-J1018,0)</f>
        <v/>
      </c>
      <c r="L1018">
        <f>K1017*$G$52</f>
        <v/>
      </c>
      <c r="M1018">
        <f>IF(O1017&gt;0,MAX(0,O1017*(1+$G$53)-$H$53),0)</f>
        <v/>
      </c>
      <c r="N1018">
        <f>MAX(0,J1018-I1018)</f>
        <v/>
      </c>
      <c r="O1018">
        <f>IF(M1018-N1018&gt;1E-9,M1018-N1018,0)</f>
        <v/>
      </c>
      <c r="P1018">
        <f>O1017*$G$53</f>
        <v/>
      </c>
      <c r="Q1018">
        <f>IF(S1017&gt;0,MAX(0,S1017*(1+$G$54)-$H$54),0)</f>
        <v/>
      </c>
      <c r="R1018">
        <f>MAX(0,N1018-M1018)</f>
        <v/>
      </c>
      <c r="S1018">
        <f>IF(Q1018-R1018&gt;1E-9,Q1018-R1018,0)</f>
        <v/>
      </c>
      <c r="T1018">
        <f>S1017*$G$54</f>
        <v/>
      </c>
      <c r="U1018">
        <f>IF(W1017&gt;0,MAX(0,W1017*(1+$G$55)-$H$55),0)</f>
        <v/>
      </c>
      <c r="V1018">
        <f>MAX(0,R1018-Q1018)</f>
        <v/>
      </c>
      <c r="W1018">
        <f>IF(U1018-V1018&gt;1E-9,U1018-V1018,0)</f>
        <v/>
      </c>
      <c r="X1018">
        <f>W1017*$G$55</f>
        <v/>
      </c>
      <c r="Y1018">
        <f>IF(Y1017&gt;1E-9,IF(Y1017*(1+$G$51)-MAX($B$9,0.01*Y1017+Y1017*$G$51)&gt;1E-9,Y1017*(1+$G$51)-MAX($B$9,0.01*Y1017+Y1017*$G$51),0),0)</f>
        <v/>
      </c>
      <c r="Z1018">
        <f>Y1017*$G$51</f>
        <v/>
      </c>
      <c r="AA1018">
        <f>IF(AA1017&gt;1E-9,IF(AA1017*(1+$G$52)-MAX($B$9,0.01*AA1017+AA1017*$G$52)&gt;1E-9,AA1017*(1+$G$52)-MAX($B$9,0.01*AA1017+AA1017*$G$52),0),0)</f>
        <v/>
      </c>
      <c r="AB1018">
        <f>AA1017*$G$52</f>
        <v/>
      </c>
      <c r="AC1018">
        <f>IF(AC1017&gt;1E-9,IF(AC1017*(1+$G$53)-MAX($B$9,0.01*AC1017+AC1017*$G$53)&gt;1E-9,AC1017*(1+$G$53)-MAX($B$9,0.01*AC1017+AC1017*$G$53),0),0)</f>
        <v/>
      </c>
      <c r="AD1018">
        <f>AC1017*$G$53</f>
        <v/>
      </c>
      <c r="AE1018">
        <f>IF(AE1017&gt;1E-9,IF(AE1017*(1+$G$54)-MAX($B$9,0.01*AE1017+AE1017*$G$54)&gt;1E-9,AE1017*(1+$G$54)-MAX($B$9,0.01*AE1017+AE1017*$G$54),0),0)</f>
        <v/>
      </c>
      <c r="AF1018">
        <f>AE1017*$G$54</f>
        <v/>
      </c>
      <c r="AG1018">
        <f>IF(AG1017&gt;1E-9,IF(AG1017*(1+$G$55)-MAX($B$9,0.01*AG1017+AG1017*$G$55)&gt;1E-9,AG1017*(1+$G$55)-MAX($B$9,0.01*AG1017+AG1017*$G$55),0),0)</f>
        <v/>
      </c>
      <c r="AH1018">
        <f>AG1017*$G$55</f>
        <v/>
      </c>
      <c r="AI1018">
        <f>G1018+K1018+O1018+S1018+W1018</f>
        <v/>
      </c>
      <c r="AJ1018">
        <f>AI1017+AK1018-AI1018</f>
        <v/>
      </c>
      <c r="AK1018">
        <f>H1018+L1018+P1018+T1018+X1018</f>
        <v/>
      </c>
      <c r="AL1018">
        <f>TEXT(EDATE($B$5,D1018-1),"mmm yyyy")</f>
        <v/>
      </c>
      <c r="AM1018">
        <f>AI1018</f>
        <v/>
      </c>
    </row>
    <row r="1019">
      <c r="D1019" t="n">
        <v>958</v>
      </c>
      <c r="E1019">
        <f>IF(G1018&gt;0,MAX(0,G1018*(1+$G$51)-$H$51),0)</f>
        <v/>
      </c>
      <c r="F1019">
        <f>$B$6+IF($D1019=$B$8,$B$7,0)</f>
        <v/>
      </c>
      <c r="G1019">
        <f>IF(E1019-F1019&gt;1E-9,E1019-F1019,0)</f>
        <v/>
      </c>
      <c r="H1019">
        <f>G1018*$G$51</f>
        <v/>
      </c>
      <c r="I1019">
        <f>IF(K1018&gt;0,MAX(0,K1018*(1+$G$52)-$H$52),0)</f>
        <v/>
      </c>
      <c r="J1019">
        <f>MAX(0,F1019-E1019)</f>
        <v/>
      </c>
      <c r="K1019">
        <f>IF(I1019-J1019&gt;1E-9,I1019-J1019,0)</f>
        <v/>
      </c>
      <c r="L1019">
        <f>K1018*$G$52</f>
        <v/>
      </c>
      <c r="M1019">
        <f>IF(O1018&gt;0,MAX(0,O1018*(1+$G$53)-$H$53),0)</f>
        <v/>
      </c>
      <c r="N1019">
        <f>MAX(0,J1019-I1019)</f>
        <v/>
      </c>
      <c r="O1019">
        <f>IF(M1019-N1019&gt;1E-9,M1019-N1019,0)</f>
        <v/>
      </c>
      <c r="P1019">
        <f>O1018*$G$53</f>
        <v/>
      </c>
      <c r="Q1019">
        <f>IF(S1018&gt;0,MAX(0,S1018*(1+$G$54)-$H$54),0)</f>
        <v/>
      </c>
      <c r="R1019">
        <f>MAX(0,N1019-M1019)</f>
        <v/>
      </c>
      <c r="S1019">
        <f>IF(Q1019-R1019&gt;1E-9,Q1019-R1019,0)</f>
        <v/>
      </c>
      <c r="T1019">
        <f>S1018*$G$54</f>
        <v/>
      </c>
      <c r="U1019">
        <f>IF(W1018&gt;0,MAX(0,W1018*(1+$G$55)-$H$55),0)</f>
        <v/>
      </c>
      <c r="V1019">
        <f>MAX(0,R1019-Q1019)</f>
        <v/>
      </c>
      <c r="W1019">
        <f>IF(U1019-V1019&gt;1E-9,U1019-V1019,0)</f>
        <v/>
      </c>
      <c r="X1019">
        <f>W1018*$G$55</f>
        <v/>
      </c>
      <c r="Y1019">
        <f>IF(Y1018&gt;1E-9,IF(Y1018*(1+$G$51)-MAX($B$9,0.01*Y1018+Y1018*$G$51)&gt;1E-9,Y1018*(1+$G$51)-MAX($B$9,0.01*Y1018+Y1018*$G$51),0),0)</f>
        <v/>
      </c>
      <c r="Z1019">
        <f>Y1018*$G$51</f>
        <v/>
      </c>
      <c r="AA1019">
        <f>IF(AA1018&gt;1E-9,IF(AA1018*(1+$G$52)-MAX($B$9,0.01*AA1018+AA1018*$G$52)&gt;1E-9,AA1018*(1+$G$52)-MAX($B$9,0.01*AA1018+AA1018*$G$52),0),0)</f>
        <v/>
      </c>
      <c r="AB1019">
        <f>AA1018*$G$52</f>
        <v/>
      </c>
      <c r="AC1019">
        <f>IF(AC1018&gt;1E-9,IF(AC1018*(1+$G$53)-MAX($B$9,0.01*AC1018+AC1018*$G$53)&gt;1E-9,AC1018*(1+$G$53)-MAX($B$9,0.01*AC1018+AC1018*$G$53),0),0)</f>
        <v/>
      </c>
      <c r="AD1019">
        <f>AC1018*$G$53</f>
        <v/>
      </c>
      <c r="AE1019">
        <f>IF(AE1018&gt;1E-9,IF(AE1018*(1+$G$54)-MAX($B$9,0.01*AE1018+AE1018*$G$54)&gt;1E-9,AE1018*(1+$G$54)-MAX($B$9,0.01*AE1018+AE1018*$G$54),0),0)</f>
        <v/>
      </c>
      <c r="AF1019">
        <f>AE1018*$G$54</f>
        <v/>
      </c>
      <c r="AG1019">
        <f>IF(AG1018&gt;1E-9,IF(AG1018*(1+$G$55)-MAX($B$9,0.01*AG1018+AG1018*$G$55)&gt;1E-9,AG1018*(1+$G$55)-MAX($B$9,0.01*AG1018+AG1018*$G$55),0),0)</f>
        <v/>
      </c>
      <c r="AH1019">
        <f>AG1018*$G$55</f>
        <v/>
      </c>
      <c r="AI1019">
        <f>G1019+K1019+O1019+S1019+W1019</f>
        <v/>
      </c>
      <c r="AJ1019">
        <f>AI1018+AK1019-AI1019</f>
        <v/>
      </c>
      <c r="AK1019">
        <f>H1019+L1019+P1019+T1019+X1019</f>
        <v/>
      </c>
      <c r="AL1019">
        <f>TEXT(EDATE($B$5,D1019-1),"mmm yyyy")</f>
        <v/>
      </c>
      <c r="AM1019">
        <f>AI1019</f>
        <v/>
      </c>
    </row>
    <row r="1020">
      <c r="D1020" t="n">
        <v>959</v>
      </c>
      <c r="E1020">
        <f>IF(G1019&gt;0,MAX(0,G1019*(1+$G$51)-$H$51),0)</f>
        <v/>
      </c>
      <c r="F1020">
        <f>$B$6+IF($D1020=$B$8,$B$7,0)</f>
        <v/>
      </c>
      <c r="G1020">
        <f>IF(E1020-F1020&gt;1E-9,E1020-F1020,0)</f>
        <v/>
      </c>
      <c r="H1020">
        <f>G1019*$G$51</f>
        <v/>
      </c>
      <c r="I1020">
        <f>IF(K1019&gt;0,MAX(0,K1019*(1+$G$52)-$H$52),0)</f>
        <v/>
      </c>
      <c r="J1020">
        <f>MAX(0,F1020-E1020)</f>
        <v/>
      </c>
      <c r="K1020">
        <f>IF(I1020-J1020&gt;1E-9,I1020-J1020,0)</f>
        <v/>
      </c>
      <c r="L1020">
        <f>K1019*$G$52</f>
        <v/>
      </c>
      <c r="M1020">
        <f>IF(O1019&gt;0,MAX(0,O1019*(1+$G$53)-$H$53),0)</f>
        <v/>
      </c>
      <c r="N1020">
        <f>MAX(0,J1020-I1020)</f>
        <v/>
      </c>
      <c r="O1020">
        <f>IF(M1020-N1020&gt;1E-9,M1020-N1020,0)</f>
        <v/>
      </c>
      <c r="P1020">
        <f>O1019*$G$53</f>
        <v/>
      </c>
      <c r="Q1020">
        <f>IF(S1019&gt;0,MAX(0,S1019*(1+$G$54)-$H$54),0)</f>
        <v/>
      </c>
      <c r="R1020">
        <f>MAX(0,N1020-M1020)</f>
        <v/>
      </c>
      <c r="S1020">
        <f>IF(Q1020-R1020&gt;1E-9,Q1020-R1020,0)</f>
        <v/>
      </c>
      <c r="T1020">
        <f>S1019*$G$54</f>
        <v/>
      </c>
      <c r="U1020">
        <f>IF(W1019&gt;0,MAX(0,W1019*(1+$G$55)-$H$55),0)</f>
        <v/>
      </c>
      <c r="V1020">
        <f>MAX(0,R1020-Q1020)</f>
        <v/>
      </c>
      <c r="W1020">
        <f>IF(U1020-V1020&gt;1E-9,U1020-V1020,0)</f>
        <v/>
      </c>
      <c r="X1020">
        <f>W1019*$G$55</f>
        <v/>
      </c>
      <c r="Y1020">
        <f>IF(Y1019&gt;1E-9,IF(Y1019*(1+$G$51)-MAX($B$9,0.01*Y1019+Y1019*$G$51)&gt;1E-9,Y1019*(1+$G$51)-MAX($B$9,0.01*Y1019+Y1019*$G$51),0),0)</f>
        <v/>
      </c>
      <c r="Z1020">
        <f>Y1019*$G$51</f>
        <v/>
      </c>
      <c r="AA1020">
        <f>IF(AA1019&gt;1E-9,IF(AA1019*(1+$G$52)-MAX($B$9,0.01*AA1019+AA1019*$G$52)&gt;1E-9,AA1019*(1+$G$52)-MAX($B$9,0.01*AA1019+AA1019*$G$52),0),0)</f>
        <v/>
      </c>
      <c r="AB1020">
        <f>AA1019*$G$52</f>
        <v/>
      </c>
      <c r="AC1020">
        <f>IF(AC1019&gt;1E-9,IF(AC1019*(1+$G$53)-MAX($B$9,0.01*AC1019+AC1019*$G$53)&gt;1E-9,AC1019*(1+$G$53)-MAX($B$9,0.01*AC1019+AC1019*$G$53),0),0)</f>
        <v/>
      </c>
      <c r="AD1020">
        <f>AC1019*$G$53</f>
        <v/>
      </c>
      <c r="AE1020">
        <f>IF(AE1019&gt;1E-9,IF(AE1019*(1+$G$54)-MAX($B$9,0.01*AE1019+AE1019*$G$54)&gt;1E-9,AE1019*(1+$G$54)-MAX($B$9,0.01*AE1019+AE1019*$G$54),0),0)</f>
        <v/>
      </c>
      <c r="AF1020">
        <f>AE1019*$G$54</f>
        <v/>
      </c>
      <c r="AG1020">
        <f>IF(AG1019&gt;1E-9,IF(AG1019*(1+$G$55)-MAX($B$9,0.01*AG1019+AG1019*$G$55)&gt;1E-9,AG1019*(1+$G$55)-MAX($B$9,0.01*AG1019+AG1019*$G$55),0),0)</f>
        <v/>
      </c>
      <c r="AH1020">
        <f>AG1019*$G$55</f>
        <v/>
      </c>
      <c r="AI1020">
        <f>G1020+K1020+O1020+S1020+W1020</f>
        <v/>
      </c>
      <c r="AJ1020">
        <f>AI1019+AK1020-AI1020</f>
        <v/>
      </c>
      <c r="AK1020">
        <f>H1020+L1020+P1020+T1020+X1020</f>
        <v/>
      </c>
      <c r="AL1020">
        <f>TEXT(EDATE($B$5,D1020-1),"mmm yyyy")</f>
        <v/>
      </c>
      <c r="AM1020">
        <f>AI1020</f>
        <v/>
      </c>
    </row>
    <row r="1021">
      <c r="D1021" t="n">
        <v>960</v>
      </c>
      <c r="E1021">
        <f>IF(G1020&gt;0,MAX(0,G1020*(1+$G$51)-$H$51),0)</f>
        <v/>
      </c>
      <c r="F1021">
        <f>$B$6+IF($D1021=$B$8,$B$7,0)</f>
        <v/>
      </c>
      <c r="G1021">
        <f>IF(E1021-F1021&gt;1E-9,E1021-F1021,0)</f>
        <v/>
      </c>
      <c r="H1021">
        <f>G1020*$G$51</f>
        <v/>
      </c>
      <c r="I1021">
        <f>IF(K1020&gt;0,MAX(0,K1020*(1+$G$52)-$H$52),0)</f>
        <v/>
      </c>
      <c r="J1021">
        <f>MAX(0,F1021-E1021)</f>
        <v/>
      </c>
      <c r="K1021">
        <f>IF(I1021-J1021&gt;1E-9,I1021-J1021,0)</f>
        <v/>
      </c>
      <c r="L1021">
        <f>K1020*$G$52</f>
        <v/>
      </c>
      <c r="M1021">
        <f>IF(O1020&gt;0,MAX(0,O1020*(1+$G$53)-$H$53),0)</f>
        <v/>
      </c>
      <c r="N1021">
        <f>MAX(0,J1021-I1021)</f>
        <v/>
      </c>
      <c r="O1021">
        <f>IF(M1021-N1021&gt;1E-9,M1021-N1021,0)</f>
        <v/>
      </c>
      <c r="P1021">
        <f>O1020*$G$53</f>
        <v/>
      </c>
      <c r="Q1021">
        <f>IF(S1020&gt;0,MAX(0,S1020*(1+$G$54)-$H$54),0)</f>
        <v/>
      </c>
      <c r="R1021">
        <f>MAX(0,N1021-M1021)</f>
        <v/>
      </c>
      <c r="S1021">
        <f>IF(Q1021-R1021&gt;1E-9,Q1021-R1021,0)</f>
        <v/>
      </c>
      <c r="T1021">
        <f>S1020*$G$54</f>
        <v/>
      </c>
      <c r="U1021">
        <f>IF(W1020&gt;0,MAX(0,W1020*(1+$G$55)-$H$55),0)</f>
        <v/>
      </c>
      <c r="V1021">
        <f>MAX(0,R1021-Q1021)</f>
        <v/>
      </c>
      <c r="W1021">
        <f>IF(U1021-V1021&gt;1E-9,U1021-V1021,0)</f>
        <v/>
      </c>
      <c r="X1021">
        <f>W1020*$G$55</f>
        <v/>
      </c>
      <c r="Y1021">
        <f>IF(Y1020&gt;1E-9,IF(Y1020*(1+$G$51)-MAX($B$9,0.01*Y1020+Y1020*$G$51)&gt;1E-9,Y1020*(1+$G$51)-MAX($B$9,0.01*Y1020+Y1020*$G$51),0),0)</f>
        <v/>
      </c>
      <c r="Z1021">
        <f>Y1020*$G$51</f>
        <v/>
      </c>
      <c r="AA1021">
        <f>IF(AA1020&gt;1E-9,IF(AA1020*(1+$G$52)-MAX($B$9,0.01*AA1020+AA1020*$G$52)&gt;1E-9,AA1020*(1+$G$52)-MAX($B$9,0.01*AA1020+AA1020*$G$52),0),0)</f>
        <v/>
      </c>
      <c r="AB1021">
        <f>AA1020*$G$52</f>
        <v/>
      </c>
      <c r="AC1021">
        <f>IF(AC1020&gt;1E-9,IF(AC1020*(1+$G$53)-MAX($B$9,0.01*AC1020+AC1020*$G$53)&gt;1E-9,AC1020*(1+$G$53)-MAX($B$9,0.01*AC1020+AC1020*$G$53),0),0)</f>
        <v/>
      </c>
      <c r="AD1021">
        <f>AC1020*$G$53</f>
        <v/>
      </c>
      <c r="AE1021">
        <f>IF(AE1020&gt;1E-9,IF(AE1020*(1+$G$54)-MAX($B$9,0.01*AE1020+AE1020*$G$54)&gt;1E-9,AE1020*(1+$G$54)-MAX($B$9,0.01*AE1020+AE1020*$G$54),0),0)</f>
        <v/>
      </c>
      <c r="AF1021">
        <f>AE1020*$G$54</f>
        <v/>
      </c>
      <c r="AG1021">
        <f>IF(AG1020&gt;1E-9,IF(AG1020*(1+$G$55)-MAX($B$9,0.01*AG1020+AG1020*$G$55)&gt;1E-9,AG1020*(1+$G$55)-MAX($B$9,0.01*AG1020+AG1020*$G$55),0),0)</f>
        <v/>
      </c>
      <c r="AH1021">
        <f>AG1020*$G$55</f>
        <v/>
      </c>
      <c r="AI1021">
        <f>G1021+K1021+O1021+S1021+W1021</f>
        <v/>
      </c>
      <c r="AJ1021">
        <f>AI1020+AK1021-AI1021</f>
        <v/>
      </c>
      <c r="AK1021">
        <f>H1021+L1021+P1021+T1021+X1021</f>
        <v/>
      </c>
      <c r="AL1021">
        <f>TEXT(EDATE($B$5,D1021-1),"mmm yyyy")</f>
        <v/>
      </c>
      <c r="AM1021">
        <f>AI1021</f>
        <v/>
      </c>
    </row>
    <row r="1022">
      <c r="D1022" t="n">
        <v>961</v>
      </c>
      <c r="E1022">
        <f>IF(G1021&gt;0,MAX(0,G1021*(1+$G$51)-$H$51),0)</f>
        <v/>
      </c>
      <c r="F1022">
        <f>$B$6+IF($D1022=$B$8,$B$7,0)</f>
        <v/>
      </c>
      <c r="G1022">
        <f>IF(E1022-F1022&gt;1E-9,E1022-F1022,0)</f>
        <v/>
      </c>
      <c r="H1022">
        <f>G1021*$G$51</f>
        <v/>
      </c>
      <c r="I1022">
        <f>IF(K1021&gt;0,MAX(0,K1021*(1+$G$52)-$H$52),0)</f>
        <v/>
      </c>
      <c r="J1022">
        <f>MAX(0,F1022-E1022)</f>
        <v/>
      </c>
      <c r="K1022">
        <f>IF(I1022-J1022&gt;1E-9,I1022-J1022,0)</f>
        <v/>
      </c>
      <c r="L1022">
        <f>K1021*$G$52</f>
        <v/>
      </c>
      <c r="M1022">
        <f>IF(O1021&gt;0,MAX(0,O1021*(1+$G$53)-$H$53),0)</f>
        <v/>
      </c>
      <c r="N1022">
        <f>MAX(0,J1022-I1022)</f>
        <v/>
      </c>
      <c r="O1022">
        <f>IF(M1022-N1022&gt;1E-9,M1022-N1022,0)</f>
        <v/>
      </c>
      <c r="P1022">
        <f>O1021*$G$53</f>
        <v/>
      </c>
      <c r="Q1022">
        <f>IF(S1021&gt;0,MAX(0,S1021*(1+$G$54)-$H$54),0)</f>
        <v/>
      </c>
      <c r="R1022">
        <f>MAX(0,N1022-M1022)</f>
        <v/>
      </c>
      <c r="S1022">
        <f>IF(Q1022-R1022&gt;1E-9,Q1022-R1022,0)</f>
        <v/>
      </c>
      <c r="T1022">
        <f>S1021*$G$54</f>
        <v/>
      </c>
      <c r="U1022">
        <f>IF(W1021&gt;0,MAX(0,W1021*(1+$G$55)-$H$55),0)</f>
        <v/>
      </c>
      <c r="V1022">
        <f>MAX(0,R1022-Q1022)</f>
        <v/>
      </c>
      <c r="W1022">
        <f>IF(U1022-V1022&gt;1E-9,U1022-V1022,0)</f>
        <v/>
      </c>
      <c r="X1022">
        <f>W1021*$G$55</f>
        <v/>
      </c>
      <c r="Y1022">
        <f>IF(Y1021&gt;1E-9,IF(Y1021*(1+$G$51)-MAX($B$9,0.01*Y1021+Y1021*$G$51)&gt;1E-9,Y1021*(1+$G$51)-MAX($B$9,0.01*Y1021+Y1021*$G$51),0),0)</f>
        <v/>
      </c>
      <c r="Z1022">
        <f>Y1021*$G$51</f>
        <v/>
      </c>
      <c r="AA1022">
        <f>IF(AA1021&gt;1E-9,IF(AA1021*(1+$G$52)-MAX($B$9,0.01*AA1021+AA1021*$G$52)&gt;1E-9,AA1021*(1+$G$52)-MAX($B$9,0.01*AA1021+AA1021*$G$52),0),0)</f>
        <v/>
      </c>
      <c r="AB1022">
        <f>AA1021*$G$52</f>
        <v/>
      </c>
      <c r="AC1022">
        <f>IF(AC1021&gt;1E-9,IF(AC1021*(1+$G$53)-MAX($B$9,0.01*AC1021+AC1021*$G$53)&gt;1E-9,AC1021*(1+$G$53)-MAX($B$9,0.01*AC1021+AC1021*$G$53),0),0)</f>
        <v/>
      </c>
      <c r="AD1022">
        <f>AC1021*$G$53</f>
        <v/>
      </c>
      <c r="AE1022">
        <f>IF(AE1021&gt;1E-9,IF(AE1021*(1+$G$54)-MAX($B$9,0.01*AE1021+AE1021*$G$54)&gt;1E-9,AE1021*(1+$G$54)-MAX($B$9,0.01*AE1021+AE1021*$G$54),0),0)</f>
        <v/>
      </c>
      <c r="AF1022">
        <f>AE1021*$G$54</f>
        <v/>
      </c>
      <c r="AG1022">
        <f>IF(AG1021&gt;1E-9,IF(AG1021*(1+$G$55)-MAX($B$9,0.01*AG1021+AG1021*$G$55)&gt;1E-9,AG1021*(1+$G$55)-MAX($B$9,0.01*AG1021+AG1021*$G$55),0),0)</f>
        <v/>
      </c>
      <c r="AH1022">
        <f>AG1021*$G$55</f>
        <v/>
      </c>
      <c r="AI1022">
        <f>G1022+K1022+O1022+S1022+W1022</f>
        <v/>
      </c>
      <c r="AJ1022">
        <f>AI1021+AK1022-AI1022</f>
        <v/>
      </c>
      <c r="AK1022">
        <f>H1022+L1022+P1022+T1022+X1022</f>
        <v/>
      </c>
      <c r="AL1022">
        <f>TEXT(EDATE($B$5,D1022-1),"mmm yyyy")</f>
        <v/>
      </c>
      <c r="AM1022">
        <f>AI1022</f>
        <v/>
      </c>
    </row>
    <row r="1023">
      <c r="D1023" t="n">
        <v>962</v>
      </c>
      <c r="E1023">
        <f>IF(G1022&gt;0,MAX(0,G1022*(1+$G$51)-$H$51),0)</f>
        <v/>
      </c>
      <c r="F1023">
        <f>$B$6+IF($D1023=$B$8,$B$7,0)</f>
        <v/>
      </c>
      <c r="G1023">
        <f>IF(E1023-F1023&gt;1E-9,E1023-F1023,0)</f>
        <v/>
      </c>
      <c r="H1023">
        <f>G1022*$G$51</f>
        <v/>
      </c>
      <c r="I1023">
        <f>IF(K1022&gt;0,MAX(0,K1022*(1+$G$52)-$H$52),0)</f>
        <v/>
      </c>
      <c r="J1023">
        <f>MAX(0,F1023-E1023)</f>
        <v/>
      </c>
      <c r="K1023">
        <f>IF(I1023-J1023&gt;1E-9,I1023-J1023,0)</f>
        <v/>
      </c>
      <c r="L1023">
        <f>K1022*$G$52</f>
        <v/>
      </c>
      <c r="M1023">
        <f>IF(O1022&gt;0,MAX(0,O1022*(1+$G$53)-$H$53),0)</f>
        <v/>
      </c>
      <c r="N1023">
        <f>MAX(0,J1023-I1023)</f>
        <v/>
      </c>
      <c r="O1023">
        <f>IF(M1023-N1023&gt;1E-9,M1023-N1023,0)</f>
        <v/>
      </c>
      <c r="P1023">
        <f>O1022*$G$53</f>
        <v/>
      </c>
      <c r="Q1023">
        <f>IF(S1022&gt;0,MAX(0,S1022*(1+$G$54)-$H$54),0)</f>
        <v/>
      </c>
      <c r="R1023">
        <f>MAX(0,N1023-M1023)</f>
        <v/>
      </c>
      <c r="S1023">
        <f>IF(Q1023-R1023&gt;1E-9,Q1023-R1023,0)</f>
        <v/>
      </c>
      <c r="T1023">
        <f>S1022*$G$54</f>
        <v/>
      </c>
      <c r="U1023">
        <f>IF(W1022&gt;0,MAX(0,W1022*(1+$G$55)-$H$55),0)</f>
        <v/>
      </c>
      <c r="V1023">
        <f>MAX(0,R1023-Q1023)</f>
        <v/>
      </c>
      <c r="W1023">
        <f>IF(U1023-V1023&gt;1E-9,U1023-V1023,0)</f>
        <v/>
      </c>
      <c r="X1023">
        <f>W1022*$G$55</f>
        <v/>
      </c>
      <c r="Y1023">
        <f>IF(Y1022&gt;1E-9,IF(Y1022*(1+$G$51)-MAX($B$9,0.01*Y1022+Y1022*$G$51)&gt;1E-9,Y1022*(1+$G$51)-MAX($B$9,0.01*Y1022+Y1022*$G$51),0),0)</f>
        <v/>
      </c>
      <c r="Z1023">
        <f>Y1022*$G$51</f>
        <v/>
      </c>
      <c r="AA1023">
        <f>IF(AA1022&gt;1E-9,IF(AA1022*(1+$G$52)-MAX($B$9,0.01*AA1022+AA1022*$G$52)&gt;1E-9,AA1022*(1+$G$52)-MAX($B$9,0.01*AA1022+AA1022*$G$52),0),0)</f>
        <v/>
      </c>
      <c r="AB1023">
        <f>AA1022*$G$52</f>
        <v/>
      </c>
      <c r="AC1023">
        <f>IF(AC1022&gt;1E-9,IF(AC1022*(1+$G$53)-MAX($B$9,0.01*AC1022+AC1022*$G$53)&gt;1E-9,AC1022*(1+$G$53)-MAX($B$9,0.01*AC1022+AC1022*$G$53),0),0)</f>
        <v/>
      </c>
      <c r="AD1023">
        <f>AC1022*$G$53</f>
        <v/>
      </c>
      <c r="AE1023">
        <f>IF(AE1022&gt;1E-9,IF(AE1022*(1+$G$54)-MAX($B$9,0.01*AE1022+AE1022*$G$54)&gt;1E-9,AE1022*(1+$G$54)-MAX($B$9,0.01*AE1022+AE1022*$G$54),0),0)</f>
        <v/>
      </c>
      <c r="AF1023">
        <f>AE1022*$G$54</f>
        <v/>
      </c>
      <c r="AG1023">
        <f>IF(AG1022&gt;1E-9,IF(AG1022*(1+$G$55)-MAX($B$9,0.01*AG1022+AG1022*$G$55)&gt;1E-9,AG1022*(1+$G$55)-MAX($B$9,0.01*AG1022+AG1022*$G$55),0),0)</f>
        <v/>
      </c>
      <c r="AH1023">
        <f>AG1022*$G$55</f>
        <v/>
      </c>
      <c r="AI1023">
        <f>G1023+K1023+O1023+S1023+W1023</f>
        <v/>
      </c>
      <c r="AJ1023">
        <f>AI1022+AK1023-AI1023</f>
        <v/>
      </c>
      <c r="AK1023">
        <f>H1023+L1023+P1023+T1023+X1023</f>
        <v/>
      </c>
      <c r="AL1023">
        <f>TEXT(EDATE($B$5,D1023-1),"mmm yyyy")</f>
        <v/>
      </c>
      <c r="AM1023">
        <f>AI1023</f>
        <v/>
      </c>
    </row>
    <row r="1024">
      <c r="D1024" t="n">
        <v>963</v>
      </c>
      <c r="E1024">
        <f>IF(G1023&gt;0,MAX(0,G1023*(1+$G$51)-$H$51),0)</f>
        <v/>
      </c>
      <c r="F1024">
        <f>$B$6+IF($D1024=$B$8,$B$7,0)</f>
        <v/>
      </c>
      <c r="G1024">
        <f>IF(E1024-F1024&gt;1E-9,E1024-F1024,0)</f>
        <v/>
      </c>
      <c r="H1024">
        <f>G1023*$G$51</f>
        <v/>
      </c>
      <c r="I1024">
        <f>IF(K1023&gt;0,MAX(0,K1023*(1+$G$52)-$H$52),0)</f>
        <v/>
      </c>
      <c r="J1024">
        <f>MAX(0,F1024-E1024)</f>
        <v/>
      </c>
      <c r="K1024">
        <f>IF(I1024-J1024&gt;1E-9,I1024-J1024,0)</f>
        <v/>
      </c>
      <c r="L1024">
        <f>K1023*$G$52</f>
        <v/>
      </c>
      <c r="M1024">
        <f>IF(O1023&gt;0,MAX(0,O1023*(1+$G$53)-$H$53),0)</f>
        <v/>
      </c>
      <c r="N1024">
        <f>MAX(0,J1024-I1024)</f>
        <v/>
      </c>
      <c r="O1024">
        <f>IF(M1024-N1024&gt;1E-9,M1024-N1024,0)</f>
        <v/>
      </c>
      <c r="P1024">
        <f>O1023*$G$53</f>
        <v/>
      </c>
      <c r="Q1024">
        <f>IF(S1023&gt;0,MAX(0,S1023*(1+$G$54)-$H$54),0)</f>
        <v/>
      </c>
      <c r="R1024">
        <f>MAX(0,N1024-M1024)</f>
        <v/>
      </c>
      <c r="S1024">
        <f>IF(Q1024-R1024&gt;1E-9,Q1024-R1024,0)</f>
        <v/>
      </c>
      <c r="T1024">
        <f>S1023*$G$54</f>
        <v/>
      </c>
      <c r="U1024">
        <f>IF(W1023&gt;0,MAX(0,W1023*(1+$G$55)-$H$55),0)</f>
        <v/>
      </c>
      <c r="V1024">
        <f>MAX(0,R1024-Q1024)</f>
        <v/>
      </c>
      <c r="W1024">
        <f>IF(U1024-V1024&gt;1E-9,U1024-V1024,0)</f>
        <v/>
      </c>
      <c r="X1024">
        <f>W1023*$G$55</f>
        <v/>
      </c>
      <c r="Y1024">
        <f>IF(Y1023&gt;1E-9,IF(Y1023*(1+$G$51)-MAX($B$9,0.01*Y1023+Y1023*$G$51)&gt;1E-9,Y1023*(1+$G$51)-MAX($B$9,0.01*Y1023+Y1023*$G$51),0),0)</f>
        <v/>
      </c>
      <c r="Z1024">
        <f>Y1023*$G$51</f>
        <v/>
      </c>
      <c r="AA1024">
        <f>IF(AA1023&gt;1E-9,IF(AA1023*(1+$G$52)-MAX($B$9,0.01*AA1023+AA1023*$G$52)&gt;1E-9,AA1023*(1+$G$52)-MAX($B$9,0.01*AA1023+AA1023*$G$52),0),0)</f>
        <v/>
      </c>
      <c r="AB1024">
        <f>AA1023*$G$52</f>
        <v/>
      </c>
      <c r="AC1024">
        <f>IF(AC1023&gt;1E-9,IF(AC1023*(1+$G$53)-MAX($B$9,0.01*AC1023+AC1023*$G$53)&gt;1E-9,AC1023*(1+$G$53)-MAX($B$9,0.01*AC1023+AC1023*$G$53),0),0)</f>
        <v/>
      </c>
      <c r="AD1024">
        <f>AC1023*$G$53</f>
        <v/>
      </c>
      <c r="AE1024">
        <f>IF(AE1023&gt;1E-9,IF(AE1023*(1+$G$54)-MAX($B$9,0.01*AE1023+AE1023*$G$54)&gt;1E-9,AE1023*(1+$G$54)-MAX($B$9,0.01*AE1023+AE1023*$G$54),0),0)</f>
        <v/>
      </c>
      <c r="AF1024">
        <f>AE1023*$G$54</f>
        <v/>
      </c>
      <c r="AG1024">
        <f>IF(AG1023&gt;1E-9,IF(AG1023*(1+$G$55)-MAX($B$9,0.01*AG1023+AG1023*$G$55)&gt;1E-9,AG1023*(1+$G$55)-MAX($B$9,0.01*AG1023+AG1023*$G$55),0),0)</f>
        <v/>
      </c>
      <c r="AH1024">
        <f>AG1023*$G$55</f>
        <v/>
      </c>
      <c r="AI1024">
        <f>G1024+K1024+O1024+S1024+W1024</f>
        <v/>
      </c>
      <c r="AJ1024">
        <f>AI1023+AK1024-AI1024</f>
        <v/>
      </c>
      <c r="AK1024">
        <f>H1024+L1024+P1024+T1024+X1024</f>
        <v/>
      </c>
      <c r="AL1024">
        <f>TEXT(EDATE($B$5,D1024-1),"mmm yyyy")</f>
        <v/>
      </c>
      <c r="AM1024">
        <f>AI1024</f>
        <v/>
      </c>
    </row>
    <row r="1025">
      <c r="D1025" t="n">
        <v>964</v>
      </c>
      <c r="E1025">
        <f>IF(G1024&gt;0,MAX(0,G1024*(1+$G$51)-$H$51),0)</f>
        <v/>
      </c>
      <c r="F1025">
        <f>$B$6+IF($D1025=$B$8,$B$7,0)</f>
        <v/>
      </c>
      <c r="G1025">
        <f>IF(E1025-F1025&gt;1E-9,E1025-F1025,0)</f>
        <v/>
      </c>
      <c r="H1025">
        <f>G1024*$G$51</f>
        <v/>
      </c>
      <c r="I1025">
        <f>IF(K1024&gt;0,MAX(0,K1024*(1+$G$52)-$H$52),0)</f>
        <v/>
      </c>
      <c r="J1025">
        <f>MAX(0,F1025-E1025)</f>
        <v/>
      </c>
      <c r="K1025">
        <f>IF(I1025-J1025&gt;1E-9,I1025-J1025,0)</f>
        <v/>
      </c>
      <c r="L1025">
        <f>K1024*$G$52</f>
        <v/>
      </c>
      <c r="M1025">
        <f>IF(O1024&gt;0,MAX(0,O1024*(1+$G$53)-$H$53),0)</f>
        <v/>
      </c>
      <c r="N1025">
        <f>MAX(0,J1025-I1025)</f>
        <v/>
      </c>
      <c r="O1025">
        <f>IF(M1025-N1025&gt;1E-9,M1025-N1025,0)</f>
        <v/>
      </c>
      <c r="P1025">
        <f>O1024*$G$53</f>
        <v/>
      </c>
      <c r="Q1025">
        <f>IF(S1024&gt;0,MAX(0,S1024*(1+$G$54)-$H$54),0)</f>
        <v/>
      </c>
      <c r="R1025">
        <f>MAX(0,N1025-M1025)</f>
        <v/>
      </c>
      <c r="S1025">
        <f>IF(Q1025-R1025&gt;1E-9,Q1025-R1025,0)</f>
        <v/>
      </c>
      <c r="T1025">
        <f>S1024*$G$54</f>
        <v/>
      </c>
      <c r="U1025">
        <f>IF(W1024&gt;0,MAX(0,W1024*(1+$G$55)-$H$55),0)</f>
        <v/>
      </c>
      <c r="V1025">
        <f>MAX(0,R1025-Q1025)</f>
        <v/>
      </c>
      <c r="W1025">
        <f>IF(U1025-V1025&gt;1E-9,U1025-V1025,0)</f>
        <v/>
      </c>
      <c r="X1025">
        <f>W1024*$G$55</f>
        <v/>
      </c>
      <c r="Y1025">
        <f>IF(Y1024&gt;1E-9,IF(Y1024*(1+$G$51)-MAX($B$9,0.01*Y1024+Y1024*$G$51)&gt;1E-9,Y1024*(1+$G$51)-MAX($B$9,0.01*Y1024+Y1024*$G$51),0),0)</f>
        <v/>
      </c>
      <c r="Z1025">
        <f>Y1024*$G$51</f>
        <v/>
      </c>
      <c r="AA1025">
        <f>IF(AA1024&gt;1E-9,IF(AA1024*(1+$G$52)-MAX($B$9,0.01*AA1024+AA1024*$G$52)&gt;1E-9,AA1024*(1+$G$52)-MAX($B$9,0.01*AA1024+AA1024*$G$52),0),0)</f>
        <v/>
      </c>
      <c r="AB1025">
        <f>AA1024*$G$52</f>
        <v/>
      </c>
      <c r="AC1025">
        <f>IF(AC1024&gt;1E-9,IF(AC1024*(1+$G$53)-MAX($B$9,0.01*AC1024+AC1024*$G$53)&gt;1E-9,AC1024*(1+$G$53)-MAX($B$9,0.01*AC1024+AC1024*$G$53),0),0)</f>
        <v/>
      </c>
      <c r="AD1025">
        <f>AC1024*$G$53</f>
        <v/>
      </c>
      <c r="AE1025">
        <f>IF(AE1024&gt;1E-9,IF(AE1024*(1+$G$54)-MAX($B$9,0.01*AE1024+AE1024*$G$54)&gt;1E-9,AE1024*(1+$G$54)-MAX($B$9,0.01*AE1024+AE1024*$G$54),0),0)</f>
        <v/>
      </c>
      <c r="AF1025">
        <f>AE1024*$G$54</f>
        <v/>
      </c>
      <c r="AG1025">
        <f>IF(AG1024&gt;1E-9,IF(AG1024*(1+$G$55)-MAX($B$9,0.01*AG1024+AG1024*$G$55)&gt;1E-9,AG1024*(1+$G$55)-MAX($B$9,0.01*AG1024+AG1024*$G$55),0),0)</f>
        <v/>
      </c>
      <c r="AH1025">
        <f>AG1024*$G$55</f>
        <v/>
      </c>
      <c r="AI1025">
        <f>G1025+K1025+O1025+S1025+W1025</f>
        <v/>
      </c>
      <c r="AJ1025">
        <f>AI1024+AK1025-AI1025</f>
        <v/>
      </c>
      <c r="AK1025">
        <f>H1025+L1025+P1025+T1025+X1025</f>
        <v/>
      </c>
      <c r="AL1025">
        <f>TEXT(EDATE($B$5,D1025-1),"mmm yyyy")</f>
        <v/>
      </c>
      <c r="AM1025">
        <f>AI1025</f>
        <v/>
      </c>
    </row>
    <row r="1026">
      <c r="D1026" t="n">
        <v>965</v>
      </c>
      <c r="E1026">
        <f>IF(G1025&gt;0,MAX(0,G1025*(1+$G$51)-$H$51),0)</f>
        <v/>
      </c>
      <c r="F1026">
        <f>$B$6+IF($D1026=$B$8,$B$7,0)</f>
        <v/>
      </c>
      <c r="G1026">
        <f>IF(E1026-F1026&gt;1E-9,E1026-F1026,0)</f>
        <v/>
      </c>
      <c r="H1026">
        <f>G1025*$G$51</f>
        <v/>
      </c>
      <c r="I1026">
        <f>IF(K1025&gt;0,MAX(0,K1025*(1+$G$52)-$H$52),0)</f>
        <v/>
      </c>
      <c r="J1026">
        <f>MAX(0,F1026-E1026)</f>
        <v/>
      </c>
      <c r="K1026">
        <f>IF(I1026-J1026&gt;1E-9,I1026-J1026,0)</f>
        <v/>
      </c>
      <c r="L1026">
        <f>K1025*$G$52</f>
        <v/>
      </c>
      <c r="M1026">
        <f>IF(O1025&gt;0,MAX(0,O1025*(1+$G$53)-$H$53),0)</f>
        <v/>
      </c>
      <c r="N1026">
        <f>MAX(0,J1026-I1026)</f>
        <v/>
      </c>
      <c r="O1026">
        <f>IF(M1026-N1026&gt;1E-9,M1026-N1026,0)</f>
        <v/>
      </c>
      <c r="P1026">
        <f>O1025*$G$53</f>
        <v/>
      </c>
      <c r="Q1026">
        <f>IF(S1025&gt;0,MAX(0,S1025*(1+$G$54)-$H$54),0)</f>
        <v/>
      </c>
      <c r="R1026">
        <f>MAX(0,N1026-M1026)</f>
        <v/>
      </c>
      <c r="S1026">
        <f>IF(Q1026-R1026&gt;1E-9,Q1026-R1026,0)</f>
        <v/>
      </c>
      <c r="T1026">
        <f>S1025*$G$54</f>
        <v/>
      </c>
      <c r="U1026">
        <f>IF(W1025&gt;0,MAX(0,W1025*(1+$G$55)-$H$55),0)</f>
        <v/>
      </c>
      <c r="V1026">
        <f>MAX(0,R1026-Q1026)</f>
        <v/>
      </c>
      <c r="W1026">
        <f>IF(U1026-V1026&gt;1E-9,U1026-V1026,0)</f>
        <v/>
      </c>
      <c r="X1026">
        <f>W1025*$G$55</f>
        <v/>
      </c>
      <c r="Y1026">
        <f>IF(Y1025&gt;1E-9,IF(Y1025*(1+$G$51)-MAX($B$9,0.01*Y1025+Y1025*$G$51)&gt;1E-9,Y1025*(1+$G$51)-MAX($B$9,0.01*Y1025+Y1025*$G$51),0),0)</f>
        <v/>
      </c>
      <c r="Z1026">
        <f>Y1025*$G$51</f>
        <v/>
      </c>
      <c r="AA1026">
        <f>IF(AA1025&gt;1E-9,IF(AA1025*(1+$G$52)-MAX($B$9,0.01*AA1025+AA1025*$G$52)&gt;1E-9,AA1025*(1+$G$52)-MAX($B$9,0.01*AA1025+AA1025*$G$52),0),0)</f>
        <v/>
      </c>
      <c r="AB1026">
        <f>AA1025*$G$52</f>
        <v/>
      </c>
      <c r="AC1026">
        <f>IF(AC1025&gt;1E-9,IF(AC1025*(1+$G$53)-MAX($B$9,0.01*AC1025+AC1025*$G$53)&gt;1E-9,AC1025*(1+$G$53)-MAX($B$9,0.01*AC1025+AC1025*$G$53),0),0)</f>
        <v/>
      </c>
      <c r="AD1026">
        <f>AC1025*$G$53</f>
        <v/>
      </c>
      <c r="AE1026">
        <f>IF(AE1025&gt;1E-9,IF(AE1025*(1+$G$54)-MAX($B$9,0.01*AE1025+AE1025*$G$54)&gt;1E-9,AE1025*(1+$G$54)-MAX($B$9,0.01*AE1025+AE1025*$G$54),0),0)</f>
        <v/>
      </c>
      <c r="AF1026">
        <f>AE1025*$G$54</f>
        <v/>
      </c>
      <c r="AG1026">
        <f>IF(AG1025&gt;1E-9,IF(AG1025*(1+$G$55)-MAX($B$9,0.01*AG1025+AG1025*$G$55)&gt;1E-9,AG1025*(1+$G$55)-MAX($B$9,0.01*AG1025+AG1025*$G$55),0),0)</f>
        <v/>
      </c>
      <c r="AH1026">
        <f>AG1025*$G$55</f>
        <v/>
      </c>
      <c r="AI1026">
        <f>G1026+K1026+O1026+S1026+W1026</f>
        <v/>
      </c>
      <c r="AJ1026">
        <f>AI1025+AK1026-AI1026</f>
        <v/>
      </c>
      <c r="AK1026">
        <f>H1026+L1026+P1026+T1026+X1026</f>
        <v/>
      </c>
      <c r="AL1026">
        <f>TEXT(EDATE($B$5,D1026-1),"mmm yyyy")</f>
        <v/>
      </c>
      <c r="AM1026">
        <f>AI1026</f>
        <v/>
      </c>
    </row>
    <row r="1027">
      <c r="D1027" t="n">
        <v>966</v>
      </c>
      <c r="E1027">
        <f>IF(G1026&gt;0,MAX(0,G1026*(1+$G$51)-$H$51),0)</f>
        <v/>
      </c>
      <c r="F1027">
        <f>$B$6+IF($D1027=$B$8,$B$7,0)</f>
        <v/>
      </c>
      <c r="G1027">
        <f>IF(E1027-F1027&gt;1E-9,E1027-F1027,0)</f>
        <v/>
      </c>
      <c r="H1027">
        <f>G1026*$G$51</f>
        <v/>
      </c>
      <c r="I1027">
        <f>IF(K1026&gt;0,MAX(0,K1026*(1+$G$52)-$H$52),0)</f>
        <v/>
      </c>
      <c r="J1027">
        <f>MAX(0,F1027-E1027)</f>
        <v/>
      </c>
      <c r="K1027">
        <f>IF(I1027-J1027&gt;1E-9,I1027-J1027,0)</f>
        <v/>
      </c>
      <c r="L1027">
        <f>K1026*$G$52</f>
        <v/>
      </c>
      <c r="M1027">
        <f>IF(O1026&gt;0,MAX(0,O1026*(1+$G$53)-$H$53),0)</f>
        <v/>
      </c>
      <c r="N1027">
        <f>MAX(0,J1027-I1027)</f>
        <v/>
      </c>
      <c r="O1027">
        <f>IF(M1027-N1027&gt;1E-9,M1027-N1027,0)</f>
        <v/>
      </c>
      <c r="P1027">
        <f>O1026*$G$53</f>
        <v/>
      </c>
      <c r="Q1027">
        <f>IF(S1026&gt;0,MAX(0,S1026*(1+$G$54)-$H$54),0)</f>
        <v/>
      </c>
      <c r="R1027">
        <f>MAX(0,N1027-M1027)</f>
        <v/>
      </c>
      <c r="S1027">
        <f>IF(Q1027-R1027&gt;1E-9,Q1027-R1027,0)</f>
        <v/>
      </c>
      <c r="T1027">
        <f>S1026*$G$54</f>
        <v/>
      </c>
      <c r="U1027">
        <f>IF(W1026&gt;0,MAX(0,W1026*(1+$G$55)-$H$55),0)</f>
        <v/>
      </c>
      <c r="V1027">
        <f>MAX(0,R1027-Q1027)</f>
        <v/>
      </c>
      <c r="W1027">
        <f>IF(U1027-V1027&gt;1E-9,U1027-V1027,0)</f>
        <v/>
      </c>
      <c r="X1027">
        <f>W1026*$G$55</f>
        <v/>
      </c>
      <c r="Y1027">
        <f>IF(Y1026&gt;1E-9,IF(Y1026*(1+$G$51)-MAX($B$9,0.01*Y1026+Y1026*$G$51)&gt;1E-9,Y1026*(1+$G$51)-MAX($B$9,0.01*Y1026+Y1026*$G$51),0),0)</f>
        <v/>
      </c>
      <c r="Z1027">
        <f>Y1026*$G$51</f>
        <v/>
      </c>
      <c r="AA1027">
        <f>IF(AA1026&gt;1E-9,IF(AA1026*(1+$G$52)-MAX($B$9,0.01*AA1026+AA1026*$G$52)&gt;1E-9,AA1026*(1+$G$52)-MAX($B$9,0.01*AA1026+AA1026*$G$52),0),0)</f>
        <v/>
      </c>
      <c r="AB1027">
        <f>AA1026*$G$52</f>
        <v/>
      </c>
      <c r="AC1027">
        <f>IF(AC1026&gt;1E-9,IF(AC1026*(1+$G$53)-MAX($B$9,0.01*AC1026+AC1026*$G$53)&gt;1E-9,AC1026*(1+$G$53)-MAX($B$9,0.01*AC1026+AC1026*$G$53),0),0)</f>
        <v/>
      </c>
      <c r="AD1027">
        <f>AC1026*$G$53</f>
        <v/>
      </c>
      <c r="AE1027">
        <f>IF(AE1026&gt;1E-9,IF(AE1026*(1+$G$54)-MAX($B$9,0.01*AE1026+AE1026*$G$54)&gt;1E-9,AE1026*(1+$G$54)-MAX($B$9,0.01*AE1026+AE1026*$G$54),0),0)</f>
        <v/>
      </c>
      <c r="AF1027">
        <f>AE1026*$G$54</f>
        <v/>
      </c>
      <c r="AG1027">
        <f>IF(AG1026&gt;1E-9,IF(AG1026*(1+$G$55)-MAX($B$9,0.01*AG1026+AG1026*$G$55)&gt;1E-9,AG1026*(1+$G$55)-MAX($B$9,0.01*AG1026+AG1026*$G$55),0),0)</f>
        <v/>
      </c>
      <c r="AH1027">
        <f>AG1026*$G$55</f>
        <v/>
      </c>
      <c r="AI1027">
        <f>G1027+K1027+O1027+S1027+W1027</f>
        <v/>
      </c>
      <c r="AJ1027">
        <f>AI1026+AK1027-AI1027</f>
        <v/>
      </c>
      <c r="AK1027">
        <f>H1027+L1027+P1027+T1027+X1027</f>
        <v/>
      </c>
      <c r="AL1027">
        <f>TEXT(EDATE($B$5,D1027-1),"mmm yyyy")</f>
        <v/>
      </c>
      <c r="AM1027">
        <f>AI1027</f>
        <v/>
      </c>
    </row>
    <row r="1028">
      <c r="D1028" t="n">
        <v>967</v>
      </c>
      <c r="E1028">
        <f>IF(G1027&gt;0,MAX(0,G1027*(1+$G$51)-$H$51),0)</f>
        <v/>
      </c>
      <c r="F1028">
        <f>$B$6+IF($D1028=$B$8,$B$7,0)</f>
        <v/>
      </c>
      <c r="G1028">
        <f>IF(E1028-F1028&gt;1E-9,E1028-F1028,0)</f>
        <v/>
      </c>
      <c r="H1028">
        <f>G1027*$G$51</f>
        <v/>
      </c>
      <c r="I1028">
        <f>IF(K1027&gt;0,MAX(0,K1027*(1+$G$52)-$H$52),0)</f>
        <v/>
      </c>
      <c r="J1028">
        <f>MAX(0,F1028-E1028)</f>
        <v/>
      </c>
      <c r="K1028">
        <f>IF(I1028-J1028&gt;1E-9,I1028-J1028,0)</f>
        <v/>
      </c>
      <c r="L1028">
        <f>K1027*$G$52</f>
        <v/>
      </c>
      <c r="M1028">
        <f>IF(O1027&gt;0,MAX(0,O1027*(1+$G$53)-$H$53),0)</f>
        <v/>
      </c>
      <c r="N1028">
        <f>MAX(0,J1028-I1028)</f>
        <v/>
      </c>
      <c r="O1028">
        <f>IF(M1028-N1028&gt;1E-9,M1028-N1028,0)</f>
        <v/>
      </c>
      <c r="P1028">
        <f>O1027*$G$53</f>
        <v/>
      </c>
      <c r="Q1028">
        <f>IF(S1027&gt;0,MAX(0,S1027*(1+$G$54)-$H$54),0)</f>
        <v/>
      </c>
      <c r="R1028">
        <f>MAX(0,N1028-M1028)</f>
        <v/>
      </c>
      <c r="S1028">
        <f>IF(Q1028-R1028&gt;1E-9,Q1028-R1028,0)</f>
        <v/>
      </c>
      <c r="T1028">
        <f>S1027*$G$54</f>
        <v/>
      </c>
      <c r="U1028">
        <f>IF(W1027&gt;0,MAX(0,W1027*(1+$G$55)-$H$55),0)</f>
        <v/>
      </c>
      <c r="V1028">
        <f>MAX(0,R1028-Q1028)</f>
        <v/>
      </c>
      <c r="W1028">
        <f>IF(U1028-V1028&gt;1E-9,U1028-V1028,0)</f>
        <v/>
      </c>
      <c r="X1028">
        <f>W1027*$G$55</f>
        <v/>
      </c>
      <c r="Y1028">
        <f>IF(Y1027&gt;1E-9,IF(Y1027*(1+$G$51)-MAX($B$9,0.01*Y1027+Y1027*$G$51)&gt;1E-9,Y1027*(1+$G$51)-MAX($B$9,0.01*Y1027+Y1027*$G$51),0),0)</f>
        <v/>
      </c>
      <c r="Z1028">
        <f>Y1027*$G$51</f>
        <v/>
      </c>
      <c r="AA1028">
        <f>IF(AA1027&gt;1E-9,IF(AA1027*(1+$G$52)-MAX($B$9,0.01*AA1027+AA1027*$G$52)&gt;1E-9,AA1027*(1+$G$52)-MAX($B$9,0.01*AA1027+AA1027*$G$52),0),0)</f>
        <v/>
      </c>
      <c r="AB1028">
        <f>AA1027*$G$52</f>
        <v/>
      </c>
      <c r="AC1028">
        <f>IF(AC1027&gt;1E-9,IF(AC1027*(1+$G$53)-MAX($B$9,0.01*AC1027+AC1027*$G$53)&gt;1E-9,AC1027*(1+$G$53)-MAX($B$9,0.01*AC1027+AC1027*$G$53),0),0)</f>
        <v/>
      </c>
      <c r="AD1028">
        <f>AC1027*$G$53</f>
        <v/>
      </c>
      <c r="AE1028">
        <f>IF(AE1027&gt;1E-9,IF(AE1027*(1+$G$54)-MAX($B$9,0.01*AE1027+AE1027*$G$54)&gt;1E-9,AE1027*(1+$G$54)-MAX($B$9,0.01*AE1027+AE1027*$G$54),0),0)</f>
        <v/>
      </c>
      <c r="AF1028">
        <f>AE1027*$G$54</f>
        <v/>
      </c>
      <c r="AG1028">
        <f>IF(AG1027&gt;1E-9,IF(AG1027*(1+$G$55)-MAX($B$9,0.01*AG1027+AG1027*$G$55)&gt;1E-9,AG1027*(1+$G$55)-MAX($B$9,0.01*AG1027+AG1027*$G$55),0),0)</f>
        <v/>
      </c>
      <c r="AH1028">
        <f>AG1027*$G$55</f>
        <v/>
      </c>
      <c r="AI1028">
        <f>G1028+K1028+O1028+S1028+W1028</f>
        <v/>
      </c>
      <c r="AJ1028">
        <f>AI1027+AK1028-AI1028</f>
        <v/>
      </c>
      <c r="AK1028">
        <f>H1028+L1028+P1028+T1028+X1028</f>
        <v/>
      </c>
      <c r="AL1028">
        <f>TEXT(EDATE($B$5,D1028-1),"mmm yyyy")</f>
        <v/>
      </c>
      <c r="AM1028">
        <f>AI1028</f>
        <v/>
      </c>
    </row>
    <row r="1029">
      <c r="D1029" t="n">
        <v>968</v>
      </c>
      <c r="E1029">
        <f>IF(G1028&gt;0,MAX(0,G1028*(1+$G$51)-$H$51),0)</f>
        <v/>
      </c>
      <c r="F1029">
        <f>$B$6+IF($D1029=$B$8,$B$7,0)</f>
        <v/>
      </c>
      <c r="G1029">
        <f>IF(E1029-F1029&gt;1E-9,E1029-F1029,0)</f>
        <v/>
      </c>
      <c r="H1029">
        <f>G1028*$G$51</f>
        <v/>
      </c>
      <c r="I1029">
        <f>IF(K1028&gt;0,MAX(0,K1028*(1+$G$52)-$H$52),0)</f>
        <v/>
      </c>
      <c r="J1029">
        <f>MAX(0,F1029-E1029)</f>
        <v/>
      </c>
      <c r="K1029">
        <f>IF(I1029-J1029&gt;1E-9,I1029-J1029,0)</f>
        <v/>
      </c>
      <c r="L1029">
        <f>K1028*$G$52</f>
        <v/>
      </c>
      <c r="M1029">
        <f>IF(O1028&gt;0,MAX(0,O1028*(1+$G$53)-$H$53),0)</f>
        <v/>
      </c>
      <c r="N1029">
        <f>MAX(0,J1029-I1029)</f>
        <v/>
      </c>
      <c r="O1029">
        <f>IF(M1029-N1029&gt;1E-9,M1029-N1029,0)</f>
        <v/>
      </c>
      <c r="P1029">
        <f>O1028*$G$53</f>
        <v/>
      </c>
      <c r="Q1029">
        <f>IF(S1028&gt;0,MAX(0,S1028*(1+$G$54)-$H$54),0)</f>
        <v/>
      </c>
      <c r="R1029">
        <f>MAX(0,N1029-M1029)</f>
        <v/>
      </c>
      <c r="S1029">
        <f>IF(Q1029-R1029&gt;1E-9,Q1029-R1029,0)</f>
        <v/>
      </c>
      <c r="T1029">
        <f>S1028*$G$54</f>
        <v/>
      </c>
      <c r="U1029">
        <f>IF(W1028&gt;0,MAX(0,W1028*(1+$G$55)-$H$55),0)</f>
        <v/>
      </c>
      <c r="V1029">
        <f>MAX(0,R1029-Q1029)</f>
        <v/>
      </c>
      <c r="W1029">
        <f>IF(U1029-V1029&gt;1E-9,U1029-V1029,0)</f>
        <v/>
      </c>
      <c r="X1029">
        <f>W1028*$G$55</f>
        <v/>
      </c>
      <c r="Y1029">
        <f>IF(Y1028&gt;1E-9,IF(Y1028*(1+$G$51)-MAX($B$9,0.01*Y1028+Y1028*$G$51)&gt;1E-9,Y1028*(1+$G$51)-MAX($B$9,0.01*Y1028+Y1028*$G$51),0),0)</f>
        <v/>
      </c>
      <c r="Z1029">
        <f>Y1028*$G$51</f>
        <v/>
      </c>
      <c r="AA1029">
        <f>IF(AA1028&gt;1E-9,IF(AA1028*(1+$G$52)-MAX($B$9,0.01*AA1028+AA1028*$G$52)&gt;1E-9,AA1028*(1+$G$52)-MAX($B$9,0.01*AA1028+AA1028*$G$52),0),0)</f>
        <v/>
      </c>
      <c r="AB1029">
        <f>AA1028*$G$52</f>
        <v/>
      </c>
      <c r="AC1029">
        <f>IF(AC1028&gt;1E-9,IF(AC1028*(1+$G$53)-MAX($B$9,0.01*AC1028+AC1028*$G$53)&gt;1E-9,AC1028*(1+$G$53)-MAX($B$9,0.01*AC1028+AC1028*$G$53),0),0)</f>
        <v/>
      </c>
      <c r="AD1029">
        <f>AC1028*$G$53</f>
        <v/>
      </c>
      <c r="AE1029">
        <f>IF(AE1028&gt;1E-9,IF(AE1028*(1+$G$54)-MAX($B$9,0.01*AE1028+AE1028*$G$54)&gt;1E-9,AE1028*(1+$G$54)-MAX($B$9,0.01*AE1028+AE1028*$G$54),0),0)</f>
        <v/>
      </c>
      <c r="AF1029">
        <f>AE1028*$G$54</f>
        <v/>
      </c>
      <c r="AG1029">
        <f>IF(AG1028&gt;1E-9,IF(AG1028*(1+$G$55)-MAX($B$9,0.01*AG1028+AG1028*$G$55)&gt;1E-9,AG1028*(1+$G$55)-MAX($B$9,0.01*AG1028+AG1028*$G$55),0),0)</f>
        <v/>
      </c>
      <c r="AH1029">
        <f>AG1028*$G$55</f>
        <v/>
      </c>
      <c r="AI1029">
        <f>G1029+K1029+O1029+S1029+W1029</f>
        <v/>
      </c>
      <c r="AJ1029">
        <f>AI1028+AK1029-AI1029</f>
        <v/>
      </c>
      <c r="AK1029">
        <f>H1029+L1029+P1029+T1029+X1029</f>
        <v/>
      </c>
      <c r="AL1029">
        <f>TEXT(EDATE($B$5,D1029-1),"mmm yyyy")</f>
        <v/>
      </c>
      <c r="AM1029">
        <f>AI1029</f>
        <v/>
      </c>
    </row>
    <row r="1030">
      <c r="D1030" t="n">
        <v>969</v>
      </c>
      <c r="E1030">
        <f>IF(G1029&gt;0,MAX(0,G1029*(1+$G$51)-$H$51),0)</f>
        <v/>
      </c>
      <c r="F1030">
        <f>$B$6+IF($D1030=$B$8,$B$7,0)</f>
        <v/>
      </c>
      <c r="G1030">
        <f>IF(E1030-F1030&gt;1E-9,E1030-F1030,0)</f>
        <v/>
      </c>
      <c r="H1030">
        <f>G1029*$G$51</f>
        <v/>
      </c>
      <c r="I1030">
        <f>IF(K1029&gt;0,MAX(0,K1029*(1+$G$52)-$H$52),0)</f>
        <v/>
      </c>
      <c r="J1030">
        <f>MAX(0,F1030-E1030)</f>
        <v/>
      </c>
      <c r="K1030">
        <f>IF(I1030-J1030&gt;1E-9,I1030-J1030,0)</f>
        <v/>
      </c>
      <c r="L1030">
        <f>K1029*$G$52</f>
        <v/>
      </c>
      <c r="M1030">
        <f>IF(O1029&gt;0,MAX(0,O1029*(1+$G$53)-$H$53),0)</f>
        <v/>
      </c>
      <c r="N1030">
        <f>MAX(0,J1030-I1030)</f>
        <v/>
      </c>
      <c r="O1030">
        <f>IF(M1030-N1030&gt;1E-9,M1030-N1030,0)</f>
        <v/>
      </c>
      <c r="P1030">
        <f>O1029*$G$53</f>
        <v/>
      </c>
      <c r="Q1030">
        <f>IF(S1029&gt;0,MAX(0,S1029*(1+$G$54)-$H$54),0)</f>
        <v/>
      </c>
      <c r="R1030">
        <f>MAX(0,N1030-M1030)</f>
        <v/>
      </c>
      <c r="S1030">
        <f>IF(Q1030-R1030&gt;1E-9,Q1030-R1030,0)</f>
        <v/>
      </c>
      <c r="T1030">
        <f>S1029*$G$54</f>
        <v/>
      </c>
      <c r="U1030">
        <f>IF(W1029&gt;0,MAX(0,W1029*(1+$G$55)-$H$55),0)</f>
        <v/>
      </c>
      <c r="V1030">
        <f>MAX(0,R1030-Q1030)</f>
        <v/>
      </c>
      <c r="W1030">
        <f>IF(U1030-V1030&gt;1E-9,U1030-V1030,0)</f>
        <v/>
      </c>
      <c r="X1030">
        <f>W1029*$G$55</f>
        <v/>
      </c>
      <c r="Y1030">
        <f>IF(Y1029&gt;1E-9,IF(Y1029*(1+$G$51)-MAX($B$9,0.01*Y1029+Y1029*$G$51)&gt;1E-9,Y1029*(1+$G$51)-MAX($B$9,0.01*Y1029+Y1029*$G$51),0),0)</f>
        <v/>
      </c>
      <c r="Z1030">
        <f>Y1029*$G$51</f>
        <v/>
      </c>
      <c r="AA1030">
        <f>IF(AA1029&gt;1E-9,IF(AA1029*(1+$G$52)-MAX($B$9,0.01*AA1029+AA1029*$G$52)&gt;1E-9,AA1029*(1+$G$52)-MAX($B$9,0.01*AA1029+AA1029*$G$52),0),0)</f>
        <v/>
      </c>
      <c r="AB1030">
        <f>AA1029*$G$52</f>
        <v/>
      </c>
      <c r="AC1030">
        <f>IF(AC1029&gt;1E-9,IF(AC1029*(1+$G$53)-MAX($B$9,0.01*AC1029+AC1029*$G$53)&gt;1E-9,AC1029*(1+$G$53)-MAX($B$9,0.01*AC1029+AC1029*$G$53),0),0)</f>
        <v/>
      </c>
      <c r="AD1030">
        <f>AC1029*$G$53</f>
        <v/>
      </c>
      <c r="AE1030">
        <f>IF(AE1029&gt;1E-9,IF(AE1029*(1+$G$54)-MAX($B$9,0.01*AE1029+AE1029*$G$54)&gt;1E-9,AE1029*(1+$G$54)-MAX($B$9,0.01*AE1029+AE1029*$G$54),0),0)</f>
        <v/>
      </c>
      <c r="AF1030">
        <f>AE1029*$G$54</f>
        <v/>
      </c>
      <c r="AG1030">
        <f>IF(AG1029&gt;1E-9,IF(AG1029*(1+$G$55)-MAX($B$9,0.01*AG1029+AG1029*$G$55)&gt;1E-9,AG1029*(1+$G$55)-MAX($B$9,0.01*AG1029+AG1029*$G$55),0),0)</f>
        <v/>
      </c>
      <c r="AH1030">
        <f>AG1029*$G$55</f>
        <v/>
      </c>
      <c r="AI1030">
        <f>G1030+K1030+O1030+S1030+W1030</f>
        <v/>
      </c>
      <c r="AJ1030">
        <f>AI1029+AK1030-AI1030</f>
        <v/>
      </c>
      <c r="AK1030">
        <f>H1030+L1030+P1030+T1030+X1030</f>
        <v/>
      </c>
      <c r="AL1030">
        <f>TEXT(EDATE($B$5,D1030-1),"mmm yyyy")</f>
        <v/>
      </c>
      <c r="AM1030">
        <f>AI1030</f>
        <v/>
      </c>
    </row>
    <row r="1031">
      <c r="D1031" t="n">
        <v>970</v>
      </c>
      <c r="E1031">
        <f>IF(G1030&gt;0,MAX(0,G1030*(1+$G$51)-$H$51),0)</f>
        <v/>
      </c>
      <c r="F1031">
        <f>$B$6+IF($D1031=$B$8,$B$7,0)</f>
        <v/>
      </c>
      <c r="G1031">
        <f>IF(E1031-F1031&gt;1E-9,E1031-F1031,0)</f>
        <v/>
      </c>
      <c r="H1031">
        <f>G1030*$G$51</f>
        <v/>
      </c>
      <c r="I1031">
        <f>IF(K1030&gt;0,MAX(0,K1030*(1+$G$52)-$H$52),0)</f>
        <v/>
      </c>
      <c r="J1031">
        <f>MAX(0,F1031-E1031)</f>
        <v/>
      </c>
      <c r="K1031">
        <f>IF(I1031-J1031&gt;1E-9,I1031-J1031,0)</f>
        <v/>
      </c>
      <c r="L1031">
        <f>K1030*$G$52</f>
        <v/>
      </c>
      <c r="M1031">
        <f>IF(O1030&gt;0,MAX(0,O1030*(1+$G$53)-$H$53),0)</f>
        <v/>
      </c>
      <c r="N1031">
        <f>MAX(0,J1031-I1031)</f>
        <v/>
      </c>
      <c r="O1031">
        <f>IF(M1031-N1031&gt;1E-9,M1031-N1031,0)</f>
        <v/>
      </c>
      <c r="P1031">
        <f>O1030*$G$53</f>
        <v/>
      </c>
      <c r="Q1031">
        <f>IF(S1030&gt;0,MAX(0,S1030*(1+$G$54)-$H$54),0)</f>
        <v/>
      </c>
      <c r="R1031">
        <f>MAX(0,N1031-M1031)</f>
        <v/>
      </c>
      <c r="S1031">
        <f>IF(Q1031-R1031&gt;1E-9,Q1031-R1031,0)</f>
        <v/>
      </c>
      <c r="T1031">
        <f>S1030*$G$54</f>
        <v/>
      </c>
      <c r="U1031">
        <f>IF(W1030&gt;0,MAX(0,W1030*(1+$G$55)-$H$55),0)</f>
        <v/>
      </c>
      <c r="V1031">
        <f>MAX(0,R1031-Q1031)</f>
        <v/>
      </c>
      <c r="W1031">
        <f>IF(U1031-V1031&gt;1E-9,U1031-V1031,0)</f>
        <v/>
      </c>
      <c r="X1031">
        <f>W1030*$G$55</f>
        <v/>
      </c>
      <c r="Y1031">
        <f>IF(Y1030&gt;1E-9,IF(Y1030*(1+$G$51)-MAX($B$9,0.01*Y1030+Y1030*$G$51)&gt;1E-9,Y1030*(1+$G$51)-MAX($B$9,0.01*Y1030+Y1030*$G$51),0),0)</f>
        <v/>
      </c>
      <c r="Z1031">
        <f>Y1030*$G$51</f>
        <v/>
      </c>
      <c r="AA1031">
        <f>IF(AA1030&gt;1E-9,IF(AA1030*(1+$G$52)-MAX($B$9,0.01*AA1030+AA1030*$G$52)&gt;1E-9,AA1030*(1+$G$52)-MAX($B$9,0.01*AA1030+AA1030*$G$52),0),0)</f>
        <v/>
      </c>
      <c r="AB1031">
        <f>AA1030*$G$52</f>
        <v/>
      </c>
      <c r="AC1031">
        <f>IF(AC1030&gt;1E-9,IF(AC1030*(1+$G$53)-MAX($B$9,0.01*AC1030+AC1030*$G$53)&gt;1E-9,AC1030*(1+$G$53)-MAX($B$9,0.01*AC1030+AC1030*$G$53),0),0)</f>
        <v/>
      </c>
      <c r="AD1031">
        <f>AC1030*$G$53</f>
        <v/>
      </c>
      <c r="AE1031">
        <f>IF(AE1030&gt;1E-9,IF(AE1030*(1+$G$54)-MAX($B$9,0.01*AE1030+AE1030*$G$54)&gt;1E-9,AE1030*(1+$G$54)-MAX($B$9,0.01*AE1030+AE1030*$G$54),0),0)</f>
        <v/>
      </c>
      <c r="AF1031">
        <f>AE1030*$G$54</f>
        <v/>
      </c>
      <c r="AG1031">
        <f>IF(AG1030&gt;1E-9,IF(AG1030*(1+$G$55)-MAX($B$9,0.01*AG1030+AG1030*$G$55)&gt;1E-9,AG1030*(1+$G$55)-MAX($B$9,0.01*AG1030+AG1030*$G$55),0),0)</f>
        <v/>
      </c>
      <c r="AH1031">
        <f>AG1030*$G$55</f>
        <v/>
      </c>
      <c r="AI1031">
        <f>G1031+K1031+O1031+S1031+W1031</f>
        <v/>
      </c>
      <c r="AJ1031">
        <f>AI1030+AK1031-AI1031</f>
        <v/>
      </c>
      <c r="AK1031">
        <f>H1031+L1031+P1031+T1031+X1031</f>
        <v/>
      </c>
      <c r="AL1031">
        <f>TEXT(EDATE($B$5,D1031-1),"mmm yyyy")</f>
        <v/>
      </c>
      <c r="AM1031">
        <f>AI1031</f>
        <v/>
      </c>
    </row>
    <row r="1032">
      <c r="D1032" t="n">
        <v>971</v>
      </c>
      <c r="E1032">
        <f>IF(G1031&gt;0,MAX(0,G1031*(1+$G$51)-$H$51),0)</f>
        <v/>
      </c>
      <c r="F1032">
        <f>$B$6+IF($D1032=$B$8,$B$7,0)</f>
        <v/>
      </c>
      <c r="G1032">
        <f>IF(E1032-F1032&gt;1E-9,E1032-F1032,0)</f>
        <v/>
      </c>
      <c r="H1032">
        <f>G1031*$G$51</f>
        <v/>
      </c>
      <c r="I1032">
        <f>IF(K1031&gt;0,MAX(0,K1031*(1+$G$52)-$H$52),0)</f>
        <v/>
      </c>
      <c r="J1032">
        <f>MAX(0,F1032-E1032)</f>
        <v/>
      </c>
      <c r="K1032">
        <f>IF(I1032-J1032&gt;1E-9,I1032-J1032,0)</f>
        <v/>
      </c>
      <c r="L1032">
        <f>K1031*$G$52</f>
        <v/>
      </c>
      <c r="M1032">
        <f>IF(O1031&gt;0,MAX(0,O1031*(1+$G$53)-$H$53),0)</f>
        <v/>
      </c>
      <c r="N1032">
        <f>MAX(0,J1032-I1032)</f>
        <v/>
      </c>
      <c r="O1032">
        <f>IF(M1032-N1032&gt;1E-9,M1032-N1032,0)</f>
        <v/>
      </c>
      <c r="P1032">
        <f>O1031*$G$53</f>
        <v/>
      </c>
      <c r="Q1032">
        <f>IF(S1031&gt;0,MAX(0,S1031*(1+$G$54)-$H$54),0)</f>
        <v/>
      </c>
      <c r="R1032">
        <f>MAX(0,N1032-M1032)</f>
        <v/>
      </c>
      <c r="S1032">
        <f>IF(Q1032-R1032&gt;1E-9,Q1032-R1032,0)</f>
        <v/>
      </c>
      <c r="T1032">
        <f>S1031*$G$54</f>
        <v/>
      </c>
      <c r="U1032">
        <f>IF(W1031&gt;0,MAX(0,W1031*(1+$G$55)-$H$55),0)</f>
        <v/>
      </c>
      <c r="V1032">
        <f>MAX(0,R1032-Q1032)</f>
        <v/>
      </c>
      <c r="W1032">
        <f>IF(U1032-V1032&gt;1E-9,U1032-V1032,0)</f>
        <v/>
      </c>
      <c r="X1032">
        <f>W1031*$G$55</f>
        <v/>
      </c>
      <c r="Y1032">
        <f>IF(Y1031&gt;1E-9,IF(Y1031*(1+$G$51)-MAX($B$9,0.01*Y1031+Y1031*$G$51)&gt;1E-9,Y1031*(1+$G$51)-MAX($B$9,0.01*Y1031+Y1031*$G$51),0),0)</f>
        <v/>
      </c>
      <c r="Z1032">
        <f>Y1031*$G$51</f>
        <v/>
      </c>
      <c r="AA1032">
        <f>IF(AA1031&gt;1E-9,IF(AA1031*(1+$G$52)-MAX($B$9,0.01*AA1031+AA1031*$G$52)&gt;1E-9,AA1031*(1+$G$52)-MAX($B$9,0.01*AA1031+AA1031*$G$52),0),0)</f>
        <v/>
      </c>
      <c r="AB1032">
        <f>AA1031*$G$52</f>
        <v/>
      </c>
      <c r="AC1032">
        <f>IF(AC1031&gt;1E-9,IF(AC1031*(1+$G$53)-MAX($B$9,0.01*AC1031+AC1031*$G$53)&gt;1E-9,AC1031*(1+$G$53)-MAX($B$9,0.01*AC1031+AC1031*$G$53),0),0)</f>
        <v/>
      </c>
      <c r="AD1032">
        <f>AC1031*$G$53</f>
        <v/>
      </c>
      <c r="AE1032">
        <f>IF(AE1031&gt;1E-9,IF(AE1031*(1+$G$54)-MAX($B$9,0.01*AE1031+AE1031*$G$54)&gt;1E-9,AE1031*(1+$G$54)-MAX($B$9,0.01*AE1031+AE1031*$G$54),0),0)</f>
        <v/>
      </c>
      <c r="AF1032">
        <f>AE1031*$G$54</f>
        <v/>
      </c>
      <c r="AG1032">
        <f>IF(AG1031&gt;1E-9,IF(AG1031*(1+$G$55)-MAX($B$9,0.01*AG1031+AG1031*$G$55)&gt;1E-9,AG1031*(1+$G$55)-MAX($B$9,0.01*AG1031+AG1031*$G$55),0),0)</f>
        <v/>
      </c>
      <c r="AH1032">
        <f>AG1031*$G$55</f>
        <v/>
      </c>
      <c r="AI1032">
        <f>G1032+K1032+O1032+S1032+W1032</f>
        <v/>
      </c>
      <c r="AJ1032">
        <f>AI1031+AK1032-AI1032</f>
        <v/>
      </c>
      <c r="AK1032">
        <f>H1032+L1032+P1032+T1032+X1032</f>
        <v/>
      </c>
      <c r="AL1032">
        <f>TEXT(EDATE($B$5,D1032-1),"mmm yyyy")</f>
        <v/>
      </c>
      <c r="AM1032">
        <f>AI1032</f>
        <v/>
      </c>
    </row>
    <row r="1033">
      <c r="D1033" t="n">
        <v>972</v>
      </c>
      <c r="E1033">
        <f>IF(G1032&gt;0,MAX(0,G1032*(1+$G$51)-$H$51),0)</f>
        <v/>
      </c>
      <c r="F1033">
        <f>$B$6+IF($D1033=$B$8,$B$7,0)</f>
        <v/>
      </c>
      <c r="G1033">
        <f>IF(E1033-F1033&gt;1E-9,E1033-F1033,0)</f>
        <v/>
      </c>
      <c r="H1033">
        <f>G1032*$G$51</f>
        <v/>
      </c>
      <c r="I1033">
        <f>IF(K1032&gt;0,MAX(0,K1032*(1+$G$52)-$H$52),0)</f>
        <v/>
      </c>
      <c r="J1033">
        <f>MAX(0,F1033-E1033)</f>
        <v/>
      </c>
      <c r="K1033">
        <f>IF(I1033-J1033&gt;1E-9,I1033-J1033,0)</f>
        <v/>
      </c>
      <c r="L1033">
        <f>K1032*$G$52</f>
        <v/>
      </c>
      <c r="M1033">
        <f>IF(O1032&gt;0,MAX(0,O1032*(1+$G$53)-$H$53),0)</f>
        <v/>
      </c>
      <c r="N1033">
        <f>MAX(0,J1033-I1033)</f>
        <v/>
      </c>
      <c r="O1033">
        <f>IF(M1033-N1033&gt;1E-9,M1033-N1033,0)</f>
        <v/>
      </c>
      <c r="P1033">
        <f>O1032*$G$53</f>
        <v/>
      </c>
      <c r="Q1033">
        <f>IF(S1032&gt;0,MAX(0,S1032*(1+$G$54)-$H$54),0)</f>
        <v/>
      </c>
      <c r="R1033">
        <f>MAX(0,N1033-M1033)</f>
        <v/>
      </c>
      <c r="S1033">
        <f>IF(Q1033-R1033&gt;1E-9,Q1033-R1033,0)</f>
        <v/>
      </c>
      <c r="T1033">
        <f>S1032*$G$54</f>
        <v/>
      </c>
      <c r="U1033">
        <f>IF(W1032&gt;0,MAX(0,W1032*(1+$G$55)-$H$55),0)</f>
        <v/>
      </c>
      <c r="V1033">
        <f>MAX(0,R1033-Q1033)</f>
        <v/>
      </c>
      <c r="W1033">
        <f>IF(U1033-V1033&gt;1E-9,U1033-V1033,0)</f>
        <v/>
      </c>
      <c r="X1033">
        <f>W1032*$G$55</f>
        <v/>
      </c>
      <c r="Y1033">
        <f>IF(Y1032&gt;1E-9,IF(Y1032*(1+$G$51)-MAX($B$9,0.01*Y1032+Y1032*$G$51)&gt;1E-9,Y1032*(1+$G$51)-MAX($B$9,0.01*Y1032+Y1032*$G$51),0),0)</f>
        <v/>
      </c>
      <c r="Z1033">
        <f>Y1032*$G$51</f>
        <v/>
      </c>
      <c r="AA1033">
        <f>IF(AA1032&gt;1E-9,IF(AA1032*(1+$G$52)-MAX($B$9,0.01*AA1032+AA1032*$G$52)&gt;1E-9,AA1032*(1+$G$52)-MAX($B$9,0.01*AA1032+AA1032*$G$52),0),0)</f>
        <v/>
      </c>
      <c r="AB1033">
        <f>AA1032*$G$52</f>
        <v/>
      </c>
      <c r="AC1033">
        <f>IF(AC1032&gt;1E-9,IF(AC1032*(1+$G$53)-MAX($B$9,0.01*AC1032+AC1032*$G$53)&gt;1E-9,AC1032*(1+$G$53)-MAX($B$9,0.01*AC1032+AC1032*$G$53),0),0)</f>
        <v/>
      </c>
      <c r="AD1033">
        <f>AC1032*$G$53</f>
        <v/>
      </c>
      <c r="AE1033">
        <f>IF(AE1032&gt;1E-9,IF(AE1032*(1+$G$54)-MAX($B$9,0.01*AE1032+AE1032*$G$54)&gt;1E-9,AE1032*(1+$G$54)-MAX($B$9,0.01*AE1032+AE1032*$G$54),0),0)</f>
        <v/>
      </c>
      <c r="AF1033">
        <f>AE1032*$G$54</f>
        <v/>
      </c>
      <c r="AG1033">
        <f>IF(AG1032&gt;1E-9,IF(AG1032*(1+$G$55)-MAX($B$9,0.01*AG1032+AG1032*$G$55)&gt;1E-9,AG1032*(1+$G$55)-MAX($B$9,0.01*AG1032+AG1032*$G$55),0),0)</f>
        <v/>
      </c>
      <c r="AH1033">
        <f>AG1032*$G$55</f>
        <v/>
      </c>
      <c r="AI1033">
        <f>G1033+K1033+O1033+S1033+W1033</f>
        <v/>
      </c>
      <c r="AJ1033">
        <f>AI1032+AK1033-AI1033</f>
        <v/>
      </c>
      <c r="AK1033">
        <f>H1033+L1033+P1033+T1033+X1033</f>
        <v/>
      </c>
      <c r="AL1033">
        <f>TEXT(EDATE($B$5,D1033-1),"mmm yyyy")</f>
        <v/>
      </c>
      <c r="AM1033">
        <f>AI1033</f>
        <v/>
      </c>
    </row>
    <row r="1034">
      <c r="D1034" t="n">
        <v>973</v>
      </c>
      <c r="E1034">
        <f>IF(G1033&gt;0,MAX(0,G1033*(1+$G$51)-$H$51),0)</f>
        <v/>
      </c>
      <c r="F1034">
        <f>$B$6+IF($D1034=$B$8,$B$7,0)</f>
        <v/>
      </c>
      <c r="G1034">
        <f>IF(E1034-F1034&gt;1E-9,E1034-F1034,0)</f>
        <v/>
      </c>
      <c r="H1034">
        <f>G1033*$G$51</f>
        <v/>
      </c>
      <c r="I1034">
        <f>IF(K1033&gt;0,MAX(0,K1033*(1+$G$52)-$H$52),0)</f>
        <v/>
      </c>
      <c r="J1034">
        <f>MAX(0,F1034-E1034)</f>
        <v/>
      </c>
      <c r="K1034">
        <f>IF(I1034-J1034&gt;1E-9,I1034-J1034,0)</f>
        <v/>
      </c>
      <c r="L1034">
        <f>K1033*$G$52</f>
        <v/>
      </c>
      <c r="M1034">
        <f>IF(O1033&gt;0,MAX(0,O1033*(1+$G$53)-$H$53),0)</f>
        <v/>
      </c>
      <c r="N1034">
        <f>MAX(0,J1034-I1034)</f>
        <v/>
      </c>
      <c r="O1034">
        <f>IF(M1034-N1034&gt;1E-9,M1034-N1034,0)</f>
        <v/>
      </c>
      <c r="P1034">
        <f>O1033*$G$53</f>
        <v/>
      </c>
      <c r="Q1034">
        <f>IF(S1033&gt;0,MAX(0,S1033*(1+$G$54)-$H$54),0)</f>
        <v/>
      </c>
      <c r="R1034">
        <f>MAX(0,N1034-M1034)</f>
        <v/>
      </c>
      <c r="S1034">
        <f>IF(Q1034-R1034&gt;1E-9,Q1034-R1034,0)</f>
        <v/>
      </c>
      <c r="T1034">
        <f>S1033*$G$54</f>
        <v/>
      </c>
      <c r="U1034">
        <f>IF(W1033&gt;0,MAX(0,W1033*(1+$G$55)-$H$55),0)</f>
        <v/>
      </c>
      <c r="V1034">
        <f>MAX(0,R1034-Q1034)</f>
        <v/>
      </c>
      <c r="W1034">
        <f>IF(U1034-V1034&gt;1E-9,U1034-V1034,0)</f>
        <v/>
      </c>
      <c r="X1034">
        <f>W1033*$G$55</f>
        <v/>
      </c>
      <c r="Y1034">
        <f>IF(Y1033&gt;1E-9,IF(Y1033*(1+$G$51)-MAX($B$9,0.01*Y1033+Y1033*$G$51)&gt;1E-9,Y1033*(1+$G$51)-MAX($B$9,0.01*Y1033+Y1033*$G$51),0),0)</f>
        <v/>
      </c>
      <c r="Z1034">
        <f>Y1033*$G$51</f>
        <v/>
      </c>
      <c r="AA1034">
        <f>IF(AA1033&gt;1E-9,IF(AA1033*(1+$G$52)-MAX($B$9,0.01*AA1033+AA1033*$G$52)&gt;1E-9,AA1033*(1+$G$52)-MAX($B$9,0.01*AA1033+AA1033*$G$52),0),0)</f>
        <v/>
      </c>
      <c r="AB1034">
        <f>AA1033*$G$52</f>
        <v/>
      </c>
      <c r="AC1034">
        <f>IF(AC1033&gt;1E-9,IF(AC1033*(1+$G$53)-MAX($B$9,0.01*AC1033+AC1033*$G$53)&gt;1E-9,AC1033*(1+$G$53)-MAX($B$9,0.01*AC1033+AC1033*$G$53),0),0)</f>
        <v/>
      </c>
      <c r="AD1034">
        <f>AC1033*$G$53</f>
        <v/>
      </c>
      <c r="AE1034">
        <f>IF(AE1033&gt;1E-9,IF(AE1033*(1+$G$54)-MAX($B$9,0.01*AE1033+AE1033*$G$54)&gt;1E-9,AE1033*(1+$G$54)-MAX($B$9,0.01*AE1033+AE1033*$G$54),0),0)</f>
        <v/>
      </c>
      <c r="AF1034">
        <f>AE1033*$G$54</f>
        <v/>
      </c>
      <c r="AG1034">
        <f>IF(AG1033&gt;1E-9,IF(AG1033*(1+$G$55)-MAX($B$9,0.01*AG1033+AG1033*$G$55)&gt;1E-9,AG1033*(1+$G$55)-MAX($B$9,0.01*AG1033+AG1033*$G$55),0),0)</f>
        <v/>
      </c>
      <c r="AH1034">
        <f>AG1033*$G$55</f>
        <v/>
      </c>
      <c r="AI1034">
        <f>G1034+K1034+O1034+S1034+W1034</f>
        <v/>
      </c>
      <c r="AJ1034">
        <f>AI1033+AK1034-AI1034</f>
        <v/>
      </c>
      <c r="AK1034">
        <f>H1034+L1034+P1034+T1034+X1034</f>
        <v/>
      </c>
      <c r="AL1034">
        <f>TEXT(EDATE($B$5,D1034-1),"mmm yyyy")</f>
        <v/>
      </c>
      <c r="AM1034">
        <f>AI1034</f>
        <v/>
      </c>
    </row>
    <row r="1035">
      <c r="D1035" t="n">
        <v>974</v>
      </c>
      <c r="E1035">
        <f>IF(G1034&gt;0,MAX(0,G1034*(1+$G$51)-$H$51),0)</f>
        <v/>
      </c>
      <c r="F1035">
        <f>$B$6+IF($D1035=$B$8,$B$7,0)</f>
        <v/>
      </c>
      <c r="G1035">
        <f>IF(E1035-F1035&gt;1E-9,E1035-F1035,0)</f>
        <v/>
      </c>
      <c r="H1035">
        <f>G1034*$G$51</f>
        <v/>
      </c>
      <c r="I1035">
        <f>IF(K1034&gt;0,MAX(0,K1034*(1+$G$52)-$H$52),0)</f>
        <v/>
      </c>
      <c r="J1035">
        <f>MAX(0,F1035-E1035)</f>
        <v/>
      </c>
      <c r="K1035">
        <f>IF(I1035-J1035&gt;1E-9,I1035-J1035,0)</f>
        <v/>
      </c>
      <c r="L1035">
        <f>K1034*$G$52</f>
        <v/>
      </c>
      <c r="M1035">
        <f>IF(O1034&gt;0,MAX(0,O1034*(1+$G$53)-$H$53),0)</f>
        <v/>
      </c>
      <c r="N1035">
        <f>MAX(0,J1035-I1035)</f>
        <v/>
      </c>
      <c r="O1035">
        <f>IF(M1035-N1035&gt;1E-9,M1035-N1035,0)</f>
        <v/>
      </c>
      <c r="P1035">
        <f>O1034*$G$53</f>
        <v/>
      </c>
      <c r="Q1035">
        <f>IF(S1034&gt;0,MAX(0,S1034*(1+$G$54)-$H$54),0)</f>
        <v/>
      </c>
      <c r="R1035">
        <f>MAX(0,N1035-M1035)</f>
        <v/>
      </c>
      <c r="S1035">
        <f>IF(Q1035-R1035&gt;1E-9,Q1035-R1035,0)</f>
        <v/>
      </c>
      <c r="T1035">
        <f>S1034*$G$54</f>
        <v/>
      </c>
      <c r="U1035">
        <f>IF(W1034&gt;0,MAX(0,W1034*(1+$G$55)-$H$55),0)</f>
        <v/>
      </c>
      <c r="V1035">
        <f>MAX(0,R1035-Q1035)</f>
        <v/>
      </c>
      <c r="W1035">
        <f>IF(U1035-V1035&gt;1E-9,U1035-V1035,0)</f>
        <v/>
      </c>
      <c r="X1035">
        <f>W1034*$G$55</f>
        <v/>
      </c>
      <c r="Y1035">
        <f>IF(Y1034&gt;1E-9,IF(Y1034*(1+$G$51)-MAX($B$9,0.01*Y1034+Y1034*$G$51)&gt;1E-9,Y1034*(1+$G$51)-MAX($B$9,0.01*Y1034+Y1034*$G$51),0),0)</f>
        <v/>
      </c>
      <c r="Z1035">
        <f>Y1034*$G$51</f>
        <v/>
      </c>
      <c r="AA1035">
        <f>IF(AA1034&gt;1E-9,IF(AA1034*(1+$G$52)-MAX($B$9,0.01*AA1034+AA1034*$G$52)&gt;1E-9,AA1034*(1+$G$52)-MAX($B$9,0.01*AA1034+AA1034*$G$52),0),0)</f>
        <v/>
      </c>
      <c r="AB1035">
        <f>AA1034*$G$52</f>
        <v/>
      </c>
      <c r="AC1035">
        <f>IF(AC1034&gt;1E-9,IF(AC1034*(1+$G$53)-MAX($B$9,0.01*AC1034+AC1034*$G$53)&gt;1E-9,AC1034*(1+$G$53)-MAX($B$9,0.01*AC1034+AC1034*$G$53),0),0)</f>
        <v/>
      </c>
      <c r="AD1035">
        <f>AC1034*$G$53</f>
        <v/>
      </c>
      <c r="AE1035">
        <f>IF(AE1034&gt;1E-9,IF(AE1034*(1+$G$54)-MAX($B$9,0.01*AE1034+AE1034*$G$54)&gt;1E-9,AE1034*(1+$G$54)-MAX($B$9,0.01*AE1034+AE1034*$G$54),0),0)</f>
        <v/>
      </c>
      <c r="AF1035">
        <f>AE1034*$G$54</f>
        <v/>
      </c>
      <c r="AG1035">
        <f>IF(AG1034&gt;1E-9,IF(AG1034*(1+$G$55)-MAX($B$9,0.01*AG1034+AG1034*$G$55)&gt;1E-9,AG1034*(1+$G$55)-MAX($B$9,0.01*AG1034+AG1034*$G$55),0),0)</f>
        <v/>
      </c>
      <c r="AH1035">
        <f>AG1034*$G$55</f>
        <v/>
      </c>
      <c r="AI1035">
        <f>G1035+K1035+O1035+S1035+W1035</f>
        <v/>
      </c>
      <c r="AJ1035">
        <f>AI1034+AK1035-AI1035</f>
        <v/>
      </c>
      <c r="AK1035">
        <f>H1035+L1035+P1035+T1035+X1035</f>
        <v/>
      </c>
      <c r="AL1035">
        <f>TEXT(EDATE($B$5,D1035-1),"mmm yyyy")</f>
        <v/>
      </c>
      <c r="AM1035">
        <f>AI1035</f>
        <v/>
      </c>
    </row>
    <row r="1036">
      <c r="D1036" t="n">
        <v>975</v>
      </c>
      <c r="E1036">
        <f>IF(G1035&gt;0,MAX(0,G1035*(1+$G$51)-$H$51),0)</f>
        <v/>
      </c>
      <c r="F1036">
        <f>$B$6+IF($D1036=$B$8,$B$7,0)</f>
        <v/>
      </c>
      <c r="G1036">
        <f>IF(E1036-F1036&gt;1E-9,E1036-F1036,0)</f>
        <v/>
      </c>
      <c r="H1036">
        <f>G1035*$G$51</f>
        <v/>
      </c>
      <c r="I1036">
        <f>IF(K1035&gt;0,MAX(0,K1035*(1+$G$52)-$H$52),0)</f>
        <v/>
      </c>
      <c r="J1036">
        <f>MAX(0,F1036-E1036)</f>
        <v/>
      </c>
      <c r="K1036">
        <f>IF(I1036-J1036&gt;1E-9,I1036-J1036,0)</f>
        <v/>
      </c>
      <c r="L1036">
        <f>K1035*$G$52</f>
        <v/>
      </c>
      <c r="M1036">
        <f>IF(O1035&gt;0,MAX(0,O1035*(1+$G$53)-$H$53),0)</f>
        <v/>
      </c>
      <c r="N1036">
        <f>MAX(0,J1036-I1036)</f>
        <v/>
      </c>
      <c r="O1036">
        <f>IF(M1036-N1036&gt;1E-9,M1036-N1036,0)</f>
        <v/>
      </c>
      <c r="P1036">
        <f>O1035*$G$53</f>
        <v/>
      </c>
      <c r="Q1036">
        <f>IF(S1035&gt;0,MAX(0,S1035*(1+$G$54)-$H$54),0)</f>
        <v/>
      </c>
      <c r="R1036">
        <f>MAX(0,N1036-M1036)</f>
        <v/>
      </c>
      <c r="S1036">
        <f>IF(Q1036-R1036&gt;1E-9,Q1036-R1036,0)</f>
        <v/>
      </c>
      <c r="T1036">
        <f>S1035*$G$54</f>
        <v/>
      </c>
      <c r="U1036">
        <f>IF(W1035&gt;0,MAX(0,W1035*(1+$G$55)-$H$55),0)</f>
        <v/>
      </c>
      <c r="V1036">
        <f>MAX(0,R1036-Q1036)</f>
        <v/>
      </c>
      <c r="W1036">
        <f>IF(U1036-V1036&gt;1E-9,U1036-V1036,0)</f>
        <v/>
      </c>
      <c r="X1036">
        <f>W1035*$G$55</f>
        <v/>
      </c>
      <c r="Y1036">
        <f>IF(Y1035&gt;1E-9,IF(Y1035*(1+$G$51)-MAX($B$9,0.01*Y1035+Y1035*$G$51)&gt;1E-9,Y1035*(1+$G$51)-MAX($B$9,0.01*Y1035+Y1035*$G$51),0),0)</f>
        <v/>
      </c>
      <c r="Z1036">
        <f>Y1035*$G$51</f>
        <v/>
      </c>
      <c r="AA1036">
        <f>IF(AA1035&gt;1E-9,IF(AA1035*(1+$G$52)-MAX($B$9,0.01*AA1035+AA1035*$G$52)&gt;1E-9,AA1035*(1+$G$52)-MAX($B$9,0.01*AA1035+AA1035*$G$52),0),0)</f>
        <v/>
      </c>
      <c r="AB1036">
        <f>AA1035*$G$52</f>
        <v/>
      </c>
      <c r="AC1036">
        <f>IF(AC1035&gt;1E-9,IF(AC1035*(1+$G$53)-MAX($B$9,0.01*AC1035+AC1035*$G$53)&gt;1E-9,AC1035*(1+$G$53)-MAX($B$9,0.01*AC1035+AC1035*$G$53),0),0)</f>
        <v/>
      </c>
      <c r="AD1036">
        <f>AC1035*$G$53</f>
        <v/>
      </c>
      <c r="AE1036">
        <f>IF(AE1035&gt;1E-9,IF(AE1035*(1+$G$54)-MAX($B$9,0.01*AE1035+AE1035*$G$54)&gt;1E-9,AE1035*(1+$G$54)-MAX($B$9,0.01*AE1035+AE1035*$G$54),0),0)</f>
        <v/>
      </c>
      <c r="AF1036">
        <f>AE1035*$G$54</f>
        <v/>
      </c>
      <c r="AG1036">
        <f>IF(AG1035&gt;1E-9,IF(AG1035*(1+$G$55)-MAX($B$9,0.01*AG1035+AG1035*$G$55)&gt;1E-9,AG1035*(1+$G$55)-MAX($B$9,0.01*AG1035+AG1035*$G$55),0),0)</f>
        <v/>
      </c>
      <c r="AH1036">
        <f>AG1035*$G$55</f>
        <v/>
      </c>
      <c r="AI1036">
        <f>G1036+K1036+O1036+S1036+W1036</f>
        <v/>
      </c>
      <c r="AJ1036">
        <f>AI1035+AK1036-AI1036</f>
        <v/>
      </c>
      <c r="AK1036">
        <f>H1036+L1036+P1036+T1036+X1036</f>
        <v/>
      </c>
      <c r="AL1036">
        <f>TEXT(EDATE($B$5,D1036-1),"mmm yyyy")</f>
        <v/>
      </c>
      <c r="AM1036">
        <f>AI1036</f>
        <v/>
      </c>
    </row>
    <row r="1037">
      <c r="D1037" t="n">
        <v>976</v>
      </c>
      <c r="E1037">
        <f>IF(G1036&gt;0,MAX(0,G1036*(1+$G$51)-$H$51),0)</f>
        <v/>
      </c>
      <c r="F1037">
        <f>$B$6+IF($D1037=$B$8,$B$7,0)</f>
        <v/>
      </c>
      <c r="G1037">
        <f>IF(E1037-F1037&gt;1E-9,E1037-F1037,0)</f>
        <v/>
      </c>
      <c r="H1037">
        <f>G1036*$G$51</f>
        <v/>
      </c>
      <c r="I1037">
        <f>IF(K1036&gt;0,MAX(0,K1036*(1+$G$52)-$H$52),0)</f>
        <v/>
      </c>
      <c r="J1037">
        <f>MAX(0,F1037-E1037)</f>
        <v/>
      </c>
      <c r="K1037">
        <f>IF(I1037-J1037&gt;1E-9,I1037-J1037,0)</f>
        <v/>
      </c>
      <c r="L1037">
        <f>K1036*$G$52</f>
        <v/>
      </c>
      <c r="M1037">
        <f>IF(O1036&gt;0,MAX(0,O1036*(1+$G$53)-$H$53),0)</f>
        <v/>
      </c>
      <c r="N1037">
        <f>MAX(0,J1037-I1037)</f>
        <v/>
      </c>
      <c r="O1037">
        <f>IF(M1037-N1037&gt;1E-9,M1037-N1037,0)</f>
        <v/>
      </c>
      <c r="P1037">
        <f>O1036*$G$53</f>
        <v/>
      </c>
      <c r="Q1037">
        <f>IF(S1036&gt;0,MAX(0,S1036*(1+$G$54)-$H$54),0)</f>
        <v/>
      </c>
      <c r="R1037">
        <f>MAX(0,N1037-M1037)</f>
        <v/>
      </c>
      <c r="S1037">
        <f>IF(Q1037-R1037&gt;1E-9,Q1037-R1037,0)</f>
        <v/>
      </c>
      <c r="T1037">
        <f>S1036*$G$54</f>
        <v/>
      </c>
      <c r="U1037">
        <f>IF(W1036&gt;0,MAX(0,W1036*(1+$G$55)-$H$55),0)</f>
        <v/>
      </c>
      <c r="V1037">
        <f>MAX(0,R1037-Q1037)</f>
        <v/>
      </c>
      <c r="W1037">
        <f>IF(U1037-V1037&gt;1E-9,U1037-V1037,0)</f>
        <v/>
      </c>
      <c r="X1037">
        <f>W1036*$G$55</f>
        <v/>
      </c>
      <c r="Y1037">
        <f>IF(Y1036&gt;1E-9,IF(Y1036*(1+$G$51)-MAX($B$9,0.01*Y1036+Y1036*$G$51)&gt;1E-9,Y1036*(1+$G$51)-MAX($B$9,0.01*Y1036+Y1036*$G$51),0),0)</f>
        <v/>
      </c>
      <c r="Z1037">
        <f>Y1036*$G$51</f>
        <v/>
      </c>
      <c r="AA1037">
        <f>IF(AA1036&gt;1E-9,IF(AA1036*(1+$G$52)-MAX($B$9,0.01*AA1036+AA1036*$G$52)&gt;1E-9,AA1036*(1+$G$52)-MAX($B$9,0.01*AA1036+AA1036*$G$52),0),0)</f>
        <v/>
      </c>
      <c r="AB1037">
        <f>AA1036*$G$52</f>
        <v/>
      </c>
      <c r="AC1037">
        <f>IF(AC1036&gt;1E-9,IF(AC1036*(1+$G$53)-MAX($B$9,0.01*AC1036+AC1036*$G$53)&gt;1E-9,AC1036*(1+$G$53)-MAX($B$9,0.01*AC1036+AC1036*$G$53),0),0)</f>
        <v/>
      </c>
      <c r="AD1037">
        <f>AC1036*$G$53</f>
        <v/>
      </c>
      <c r="AE1037">
        <f>IF(AE1036&gt;1E-9,IF(AE1036*(1+$G$54)-MAX($B$9,0.01*AE1036+AE1036*$G$54)&gt;1E-9,AE1036*(1+$G$54)-MAX($B$9,0.01*AE1036+AE1036*$G$54),0),0)</f>
        <v/>
      </c>
      <c r="AF1037">
        <f>AE1036*$G$54</f>
        <v/>
      </c>
      <c r="AG1037">
        <f>IF(AG1036&gt;1E-9,IF(AG1036*(1+$G$55)-MAX($B$9,0.01*AG1036+AG1036*$G$55)&gt;1E-9,AG1036*(1+$G$55)-MAX($B$9,0.01*AG1036+AG1036*$G$55),0),0)</f>
        <v/>
      </c>
      <c r="AH1037">
        <f>AG1036*$G$55</f>
        <v/>
      </c>
      <c r="AI1037">
        <f>G1037+K1037+O1037+S1037+W1037</f>
        <v/>
      </c>
      <c r="AJ1037">
        <f>AI1036+AK1037-AI1037</f>
        <v/>
      </c>
      <c r="AK1037">
        <f>H1037+L1037+P1037+T1037+X1037</f>
        <v/>
      </c>
      <c r="AL1037">
        <f>TEXT(EDATE($B$5,D1037-1),"mmm yyyy")</f>
        <v/>
      </c>
      <c r="AM1037">
        <f>AI1037</f>
        <v/>
      </c>
    </row>
    <row r="1038">
      <c r="D1038" t="n">
        <v>977</v>
      </c>
      <c r="E1038">
        <f>IF(G1037&gt;0,MAX(0,G1037*(1+$G$51)-$H$51),0)</f>
        <v/>
      </c>
      <c r="F1038">
        <f>$B$6+IF($D1038=$B$8,$B$7,0)</f>
        <v/>
      </c>
      <c r="G1038">
        <f>IF(E1038-F1038&gt;1E-9,E1038-F1038,0)</f>
        <v/>
      </c>
      <c r="H1038">
        <f>G1037*$G$51</f>
        <v/>
      </c>
      <c r="I1038">
        <f>IF(K1037&gt;0,MAX(0,K1037*(1+$G$52)-$H$52),0)</f>
        <v/>
      </c>
      <c r="J1038">
        <f>MAX(0,F1038-E1038)</f>
        <v/>
      </c>
      <c r="K1038">
        <f>IF(I1038-J1038&gt;1E-9,I1038-J1038,0)</f>
        <v/>
      </c>
      <c r="L1038">
        <f>K1037*$G$52</f>
        <v/>
      </c>
      <c r="M1038">
        <f>IF(O1037&gt;0,MAX(0,O1037*(1+$G$53)-$H$53),0)</f>
        <v/>
      </c>
      <c r="N1038">
        <f>MAX(0,J1038-I1038)</f>
        <v/>
      </c>
      <c r="O1038">
        <f>IF(M1038-N1038&gt;1E-9,M1038-N1038,0)</f>
        <v/>
      </c>
      <c r="P1038">
        <f>O1037*$G$53</f>
        <v/>
      </c>
      <c r="Q1038">
        <f>IF(S1037&gt;0,MAX(0,S1037*(1+$G$54)-$H$54),0)</f>
        <v/>
      </c>
      <c r="R1038">
        <f>MAX(0,N1038-M1038)</f>
        <v/>
      </c>
      <c r="S1038">
        <f>IF(Q1038-R1038&gt;1E-9,Q1038-R1038,0)</f>
        <v/>
      </c>
      <c r="T1038">
        <f>S1037*$G$54</f>
        <v/>
      </c>
      <c r="U1038">
        <f>IF(W1037&gt;0,MAX(0,W1037*(1+$G$55)-$H$55),0)</f>
        <v/>
      </c>
      <c r="V1038">
        <f>MAX(0,R1038-Q1038)</f>
        <v/>
      </c>
      <c r="W1038">
        <f>IF(U1038-V1038&gt;1E-9,U1038-V1038,0)</f>
        <v/>
      </c>
      <c r="X1038">
        <f>W1037*$G$55</f>
        <v/>
      </c>
      <c r="Y1038">
        <f>IF(Y1037&gt;1E-9,IF(Y1037*(1+$G$51)-MAX($B$9,0.01*Y1037+Y1037*$G$51)&gt;1E-9,Y1037*(1+$G$51)-MAX($B$9,0.01*Y1037+Y1037*$G$51),0),0)</f>
        <v/>
      </c>
      <c r="Z1038">
        <f>Y1037*$G$51</f>
        <v/>
      </c>
      <c r="AA1038">
        <f>IF(AA1037&gt;1E-9,IF(AA1037*(1+$G$52)-MAX($B$9,0.01*AA1037+AA1037*$G$52)&gt;1E-9,AA1037*(1+$G$52)-MAX($B$9,0.01*AA1037+AA1037*$G$52),0),0)</f>
        <v/>
      </c>
      <c r="AB1038">
        <f>AA1037*$G$52</f>
        <v/>
      </c>
      <c r="AC1038">
        <f>IF(AC1037&gt;1E-9,IF(AC1037*(1+$G$53)-MAX($B$9,0.01*AC1037+AC1037*$G$53)&gt;1E-9,AC1037*(1+$G$53)-MAX($B$9,0.01*AC1037+AC1037*$G$53),0),0)</f>
        <v/>
      </c>
      <c r="AD1038">
        <f>AC1037*$G$53</f>
        <v/>
      </c>
      <c r="AE1038">
        <f>IF(AE1037&gt;1E-9,IF(AE1037*(1+$G$54)-MAX($B$9,0.01*AE1037+AE1037*$G$54)&gt;1E-9,AE1037*(1+$G$54)-MAX($B$9,0.01*AE1037+AE1037*$G$54),0),0)</f>
        <v/>
      </c>
      <c r="AF1038">
        <f>AE1037*$G$54</f>
        <v/>
      </c>
      <c r="AG1038">
        <f>IF(AG1037&gt;1E-9,IF(AG1037*(1+$G$55)-MAX($B$9,0.01*AG1037+AG1037*$G$55)&gt;1E-9,AG1037*(1+$G$55)-MAX($B$9,0.01*AG1037+AG1037*$G$55),0),0)</f>
        <v/>
      </c>
      <c r="AH1038">
        <f>AG1037*$G$55</f>
        <v/>
      </c>
      <c r="AI1038">
        <f>G1038+K1038+O1038+S1038+W1038</f>
        <v/>
      </c>
      <c r="AJ1038">
        <f>AI1037+AK1038-AI1038</f>
        <v/>
      </c>
      <c r="AK1038">
        <f>H1038+L1038+P1038+T1038+X1038</f>
        <v/>
      </c>
      <c r="AL1038">
        <f>TEXT(EDATE($B$5,D1038-1),"mmm yyyy")</f>
        <v/>
      </c>
      <c r="AM1038">
        <f>AI1038</f>
        <v/>
      </c>
    </row>
    <row r="1039">
      <c r="D1039" t="n">
        <v>978</v>
      </c>
      <c r="E1039">
        <f>IF(G1038&gt;0,MAX(0,G1038*(1+$G$51)-$H$51),0)</f>
        <v/>
      </c>
      <c r="F1039">
        <f>$B$6+IF($D1039=$B$8,$B$7,0)</f>
        <v/>
      </c>
      <c r="G1039">
        <f>IF(E1039-F1039&gt;1E-9,E1039-F1039,0)</f>
        <v/>
      </c>
      <c r="H1039">
        <f>G1038*$G$51</f>
        <v/>
      </c>
      <c r="I1039">
        <f>IF(K1038&gt;0,MAX(0,K1038*(1+$G$52)-$H$52),0)</f>
        <v/>
      </c>
      <c r="J1039">
        <f>MAX(0,F1039-E1039)</f>
        <v/>
      </c>
      <c r="K1039">
        <f>IF(I1039-J1039&gt;1E-9,I1039-J1039,0)</f>
        <v/>
      </c>
      <c r="L1039">
        <f>K1038*$G$52</f>
        <v/>
      </c>
      <c r="M1039">
        <f>IF(O1038&gt;0,MAX(0,O1038*(1+$G$53)-$H$53),0)</f>
        <v/>
      </c>
      <c r="N1039">
        <f>MAX(0,J1039-I1039)</f>
        <v/>
      </c>
      <c r="O1039">
        <f>IF(M1039-N1039&gt;1E-9,M1039-N1039,0)</f>
        <v/>
      </c>
      <c r="P1039">
        <f>O1038*$G$53</f>
        <v/>
      </c>
      <c r="Q1039">
        <f>IF(S1038&gt;0,MAX(0,S1038*(1+$G$54)-$H$54),0)</f>
        <v/>
      </c>
      <c r="R1039">
        <f>MAX(0,N1039-M1039)</f>
        <v/>
      </c>
      <c r="S1039">
        <f>IF(Q1039-R1039&gt;1E-9,Q1039-R1039,0)</f>
        <v/>
      </c>
      <c r="T1039">
        <f>S1038*$G$54</f>
        <v/>
      </c>
      <c r="U1039">
        <f>IF(W1038&gt;0,MAX(0,W1038*(1+$G$55)-$H$55),0)</f>
        <v/>
      </c>
      <c r="V1039">
        <f>MAX(0,R1039-Q1039)</f>
        <v/>
      </c>
      <c r="W1039">
        <f>IF(U1039-V1039&gt;1E-9,U1039-V1039,0)</f>
        <v/>
      </c>
      <c r="X1039">
        <f>W1038*$G$55</f>
        <v/>
      </c>
      <c r="Y1039">
        <f>IF(Y1038&gt;1E-9,IF(Y1038*(1+$G$51)-MAX($B$9,0.01*Y1038+Y1038*$G$51)&gt;1E-9,Y1038*(1+$G$51)-MAX($B$9,0.01*Y1038+Y1038*$G$51),0),0)</f>
        <v/>
      </c>
      <c r="Z1039">
        <f>Y1038*$G$51</f>
        <v/>
      </c>
      <c r="AA1039">
        <f>IF(AA1038&gt;1E-9,IF(AA1038*(1+$G$52)-MAX($B$9,0.01*AA1038+AA1038*$G$52)&gt;1E-9,AA1038*(1+$G$52)-MAX($B$9,0.01*AA1038+AA1038*$G$52),0),0)</f>
        <v/>
      </c>
      <c r="AB1039">
        <f>AA1038*$G$52</f>
        <v/>
      </c>
      <c r="AC1039">
        <f>IF(AC1038&gt;1E-9,IF(AC1038*(1+$G$53)-MAX($B$9,0.01*AC1038+AC1038*$G$53)&gt;1E-9,AC1038*(1+$G$53)-MAX($B$9,0.01*AC1038+AC1038*$G$53),0),0)</f>
        <v/>
      </c>
      <c r="AD1039">
        <f>AC1038*$G$53</f>
        <v/>
      </c>
      <c r="AE1039">
        <f>IF(AE1038&gt;1E-9,IF(AE1038*(1+$G$54)-MAX($B$9,0.01*AE1038+AE1038*$G$54)&gt;1E-9,AE1038*(1+$G$54)-MAX($B$9,0.01*AE1038+AE1038*$G$54),0),0)</f>
        <v/>
      </c>
      <c r="AF1039">
        <f>AE1038*$G$54</f>
        <v/>
      </c>
      <c r="AG1039">
        <f>IF(AG1038&gt;1E-9,IF(AG1038*(1+$G$55)-MAX($B$9,0.01*AG1038+AG1038*$G$55)&gt;1E-9,AG1038*(1+$G$55)-MAX($B$9,0.01*AG1038+AG1038*$G$55),0),0)</f>
        <v/>
      </c>
      <c r="AH1039">
        <f>AG1038*$G$55</f>
        <v/>
      </c>
      <c r="AI1039">
        <f>G1039+K1039+O1039+S1039+W1039</f>
        <v/>
      </c>
      <c r="AJ1039">
        <f>AI1038+AK1039-AI1039</f>
        <v/>
      </c>
      <c r="AK1039">
        <f>H1039+L1039+P1039+T1039+X1039</f>
        <v/>
      </c>
      <c r="AL1039">
        <f>TEXT(EDATE($B$5,D1039-1),"mmm yyyy")</f>
        <v/>
      </c>
      <c r="AM1039">
        <f>AI1039</f>
        <v/>
      </c>
    </row>
    <row r="1040">
      <c r="D1040" t="n">
        <v>979</v>
      </c>
      <c r="E1040">
        <f>IF(G1039&gt;0,MAX(0,G1039*(1+$G$51)-$H$51),0)</f>
        <v/>
      </c>
      <c r="F1040">
        <f>$B$6+IF($D1040=$B$8,$B$7,0)</f>
        <v/>
      </c>
      <c r="G1040">
        <f>IF(E1040-F1040&gt;1E-9,E1040-F1040,0)</f>
        <v/>
      </c>
      <c r="H1040">
        <f>G1039*$G$51</f>
        <v/>
      </c>
      <c r="I1040">
        <f>IF(K1039&gt;0,MAX(0,K1039*(1+$G$52)-$H$52),0)</f>
        <v/>
      </c>
      <c r="J1040">
        <f>MAX(0,F1040-E1040)</f>
        <v/>
      </c>
      <c r="K1040">
        <f>IF(I1040-J1040&gt;1E-9,I1040-J1040,0)</f>
        <v/>
      </c>
      <c r="L1040">
        <f>K1039*$G$52</f>
        <v/>
      </c>
      <c r="M1040">
        <f>IF(O1039&gt;0,MAX(0,O1039*(1+$G$53)-$H$53),0)</f>
        <v/>
      </c>
      <c r="N1040">
        <f>MAX(0,J1040-I1040)</f>
        <v/>
      </c>
      <c r="O1040">
        <f>IF(M1040-N1040&gt;1E-9,M1040-N1040,0)</f>
        <v/>
      </c>
      <c r="P1040">
        <f>O1039*$G$53</f>
        <v/>
      </c>
      <c r="Q1040">
        <f>IF(S1039&gt;0,MAX(0,S1039*(1+$G$54)-$H$54),0)</f>
        <v/>
      </c>
      <c r="R1040">
        <f>MAX(0,N1040-M1040)</f>
        <v/>
      </c>
      <c r="S1040">
        <f>IF(Q1040-R1040&gt;1E-9,Q1040-R1040,0)</f>
        <v/>
      </c>
      <c r="T1040">
        <f>S1039*$G$54</f>
        <v/>
      </c>
      <c r="U1040">
        <f>IF(W1039&gt;0,MAX(0,W1039*(1+$G$55)-$H$55),0)</f>
        <v/>
      </c>
      <c r="V1040">
        <f>MAX(0,R1040-Q1040)</f>
        <v/>
      </c>
      <c r="W1040">
        <f>IF(U1040-V1040&gt;1E-9,U1040-V1040,0)</f>
        <v/>
      </c>
      <c r="X1040">
        <f>W1039*$G$55</f>
        <v/>
      </c>
      <c r="Y1040">
        <f>IF(Y1039&gt;1E-9,IF(Y1039*(1+$G$51)-MAX($B$9,0.01*Y1039+Y1039*$G$51)&gt;1E-9,Y1039*(1+$G$51)-MAX($B$9,0.01*Y1039+Y1039*$G$51),0),0)</f>
        <v/>
      </c>
      <c r="Z1040">
        <f>Y1039*$G$51</f>
        <v/>
      </c>
      <c r="AA1040">
        <f>IF(AA1039&gt;1E-9,IF(AA1039*(1+$G$52)-MAX($B$9,0.01*AA1039+AA1039*$G$52)&gt;1E-9,AA1039*(1+$G$52)-MAX($B$9,0.01*AA1039+AA1039*$G$52),0),0)</f>
        <v/>
      </c>
      <c r="AB1040">
        <f>AA1039*$G$52</f>
        <v/>
      </c>
      <c r="AC1040">
        <f>IF(AC1039&gt;1E-9,IF(AC1039*(1+$G$53)-MAX($B$9,0.01*AC1039+AC1039*$G$53)&gt;1E-9,AC1039*(1+$G$53)-MAX($B$9,0.01*AC1039+AC1039*$G$53),0),0)</f>
        <v/>
      </c>
      <c r="AD1040">
        <f>AC1039*$G$53</f>
        <v/>
      </c>
      <c r="AE1040">
        <f>IF(AE1039&gt;1E-9,IF(AE1039*(1+$G$54)-MAX($B$9,0.01*AE1039+AE1039*$G$54)&gt;1E-9,AE1039*(1+$G$54)-MAX($B$9,0.01*AE1039+AE1039*$G$54),0),0)</f>
        <v/>
      </c>
      <c r="AF1040">
        <f>AE1039*$G$54</f>
        <v/>
      </c>
      <c r="AG1040">
        <f>IF(AG1039&gt;1E-9,IF(AG1039*(1+$G$55)-MAX($B$9,0.01*AG1039+AG1039*$G$55)&gt;1E-9,AG1039*(1+$G$55)-MAX($B$9,0.01*AG1039+AG1039*$G$55),0),0)</f>
        <v/>
      </c>
      <c r="AH1040">
        <f>AG1039*$G$55</f>
        <v/>
      </c>
      <c r="AI1040">
        <f>G1040+K1040+O1040+S1040+W1040</f>
        <v/>
      </c>
      <c r="AJ1040">
        <f>AI1039+AK1040-AI1040</f>
        <v/>
      </c>
      <c r="AK1040">
        <f>H1040+L1040+P1040+T1040+X1040</f>
        <v/>
      </c>
      <c r="AL1040">
        <f>TEXT(EDATE($B$5,D1040-1),"mmm yyyy")</f>
        <v/>
      </c>
      <c r="AM1040">
        <f>AI1040</f>
        <v/>
      </c>
    </row>
    <row r="1041">
      <c r="D1041" t="n">
        <v>980</v>
      </c>
      <c r="E1041">
        <f>IF(G1040&gt;0,MAX(0,G1040*(1+$G$51)-$H$51),0)</f>
        <v/>
      </c>
      <c r="F1041">
        <f>$B$6+IF($D1041=$B$8,$B$7,0)</f>
        <v/>
      </c>
      <c r="G1041">
        <f>IF(E1041-F1041&gt;1E-9,E1041-F1041,0)</f>
        <v/>
      </c>
      <c r="H1041">
        <f>G1040*$G$51</f>
        <v/>
      </c>
      <c r="I1041">
        <f>IF(K1040&gt;0,MAX(0,K1040*(1+$G$52)-$H$52),0)</f>
        <v/>
      </c>
      <c r="J1041">
        <f>MAX(0,F1041-E1041)</f>
        <v/>
      </c>
      <c r="K1041">
        <f>IF(I1041-J1041&gt;1E-9,I1041-J1041,0)</f>
        <v/>
      </c>
      <c r="L1041">
        <f>K1040*$G$52</f>
        <v/>
      </c>
      <c r="M1041">
        <f>IF(O1040&gt;0,MAX(0,O1040*(1+$G$53)-$H$53),0)</f>
        <v/>
      </c>
      <c r="N1041">
        <f>MAX(0,J1041-I1041)</f>
        <v/>
      </c>
      <c r="O1041">
        <f>IF(M1041-N1041&gt;1E-9,M1041-N1041,0)</f>
        <v/>
      </c>
      <c r="P1041">
        <f>O1040*$G$53</f>
        <v/>
      </c>
      <c r="Q1041">
        <f>IF(S1040&gt;0,MAX(0,S1040*(1+$G$54)-$H$54),0)</f>
        <v/>
      </c>
      <c r="R1041">
        <f>MAX(0,N1041-M1041)</f>
        <v/>
      </c>
      <c r="S1041">
        <f>IF(Q1041-R1041&gt;1E-9,Q1041-R1041,0)</f>
        <v/>
      </c>
      <c r="T1041">
        <f>S1040*$G$54</f>
        <v/>
      </c>
      <c r="U1041">
        <f>IF(W1040&gt;0,MAX(0,W1040*(1+$G$55)-$H$55),0)</f>
        <v/>
      </c>
      <c r="V1041">
        <f>MAX(0,R1041-Q1041)</f>
        <v/>
      </c>
      <c r="W1041">
        <f>IF(U1041-V1041&gt;1E-9,U1041-V1041,0)</f>
        <v/>
      </c>
      <c r="X1041">
        <f>W1040*$G$55</f>
        <v/>
      </c>
      <c r="Y1041">
        <f>IF(Y1040&gt;1E-9,IF(Y1040*(1+$G$51)-MAX($B$9,0.01*Y1040+Y1040*$G$51)&gt;1E-9,Y1040*(1+$G$51)-MAX($B$9,0.01*Y1040+Y1040*$G$51),0),0)</f>
        <v/>
      </c>
      <c r="Z1041">
        <f>Y1040*$G$51</f>
        <v/>
      </c>
      <c r="AA1041">
        <f>IF(AA1040&gt;1E-9,IF(AA1040*(1+$G$52)-MAX($B$9,0.01*AA1040+AA1040*$G$52)&gt;1E-9,AA1040*(1+$G$52)-MAX($B$9,0.01*AA1040+AA1040*$G$52),0),0)</f>
        <v/>
      </c>
      <c r="AB1041">
        <f>AA1040*$G$52</f>
        <v/>
      </c>
      <c r="AC1041">
        <f>IF(AC1040&gt;1E-9,IF(AC1040*(1+$G$53)-MAX($B$9,0.01*AC1040+AC1040*$G$53)&gt;1E-9,AC1040*(1+$G$53)-MAX($B$9,0.01*AC1040+AC1040*$G$53),0),0)</f>
        <v/>
      </c>
      <c r="AD1041">
        <f>AC1040*$G$53</f>
        <v/>
      </c>
      <c r="AE1041">
        <f>IF(AE1040&gt;1E-9,IF(AE1040*(1+$G$54)-MAX($B$9,0.01*AE1040+AE1040*$G$54)&gt;1E-9,AE1040*(1+$G$54)-MAX($B$9,0.01*AE1040+AE1040*$G$54),0),0)</f>
        <v/>
      </c>
      <c r="AF1041">
        <f>AE1040*$G$54</f>
        <v/>
      </c>
      <c r="AG1041">
        <f>IF(AG1040&gt;1E-9,IF(AG1040*(1+$G$55)-MAX($B$9,0.01*AG1040+AG1040*$G$55)&gt;1E-9,AG1040*(1+$G$55)-MAX($B$9,0.01*AG1040+AG1040*$G$55),0),0)</f>
        <v/>
      </c>
      <c r="AH1041">
        <f>AG1040*$G$55</f>
        <v/>
      </c>
      <c r="AI1041">
        <f>G1041+K1041+O1041+S1041+W1041</f>
        <v/>
      </c>
      <c r="AJ1041">
        <f>AI1040+AK1041-AI1041</f>
        <v/>
      </c>
      <c r="AK1041">
        <f>H1041+L1041+P1041+T1041+X1041</f>
        <v/>
      </c>
      <c r="AL1041">
        <f>TEXT(EDATE($B$5,D1041-1),"mmm yyyy")</f>
        <v/>
      </c>
      <c r="AM1041">
        <f>AI1041</f>
        <v/>
      </c>
    </row>
    <row r="1042">
      <c r="D1042" t="n">
        <v>981</v>
      </c>
      <c r="E1042">
        <f>IF(G1041&gt;0,MAX(0,G1041*(1+$G$51)-$H$51),0)</f>
        <v/>
      </c>
      <c r="F1042">
        <f>$B$6+IF($D1042=$B$8,$B$7,0)</f>
        <v/>
      </c>
      <c r="G1042">
        <f>IF(E1042-F1042&gt;1E-9,E1042-F1042,0)</f>
        <v/>
      </c>
      <c r="H1042">
        <f>G1041*$G$51</f>
        <v/>
      </c>
      <c r="I1042">
        <f>IF(K1041&gt;0,MAX(0,K1041*(1+$G$52)-$H$52),0)</f>
        <v/>
      </c>
      <c r="J1042">
        <f>MAX(0,F1042-E1042)</f>
        <v/>
      </c>
      <c r="K1042">
        <f>IF(I1042-J1042&gt;1E-9,I1042-J1042,0)</f>
        <v/>
      </c>
      <c r="L1042">
        <f>K1041*$G$52</f>
        <v/>
      </c>
      <c r="M1042">
        <f>IF(O1041&gt;0,MAX(0,O1041*(1+$G$53)-$H$53),0)</f>
        <v/>
      </c>
      <c r="N1042">
        <f>MAX(0,J1042-I1042)</f>
        <v/>
      </c>
      <c r="O1042">
        <f>IF(M1042-N1042&gt;1E-9,M1042-N1042,0)</f>
        <v/>
      </c>
      <c r="P1042">
        <f>O1041*$G$53</f>
        <v/>
      </c>
      <c r="Q1042">
        <f>IF(S1041&gt;0,MAX(0,S1041*(1+$G$54)-$H$54),0)</f>
        <v/>
      </c>
      <c r="R1042">
        <f>MAX(0,N1042-M1042)</f>
        <v/>
      </c>
      <c r="S1042">
        <f>IF(Q1042-R1042&gt;1E-9,Q1042-R1042,0)</f>
        <v/>
      </c>
      <c r="T1042">
        <f>S1041*$G$54</f>
        <v/>
      </c>
      <c r="U1042">
        <f>IF(W1041&gt;0,MAX(0,W1041*(1+$G$55)-$H$55),0)</f>
        <v/>
      </c>
      <c r="V1042">
        <f>MAX(0,R1042-Q1042)</f>
        <v/>
      </c>
      <c r="W1042">
        <f>IF(U1042-V1042&gt;1E-9,U1042-V1042,0)</f>
        <v/>
      </c>
      <c r="X1042">
        <f>W1041*$G$55</f>
        <v/>
      </c>
      <c r="Y1042">
        <f>IF(Y1041&gt;1E-9,IF(Y1041*(1+$G$51)-MAX($B$9,0.01*Y1041+Y1041*$G$51)&gt;1E-9,Y1041*(1+$G$51)-MAX($B$9,0.01*Y1041+Y1041*$G$51),0),0)</f>
        <v/>
      </c>
      <c r="Z1042">
        <f>Y1041*$G$51</f>
        <v/>
      </c>
      <c r="AA1042">
        <f>IF(AA1041&gt;1E-9,IF(AA1041*(1+$G$52)-MAX($B$9,0.01*AA1041+AA1041*$G$52)&gt;1E-9,AA1041*(1+$G$52)-MAX($B$9,0.01*AA1041+AA1041*$G$52),0),0)</f>
        <v/>
      </c>
      <c r="AB1042">
        <f>AA1041*$G$52</f>
        <v/>
      </c>
      <c r="AC1042">
        <f>IF(AC1041&gt;1E-9,IF(AC1041*(1+$G$53)-MAX($B$9,0.01*AC1041+AC1041*$G$53)&gt;1E-9,AC1041*(1+$G$53)-MAX($B$9,0.01*AC1041+AC1041*$G$53),0),0)</f>
        <v/>
      </c>
      <c r="AD1042">
        <f>AC1041*$G$53</f>
        <v/>
      </c>
      <c r="AE1042">
        <f>IF(AE1041&gt;1E-9,IF(AE1041*(1+$G$54)-MAX($B$9,0.01*AE1041+AE1041*$G$54)&gt;1E-9,AE1041*(1+$G$54)-MAX($B$9,0.01*AE1041+AE1041*$G$54),0),0)</f>
        <v/>
      </c>
      <c r="AF1042">
        <f>AE1041*$G$54</f>
        <v/>
      </c>
      <c r="AG1042">
        <f>IF(AG1041&gt;1E-9,IF(AG1041*(1+$G$55)-MAX($B$9,0.01*AG1041+AG1041*$G$55)&gt;1E-9,AG1041*(1+$G$55)-MAX($B$9,0.01*AG1041+AG1041*$G$55),0),0)</f>
        <v/>
      </c>
      <c r="AH1042">
        <f>AG1041*$G$55</f>
        <v/>
      </c>
      <c r="AI1042">
        <f>G1042+K1042+O1042+S1042+W1042</f>
        <v/>
      </c>
      <c r="AJ1042">
        <f>AI1041+AK1042-AI1042</f>
        <v/>
      </c>
      <c r="AK1042">
        <f>H1042+L1042+P1042+T1042+X1042</f>
        <v/>
      </c>
      <c r="AL1042">
        <f>TEXT(EDATE($B$5,D1042-1),"mmm yyyy")</f>
        <v/>
      </c>
      <c r="AM1042">
        <f>AI1042</f>
        <v/>
      </c>
    </row>
    <row r="1043">
      <c r="D1043" t="n">
        <v>982</v>
      </c>
      <c r="E1043">
        <f>IF(G1042&gt;0,MAX(0,G1042*(1+$G$51)-$H$51),0)</f>
        <v/>
      </c>
      <c r="F1043">
        <f>$B$6+IF($D1043=$B$8,$B$7,0)</f>
        <v/>
      </c>
      <c r="G1043">
        <f>IF(E1043-F1043&gt;1E-9,E1043-F1043,0)</f>
        <v/>
      </c>
      <c r="H1043">
        <f>G1042*$G$51</f>
        <v/>
      </c>
      <c r="I1043">
        <f>IF(K1042&gt;0,MAX(0,K1042*(1+$G$52)-$H$52),0)</f>
        <v/>
      </c>
      <c r="J1043">
        <f>MAX(0,F1043-E1043)</f>
        <v/>
      </c>
      <c r="K1043">
        <f>IF(I1043-J1043&gt;1E-9,I1043-J1043,0)</f>
        <v/>
      </c>
      <c r="L1043">
        <f>K1042*$G$52</f>
        <v/>
      </c>
      <c r="M1043">
        <f>IF(O1042&gt;0,MAX(0,O1042*(1+$G$53)-$H$53),0)</f>
        <v/>
      </c>
      <c r="N1043">
        <f>MAX(0,J1043-I1043)</f>
        <v/>
      </c>
      <c r="O1043">
        <f>IF(M1043-N1043&gt;1E-9,M1043-N1043,0)</f>
        <v/>
      </c>
      <c r="P1043">
        <f>O1042*$G$53</f>
        <v/>
      </c>
      <c r="Q1043">
        <f>IF(S1042&gt;0,MAX(0,S1042*(1+$G$54)-$H$54),0)</f>
        <v/>
      </c>
      <c r="R1043">
        <f>MAX(0,N1043-M1043)</f>
        <v/>
      </c>
      <c r="S1043">
        <f>IF(Q1043-R1043&gt;1E-9,Q1043-R1043,0)</f>
        <v/>
      </c>
      <c r="T1043">
        <f>S1042*$G$54</f>
        <v/>
      </c>
      <c r="U1043">
        <f>IF(W1042&gt;0,MAX(0,W1042*(1+$G$55)-$H$55),0)</f>
        <v/>
      </c>
      <c r="V1043">
        <f>MAX(0,R1043-Q1043)</f>
        <v/>
      </c>
      <c r="W1043">
        <f>IF(U1043-V1043&gt;1E-9,U1043-V1043,0)</f>
        <v/>
      </c>
      <c r="X1043">
        <f>W1042*$G$55</f>
        <v/>
      </c>
      <c r="Y1043">
        <f>IF(Y1042&gt;1E-9,IF(Y1042*(1+$G$51)-MAX($B$9,0.01*Y1042+Y1042*$G$51)&gt;1E-9,Y1042*(1+$G$51)-MAX($B$9,0.01*Y1042+Y1042*$G$51),0),0)</f>
        <v/>
      </c>
      <c r="Z1043">
        <f>Y1042*$G$51</f>
        <v/>
      </c>
      <c r="AA1043">
        <f>IF(AA1042&gt;1E-9,IF(AA1042*(1+$G$52)-MAX($B$9,0.01*AA1042+AA1042*$G$52)&gt;1E-9,AA1042*(1+$G$52)-MAX($B$9,0.01*AA1042+AA1042*$G$52),0),0)</f>
        <v/>
      </c>
      <c r="AB1043">
        <f>AA1042*$G$52</f>
        <v/>
      </c>
      <c r="AC1043">
        <f>IF(AC1042&gt;1E-9,IF(AC1042*(1+$G$53)-MAX($B$9,0.01*AC1042+AC1042*$G$53)&gt;1E-9,AC1042*(1+$G$53)-MAX($B$9,0.01*AC1042+AC1042*$G$53),0),0)</f>
        <v/>
      </c>
      <c r="AD1043">
        <f>AC1042*$G$53</f>
        <v/>
      </c>
      <c r="AE1043">
        <f>IF(AE1042&gt;1E-9,IF(AE1042*(1+$G$54)-MAX($B$9,0.01*AE1042+AE1042*$G$54)&gt;1E-9,AE1042*(1+$G$54)-MAX($B$9,0.01*AE1042+AE1042*$G$54),0),0)</f>
        <v/>
      </c>
      <c r="AF1043">
        <f>AE1042*$G$54</f>
        <v/>
      </c>
      <c r="AG1043">
        <f>IF(AG1042&gt;1E-9,IF(AG1042*(1+$G$55)-MAX($B$9,0.01*AG1042+AG1042*$G$55)&gt;1E-9,AG1042*(1+$G$55)-MAX($B$9,0.01*AG1042+AG1042*$G$55),0),0)</f>
        <v/>
      </c>
      <c r="AH1043">
        <f>AG1042*$G$55</f>
        <v/>
      </c>
      <c r="AI1043">
        <f>G1043+K1043+O1043+S1043+W1043</f>
        <v/>
      </c>
      <c r="AJ1043">
        <f>AI1042+AK1043-AI1043</f>
        <v/>
      </c>
      <c r="AK1043">
        <f>H1043+L1043+P1043+T1043+X1043</f>
        <v/>
      </c>
      <c r="AL1043">
        <f>TEXT(EDATE($B$5,D1043-1),"mmm yyyy")</f>
        <v/>
      </c>
      <c r="AM1043">
        <f>AI1043</f>
        <v/>
      </c>
    </row>
    <row r="1044">
      <c r="D1044" t="n">
        <v>983</v>
      </c>
      <c r="E1044">
        <f>IF(G1043&gt;0,MAX(0,G1043*(1+$G$51)-$H$51),0)</f>
        <v/>
      </c>
      <c r="F1044">
        <f>$B$6+IF($D1044=$B$8,$B$7,0)</f>
        <v/>
      </c>
      <c r="G1044">
        <f>IF(E1044-F1044&gt;1E-9,E1044-F1044,0)</f>
        <v/>
      </c>
      <c r="H1044">
        <f>G1043*$G$51</f>
        <v/>
      </c>
      <c r="I1044">
        <f>IF(K1043&gt;0,MAX(0,K1043*(1+$G$52)-$H$52),0)</f>
        <v/>
      </c>
      <c r="J1044">
        <f>MAX(0,F1044-E1044)</f>
        <v/>
      </c>
      <c r="K1044">
        <f>IF(I1044-J1044&gt;1E-9,I1044-J1044,0)</f>
        <v/>
      </c>
      <c r="L1044">
        <f>K1043*$G$52</f>
        <v/>
      </c>
      <c r="M1044">
        <f>IF(O1043&gt;0,MAX(0,O1043*(1+$G$53)-$H$53),0)</f>
        <v/>
      </c>
      <c r="N1044">
        <f>MAX(0,J1044-I1044)</f>
        <v/>
      </c>
      <c r="O1044">
        <f>IF(M1044-N1044&gt;1E-9,M1044-N1044,0)</f>
        <v/>
      </c>
      <c r="P1044">
        <f>O1043*$G$53</f>
        <v/>
      </c>
      <c r="Q1044">
        <f>IF(S1043&gt;0,MAX(0,S1043*(1+$G$54)-$H$54),0)</f>
        <v/>
      </c>
      <c r="R1044">
        <f>MAX(0,N1044-M1044)</f>
        <v/>
      </c>
      <c r="S1044">
        <f>IF(Q1044-R1044&gt;1E-9,Q1044-R1044,0)</f>
        <v/>
      </c>
      <c r="T1044">
        <f>S1043*$G$54</f>
        <v/>
      </c>
      <c r="U1044">
        <f>IF(W1043&gt;0,MAX(0,W1043*(1+$G$55)-$H$55),0)</f>
        <v/>
      </c>
      <c r="V1044">
        <f>MAX(0,R1044-Q1044)</f>
        <v/>
      </c>
      <c r="W1044">
        <f>IF(U1044-V1044&gt;1E-9,U1044-V1044,0)</f>
        <v/>
      </c>
      <c r="X1044">
        <f>W1043*$G$55</f>
        <v/>
      </c>
      <c r="Y1044">
        <f>IF(Y1043&gt;1E-9,IF(Y1043*(1+$G$51)-MAX($B$9,0.01*Y1043+Y1043*$G$51)&gt;1E-9,Y1043*(1+$G$51)-MAX($B$9,0.01*Y1043+Y1043*$G$51),0),0)</f>
        <v/>
      </c>
      <c r="Z1044">
        <f>Y1043*$G$51</f>
        <v/>
      </c>
      <c r="AA1044">
        <f>IF(AA1043&gt;1E-9,IF(AA1043*(1+$G$52)-MAX($B$9,0.01*AA1043+AA1043*$G$52)&gt;1E-9,AA1043*(1+$G$52)-MAX($B$9,0.01*AA1043+AA1043*$G$52),0),0)</f>
        <v/>
      </c>
      <c r="AB1044">
        <f>AA1043*$G$52</f>
        <v/>
      </c>
      <c r="AC1044">
        <f>IF(AC1043&gt;1E-9,IF(AC1043*(1+$G$53)-MAX($B$9,0.01*AC1043+AC1043*$G$53)&gt;1E-9,AC1043*(1+$G$53)-MAX($B$9,0.01*AC1043+AC1043*$G$53),0),0)</f>
        <v/>
      </c>
      <c r="AD1044">
        <f>AC1043*$G$53</f>
        <v/>
      </c>
      <c r="AE1044">
        <f>IF(AE1043&gt;1E-9,IF(AE1043*(1+$G$54)-MAX($B$9,0.01*AE1043+AE1043*$G$54)&gt;1E-9,AE1043*(1+$G$54)-MAX($B$9,0.01*AE1043+AE1043*$G$54),0),0)</f>
        <v/>
      </c>
      <c r="AF1044">
        <f>AE1043*$G$54</f>
        <v/>
      </c>
      <c r="AG1044">
        <f>IF(AG1043&gt;1E-9,IF(AG1043*(1+$G$55)-MAX($B$9,0.01*AG1043+AG1043*$G$55)&gt;1E-9,AG1043*(1+$G$55)-MAX($B$9,0.01*AG1043+AG1043*$G$55),0),0)</f>
        <v/>
      </c>
      <c r="AH1044">
        <f>AG1043*$G$55</f>
        <v/>
      </c>
      <c r="AI1044">
        <f>G1044+K1044+O1044+S1044+W1044</f>
        <v/>
      </c>
      <c r="AJ1044">
        <f>AI1043+AK1044-AI1044</f>
        <v/>
      </c>
      <c r="AK1044">
        <f>H1044+L1044+P1044+T1044+X1044</f>
        <v/>
      </c>
      <c r="AL1044">
        <f>TEXT(EDATE($B$5,D1044-1),"mmm yyyy")</f>
        <v/>
      </c>
      <c r="AM1044">
        <f>AI1044</f>
        <v/>
      </c>
    </row>
    <row r="1045">
      <c r="D1045" t="n">
        <v>984</v>
      </c>
      <c r="E1045">
        <f>IF(G1044&gt;0,MAX(0,G1044*(1+$G$51)-$H$51),0)</f>
        <v/>
      </c>
      <c r="F1045">
        <f>$B$6+IF($D1045=$B$8,$B$7,0)</f>
        <v/>
      </c>
      <c r="G1045">
        <f>IF(E1045-F1045&gt;1E-9,E1045-F1045,0)</f>
        <v/>
      </c>
      <c r="H1045">
        <f>G1044*$G$51</f>
        <v/>
      </c>
      <c r="I1045">
        <f>IF(K1044&gt;0,MAX(0,K1044*(1+$G$52)-$H$52),0)</f>
        <v/>
      </c>
      <c r="J1045">
        <f>MAX(0,F1045-E1045)</f>
        <v/>
      </c>
      <c r="K1045">
        <f>IF(I1045-J1045&gt;1E-9,I1045-J1045,0)</f>
        <v/>
      </c>
      <c r="L1045">
        <f>K1044*$G$52</f>
        <v/>
      </c>
      <c r="M1045">
        <f>IF(O1044&gt;0,MAX(0,O1044*(1+$G$53)-$H$53),0)</f>
        <v/>
      </c>
      <c r="N1045">
        <f>MAX(0,J1045-I1045)</f>
        <v/>
      </c>
      <c r="O1045">
        <f>IF(M1045-N1045&gt;1E-9,M1045-N1045,0)</f>
        <v/>
      </c>
      <c r="P1045">
        <f>O1044*$G$53</f>
        <v/>
      </c>
      <c r="Q1045">
        <f>IF(S1044&gt;0,MAX(0,S1044*(1+$G$54)-$H$54),0)</f>
        <v/>
      </c>
      <c r="R1045">
        <f>MAX(0,N1045-M1045)</f>
        <v/>
      </c>
      <c r="S1045">
        <f>IF(Q1045-R1045&gt;1E-9,Q1045-R1045,0)</f>
        <v/>
      </c>
      <c r="T1045">
        <f>S1044*$G$54</f>
        <v/>
      </c>
      <c r="U1045">
        <f>IF(W1044&gt;0,MAX(0,W1044*(1+$G$55)-$H$55),0)</f>
        <v/>
      </c>
      <c r="V1045">
        <f>MAX(0,R1045-Q1045)</f>
        <v/>
      </c>
      <c r="W1045">
        <f>IF(U1045-V1045&gt;1E-9,U1045-V1045,0)</f>
        <v/>
      </c>
      <c r="X1045">
        <f>W1044*$G$55</f>
        <v/>
      </c>
      <c r="Y1045">
        <f>IF(Y1044&gt;1E-9,IF(Y1044*(1+$G$51)-MAX($B$9,0.01*Y1044+Y1044*$G$51)&gt;1E-9,Y1044*(1+$G$51)-MAX($B$9,0.01*Y1044+Y1044*$G$51),0),0)</f>
        <v/>
      </c>
      <c r="Z1045">
        <f>Y1044*$G$51</f>
        <v/>
      </c>
      <c r="AA1045">
        <f>IF(AA1044&gt;1E-9,IF(AA1044*(1+$G$52)-MAX($B$9,0.01*AA1044+AA1044*$G$52)&gt;1E-9,AA1044*(1+$G$52)-MAX($B$9,0.01*AA1044+AA1044*$G$52),0),0)</f>
        <v/>
      </c>
      <c r="AB1045">
        <f>AA1044*$G$52</f>
        <v/>
      </c>
      <c r="AC1045">
        <f>IF(AC1044&gt;1E-9,IF(AC1044*(1+$G$53)-MAX($B$9,0.01*AC1044+AC1044*$G$53)&gt;1E-9,AC1044*(1+$G$53)-MAX($B$9,0.01*AC1044+AC1044*$G$53),0),0)</f>
        <v/>
      </c>
      <c r="AD1045">
        <f>AC1044*$G$53</f>
        <v/>
      </c>
      <c r="AE1045">
        <f>IF(AE1044&gt;1E-9,IF(AE1044*(1+$G$54)-MAX($B$9,0.01*AE1044+AE1044*$G$54)&gt;1E-9,AE1044*(1+$G$54)-MAX($B$9,0.01*AE1044+AE1044*$G$54),0),0)</f>
        <v/>
      </c>
      <c r="AF1045">
        <f>AE1044*$G$54</f>
        <v/>
      </c>
      <c r="AG1045">
        <f>IF(AG1044&gt;1E-9,IF(AG1044*(1+$G$55)-MAX($B$9,0.01*AG1044+AG1044*$G$55)&gt;1E-9,AG1044*(1+$G$55)-MAX($B$9,0.01*AG1044+AG1044*$G$55),0),0)</f>
        <v/>
      </c>
      <c r="AH1045">
        <f>AG1044*$G$55</f>
        <v/>
      </c>
      <c r="AI1045">
        <f>G1045+K1045+O1045+S1045+W1045</f>
        <v/>
      </c>
      <c r="AJ1045">
        <f>AI1044+AK1045-AI1045</f>
        <v/>
      </c>
      <c r="AK1045">
        <f>H1045+L1045+P1045+T1045+X1045</f>
        <v/>
      </c>
      <c r="AL1045">
        <f>TEXT(EDATE($B$5,D1045-1),"mmm yyyy")</f>
        <v/>
      </c>
      <c r="AM1045">
        <f>AI1045</f>
        <v/>
      </c>
    </row>
    <row r="1046">
      <c r="D1046" t="n">
        <v>985</v>
      </c>
      <c r="E1046">
        <f>IF(G1045&gt;0,MAX(0,G1045*(1+$G$51)-$H$51),0)</f>
        <v/>
      </c>
      <c r="F1046">
        <f>$B$6+IF($D1046=$B$8,$B$7,0)</f>
        <v/>
      </c>
      <c r="G1046">
        <f>IF(E1046-F1046&gt;1E-9,E1046-F1046,0)</f>
        <v/>
      </c>
      <c r="H1046">
        <f>G1045*$G$51</f>
        <v/>
      </c>
      <c r="I1046">
        <f>IF(K1045&gt;0,MAX(0,K1045*(1+$G$52)-$H$52),0)</f>
        <v/>
      </c>
      <c r="J1046">
        <f>MAX(0,F1046-E1046)</f>
        <v/>
      </c>
      <c r="K1046">
        <f>IF(I1046-J1046&gt;1E-9,I1046-J1046,0)</f>
        <v/>
      </c>
      <c r="L1046">
        <f>K1045*$G$52</f>
        <v/>
      </c>
      <c r="M1046">
        <f>IF(O1045&gt;0,MAX(0,O1045*(1+$G$53)-$H$53),0)</f>
        <v/>
      </c>
      <c r="N1046">
        <f>MAX(0,J1046-I1046)</f>
        <v/>
      </c>
      <c r="O1046">
        <f>IF(M1046-N1046&gt;1E-9,M1046-N1046,0)</f>
        <v/>
      </c>
      <c r="P1046">
        <f>O1045*$G$53</f>
        <v/>
      </c>
      <c r="Q1046">
        <f>IF(S1045&gt;0,MAX(0,S1045*(1+$G$54)-$H$54),0)</f>
        <v/>
      </c>
      <c r="R1046">
        <f>MAX(0,N1046-M1046)</f>
        <v/>
      </c>
      <c r="S1046">
        <f>IF(Q1046-R1046&gt;1E-9,Q1046-R1046,0)</f>
        <v/>
      </c>
      <c r="T1046">
        <f>S1045*$G$54</f>
        <v/>
      </c>
      <c r="U1046">
        <f>IF(W1045&gt;0,MAX(0,W1045*(1+$G$55)-$H$55),0)</f>
        <v/>
      </c>
      <c r="V1046">
        <f>MAX(0,R1046-Q1046)</f>
        <v/>
      </c>
      <c r="W1046">
        <f>IF(U1046-V1046&gt;1E-9,U1046-V1046,0)</f>
        <v/>
      </c>
      <c r="X1046">
        <f>W1045*$G$55</f>
        <v/>
      </c>
      <c r="Y1046">
        <f>IF(Y1045&gt;1E-9,IF(Y1045*(1+$G$51)-MAX($B$9,0.01*Y1045+Y1045*$G$51)&gt;1E-9,Y1045*(1+$G$51)-MAX($B$9,0.01*Y1045+Y1045*$G$51),0),0)</f>
        <v/>
      </c>
      <c r="Z1046">
        <f>Y1045*$G$51</f>
        <v/>
      </c>
      <c r="AA1046">
        <f>IF(AA1045&gt;1E-9,IF(AA1045*(1+$G$52)-MAX($B$9,0.01*AA1045+AA1045*$G$52)&gt;1E-9,AA1045*(1+$G$52)-MAX($B$9,0.01*AA1045+AA1045*$G$52),0),0)</f>
        <v/>
      </c>
      <c r="AB1046">
        <f>AA1045*$G$52</f>
        <v/>
      </c>
      <c r="AC1046">
        <f>IF(AC1045&gt;1E-9,IF(AC1045*(1+$G$53)-MAX($B$9,0.01*AC1045+AC1045*$G$53)&gt;1E-9,AC1045*(1+$G$53)-MAX($B$9,0.01*AC1045+AC1045*$G$53),0),0)</f>
        <v/>
      </c>
      <c r="AD1046">
        <f>AC1045*$G$53</f>
        <v/>
      </c>
      <c r="AE1046">
        <f>IF(AE1045&gt;1E-9,IF(AE1045*(1+$G$54)-MAX($B$9,0.01*AE1045+AE1045*$G$54)&gt;1E-9,AE1045*(1+$G$54)-MAX($B$9,0.01*AE1045+AE1045*$G$54),0),0)</f>
        <v/>
      </c>
      <c r="AF1046">
        <f>AE1045*$G$54</f>
        <v/>
      </c>
      <c r="AG1046">
        <f>IF(AG1045&gt;1E-9,IF(AG1045*(1+$G$55)-MAX($B$9,0.01*AG1045+AG1045*$G$55)&gt;1E-9,AG1045*(1+$G$55)-MAX($B$9,0.01*AG1045+AG1045*$G$55),0),0)</f>
        <v/>
      </c>
      <c r="AH1046">
        <f>AG1045*$G$55</f>
        <v/>
      </c>
      <c r="AI1046">
        <f>G1046+K1046+O1046+S1046+W1046</f>
        <v/>
      </c>
      <c r="AJ1046">
        <f>AI1045+AK1046-AI1046</f>
        <v/>
      </c>
      <c r="AK1046">
        <f>H1046+L1046+P1046+T1046+X1046</f>
        <v/>
      </c>
      <c r="AL1046">
        <f>TEXT(EDATE($B$5,D1046-1),"mmm yyyy")</f>
        <v/>
      </c>
      <c r="AM1046">
        <f>AI1046</f>
        <v/>
      </c>
    </row>
    <row r="1047">
      <c r="D1047" t="n">
        <v>986</v>
      </c>
      <c r="E1047">
        <f>IF(G1046&gt;0,MAX(0,G1046*(1+$G$51)-$H$51),0)</f>
        <v/>
      </c>
      <c r="F1047">
        <f>$B$6+IF($D1047=$B$8,$B$7,0)</f>
        <v/>
      </c>
      <c r="G1047">
        <f>IF(E1047-F1047&gt;1E-9,E1047-F1047,0)</f>
        <v/>
      </c>
      <c r="H1047">
        <f>G1046*$G$51</f>
        <v/>
      </c>
      <c r="I1047">
        <f>IF(K1046&gt;0,MAX(0,K1046*(1+$G$52)-$H$52),0)</f>
        <v/>
      </c>
      <c r="J1047">
        <f>MAX(0,F1047-E1047)</f>
        <v/>
      </c>
      <c r="K1047">
        <f>IF(I1047-J1047&gt;1E-9,I1047-J1047,0)</f>
        <v/>
      </c>
      <c r="L1047">
        <f>K1046*$G$52</f>
        <v/>
      </c>
      <c r="M1047">
        <f>IF(O1046&gt;0,MAX(0,O1046*(1+$G$53)-$H$53),0)</f>
        <v/>
      </c>
      <c r="N1047">
        <f>MAX(0,J1047-I1047)</f>
        <v/>
      </c>
      <c r="O1047">
        <f>IF(M1047-N1047&gt;1E-9,M1047-N1047,0)</f>
        <v/>
      </c>
      <c r="P1047">
        <f>O1046*$G$53</f>
        <v/>
      </c>
      <c r="Q1047">
        <f>IF(S1046&gt;0,MAX(0,S1046*(1+$G$54)-$H$54),0)</f>
        <v/>
      </c>
      <c r="R1047">
        <f>MAX(0,N1047-M1047)</f>
        <v/>
      </c>
      <c r="S1047">
        <f>IF(Q1047-R1047&gt;1E-9,Q1047-R1047,0)</f>
        <v/>
      </c>
      <c r="T1047">
        <f>S1046*$G$54</f>
        <v/>
      </c>
      <c r="U1047">
        <f>IF(W1046&gt;0,MAX(0,W1046*(1+$G$55)-$H$55),0)</f>
        <v/>
      </c>
      <c r="V1047">
        <f>MAX(0,R1047-Q1047)</f>
        <v/>
      </c>
      <c r="W1047">
        <f>IF(U1047-V1047&gt;1E-9,U1047-V1047,0)</f>
        <v/>
      </c>
      <c r="X1047">
        <f>W1046*$G$55</f>
        <v/>
      </c>
      <c r="Y1047">
        <f>IF(Y1046&gt;1E-9,IF(Y1046*(1+$G$51)-MAX($B$9,0.01*Y1046+Y1046*$G$51)&gt;1E-9,Y1046*(1+$G$51)-MAX($B$9,0.01*Y1046+Y1046*$G$51),0),0)</f>
        <v/>
      </c>
      <c r="Z1047">
        <f>Y1046*$G$51</f>
        <v/>
      </c>
      <c r="AA1047">
        <f>IF(AA1046&gt;1E-9,IF(AA1046*(1+$G$52)-MAX($B$9,0.01*AA1046+AA1046*$G$52)&gt;1E-9,AA1046*(1+$G$52)-MAX($B$9,0.01*AA1046+AA1046*$G$52),0),0)</f>
        <v/>
      </c>
      <c r="AB1047">
        <f>AA1046*$G$52</f>
        <v/>
      </c>
      <c r="AC1047">
        <f>IF(AC1046&gt;1E-9,IF(AC1046*(1+$G$53)-MAX($B$9,0.01*AC1046+AC1046*$G$53)&gt;1E-9,AC1046*(1+$G$53)-MAX($B$9,0.01*AC1046+AC1046*$G$53),0),0)</f>
        <v/>
      </c>
      <c r="AD1047">
        <f>AC1046*$G$53</f>
        <v/>
      </c>
      <c r="AE1047">
        <f>IF(AE1046&gt;1E-9,IF(AE1046*(1+$G$54)-MAX($B$9,0.01*AE1046+AE1046*$G$54)&gt;1E-9,AE1046*(1+$G$54)-MAX($B$9,0.01*AE1046+AE1046*$G$54),0),0)</f>
        <v/>
      </c>
      <c r="AF1047">
        <f>AE1046*$G$54</f>
        <v/>
      </c>
      <c r="AG1047">
        <f>IF(AG1046&gt;1E-9,IF(AG1046*(1+$G$55)-MAX($B$9,0.01*AG1046+AG1046*$G$55)&gt;1E-9,AG1046*(1+$G$55)-MAX($B$9,0.01*AG1046+AG1046*$G$55),0),0)</f>
        <v/>
      </c>
      <c r="AH1047">
        <f>AG1046*$G$55</f>
        <v/>
      </c>
      <c r="AI1047">
        <f>G1047+K1047+O1047+S1047+W1047</f>
        <v/>
      </c>
      <c r="AJ1047">
        <f>AI1046+AK1047-AI1047</f>
        <v/>
      </c>
      <c r="AK1047">
        <f>H1047+L1047+P1047+T1047+X1047</f>
        <v/>
      </c>
      <c r="AL1047">
        <f>TEXT(EDATE($B$5,D1047-1),"mmm yyyy")</f>
        <v/>
      </c>
      <c r="AM1047">
        <f>AI1047</f>
        <v/>
      </c>
    </row>
    <row r="1048">
      <c r="D1048" t="n">
        <v>987</v>
      </c>
      <c r="E1048">
        <f>IF(G1047&gt;0,MAX(0,G1047*(1+$G$51)-$H$51),0)</f>
        <v/>
      </c>
      <c r="F1048">
        <f>$B$6+IF($D1048=$B$8,$B$7,0)</f>
        <v/>
      </c>
      <c r="G1048">
        <f>IF(E1048-F1048&gt;1E-9,E1048-F1048,0)</f>
        <v/>
      </c>
      <c r="H1048">
        <f>G1047*$G$51</f>
        <v/>
      </c>
      <c r="I1048">
        <f>IF(K1047&gt;0,MAX(0,K1047*(1+$G$52)-$H$52),0)</f>
        <v/>
      </c>
      <c r="J1048">
        <f>MAX(0,F1048-E1048)</f>
        <v/>
      </c>
      <c r="K1048">
        <f>IF(I1048-J1048&gt;1E-9,I1048-J1048,0)</f>
        <v/>
      </c>
      <c r="L1048">
        <f>K1047*$G$52</f>
        <v/>
      </c>
      <c r="M1048">
        <f>IF(O1047&gt;0,MAX(0,O1047*(1+$G$53)-$H$53),0)</f>
        <v/>
      </c>
      <c r="N1048">
        <f>MAX(0,J1048-I1048)</f>
        <v/>
      </c>
      <c r="O1048">
        <f>IF(M1048-N1048&gt;1E-9,M1048-N1048,0)</f>
        <v/>
      </c>
      <c r="P1048">
        <f>O1047*$G$53</f>
        <v/>
      </c>
      <c r="Q1048">
        <f>IF(S1047&gt;0,MAX(0,S1047*(1+$G$54)-$H$54),0)</f>
        <v/>
      </c>
      <c r="R1048">
        <f>MAX(0,N1048-M1048)</f>
        <v/>
      </c>
      <c r="S1048">
        <f>IF(Q1048-R1048&gt;1E-9,Q1048-R1048,0)</f>
        <v/>
      </c>
      <c r="T1048">
        <f>S1047*$G$54</f>
        <v/>
      </c>
      <c r="U1048">
        <f>IF(W1047&gt;0,MAX(0,W1047*(1+$G$55)-$H$55),0)</f>
        <v/>
      </c>
      <c r="V1048">
        <f>MAX(0,R1048-Q1048)</f>
        <v/>
      </c>
      <c r="W1048">
        <f>IF(U1048-V1048&gt;1E-9,U1048-V1048,0)</f>
        <v/>
      </c>
      <c r="X1048">
        <f>W1047*$G$55</f>
        <v/>
      </c>
      <c r="Y1048">
        <f>IF(Y1047&gt;1E-9,IF(Y1047*(1+$G$51)-MAX($B$9,0.01*Y1047+Y1047*$G$51)&gt;1E-9,Y1047*(1+$G$51)-MAX($B$9,0.01*Y1047+Y1047*$G$51),0),0)</f>
        <v/>
      </c>
      <c r="Z1048">
        <f>Y1047*$G$51</f>
        <v/>
      </c>
      <c r="AA1048">
        <f>IF(AA1047&gt;1E-9,IF(AA1047*(1+$G$52)-MAX($B$9,0.01*AA1047+AA1047*$G$52)&gt;1E-9,AA1047*(1+$G$52)-MAX($B$9,0.01*AA1047+AA1047*$G$52),0),0)</f>
        <v/>
      </c>
      <c r="AB1048">
        <f>AA1047*$G$52</f>
        <v/>
      </c>
      <c r="AC1048">
        <f>IF(AC1047&gt;1E-9,IF(AC1047*(1+$G$53)-MAX($B$9,0.01*AC1047+AC1047*$G$53)&gt;1E-9,AC1047*(1+$G$53)-MAX($B$9,0.01*AC1047+AC1047*$G$53),0),0)</f>
        <v/>
      </c>
      <c r="AD1048">
        <f>AC1047*$G$53</f>
        <v/>
      </c>
      <c r="AE1048">
        <f>IF(AE1047&gt;1E-9,IF(AE1047*(1+$G$54)-MAX($B$9,0.01*AE1047+AE1047*$G$54)&gt;1E-9,AE1047*(1+$G$54)-MAX($B$9,0.01*AE1047+AE1047*$G$54),0),0)</f>
        <v/>
      </c>
      <c r="AF1048">
        <f>AE1047*$G$54</f>
        <v/>
      </c>
      <c r="AG1048">
        <f>IF(AG1047&gt;1E-9,IF(AG1047*(1+$G$55)-MAX($B$9,0.01*AG1047+AG1047*$G$55)&gt;1E-9,AG1047*(1+$G$55)-MAX($B$9,0.01*AG1047+AG1047*$G$55),0),0)</f>
        <v/>
      </c>
      <c r="AH1048">
        <f>AG1047*$G$55</f>
        <v/>
      </c>
      <c r="AI1048">
        <f>G1048+K1048+O1048+S1048+W1048</f>
        <v/>
      </c>
      <c r="AJ1048">
        <f>AI1047+AK1048-AI1048</f>
        <v/>
      </c>
      <c r="AK1048">
        <f>H1048+L1048+P1048+T1048+X1048</f>
        <v/>
      </c>
      <c r="AL1048">
        <f>TEXT(EDATE($B$5,D1048-1),"mmm yyyy")</f>
        <v/>
      </c>
      <c r="AM1048">
        <f>AI1048</f>
        <v/>
      </c>
    </row>
    <row r="1049">
      <c r="D1049" t="n">
        <v>988</v>
      </c>
      <c r="E1049">
        <f>IF(G1048&gt;0,MAX(0,G1048*(1+$G$51)-$H$51),0)</f>
        <v/>
      </c>
      <c r="F1049">
        <f>$B$6+IF($D1049=$B$8,$B$7,0)</f>
        <v/>
      </c>
      <c r="G1049">
        <f>IF(E1049-F1049&gt;1E-9,E1049-F1049,0)</f>
        <v/>
      </c>
      <c r="H1049">
        <f>G1048*$G$51</f>
        <v/>
      </c>
      <c r="I1049">
        <f>IF(K1048&gt;0,MAX(0,K1048*(1+$G$52)-$H$52),0)</f>
        <v/>
      </c>
      <c r="J1049">
        <f>MAX(0,F1049-E1049)</f>
        <v/>
      </c>
      <c r="K1049">
        <f>IF(I1049-J1049&gt;1E-9,I1049-J1049,0)</f>
        <v/>
      </c>
      <c r="L1049">
        <f>K1048*$G$52</f>
        <v/>
      </c>
      <c r="M1049">
        <f>IF(O1048&gt;0,MAX(0,O1048*(1+$G$53)-$H$53),0)</f>
        <v/>
      </c>
      <c r="N1049">
        <f>MAX(0,J1049-I1049)</f>
        <v/>
      </c>
      <c r="O1049">
        <f>IF(M1049-N1049&gt;1E-9,M1049-N1049,0)</f>
        <v/>
      </c>
      <c r="P1049">
        <f>O1048*$G$53</f>
        <v/>
      </c>
      <c r="Q1049">
        <f>IF(S1048&gt;0,MAX(0,S1048*(1+$G$54)-$H$54),0)</f>
        <v/>
      </c>
      <c r="R1049">
        <f>MAX(0,N1049-M1049)</f>
        <v/>
      </c>
      <c r="S1049">
        <f>IF(Q1049-R1049&gt;1E-9,Q1049-R1049,0)</f>
        <v/>
      </c>
      <c r="T1049">
        <f>S1048*$G$54</f>
        <v/>
      </c>
      <c r="U1049">
        <f>IF(W1048&gt;0,MAX(0,W1048*(1+$G$55)-$H$55),0)</f>
        <v/>
      </c>
      <c r="V1049">
        <f>MAX(0,R1049-Q1049)</f>
        <v/>
      </c>
      <c r="W1049">
        <f>IF(U1049-V1049&gt;1E-9,U1049-V1049,0)</f>
        <v/>
      </c>
      <c r="X1049">
        <f>W1048*$G$55</f>
        <v/>
      </c>
      <c r="Y1049">
        <f>IF(Y1048&gt;1E-9,IF(Y1048*(1+$G$51)-MAX($B$9,0.01*Y1048+Y1048*$G$51)&gt;1E-9,Y1048*(1+$G$51)-MAX($B$9,0.01*Y1048+Y1048*$G$51),0),0)</f>
        <v/>
      </c>
      <c r="Z1049">
        <f>Y1048*$G$51</f>
        <v/>
      </c>
      <c r="AA1049">
        <f>IF(AA1048&gt;1E-9,IF(AA1048*(1+$G$52)-MAX($B$9,0.01*AA1048+AA1048*$G$52)&gt;1E-9,AA1048*(1+$G$52)-MAX($B$9,0.01*AA1048+AA1048*$G$52),0),0)</f>
        <v/>
      </c>
      <c r="AB1049">
        <f>AA1048*$G$52</f>
        <v/>
      </c>
      <c r="AC1049">
        <f>IF(AC1048&gt;1E-9,IF(AC1048*(1+$G$53)-MAX($B$9,0.01*AC1048+AC1048*$G$53)&gt;1E-9,AC1048*(1+$G$53)-MAX($B$9,0.01*AC1048+AC1048*$G$53),0),0)</f>
        <v/>
      </c>
      <c r="AD1049">
        <f>AC1048*$G$53</f>
        <v/>
      </c>
      <c r="AE1049">
        <f>IF(AE1048&gt;1E-9,IF(AE1048*(1+$G$54)-MAX($B$9,0.01*AE1048+AE1048*$G$54)&gt;1E-9,AE1048*(1+$G$54)-MAX($B$9,0.01*AE1048+AE1048*$G$54),0),0)</f>
        <v/>
      </c>
      <c r="AF1049">
        <f>AE1048*$G$54</f>
        <v/>
      </c>
      <c r="AG1049">
        <f>IF(AG1048&gt;1E-9,IF(AG1048*(1+$G$55)-MAX($B$9,0.01*AG1048+AG1048*$G$55)&gt;1E-9,AG1048*(1+$G$55)-MAX($B$9,0.01*AG1048+AG1048*$G$55),0),0)</f>
        <v/>
      </c>
      <c r="AH1049">
        <f>AG1048*$G$55</f>
        <v/>
      </c>
      <c r="AI1049">
        <f>G1049+K1049+O1049+S1049+W1049</f>
        <v/>
      </c>
      <c r="AJ1049">
        <f>AI1048+AK1049-AI1049</f>
        <v/>
      </c>
      <c r="AK1049">
        <f>H1049+L1049+P1049+T1049+X1049</f>
        <v/>
      </c>
      <c r="AL1049">
        <f>TEXT(EDATE($B$5,D1049-1),"mmm yyyy")</f>
        <v/>
      </c>
      <c r="AM1049">
        <f>AI1049</f>
        <v/>
      </c>
    </row>
    <row r="1050">
      <c r="D1050" t="n">
        <v>989</v>
      </c>
      <c r="E1050">
        <f>IF(G1049&gt;0,MAX(0,G1049*(1+$G$51)-$H$51),0)</f>
        <v/>
      </c>
      <c r="F1050">
        <f>$B$6+IF($D1050=$B$8,$B$7,0)</f>
        <v/>
      </c>
      <c r="G1050">
        <f>IF(E1050-F1050&gt;1E-9,E1050-F1050,0)</f>
        <v/>
      </c>
      <c r="H1050">
        <f>G1049*$G$51</f>
        <v/>
      </c>
      <c r="I1050">
        <f>IF(K1049&gt;0,MAX(0,K1049*(1+$G$52)-$H$52),0)</f>
        <v/>
      </c>
      <c r="J1050">
        <f>MAX(0,F1050-E1050)</f>
        <v/>
      </c>
      <c r="K1050">
        <f>IF(I1050-J1050&gt;1E-9,I1050-J1050,0)</f>
        <v/>
      </c>
      <c r="L1050">
        <f>K1049*$G$52</f>
        <v/>
      </c>
      <c r="M1050">
        <f>IF(O1049&gt;0,MAX(0,O1049*(1+$G$53)-$H$53),0)</f>
        <v/>
      </c>
      <c r="N1050">
        <f>MAX(0,J1050-I1050)</f>
        <v/>
      </c>
      <c r="O1050">
        <f>IF(M1050-N1050&gt;1E-9,M1050-N1050,0)</f>
        <v/>
      </c>
      <c r="P1050">
        <f>O1049*$G$53</f>
        <v/>
      </c>
      <c r="Q1050">
        <f>IF(S1049&gt;0,MAX(0,S1049*(1+$G$54)-$H$54),0)</f>
        <v/>
      </c>
      <c r="R1050">
        <f>MAX(0,N1050-M1050)</f>
        <v/>
      </c>
      <c r="S1050">
        <f>IF(Q1050-R1050&gt;1E-9,Q1050-R1050,0)</f>
        <v/>
      </c>
      <c r="T1050">
        <f>S1049*$G$54</f>
        <v/>
      </c>
      <c r="U1050">
        <f>IF(W1049&gt;0,MAX(0,W1049*(1+$G$55)-$H$55),0)</f>
        <v/>
      </c>
      <c r="V1050">
        <f>MAX(0,R1050-Q1050)</f>
        <v/>
      </c>
      <c r="W1050">
        <f>IF(U1050-V1050&gt;1E-9,U1050-V1050,0)</f>
        <v/>
      </c>
      <c r="X1050">
        <f>W1049*$G$55</f>
        <v/>
      </c>
      <c r="Y1050">
        <f>IF(Y1049&gt;1E-9,IF(Y1049*(1+$G$51)-MAX($B$9,0.01*Y1049+Y1049*$G$51)&gt;1E-9,Y1049*(1+$G$51)-MAX($B$9,0.01*Y1049+Y1049*$G$51),0),0)</f>
        <v/>
      </c>
      <c r="Z1050">
        <f>Y1049*$G$51</f>
        <v/>
      </c>
      <c r="AA1050">
        <f>IF(AA1049&gt;1E-9,IF(AA1049*(1+$G$52)-MAX($B$9,0.01*AA1049+AA1049*$G$52)&gt;1E-9,AA1049*(1+$G$52)-MAX($B$9,0.01*AA1049+AA1049*$G$52),0),0)</f>
        <v/>
      </c>
      <c r="AB1050">
        <f>AA1049*$G$52</f>
        <v/>
      </c>
      <c r="AC1050">
        <f>IF(AC1049&gt;1E-9,IF(AC1049*(1+$G$53)-MAX($B$9,0.01*AC1049+AC1049*$G$53)&gt;1E-9,AC1049*(1+$G$53)-MAX($B$9,0.01*AC1049+AC1049*$G$53),0),0)</f>
        <v/>
      </c>
      <c r="AD1050">
        <f>AC1049*$G$53</f>
        <v/>
      </c>
      <c r="AE1050">
        <f>IF(AE1049&gt;1E-9,IF(AE1049*(1+$G$54)-MAX($B$9,0.01*AE1049+AE1049*$G$54)&gt;1E-9,AE1049*(1+$G$54)-MAX($B$9,0.01*AE1049+AE1049*$G$54),0),0)</f>
        <v/>
      </c>
      <c r="AF1050">
        <f>AE1049*$G$54</f>
        <v/>
      </c>
      <c r="AG1050">
        <f>IF(AG1049&gt;1E-9,IF(AG1049*(1+$G$55)-MAX($B$9,0.01*AG1049+AG1049*$G$55)&gt;1E-9,AG1049*(1+$G$55)-MAX($B$9,0.01*AG1049+AG1049*$G$55),0),0)</f>
        <v/>
      </c>
      <c r="AH1050">
        <f>AG1049*$G$55</f>
        <v/>
      </c>
      <c r="AI1050">
        <f>G1050+K1050+O1050+S1050+W1050</f>
        <v/>
      </c>
      <c r="AJ1050">
        <f>AI1049+AK1050-AI1050</f>
        <v/>
      </c>
      <c r="AK1050">
        <f>H1050+L1050+P1050+T1050+X1050</f>
        <v/>
      </c>
      <c r="AL1050">
        <f>TEXT(EDATE($B$5,D1050-1),"mmm yyyy")</f>
        <v/>
      </c>
      <c r="AM1050">
        <f>AI1050</f>
        <v/>
      </c>
    </row>
    <row r="1051">
      <c r="D1051" t="n">
        <v>990</v>
      </c>
      <c r="E1051">
        <f>IF(G1050&gt;0,MAX(0,G1050*(1+$G$51)-$H$51),0)</f>
        <v/>
      </c>
      <c r="F1051">
        <f>$B$6+IF($D1051=$B$8,$B$7,0)</f>
        <v/>
      </c>
      <c r="G1051">
        <f>IF(E1051-F1051&gt;1E-9,E1051-F1051,0)</f>
        <v/>
      </c>
      <c r="H1051">
        <f>G1050*$G$51</f>
        <v/>
      </c>
      <c r="I1051">
        <f>IF(K1050&gt;0,MAX(0,K1050*(1+$G$52)-$H$52),0)</f>
        <v/>
      </c>
      <c r="J1051">
        <f>MAX(0,F1051-E1051)</f>
        <v/>
      </c>
      <c r="K1051">
        <f>IF(I1051-J1051&gt;1E-9,I1051-J1051,0)</f>
        <v/>
      </c>
      <c r="L1051">
        <f>K1050*$G$52</f>
        <v/>
      </c>
      <c r="M1051">
        <f>IF(O1050&gt;0,MAX(0,O1050*(1+$G$53)-$H$53),0)</f>
        <v/>
      </c>
      <c r="N1051">
        <f>MAX(0,J1051-I1051)</f>
        <v/>
      </c>
      <c r="O1051">
        <f>IF(M1051-N1051&gt;1E-9,M1051-N1051,0)</f>
        <v/>
      </c>
      <c r="P1051">
        <f>O1050*$G$53</f>
        <v/>
      </c>
      <c r="Q1051">
        <f>IF(S1050&gt;0,MAX(0,S1050*(1+$G$54)-$H$54),0)</f>
        <v/>
      </c>
      <c r="R1051">
        <f>MAX(0,N1051-M1051)</f>
        <v/>
      </c>
      <c r="S1051">
        <f>IF(Q1051-R1051&gt;1E-9,Q1051-R1051,0)</f>
        <v/>
      </c>
      <c r="T1051">
        <f>S1050*$G$54</f>
        <v/>
      </c>
      <c r="U1051">
        <f>IF(W1050&gt;0,MAX(0,W1050*(1+$G$55)-$H$55),0)</f>
        <v/>
      </c>
      <c r="V1051">
        <f>MAX(0,R1051-Q1051)</f>
        <v/>
      </c>
      <c r="W1051">
        <f>IF(U1051-V1051&gt;1E-9,U1051-V1051,0)</f>
        <v/>
      </c>
      <c r="X1051">
        <f>W1050*$G$55</f>
        <v/>
      </c>
      <c r="Y1051">
        <f>IF(Y1050&gt;1E-9,IF(Y1050*(1+$G$51)-MAX($B$9,0.01*Y1050+Y1050*$G$51)&gt;1E-9,Y1050*(1+$G$51)-MAX($B$9,0.01*Y1050+Y1050*$G$51),0),0)</f>
        <v/>
      </c>
      <c r="Z1051">
        <f>Y1050*$G$51</f>
        <v/>
      </c>
      <c r="AA1051">
        <f>IF(AA1050&gt;1E-9,IF(AA1050*(1+$G$52)-MAX($B$9,0.01*AA1050+AA1050*$G$52)&gt;1E-9,AA1050*(1+$G$52)-MAX($B$9,0.01*AA1050+AA1050*$G$52),0),0)</f>
        <v/>
      </c>
      <c r="AB1051">
        <f>AA1050*$G$52</f>
        <v/>
      </c>
      <c r="AC1051">
        <f>IF(AC1050&gt;1E-9,IF(AC1050*(1+$G$53)-MAX($B$9,0.01*AC1050+AC1050*$G$53)&gt;1E-9,AC1050*(1+$G$53)-MAX($B$9,0.01*AC1050+AC1050*$G$53),0),0)</f>
        <v/>
      </c>
      <c r="AD1051">
        <f>AC1050*$G$53</f>
        <v/>
      </c>
      <c r="AE1051">
        <f>IF(AE1050&gt;1E-9,IF(AE1050*(1+$G$54)-MAX($B$9,0.01*AE1050+AE1050*$G$54)&gt;1E-9,AE1050*(1+$G$54)-MAX($B$9,0.01*AE1050+AE1050*$G$54),0),0)</f>
        <v/>
      </c>
      <c r="AF1051">
        <f>AE1050*$G$54</f>
        <v/>
      </c>
      <c r="AG1051">
        <f>IF(AG1050&gt;1E-9,IF(AG1050*(1+$G$55)-MAX($B$9,0.01*AG1050+AG1050*$G$55)&gt;1E-9,AG1050*(1+$G$55)-MAX($B$9,0.01*AG1050+AG1050*$G$55),0),0)</f>
        <v/>
      </c>
      <c r="AH1051">
        <f>AG1050*$G$55</f>
        <v/>
      </c>
      <c r="AI1051">
        <f>G1051+K1051+O1051+S1051+W1051</f>
        <v/>
      </c>
      <c r="AJ1051">
        <f>AI1050+AK1051-AI1051</f>
        <v/>
      </c>
      <c r="AK1051">
        <f>H1051+L1051+P1051+T1051+X1051</f>
        <v/>
      </c>
      <c r="AL1051">
        <f>TEXT(EDATE($B$5,D1051-1),"mmm yyyy")</f>
        <v/>
      </c>
      <c r="AM1051">
        <f>AI1051</f>
        <v/>
      </c>
    </row>
    <row r="1052">
      <c r="D1052" t="n">
        <v>991</v>
      </c>
      <c r="E1052">
        <f>IF(G1051&gt;0,MAX(0,G1051*(1+$G$51)-$H$51),0)</f>
        <v/>
      </c>
      <c r="F1052">
        <f>$B$6+IF($D1052=$B$8,$B$7,0)</f>
        <v/>
      </c>
      <c r="G1052">
        <f>IF(E1052-F1052&gt;1E-9,E1052-F1052,0)</f>
        <v/>
      </c>
      <c r="H1052">
        <f>G1051*$G$51</f>
        <v/>
      </c>
      <c r="I1052">
        <f>IF(K1051&gt;0,MAX(0,K1051*(1+$G$52)-$H$52),0)</f>
        <v/>
      </c>
      <c r="J1052">
        <f>MAX(0,F1052-E1052)</f>
        <v/>
      </c>
      <c r="K1052">
        <f>IF(I1052-J1052&gt;1E-9,I1052-J1052,0)</f>
        <v/>
      </c>
      <c r="L1052">
        <f>K1051*$G$52</f>
        <v/>
      </c>
      <c r="M1052">
        <f>IF(O1051&gt;0,MAX(0,O1051*(1+$G$53)-$H$53),0)</f>
        <v/>
      </c>
      <c r="N1052">
        <f>MAX(0,J1052-I1052)</f>
        <v/>
      </c>
      <c r="O1052">
        <f>IF(M1052-N1052&gt;1E-9,M1052-N1052,0)</f>
        <v/>
      </c>
      <c r="P1052">
        <f>O1051*$G$53</f>
        <v/>
      </c>
      <c r="Q1052">
        <f>IF(S1051&gt;0,MAX(0,S1051*(1+$G$54)-$H$54),0)</f>
        <v/>
      </c>
      <c r="R1052">
        <f>MAX(0,N1052-M1052)</f>
        <v/>
      </c>
      <c r="S1052">
        <f>IF(Q1052-R1052&gt;1E-9,Q1052-R1052,0)</f>
        <v/>
      </c>
      <c r="T1052">
        <f>S1051*$G$54</f>
        <v/>
      </c>
      <c r="U1052">
        <f>IF(W1051&gt;0,MAX(0,W1051*(1+$G$55)-$H$55),0)</f>
        <v/>
      </c>
      <c r="V1052">
        <f>MAX(0,R1052-Q1052)</f>
        <v/>
      </c>
      <c r="W1052">
        <f>IF(U1052-V1052&gt;1E-9,U1052-V1052,0)</f>
        <v/>
      </c>
      <c r="X1052">
        <f>W1051*$G$55</f>
        <v/>
      </c>
      <c r="Y1052">
        <f>IF(Y1051&gt;1E-9,IF(Y1051*(1+$G$51)-MAX($B$9,0.01*Y1051+Y1051*$G$51)&gt;1E-9,Y1051*(1+$G$51)-MAX($B$9,0.01*Y1051+Y1051*$G$51),0),0)</f>
        <v/>
      </c>
      <c r="Z1052">
        <f>Y1051*$G$51</f>
        <v/>
      </c>
      <c r="AA1052">
        <f>IF(AA1051&gt;1E-9,IF(AA1051*(1+$G$52)-MAX($B$9,0.01*AA1051+AA1051*$G$52)&gt;1E-9,AA1051*(1+$G$52)-MAX($B$9,0.01*AA1051+AA1051*$G$52),0),0)</f>
        <v/>
      </c>
      <c r="AB1052">
        <f>AA1051*$G$52</f>
        <v/>
      </c>
      <c r="AC1052">
        <f>IF(AC1051&gt;1E-9,IF(AC1051*(1+$G$53)-MAX($B$9,0.01*AC1051+AC1051*$G$53)&gt;1E-9,AC1051*(1+$G$53)-MAX($B$9,0.01*AC1051+AC1051*$G$53),0),0)</f>
        <v/>
      </c>
      <c r="AD1052">
        <f>AC1051*$G$53</f>
        <v/>
      </c>
      <c r="AE1052">
        <f>IF(AE1051&gt;1E-9,IF(AE1051*(1+$G$54)-MAX($B$9,0.01*AE1051+AE1051*$G$54)&gt;1E-9,AE1051*(1+$G$54)-MAX($B$9,0.01*AE1051+AE1051*$G$54),0),0)</f>
        <v/>
      </c>
      <c r="AF1052">
        <f>AE1051*$G$54</f>
        <v/>
      </c>
      <c r="AG1052">
        <f>IF(AG1051&gt;1E-9,IF(AG1051*(1+$G$55)-MAX($B$9,0.01*AG1051+AG1051*$G$55)&gt;1E-9,AG1051*(1+$G$55)-MAX($B$9,0.01*AG1051+AG1051*$G$55),0),0)</f>
        <v/>
      </c>
      <c r="AH1052">
        <f>AG1051*$G$55</f>
        <v/>
      </c>
      <c r="AI1052">
        <f>G1052+K1052+O1052+S1052+W1052</f>
        <v/>
      </c>
      <c r="AJ1052">
        <f>AI1051+AK1052-AI1052</f>
        <v/>
      </c>
      <c r="AK1052">
        <f>H1052+L1052+P1052+T1052+X1052</f>
        <v/>
      </c>
      <c r="AL1052">
        <f>TEXT(EDATE($B$5,D1052-1),"mmm yyyy")</f>
        <v/>
      </c>
      <c r="AM1052">
        <f>AI1052</f>
        <v/>
      </c>
    </row>
    <row r="1053">
      <c r="D1053" t="n">
        <v>992</v>
      </c>
      <c r="E1053">
        <f>IF(G1052&gt;0,MAX(0,G1052*(1+$G$51)-$H$51),0)</f>
        <v/>
      </c>
      <c r="F1053">
        <f>$B$6+IF($D1053=$B$8,$B$7,0)</f>
        <v/>
      </c>
      <c r="G1053">
        <f>IF(E1053-F1053&gt;1E-9,E1053-F1053,0)</f>
        <v/>
      </c>
      <c r="H1053">
        <f>G1052*$G$51</f>
        <v/>
      </c>
      <c r="I1053">
        <f>IF(K1052&gt;0,MAX(0,K1052*(1+$G$52)-$H$52),0)</f>
        <v/>
      </c>
      <c r="J1053">
        <f>MAX(0,F1053-E1053)</f>
        <v/>
      </c>
      <c r="K1053">
        <f>IF(I1053-J1053&gt;1E-9,I1053-J1053,0)</f>
        <v/>
      </c>
      <c r="L1053">
        <f>K1052*$G$52</f>
        <v/>
      </c>
      <c r="M1053">
        <f>IF(O1052&gt;0,MAX(0,O1052*(1+$G$53)-$H$53),0)</f>
        <v/>
      </c>
      <c r="N1053">
        <f>MAX(0,J1053-I1053)</f>
        <v/>
      </c>
      <c r="O1053">
        <f>IF(M1053-N1053&gt;1E-9,M1053-N1053,0)</f>
        <v/>
      </c>
      <c r="P1053">
        <f>O1052*$G$53</f>
        <v/>
      </c>
      <c r="Q1053">
        <f>IF(S1052&gt;0,MAX(0,S1052*(1+$G$54)-$H$54),0)</f>
        <v/>
      </c>
      <c r="R1053">
        <f>MAX(0,N1053-M1053)</f>
        <v/>
      </c>
      <c r="S1053">
        <f>IF(Q1053-R1053&gt;1E-9,Q1053-R1053,0)</f>
        <v/>
      </c>
      <c r="T1053">
        <f>S1052*$G$54</f>
        <v/>
      </c>
      <c r="U1053">
        <f>IF(W1052&gt;0,MAX(0,W1052*(1+$G$55)-$H$55),0)</f>
        <v/>
      </c>
      <c r="V1053">
        <f>MAX(0,R1053-Q1053)</f>
        <v/>
      </c>
      <c r="W1053">
        <f>IF(U1053-V1053&gt;1E-9,U1053-V1053,0)</f>
        <v/>
      </c>
      <c r="X1053">
        <f>W1052*$G$55</f>
        <v/>
      </c>
      <c r="Y1053">
        <f>IF(Y1052&gt;1E-9,IF(Y1052*(1+$G$51)-MAX($B$9,0.01*Y1052+Y1052*$G$51)&gt;1E-9,Y1052*(1+$G$51)-MAX($B$9,0.01*Y1052+Y1052*$G$51),0),0)</f>
        <v/>
      </c>
      <c r="Z1053">
        <f>Y1052*$G$51</f>
        <v/>
      </c>
      <c r="AA1053">
        <f>IF(AA1052&gt;1E-9,IF(AA1052*(1+$G$52)-MAX($B$9,0.01*AA1052+AA1052*$G$52)&gt;1E-9,AA1052*(1+$G$52)-MAX($B$9,0.01*AA1052+AA1052*$G$52),0),0)</f>
        <v/>
      </c>
      <c r="AB1053">
        <f>AA1052*$G$52</f>
        <v/>
      </c>
      <c r="AC1053">
        <f>IF(AC1052&gt;1E-9,IF(AC1052*(1+$G$53)-MAX($B$9,0.01*AC1052+AC1052*$G$53)&gt;1E-9,AC1052*(1+$G$53)-MAX($B$9,0.01*AC1052+AC1052*$G$53),0),0)</f>
        <v/>
      </c>
      <c r="AD1053">
        <f>AC1052*$G$53</f>
        <v/>
      </c>
      <c r="AE1053">
        <f>IF(AE1052&gt;1E-9,IF(AE1052*(1+$G$54)-MAX($B$9,0.01*AE1052+AE1052*$G$54)&gt;1E-9,AE1052*(1+$G$54)-MAX($B$9,0.01*AE1052+AE1052*$G$54),0),0)</f>
        <v/>
      </c>
      <c r="AF1053">
        <f>AE1052*$G$54</f>
        <v/>
      </c>
      <c r="AG1053">
        <f>IF(AG1052&gt;1E-9,IF(AG1052*(1+$G$55)-MAX($B$9,0.01*AG1052+AG1052*$G$55)&gt;1E-9,AG1052*(1+$G$55)-MAX($B$9,0.01*AG1052+AG1052*$G$55),0),0)</f>
        <v/>
      </c>
      <c r="AH1053">
        <f>AG1052*$G$55</f>
        <v/>
      </c>
      <c r="AI1053">
        <f>G1053+K1053+O1053+S1053+W1053</f>
        <v/>
      </c>
      <c r="AJ1053">
        <f>AI1052+AK1053-AI1053</f>
        <v/>
      </c>
      <c r="AK1053">
        <f>H1053+L1053+P1053+T1053+X1053</f>
        <v/>
      </c>
      <c r="AL1053">
        <f>TEXT(EDATE($B$5,D1053-1),"mmm yyyy")</f>
        <v/>
      </c>
      <c r="AM1053">
        <f>AI1053</f>
        <v/>
      </c>
    </row>
    <row r="1054">
      <c r="D1054" t="n">
        <v>993</v>
      </c>
      <c r="E1054">
        <f>IF(G1053&gt;0,MAX(0,G1053*(1+$G$51)-$H$51),0)</f>
        <v/>
      </c>
      <c r="F1054">
        <f>$B$6+IF($D1054=$B$8,$B$7,0)</f>
        <v/>
      </c>
      <c r="G1054">
        <f>IF(E1054-F1054&gt;1E-9,E1054-F1054,0)</f>
        <v/>
      </c>
      <c r="H1054">
        <f>G1053*$G$51</f>
        <v/>
      </c>
      <c r="I1054">
        <f>IF(K1053&gt;0,MAX(0,K1053*(1+$G$52)-$H$52),0)</f>
        <v/>
      </c>
      <c r="J1054">
        <f>MAX(0,F1054-E1054)</f>
        <v/>
      </c>
      <c r="K1054">
        <f>IF(I1054-J1054&gt;1E-9,I1054-J1054,0)</f>
        <v/>
      </c>
      <c r="L1054">
        <f>K1053*$G$52</f>
        <v/>
      </c>
      <c r="M1054">
        <f>IF(O1053&gt;0,MAX(0,O1053*(1+$G$53)-$H$53),0)</f>
        <v/>
      </c>
      <c r="N1054">
        <f>MAX(0,J1054-I1054)</f>
        <v/>
      </c>
      <c r="O1054">
        <f>IF(M1054-N1054&gt;1E-9,M1054-N1054,0)</f>
        <v/>
      </c>
      <c r="P1054">
        <f>O1053*$G$53</f>
        <v/>
      </c>
      <c r="Q1054">
        <f>IF(S1053&gt;0,MAX(0,S1053*(1+$G$54)-$H$54),0)</f>
        <v/>
      </c>
      <c r="R1054">
        <f>MAX(0,N1054-M1054)</f>
        <v/>
      </c>
      <c r="S1054">
        <f>IF(Q1054-R1054&gt;1E-9,Q1054-R1054,0)</f>
        <v/>
      </c>
      <c r="T1054">
        <f>S1053*$G$54</f>
        <v/>
      </c>
      <c r="U1054">
        <f>IF(W1053&gt;0,MAX(0,W1053*(1+$G$55)-$H$55),0)</f>
        <v/>
      </c>
      <c r="V1054">
        <f>MAX(0,R1054-Q1054)</f>
        <v/>
      </c>
      <c r="W1054">
        <f>IF(U1054-V1054&gt;1E-9,U1054-V1054,0)</f>
        <v/>
      </c>
      <c r="X1054">
        <f>W1053*$G$55</f>
        <v/>
      </c>
      <c r="Y1054">
        <f>IF(Y1053&gt;1E-9,IF(Y1053*(1+$G$51)-MAX($B$9,0.01*Y1053+Y1053*$G$51)&gt;1E-9,Y1053*(1+$G$51)-MAX($B$9,0.01*Y1053+Y1053*$G$51),0),0)</f>
        <v/>
      </c>
      <c r="Z1054">
        <f>Y1053*$G$51</f>
        <v/>
      </c>
      <c r="AA1054">
        <f>IF(AA1053&gt;1E-9,IF(AA1053*(1+$G$52)-MAX($B$9,0.01*AA1053+AA1053*$G$52)&gt;1E-9,AA1053*(1+$G$52)-MAX($B$9,0.01*AA1053+AA1053*$G$52),0),0)</f>
        <v/>
      </c>
      <c r="AB1054">
        <f>AA1053*$G$52</f>
        <v/>
      </c>
      <c r="AC1054">
        <f>IF(AC1053&gt;1E-9,IF(AC1053*(1+$G$53)-MAX($B$9,0.01*AC1053+AC1053*$G$53)&gt;1E-9,AC1053*(1+$G$53)-MAX($B$9,0.01*AC1053+AC1053*$G$53),0),0)</f>
        <v/>
      </c>
      <c r="AD1054">
        <f>AC1053*$G$53</f>
        <v/>
      </c>
      <c r="AE1054">
        <f>IF(AE1053&gt;1E-9,IF(AE1053*(1+$G$54)-MAX($B$9,0.01*AE1053+AE1053*$G$54)&gt;1E-9,AE1053*(1+$G$54)-MAX($B$9,0.01*AE1053+AE1053*$G$54),0),0)</f>
        <v/>
      </c>
      <c r="AF1054">
        <f>AE1053*$G$54</f>
        <v/>
      </c>
      <c r="AG1054">
        <f>IF(AG1053&gt;1E-9,IF(AG1053*(1+$G$55)-MAX($B$9,0.01*AG1053+AG1053*$G$55)&gt;1E-9,AG1053*(1+$G$55)-MAX($B$9,0.01*AG1053+AG1053*$G$55),0),0)</f>
        <v/>
      </c>
      <c r="AH1054">
        <f>AG1053*$G$55</f>
        <v/>
      </c>
      <c r="AI1054">
        <f>G1054+K1054+O1054+S1054+W1054</f>
        <v/>
      </c>
      <c r="AJ1054">
        <f>AI1053+AK1054-AI1054</f>
        <v/>
      </c>
      <c r="AK1054">
        <f>H1054+L1054+P1054+T1054+X1054</f>
        <v/>
      </c>
      <c r="AL1054">
        <f>TEXT(EDATE($B$5,D1054-1),"mmm yyyy")</f>
        <v/>
      </c>
      <c r="AM1054">
        <f>AI1054</f>
        <v/>
      </c>
    </row>
    <row r="1055">
      <c r="D1055" t="n">
        <v>994</v>
      </c>
      <c r="E1055">
        <f>IF(G1054&gt;0,MAX(0,G1054*(1+$G$51)-$H$51),0)</f>
        <v/>
      </c>
      <c r="F1055">
        <f>$B$6+IF($D1055=$B$8,$B$7,0)</f>
        <v/>
      </c>
      <c r="G1055">
        <f>IF(E1055-F1055&gt;1E-9,E1055-F1055,0)</f>
        <v/>
      </c>
      <c r="H1055">
        <f>G1054*$G$51</f>
        <v/>
      </c>
      <c r="I1055">
        <f>IF(K1054&gt;0,MAX(0,K1054*(1+$G$52)-$H$52),0)</f>
        <v/>
      </c>
      <c r="J1055">
        <f>MAX(0,F1055-E1055)</f>
        <v/>
      </c>
      <c r="K1055">
        <f>IF(I1055-J1055&gt;1E-9,I1055-J1055,0)</f>
        <v/>
      </c>
      <c r="L1055">
        <f>K1054*$G$52</f>
        <v/>
      </c>
      <c r="M1055">
        <f>IF(O1054&gt;0,MAX(0,O1054*(1+$G$53)-$H$53),0)</f>
        <v/>
      </c>
      <c r="N1055">
        <f>MAX(0,J1055-I1055)</f>
        <v/>
      </c>
      <c r="O1055">
        <f>IF(M1055-N1055&gt;1E-9,M1055-N1055,0)</f>
        <v/>
      </c>
      <c r="P1055">
        <f>O1054*$G$53</f>
        <v/>
      </c>
      <c r="Q1055">
        <f>IF(S1054&gt;0,MAX(0,S1054*(1+$G$54)-$H$54),0)</f>
        <v/>
      </c>
      <c r="R1055">
        <f>MAX(0,N1055-M1055)</f>
        <v/>
      </c>
      <c r="S1055">
        <f>IF(Q1055-R1055&gt;1E-9,Q1055-R1055,0)</f>
        <v/>
      </c>
      <c r="T1055">
        <f>S1054*$G$54</f>
        <v/>
      </c>
      <c r="U1055">
        <f>IF(W1054&gt;0,MAX(0,W1054*(1+$G$55)-$H$55),0)</f>
        <v/>
      </c>
      <c r="V1055">
        <f>MAX(0,R1055-Q1055)</f>
        <v/>
      </c>
      <c r="W1055">
        <f>IF(U1055-V1055&gt;1E-9,U1055-V1055,0)</f>
        <v/>
      </c>
      <c r="X1055">
        <f>W1054*$G$55</f>
        <v/>
      </c>
      <c r="Y1055">
        <f>IF(Y1054&gt;1E-9,IF(Y1054*(1+$G$51)-MAX($B$9,0.01*Y1054+Y1054*$G$51)&gt;1E-9,Y1054*(1+$G$51)-MAX($B$9,0.01*Y1054+Y1054*$G$51),0),0)</f>
        <v/>
      </c>
      <c r="Z1055">
        <f>Y1054*$G$51</f>
        <v/>
      </c>
      <c r="AA1055">
        <f>IF(AA1054&gt;1E-9,IF(AA1054*(1+$G$52)-MAX($B$9,0.01*AA1054+AA1054*$G$52)&gt;1E-9,AA1054*(1+$G$52)-MAX($B$9,0.01*AA1054+AA1054*$G$52),0),0)</f>
        <v/>
      </c>
      <c r="AB1055">
        <f>AA1054*$G$52</f>
        <v/>
      </c>
      <c r="AC1055">
        <f>IF(AC1054&gt;1E-9,IF(AC1054*(1+$G$53)-MAX($B$9,0.01*AC1054+AC1054*$G$53)&gt;1E-9,AC1054*(1+$G$53)-MAX($B$9,0.01*AC1054+AC1054*$G$53),0),0)</f>
        <v/>
      </c>
      <c r="AD1055">
        <f>AC1054*$G$53</f>
        <v/>
      </c>
      <c r="AE1055">
        <f>IF(AE1054&gt;1E-9,IF(AE1054*(1+$G$54)-MAX($B$9,0.01*AE1054+AE1054*$G$54)&gt;1E-9,AE1054*(1+$G$54)-MAX($B$9,0.01*AE1054+AE1054*$G$54),0),0)</f>
        <v/>
      </c>
      <c r="AF1055">
        <f>AE1054*$G$54</f>
        <v/>
      </c>
      <c r="AG1055">
        <f>IF(AG1054&gt;1E-9,IF(AG1054*(1+$G$55)-MAX($B$9,0.01*AG1054+AG1054*$G$55)&gt;1E-9,AG1054*(1+$G$55)-MAX($B$9,0.01*AG1054+AG1054*$G$55),0),0)</f>
        <v/>
      </c>
      <c r="AH1055">
        <f>AG1054*$G$55</f>
        <v/>
      </c>
      <c r="AI1055">
        <f>G1055+K1055+O1055+S1055+W1055</f>
        <v/>
      </c>
      <c r="AJ1055">
        <f>AI1054+AK1055-AI1055</f>
        <v/>
      </c>
      <c r="AK1055">
        <f>H1055+L1055+P1055+T1055+X1055</f>
        <v/>
      </c>
      <c r="AL1055">
        <f>TEXT(EDATE($B$5,D1055-1),"mmm yyyy")</f>
        <v/>
      </c>
      <c r="AM1055">
        <f>AI1055</f>
        <v/>
      </c>
    </row>
    <row r="1056">
      <c r="D1056" t="n">
        <v>995</v>
      </c>
      <c r="E1056">
        <f>IF(G1055&gt;0,MAX(0,G1055*(1+$G$51)-$H$51),0)</f>
        <v/>
      </c>
      <c r="F1056">
        <f>$B$6+IF($D1056=$B$8,$B$7,0)</f>
        <v/>
      </c>
      <c r="G1056">
        <f>IF(E1056-F1056&gt;1E-9,E1056-F1056,0)</f>
        <v/>
      </c>
      <c r="H1056">
        <f>G1055*$G$51</f>
        <v/>
      </c>
      <c r="I1056">
        <f>IF(K1055&gt;0,MAX(0,K1055*(1+$G$52)-$H$52),0)</f>
        <v/>
      </c>
      <c r="J1056">
        <f>MAX(0,F1056-E1056)</f>
        <v/>
      </c>
      <c r="K1056">
        <f>IF(I1056-J1056&gt;1E-9,I1056-J1056,0)</f>
        <v/>
      </c>
      <c r="L1056">
        <f>K1055*$G$52</f>
        <v/>
      </c>
      <c r="M1056">
        <f>IF(O1055&gt;0,MAX(0,O1055*(1+$G$53)-$H$53),0)</f>
        <v/>
      </c>
      <c r="N1056">
        <f>MAX(0,J1056-I1056)</f>
        <v/>
      </c>
      <c r="O1056">
        <f>IF(M1056-N1056&gt;1E-9,M1056-N1056,0)</f>
        <v/>
      </c>
      <c r="P1056">
        <f>O1055*$G$53</f>
        <v/>
      </c>
      <c r="Q1056">
        <f>IF(S1055&gt;0,MAX(0,S1055*(1+$G$54)-$H$54),0)</f>
        <v/>
      </c>
      <c r="R1056">
        <f>MAX(0,N1056-M1056)</f>
        <v/>
      </c>
      <c r="S1056">
        <f>IF(Q1056-R1056&gt;1E-9,Q1056-R1056,0)</f>
        <v/>
      </c>
      <c r="T1056">
        <f>S1055*$G$54</f>
        <v/>
      </c>
      <c r="U1056">
        <f>IF(W1055&gt;0,MAX(0,W1055*(1+$G$55)-$H$55),0)</f>
        <v/>
      </c>
      <c r="V1056">
        <f>MAX(0,R1056-Q1056)</f>
        <v/>
      </c>
      <c r="W1056">
        <f>IF(U1056-V1056&gt;1E-9,U1056-V1056,0)</f>
        <v/>
      </c>
      <c r="X1056">
        <f>W1055*$G$55</f>
        <v/>
      </c>
      <c r="Y1056">
        <f>IF(Y1055&gt;1E-9,IF(Y1055*(1+$G$51)-MAX($B$9,0.01*Y1055+Y1055*$G$51)&gt;1E-9,Y1055*(1+$G$51)-MAX($B$9,0.01*Y1055+Y1055*$G$51),0),0)</f>
        <v/>
      </c>
      <c r="Z1056">
        <f>Y1055*$G$51</f>
        <v/>
      </c>
      <c r="AA1056">
        <f>IF(AA1055&gt;1E-9,IF(AA1055*(1+$G$52)-MAX($B$9,0.01*AA1055+AA1055*$G$52)&gt;1E-9,AA1055*(1+$G$52)-MAX($B$9,0.01*AA1055+AA1055*$G$52),0),0)</f>
        <v/>
      </c>
      <c r="AB1056">
        <f>AA1055*$G$52</f>
        <v/>
      </c>
      <c r="AC1056">
        <f>IF(AC1055&gt;1E-9,IF(AC1055*(1+$G$53)-MAX($B$9,0.01*AC1055+AC1055*$G$53)&gt;1E-9,AC1055*(1+$G$53)-MAX($B$9,0.01*AC1055+AC1055*$G$53),0),0)</f>
        <v/>
      </c>
      <c r="AD1056">
        <f>AC1055*$G$53</f>
        <v/>
      </c>
      <c r="AE1056">
        <f>IF(AE1055&gt;1E-9,IF(AE1055*(1+$G$54)-MAX($B$9,0.01*AE1055+AE1055*$G$54)&gt;1E-9,AE1055*(1+$G$54)-MAX($B$9,0.01*AE1055+AE1055*$G$54),0),0)</f>
        <v/>
      </c>
      <c r="AF1056">
        <f>AE1055*$G$54</f>
        <v/>
      </c>
      <c r="AG1056">
        <f>IF(AG1055&gt;1E-9,IF(AG1055*(1+$G$55)-MAX($B$9,0.01*AG1055+AG1055*$G$55)&gt;1E-9,AG1055*(1+$G$55)-MAX($B$9,0.01*AG1055+AG1055*$G$55),0),0)</f>
        <v/>
      </c>
      <c r="AH1056">
        <f>AG1055*$G$55</f>
        <v/>
      </c>
      <c r="AI1056">
        <f>G1056+K1056+O1056+S1056+W1056</f>
        <v/>
      </c>
      <c r="AJ1056">
        <f>AI1055+AK1056-AI1056</f>
        <v/>
      </c>
      <c r="AK1056">
        <f>H1056+L1056+P1056+T1056+X1056</f>
        <v/>
      </c>
      <c r="AL1056">
        <f>TEXT(EDATE($B$5,D1056-1),"mmm yyyy")</f>
        <v/>
      </c>
      <c r="AM1056">
        <f>AI1056</f>
        <v/>
      </c>
    </row>
    <row r="1057">
      <c r="D1057" t="n">
        <v>996</v>
      </c>
      <c r="E1057">
        <f>IF(G1056&gt;0,MAX(0,G1056*(1+$G$51)-$H$51),0)</f>
        <v/>
      </c>
      <c r="F1057">
        <f>$B$6+IF($D1057=$B$8,$B$7,0)</f>
        <v/>
      </c>
      <c r="G1057">
        <f>IF(E1057-F1057&gt;1E-9,E1057-F1057,0)</f>
        <v/>
      </c>
      <c r="H1057">
        <f>G1056*$G$51</f>
        <v/>
      </c>
      <c r="I1057">
        <f>IF(K1056&gt;0,MAX(0,K1056*(1+$G$52)-$H$52),0)</f>
        <v/>
      </c>
      <c r="J1057">
        <f>MAX(0,F1057-E1057)</f>
        <v/>
      </c>
      <c r="K1057">
        <f>IF(I1057-J1057&gt;1E-9,I1057-J1057,0)</f>
        <v/>
      </c>
      <c r="L1057">
        <f>K1056*$G$52</f>
        <v/>
      </c>
      <c r="M1057">
        <f>IF(O1056&gt;0,MAX(0,O1056*(1+$G$53)-$H$53),0)</f>
        <v/>
      </c>
      <c r="N1057">
        <f>MAX(0,J1057-I1057)</f>
        <v/>
      </c>
      <c r="O1057">
        <f>IF(M1057-N1057&gt;1E-9,M1057-N1057,0)</f>
        <v/>
      </c>
      <c r="P1057">
        <f>O1056*$G$53</f>
        <v/>
      </c>
      <c r="Q1057">
        <f>IF(S1056&gt;0,MAX(0,S1056*(1+$G$54)-$H$54),0)</f>
        <v/>
      </c>
      <c r="R1057">
        <f>MAX(0,N1057-M1057)</f>
        <v/>
      </c>
      <c r="S1057">
        <f>IF(Q1057-R1057&gt;1E-9,Q1057-R1057,0)</f>
        <v/>
      </c>
      <c r="T1057">
        <f>S1056*$G$54</f>
        <v/>
      </c>
      <c r="U1057">
        <f>IF(W1056&gt;0,MAX(0,W1056*(1+$G$55)-$H$55),0)</f>
        <v/>
      </c>
      <c r="V1057">
        <f>MAX(0,R1057-Q1057)</f>
        <v/>
      </c>
      <c r="W1057">
        <f>IF(U1057-V1057&gt;1E-9,U1057-V1057,0)</f>
        <v/>
      </c>
      <c r="X1057">
        <f>W1056*$G$55</f>
        <v/>
      </c>
      <c r="Y1057">
        <f>IF(Y1056&gt;1E-9,IF(Y1056*(1+$G$51)-MAX($B$9,0.01*Y1056+Y1056*$G$51)&gt;1E-9,Y1056*(1+$G$51)-MAX($B$9,0.01*Y1056+Y1056*$G$51),0),0)</f>
        <v/>
      </c>
      <c r="Z1057">
        <f>Y1056*$G$51</f>
        <v/>
      </c>
      <c r="AA1057">
        <f>IF(AA1056&gt;1E-9,IF(AA1056*(1+$G$52)-MAX($B$9,0.01*AA1056+AA1056*$G$52)&gt;1E-9,AA1056*(1+$G$52)-MAX($B$9,0.01*AA1056+AA1056*$G$52),0),0)</f>
        <v/>
      </c>
      <c r="AB1057">
        <f>AA1056*$G$52</f>
        <v/>
      </c>
      <c r="AC1057">
        <f>IF(AC1056&gt;1E-9,IF(AC1056*(1+$G$53)-MAX($B$9,0.01*AC1056+AC1056*$G$53)&gt;1E-9,AC1056*(1+$G$53)-MAX($B$9,0.01*AC1056+AC1056*$G$53),0),0)</f>
        <v/>
      </c>
      <c r="AD1057">
        <f>AC1056*$G$53</f>
        <v/>
      </c>
      <c r="AE1057">
        <f>IF(AE1056&gt;1E-9,IF(AE1056*(1+$G$54)-MAX($B$9,0.01*AE1056+AE1056*$G$54)&gt;1E-9,AE1056*(1+$G$54)-MAX($B$9,0.01*AE1056+AE1056*$G$54),0),0)</f>
        <v/>
      </c>
      <c r="AF1057">
        <f>AE1056*$G$54</f>
        <v/>
      </c>
      <c r="AG1057">
        <f>IF(AG1056&gt;1E-9,IF(AG1056*(1+$G$55)-MAX($B$9,0.01*AG1056+AG1056*$G$55)&gt;1E-9,AG1056*(1+$G$55)-MAX($B$9,0.01*AG1056+AG1056*$G$55),0),0)</f>
        <v/>
      </c>
      <c r="AH1057">
        <f>AG1056*$G$55</f>
        <v/>
      </c>
      <c r="AI1057">
        <f>G1057+K1057+O1057+S1057+W1057</f>
        <v/>
      </c>
      <c r="AJ1057">
        <f>AI1056+AK1057-AI1057</f>
        <v/>
      </c>
      <c r="AK1057">
        <f>H1057+L1057+P1057+T1057+X1057</f>
        <v/>
      </c>
      <c r="AL1057">
        <f>TEXT(EDATE($B$5,D1057-1),"mmm yyyy")</f>
        <v/>
      </c>
      <c r="AM1057">
        <f>AI1057</f>
        <v/>
      </c>
    </row>
    <row r="1058">
      <c r="D1058" t="n">
        <v>997</v>
      </c>
      <c r="E1058">
        <f>IF(G1057&gt;0,MAX(0,G1057*(1+$G$51)-$H$51),0)</f>
        <v/>
      </c>
      <c r="F1058">
        <f>$B$6+IF($D1058=$B$8,$B$7,0)</f>
        <v/>
      </c>
      <c r="G1058">
        <f>IF(E1058-F1058&gt;1E-9,E1058-F1058,0)</f>
        <v/>
      </c>
      <c r="H1058">
        <f>G1057*$G$51</f>
        <v/>
      </c>
      <c r="I1058">
        <f>IF(K1057&gt;0,MAX(0,K1057*(1+$G$52)-$H$52),0)</f>
        <v/>
      </c>
      <c r="J1058">
        <f>MAX(0,F1058-E1058)</f>
        <v/>
      </c>
      <c r="K1058">
        <f>IF(I1058-J1058&gt;1E-9,I1058-J1058,0)</f>
        <v/>
      </c>
      <c r="L1058">
        <f>K1057*$G$52</f>
        <v/>
      </c>
      <c r="M1058">
        <f>IF(O1057&gt;0,MAX(0,O1057*(1+$G$53)-$H$53),0)</f>
        <v/>
      </c>
      <c r="N1058">
        <f>MAX(0,J1058-I1058)</f>
        <v/>
      </c>
      <c r="O1058">
        <f>IF(M1058-N1058&gt;1E-9,M1058-N1058,0)</f>
        <v/>
      </c>
      <c r="P1058">
        <f>O1057*$G$53</f>
        <v/>
      </c>
      <c r="Q1058">
        <f>IF(S1057&gt;0,MAX(0,S1057*(1+$G$54)-$H$54),0)</f>
        <v/>
      </c>
      <c r="R1058">
        <f>MAX(0,N1058-M1058)</f>
        <v/>
      </c>
      <c r="S1058">
        <f>IF(Q1058-R1058&gt;1E-9,Q1058-R1058,0)</f>
        <v/>
      </c>
      <c r="T1058">
        <f>S1057*$G$54</f>
        <v/>
      </c>
      <c r="U1058">
        <f>IF(W1057&gt;0,MAX(0,W1057*(1+$G$55)-$H$55),0)</f>
        <v/>
      </c>
      <c r="V1058">
        <f>MAX(0,R1058-Q1058)</f>
        <v/>
      </c>
      <c r="W1058">
        <f>IF(U1058-V1058&gt;1E-9,U1058-V1058,0)</f>
        <v/>
      </c>
      <c r="X1058">
        <f>W1057*$G$55</f>
        <v/>
      </c>
      <c r="Y1058">
        <f>IF(Y1057&gt;1E-9,IF(Y1057*(1+$G$51)-MAX($B$9,0.01*Y1057+Y1057*$G$51)&gt;1E-9,Y1057*(1+$G$51)-MAX($B$9,0.01*Y1057+Y1057*$G$51),0),0)</f>
        <v/>
      </c>
      <c r="Z1058">
        <f>Y1057*$G$51</f>
        <v/>
      </c>
      <c r="AA1058">
        <f>IF(AA1057&gt;1E-9,IF(AA1057*(1+$G$52)-MAX($B$9,0.01*AA1057+AA1057*$G$52)&gt;1E-9,AA1057*(1+$G$52)-MAX($B$9,0.01*AA1057+AA1057*$G$52),0),0)</f>
        <v/>
      </c>
      <c r="AB1058">
        <f>AA1057*$G$52</f>
        <v/>
      </c>
      <c r="AC1058">
        <f>IF(AC1057&gt;1E-9,IF(AC1057*(1+$G$53)-MAX($B$9,0.01*AC1057+AC1057*$G$53)&gt;1E-9,AC1057*(1+$G$53)-MAX($B$9,0.01*AC1057+AC1057*$G$53),0),0)</f>
        <v/>
      </c>
      <c r="AD1058">
        <f>AC1057*$G$53</f>
        <v/>
      </c>
      <c r="AE1058">
        <f>IF(AE1057&gt;1E-9,IF(AE1057*(1+$G$54)-MAX($B$9,0.01*AE1057+AE1057*$G$54)&gt;1E-9,AE1057*(1+$G$54)-MAX($B$9,0.01*AE1057+AE1057*$G$54),0),0)</f>
        <v/>
      </c>
      <c r="AF1058">
        <f>AE1057*$G$54</f>
        <v/>
      </c>
      <c r="AG1058">
        <f>IF(AG1057&gt;1E-9,IF(AG1057*(1+$G$55)-MAX($B$9,0.01*AG1057+AG1057*$G$55)&gt;1E-9,AG1057*(1+$G$55)-MAX($B$9,0.01*AG1057+AG1057*$G$55),0),0)</f>
        <v/>
      </c>
      <c r="AH1058">
        <f>AG1057*$G$55</f>
        <v/>
      </c>
      <c r="AI1058">
        <f>G1058+K1058+O1058+S1058+W1058</f>
        <v/>
      </c>
      <c r="AJ1058">
        <f>AI1057+AK1058-AI1058</f>
        <v/>
      </c>
      <c r="AK1058">
        <f>H1058+L1058+P1058+T1058+X1058</f>
        <v/>
      </c>
      <c r="AL1058">
        <f>TEXT(EDATE($B$5,D1058-1),"mmm yyyy")</f>
        <v/>
      </c>
      <c r="AM1058">
        <f>AI1058</f>
        <v/>
      </c>
    </row>
    <row r="1059">
      <c r="D1059" t="n">
        <v>998</v>
      </c>
      <c r="E1059">
        <f>IF(G1058&gt;0,MAX(0,G1058*(1+$G$51)-$H$51),0)</f>
        <v/>
      </c>
      <c r="F1059">
        <f>$B$6+IF($D1059=$B$8,$B$7,0)</f>
        <v/>
      </c>
      <c r="G1059">
        <f>IF(E1059-F1059&gt;1E-9,E1059-F1059,0)</f>
        <v/>
      </c>
      <c r="H1059">
        <f>G1058*$G$51</f>
        <v/>
      </c>
      <c r="I1059">
        <f>IF(K1058&gt;0,MAX(0,K1058*(1+$G$52)-$H$52),0)</f>
        <v/>
      </c>
      <c r="J1059">
        <f>MAX(0,F1059-E1059)</f>
        <v/>
      </c>
      <c r="K1059">
        <f>IF(I1059-J1059&gt;1E-9,I1059-J1059,0)</f>
        <v/>
      </c>
      <c r="L1059">
        <f>K1058*$G$52</f>
        <v/>
      </c>
      <c r="M1059">
        <f>IF(O1058&gt;0,MAX(0,O1058*(1+$G$53)-$H$53),0)</f>
        <v/>
      </c>
      <c r="N1059">
        <f>MAX(0,J1059-I1059)</f>
        <v/>
      </c>
      <c r="O1059">
        <f>IF(M1059-N1059&gt;1E-9,M1059-N1059,0)</f>
        <v/>
      </c>
      <c r="P1059">
        <f>O1058*$G$53</f>
        <v/>
      </c>
      <c r="Q1059">
        <f>IF(S1058&gt;0,MAX(0,S1058*(1+$G$54)-$H$54),0)</f>
        <v/>
      </c>
      <c r="R1059">
        <f>MAX(0,N1059-M1059)</f>
        <v/>
      </c>
      <c r="S1059">
        <f>IF(Q1059-R1059&gt;1E-9,Q1059-R1059,0)</f>
        <v/>
      </c>
      <c r="T1059">
        <f>S1058*$G$54</f>
        <v/>
      </c>
      <c r="U1059">
        <f>IF(W1058&gt;0,MAX(0,W1058*(1+$G$55)-$H$55),0)</f>
        <v/>
      </c>
      <c r="V1059">
        <f>MAX(0,R1059-Q1059)</f>
        <v/>
      </c>
      <c r="W1059">
        <f>IF(U1059-V1059&gt;1E-9,U1059-V1059,0)</f>
        <v/>
      </c>
      <c r="X1059">
        <f>W1058*$G$55</f>
        <v/>
      </c>
      <c r="Y1059">
        <f>IF(Y1058&gt;1E-9,IF(Y1058*(1+$G$51)-MAX($B$9,0.01*Y1058+Y1058*$G$51)&gt;1E-9,Y1058*(1+$G$51)-MAX($B$9,0.01*Y1058+Y1058*$G$51),0),0)</f>
        <v/>
      </c>
      <c r="Z1059">
        <f>Y1058*$G$51</f>
        <v/>
      </c>
      <c r="AA1059">
        <f>IF(AA1058&gt;1E-9,IF(AA1058*(1+$G$52)-MAX($B$9,0.01*AA1058+AA1058*$G$52)&gt;1E-9,AA1058*(1+$G$52)-MAX($B$9,0.01*AA1058+AA1058*$G$52),0),0)</f>
        <v/>
      </c>
      <c r="AB1059">
        <f>AA1058*$G$52</f>
        <v/>
      </c>
      <c r="AC1059">
        <f>IF(AC1058&gt;1E-9,IF(AC1058*(1+$G$53)-MAX($B$9,0.01*AC1058+AC1058*$G$53)&gt;1E-9,AC1058*(1+$G$53)-MAX($B$9,0.01*AC1058+AC1058*$G$53),0),0)</f>
        <v/>
      </c>
      <c r="AD1059">
        <f>AC1058*$G$53</f>
        <v/>
      </c>
      <c r="AE1059">
        <f>IF(AE1058&gt;1E-9,IF(AE1058*(1+$G$54)-MAX($B$9,0.01*AE1058+AE1058*$G$54)&gt;1E-9,AE1058*(1+$G$54)-MAX($B$9,0.01*AE1058+AE1058*$G$54),0),0)</f>
        <v/>
      </c>
      <c r="AF1059">
        <f>AE1058*$G$54</f>
        <v/>
      </c>
      <c r="AG1059">
        <f>IF(AG1058&gt;1E-9,IF(AG1058*(1+$G$55)-MAX($B$9,0.01*AG1058+AG1058*$G$55)&gt;1E-9,AG1058*(1+$G$55)-MAX($B$9,0.01*AG1058+AG1058*$G$55),0),0)</f>
        <v/>
      </c>
      <c r="AH1059">
        <f>AG1058*$G$55</f>
        <v/>
      </c>
      <c r="AI1059">
        <f>G1059+K1059+O1059+S1059+W1059</f>
        <v/>
      </c>
      <c r="AJ1059">
        <f>AI1058+AK1059-AI1059</f>
        <v/>
      </c>
      <c r="AK1059">
        <f>H1059+L1059+P1059+T1059+X1059</f>
        <v/>
      </c>
      <c r="AL1059">
        <f>TEXT(EDATE($B$5,D1059-1),"mmm yyyy")</f>
        <v/>
      </c>
      <c r="AM1059">
        <f>AI1059</f>
        <v/>
      </c>
    </row>
    <row r="1060">
      <c r="D1060" t="n">
        <v>999</v>
      </c>
      <c r="E1060">
        <f>IF(G1059&gt;0,MAX(0,G1059*(1+$G$51)-$H$51),0)</f>
        <v/>
      </c>
      <c r="F1060">
        <f>$B$6+IF($D1060=$B$8,$B$7,0)</f>
        <v/>
      </c>
      <c r="G1060">
        <f>IF(E1060-F1060&gt;1E-9,E1060-F1060,0)</f>
        <v/>
      </c>
      <c r="H1060">
        <f>G1059*$G$51</f>
        <v/>
      </c>
      <c r="I1060">
        <f>IF(K1059&gt;0,MAX(0,K1059*(1+$G$52)-$H$52),0)</f>
        <v/>
      </c>
      <c r="J1060">
        <f>MAX(0,F1060-E1060)</f>
        <v/>
      </c>
      <c r="K1060">
        <f>IF(I1060-J1060&gt;1E-9,I1060-J1060,0)</f>
        <v/>
      </c>
      <c r="L1060">
        <f>K1059*$G$52</f>
        <v/>
      </c>
      <c r="M1060">
        <f>IF(O1059&gt;0,MAX(0,O1059*(1+$G$53)-$H$53),0)</f>
        <v/>
      </c>
      <c r="N1060">
        <f>MAX(0,J1060-I1060)</f>
        <v/>
      </c>
      <c r="O1060">
        <f>IF(M1060-N1060&gt;1E-9,M1060-N1060,0)</f>
        <v/>
      </c>
      <c r="P1060">
        <f>O1059*$G$53</f>
        <v/>
      </c>
      <c r="Q1060">
        <f>IF(S1059&gt;0,MAX(0,S1059*(1+$G$54)-$H$54),0)</f>
        <v/>
      </c>
      <c r="R1060">
        <f>MAX(0,N1060-M1060)</f>
        <v/>
      </c>
      <c r="S1060">
        <f>IF(Q1060-R1060&gt;1E-9,Q1060-R1060,0)</f>
        <v/>
      </c>
      <c r="T1060">
        <f>S1059*$G$54</f>
        <v/>
      </c>
      <c r="U1060">
        <f>IF(W1059&gt;0,MAX(0,W1059*(1+$G$55)-$H$55),0)</f>
        <v/>
      </c>
      <c r="V1060">
        <f>MAX(0,R1060-Q1060)</f>
        <v/>
      </c>
      <c r="W1060">
        <f>IF(U1060-V1060&gt;1E-9,U1060-V1060,0)</f>
        <v/>
      </c>
      <c r="X1060">
        <f>W1059*$G$55</f>
        <v/>
      </c>
      <c r="Y1060">
        <f>IF(Y1059&gt;1E-9,IF(Y1059*(1+$G$51)-MAX($B$9,0.01*Y1059+Y1059*$G$51)&gt;1E-9,Y1059*(1+$G$51)-MAX($B$9,0.01*Y1059+Y1059*$G$51),0),0)</f>
        <v/>
      </c>
      <c r="Z1060">
        <f>Y1059*$G$51</f>
        <v/>
      </c>
      <c r="AA1060">
        <f>IF(AA1059&gt;1E-9,IF(AA1059*(1+$G$52)-MAX($B$9,0.01*AA1059+AA1059*$G$52)&gt;1E-9,AA1059*(1+$G$52)-MAX($B$9,0.01*AA1059+AA1059*$G$52),0),0)</f>
        <v/>
      </c>
      <c r="AB1060">
        <f>AA1059*$G$52</f>
        <v/>
      </c>
      <c r="AC1060">
        <f>IF(AC1059&gt;1E-9,IF(AC1059*(1+$G$53)-MAX($B$9,0.01*AC1059+AC1059*$G$53)&gt;1E-9,AC1059*(1+$G$53)-MAX($B$9,0.01*AC1059+AC1059*$G$53),0),0)</f>
        <v/>
      </c>
      <c r="AD1060">
        <f>AC1059*$G$53</f>
        <v/>
      </c>
      <c r="AE1060">
        <f>IF(AE1059&gt;1E-9,IF(AE1059*(1+$G$54)-MAX($B$9,0.01*AE1059+AE1059*$G$54)&gt;1E-9,AE1059*(1+$G$54)-MAX($B$9,0.01*AE1059+AE1059*$G$54),0),0)</f>
        <v/>
      </c>
      <c r="AF1060">
        <f>AE1059*$G$54</f>
        <v/>
      </c>
      <c r="AG1060">
        <f>IF(AG1059&gt;1E-9,IF(AG1059*(1+$G$55)-MAX($B$9,0.01*AG1059+AG1059*$G$55)&gt;1E-9,AG1059*(1+$G$55)-MAX($B$9,0.01*AG1059+AG1059*$G$55),0),0)</f>
        <v/>
      </c>
      <c r="AH1060">
        <f>AG1059*$G$55</f>
        <v/>
      </c>
      <c r="AI1060">
        <f>G1060+K1060+O1060+S1060+W1060</f>
        <v/>
      </c>
      <c r="AJ1060">
        <f>AI1059+AK1060-AI1060</f>
        <v/>
      </c>
      <c r="AK1060">
        <f>H1060+L1060+P1060+T1060+X1060</f>
        <v/>
      </c>
      <c r="AL1060">
        <f>TEXT(EDATE($B$5,D1060-1),"mmm yyyy")</f>
        <v/>
      </c>
      <c r="AM1060">
        <f>AI1060</f>
        <v/>
      </c>
    </row>
    <row r="1061">
      <c r="D1061" t="n">
        <v>1000</v>
      </c>
      <c r="E1061">
        <f>IF(G1060&gt;0,MAX(0,G1060*(1+$G$51)-$H$51),0)</f>
        <v/>
      </c>
      <c r="F1061">
        <f>$B$6+IF($D1061=$B$8,$B$7,0)</f>
        <v/>
      </c>
      <c r="G1061">
        <f>IF(E1061-F1061&gt;1E-9,E1061-F1061,0)</f>
        <v/>
      </c>
      <c r="H1061">
        <f>G1060*$G$51</f>
        <v/>
      </c>
      <c r="I1061">
        <f>IF(K1060&gt;0,MAX(0,K1060*(1+$G$52)-$H$52),0)</f>
        <v/>
      </c>
      <c r="J1061">
        <f>MAX(0,F1061-E1061)</f>
        <v/>
      </c>
      <c r="K1061">
        <f>IF(I1061-J1061&gt;1E-9,I1061-J1061,0)</f>
        <v/>
      </c>
      <c r="L1061">
        <f>K1060*$G$52</f>
        <v/>
      </c>
      <c r="M1061">
        <f>IF(O1060&gt;0,MAX(0,O1060*(1+$G$53)-$H$53),0)</f>
        <v/>
      </c>
      <c r="N1061">
        <f>MAX(0,J1061-I1061)</f>
        <v/>
      </c>
      <c r="O1061">
        <f>IF(M1061-N1061&gt;1E-9,M1061-N1061,0)</f>
        <v/>
      </c>
      <c r="P1061">
        <f>O1060*$G$53</f>
        <v/>
      </c>
      <c r="Q1061">
        <f>IF(S1060&gt;0,MAX(0,S1060*(1+$G$54)-$H$54),0)</f>
        <v/>
      </c>
      <c r="R1061">
        <f>MAX(0,N1061-M1061)</f>
        <v/>
      </c>
      <c r="S1061">
        <f>IF(Q1061-R1061&gt;1E-9,Q1061-R1061,0)</f>
        <v/>
      </c>
      <c r="T1061">
        <f>S1060*$G$54</f>
        <v/>
      </c>
      <c r="U1061">
        <f>IF(W1060&gt;0,MAX(0,W1060*(1+$G$55)-$H$55),0)</f>
        <v/>
      </c>
      <c r="V1061">
        <f>MAX(0,R1061-Q1061)</f>
        <v/>
      </c>
      <c r="W1061">
        <f>IF(U1061-V1061&gt;1E-9,U1061-V1061,0)</f>
        <v/>
      </c>
      <c r="X1061">
        <f>W1060*$G$55</f>
        <v/>
      </c>
      <c r="Y1061">
        <f>IF(Y1060&gt;1E-9,IF(Y1060*(1+$G$51)-MAX($B$9,0.01*Y1060+Y1060*$G$51)&gt;1E-9,Y1060*(1+$G$51)-MAX($B$9,0.01*Y1060+Y1060*$G$51),0),0)</f>
        <v/>
      </c>
      <c r="Z1061">
        <f>Y1060*$G$51</f>
        <v/>
      </c>
      <c r="AA1061">
        <f>IF(AA1060&gt;1E-9,IF(AA1060*(1+$G$52)-MAX($B$9,0.01*AA1060+AA1060*$G$52)&gt;1E-9,AA1060*(1+$G$52)-MAX($B$9,0.01*AA1060+AA1060*$G$52),0),0)</f>
        <v/>
      </c>
      <c r="AB1061">
        <f>AA1060*$G$52</f>
        <v/>
      </c>
      <c r="AC1061">
        <f>IF(AC1060&gt;1E-9,IF(AC1060*(1+$G$53)-MAX($B$9,0.01*AC1060+AC1060*$G$53)&gt;1E-9,AC1060*(1+$G$53)-MAX($B$9,0.01*AC1060+AC1060*$G$53),0),0)</f>
        <v/>
      </c>
      <c r="AD1061">
        <f>AC1060*$G$53</f>
        <v/>
      </c>
      <c r="AE1061">
        <f>IF(AE1060&gt;1E-9,IF(AE1060*(1+$G$54)-MAX($B$9,0.01*AE1060+AE1060*$G$54)&gt;1E-9,AE1060*(1+$G$54)-MAX($B$9,0.01*AE1060+AE1060*$G$54),0),0)</f>
        <v/>
      </c>
      <c r="AF1061">
        <f>AE1060*$G$54</f>
        <v/>
      </c>
      <c r="AG1061">
        <f>IF(AG1060&gt;1E-9,IF(AG1060*(1+$G$55)-MAX($B$9,0.01*AG1060+AG1060*$G$55)&gt;1E-9,AG1060*(1+$G$55)-MAX($B$9,0.01*AG1060+AG1060*$G$55),0),0)</f>
        <v/>
      </c>
      <c r="AH1061">
        <f>AG1060*$G$55</f>
        <v/>
      </c>
      <c r="AI1061">
        <f>G1061+K1061+O1061+S1061+W1061</f>
        <v/>
      </c>
      <c r="AJ1061">
        <f>AI1060+AK1061-AI1061</f>
        <v/>
      </c>
      <c r="AK1061">
        <f>H1061+L1061+P1061+T1061+X1061</f>
        <v/>
      </c>
      <c r="AL1061">
        <f>TEXT(EDATE($B$5,D1061-1),"mmm yyyy")</f>
        <v/>
      </c>
      <c r="AM1061">
        <f>AI1061</f>
        <v/>
      </c>
    </row>
    <row r="1062">
      <c r="D1062" t="n">
        <v>1001</v>
      </c>
      <c r="E1062">
        <f>IF(G1061&gt;0,MAX(0,G1061*(1+$G$51)-$H$51),0)</f>
        <v/>
      </c>
      <c r="F1062">
        <f>$B$6+IF($D1062=$B$8,$B$7,0)</f>
        <v/>
      </c>
      <c r="G1062">
        <f>IF(E1062-F1062&gt;1E-9,E1062-F1062,0)</f>
        <v/>
      </c>
      <c r="H1062">
        <f>G1061*$G$51</f>
        <v/>
      </c>
      <c r="I1062">
        <f>IF(K1061&gt;0,MAX(0,K1061*(1+$G$52)-$H$52),0)</f>
        <v/>
      </c>
      <c r="J1062">
        <f>MAX(0,F1062-E1062)</f>
        <v/>
      </c>
      <c r="K1062">
        <f>IF(I1062-J1062&gt;1E-9,I1062-J1062,0)</f>
        <v/>
      </c>
      <c r="L1062">
        <f>K1061*$G$52</f>
        <v/>
      </c>
      <c r="M1062">
        <f>IF(O1061&gt;0,MAX(0,O1061*(1+$G$53)-$H$53),0)</f>
        <v/>
      </c>
      <c r="N1062">
        <f>MAX(0,J1062-I1062)</f>
        <v/>
      </c>
      <c r="O1062">
        <f>IF(M1062-N1062&gt;1E-9,M1062-N1062,0)</f>
        <v/>
      </c>
      <c r="P1062">
        <f>O1061*$G$53</f>
        <v/>
      </c>
      <c r="Q1062">
        <f>IF(S1061&gt;0,MAX(0,S1061*(1+$G$54)-$H$54),0)</f>
        <v/>
      </c>
      <c r="R1062">
        <f>MAX(0,N1062-M1062)</f>
        <v/>
      </c>
      <c r="S1062">
        <f>IF(Q1062-R1062&gt;1E-9,Q1062-R1062,0)</f>
        <v/>
      </c>
      <c r="T1062">
        <f>S1061*$G$54</f>
        <v/>
      </c>
      <c r="U1062">
        <f>IF(W1061&gt;0,MAX(0,W1061*(1+$G$55)-$H$55),0)</f>
        <v/>
      </c>
      <c r="V1062">
        <f>MAX(0,R1062-Q1062)</f>
        <v/>
      </c>
      <c r="W1062">
        <f>IF(U1062-V1062&gt;1E-9,U1062-V1062,0)</f>
        <v/>
      </c>
      <c r="X1062">
        <f>W1061*$G$55</f>
        <v/>
      </c>
      <c r="Y1062">
        <f>IF(Y1061&gt;1E-9,IF(Y1061*(1+$G$51)-MAX($B$9,0.01*Y1061+Y1061*$G$51)&gt;1E-9,Y1061*(1+$G$51)-MAX($B$9,0.01*Y1061+Y1061*$G$51),0),0)</f>
        <v/>
      </c>
      <c r="Z1062">
        <f>Y1061*$G$51</f>
        <v/>
      </c>
      <c r="AA1062">
        <f>IF(AA1061&gt;1E-9,IF(AA1061*(1+$G$52)-MAX($B$9,0.01*AA1061+AA1061*$G$52)&gt;1E-9,AA1061*(1+$G$52)-MAX($B$9,0.01*AA1061+AA1061*$G$52),0),0)</f>
        <v/>
      </c>
      <c r="AB1062">
        <f>AA1061*$G$52</f>
        <v/>
      </c>
      <c r="AC1062">
        <f>IF(AC1061&gt;1E-9,IF(AC1061*(1+$G$53)-MAX($B$9,0.01*AC1061+AC1061*$G$53)&gt;1E-9,AC1061*(1+$G$53)-MAX($B$9,0.01*AC1061+AC1061*$G$53),0),0)</f>
        <v/>
      </c>
      <c r="AD1062">
        <f>AC1061*$G$53</f>
        <v/>
      </c>
      <c r="AE1062">
        <f>IF(AE1061&gt;1E-9,IF(AE1061*(1+$G$54)-MAX($B$9,0.01*AE1061+AE1061*$G$54)&gt;1E-9,AE1061*(1+$G$54)-MAX($B$9,0.01*AE1061+AE1061*$G$54),0),0)</f>
        <v/>
      </c>
      <c r="AF1062">
        <f>AE1061*$G$54</f>
        <v/>
      </c>
      <c r="AG1062">
        <f>IF(AG1061&gt;1E-9,IF(AG1061*(1+$G$55)-MAX($B$9,0.01*AG1061+AG1061*$G$55)&gt;1E-9,AG1061*(1+$G$55)-MAX($B$9,0.01*AG1061+AG1061*$G$55),0),0)</f>
        <v/>
      </c>
      <c r="AH1062">
        <f>AG1061*$G$55</f>
        <v/>
      </c>
      <c r="AI1062">
        <f>G1062+K1062+O1062+S1062+W1062</f>
        <v/>
      </c>
      <c r="AJ1062">
        <f>AI1061+AK1062-AI1062</f>
        <v/>
      </c>
      <c r="AK1062">
        <f>H1062+L1062+P1062+T1062+X1062</f>
        <v/>
      </c>
      <c r="AL1062">
        <f>TEXT(EDATE($B$5,D1062-1),"mmm yyyy")</f>
        <v/>
      </c>
      <c r="AM1062">
        <f>AI1062</f>
        <v/>
      </c>
    </row>
    <row r="1063">
      <c r="D1063" t="n">
        <v>1002</v>
      </c>
      <c r="E1063">
        <f>IF(G1062&gt;0,MAX(0,G1062*(1+$G$51)-$H$51),0)</f>
        <v/>
      </c>
      <c r="F1063">
        <f>$B$6+IF($D1063=$B$8,$B$7,0)</f>
        <v/>
      </c>
      <c r="G1063">
        <f>IF(E1063-F1063&gt;1E-9,E1063-F1063,0)</f>
        <v/>
      </c>
      <c r="H1063">
        <f>G1062*$G$51</f>
        <v/>
      </c>
      <c r="I1063">
        <f>IF(K1062&gt;0,MAX(0,K1062*(1+$G$52)-$H$52),0)</f>
        <v/>
      </c>
      <c r="J1063">
        <f>MAX(0,F1063-E1063)</f>
        <v/>
      </c>
      <c r="K1063">
        <f>IF(I1063-J1063&gt;1E-9,I1063-J1063,0)</f>
        <v/>
      </c>
      <c r="L1063">
        <f>K1062*$G$52</f>
        <v/>
      </c>
      <c r="M1063">
        <f>IF(O1062&gt;0,MAX(0,O1062*(1+$G$53)-$H$53),0)</f>
        <v/>
      </c>
      <c r="N1063">
        <f>MAX(0,J1063-I1063)</f>
        <v/>
      </c>
      <c r="O1063">
        <f>IF(M1063-N1063&gt;1E-9,M1063-N1063,0)</f>
        <v/>
      </c>
      <c r="P1063">
        <f>O1062*$G$53</f>
        <v/>
      </c>
      <c r="Q1063">
        <f>IF(S1062&gt;0,MAX(0,S1062*(1+$G$54)-$H$54),0)</f>
        <v/>
      </c>
      <c r="R1063">
        <f>MAX(0,N1063-M1063)</f>
        <v/>
      </c>
      <c r="S1063">
        <f>IF(Q1063-R1063&gt;1E-9,Q1063-R1063,0)</f>
        <v/>
      </c>
      <c r="T1063">
        <f>S1062*$G$54</f>
        <v/>
      </c>
      <c r="U1063">
        <f>IF(W1062&gt;0,MAX(0,W1062*(1+$G$55)-$H$55),0)</f>
        <v/>
      </c>
      <c r="V1063">
        <f>MAX(0,R1063-Q1063)</f>
        <v/>
      </c>
      <c r="W1063">
        <f>IF(U1063-V1063&gt;1E-9,U1063-V1063,0)</f>
        <v/>
      </c>
      <c r="X1063">
        <f>W1062*$G$55</f>
        <v/>
      </c>
      <c r="Y1063">
        <f>IF(Y1062&gt;1E-9,IF(Y1062*(1+$G$51)-MAX($B$9,0.01*Y1062+Y1062*$G$51)&gt;1E-9,Y1062*(1+$G$51)-MAX($B$9,0.01*Y1062+Y1062*$G$51),0),0)</f>
        <v/>
      </c>
      <c r="Z1063">
        <f>Y1062*$G$51</f>
        <v/>
      </c>
      <c r="AA1063">
        <f>IF(AA1062&gt;1E-9,IF(AA1062*(1+$G$52)-MAX($B$9,0.01*AA1062+AA1062*$G$52)&gt;1E-9,AA1062*(1+$G$52)-MAX($B$9,0.01*AA1062+AA1062*$G$52),0),0)</f>
        <v/>
      </c>
      <c r="AB1063">
        <f>AA1062*$G$52</f>
        <v/>
      </c>
      <c r="AC1063">
        <f>IF(AC1062&gt;1E-9,IF(AC1062*(1+$G$53)-MAX($B$9,0.01*AC1062+AC1062*$G$53)&gt;1E-9,AC1062*(1+$G$53)-MAX($B$9,0.01*AC1062+AC1062*$G$53),0),0)</f>
        <v/>
      </c>
      <c r="AD1063">
        <f>AC1062*$G$53</f>
        <v/>
      </c>
      <c r="AE1063">
        <f>IF(AE1062&gt;1E-9,IF(AE1062*(1+$G$54)-MAX($B$9,0.01*AE1062+AE1062*$G$54)&gt;1E-9,AE1062*(1+$G$54)-MAX($B$9,0.01*AE1062+AE1062*$G$54),0),0)</f>
        <v/>
      </c>
      <c r="AF1063">
        <f>AE1062*$G$54</f>
        <v/>
      </c>
      <c r="AG1063">
        <f>IF(AG1062&gt;1E-9,IF(AG1062*(1+$G$55)-MAX($B$9,0.01*AG1062+AG1062*$G$55)&gt;1E-9,AG1062*(1+$G$55)-MAX($B$9,0.01*AG1062+AG1062*$G$55),0),0)</f>
        <v/>
      </c>
      <c r="AH1063">
        <f>AG1062*$G$55</f>
        <v/>
      </c>
      <c r="AI1063">
        <f>G1063+K1063+O1063+S1063+W1063</f>
        <v/>
      </c>
      <c r="AJ1063">
        <f>AI1062+AK1063-AI1063</f>
        <v/>
      </c>
      <c r="AK1063">
        <f>H1063+L1063+P1063+T1063+X1063</f>
        <v/>
      </c>
      <c r="AL1063">
        <f>TEXT(EDATE($B$5,D1063-1),"mmm yyyy")</f>
        <v/>
      </c>
      <c r="AM1063">
        <f>AI1063</f>
        <v/>
      </c>
    </row>
    <row r="1064">
      <c r="D1064" t="n">
        <v>1003</v>
      </c>
      <c r="E1064">
        <f>IF(G1063&gt;0,MAX(0,G1063*(1+$G$51)-$H$51),0)</f>
        <v/>
      </c>
      <c r="F1064">
        <f>$B$6+IF($D1064=$B$8,$B$7,0)</f>
        <v/>
      </c>
      <c r="G1064">
        <f>IF(E1064-F1064&gt;1E-9,E1064-F1064,0)</f>
        <v/>
      </c>
      <c r="H1064">
        <f>G1063*$G$51</f>
        <v/>
      </c>
      <c r="I1064">
        <f>IF(K1063&gt;0,MAX(0,K1063*(1+$G$52)-$H$52),0)</f>
        <v/>
      </c>
      <c r="J1064">
        <f>MAX(0,F1064-E1064)</f>
        <v/>
      </c>
      <c r="K1064">
        <f>IF(I1064-J1064&gt;1E-9,I1064-J1064,0)</f>
        <v/>
      </c>
      <c r="L1064">
        <f>K1063*$G$52</f>
        <v/>
      </c>
      <c r="M1064">
        <f>IF(O1063&gt;0,MAX(0,O1063*(1+$G$53)-$H$53),0)</f>
        <v/>
      </c>
      <c r="N1064">
        <f>MAX(0,J1064-I1064)</f>
        <v/>
      </c>
      <c r="O1064">
        <f>IF(M1064-N1064&gt;1E-9,M1064-N1064,0)</f>
        <v/>
      </c>
      <c r="P1064">
        <f>O1063*$G$53</f>
        <v/>
      </c>
      <c r="Q1064">
        <f>IF(S1063&gt;0,MAX(0,S1063*(1+$G$54)-$H$54),0)</f>
        <v/>
      </c>
      <c r="R1064">
        <f>MAX(0,N1064-M1064)</f>
        <v/>
      </c>
      <c r="S1064">
        <f>IF(Q1064-R1064&gt;1E-9,Q1064-R1064,0)</f>
        <v/>
      </c>
      <c r="T1064">
        <f>S1063*$G$54</f>
        <v/>
      </c>
      <c r="U1064">
        <f>IF(W1063&gt;0,MAX(0,W1063*(1+$G$55)-$H$55),0)</f>
        <v/>
      </c>
      <c r="V1064">
        <f>MAX(0,R1064-Q1064)</f>
        <v/>
      </c>
      <c r="W1064">
        <f>IF(U1064-V1064&gt;1E-9,U1064-V1064,0)</f>
        <v/>
      </c>
      <c r="X1064">
        <f>W1063*$G$55</f>
        <v/>
      </c>
      <c r="Y1064">
        <f>IF(Y1063&gt;1E-9,IF(Y1063*(1+$G$51)-MAX($B$9,0.01*Y1063+Y1063*$G$51)&gt;1E-9,Y1063*(1+$G$51)-MAX($B$9,0.01*Y1063+Y1063*$G$51),0),0)</f>
        <v/>
      </c>
      <c r="Z1064">
        <f>Y1063*$G$51</f>
        <v/>
      </c>
      <c r="AA1064">
        <f>IF(AA1063&gt;1E-9,IF(AA1063*(1+$G$52)-MAX($B$9,0.01*AA1063+AA1063*$G$52)&gt;1E-9,AA1063*(1+$G$52)-MAX($B$9,0.01*AA1063+AA1063*$G$52),0),0)</f>
        <v/>
      </c>
      <c r="AB1064">
        <f>AA1063*$G$52</f>
        <v/>
      </c>
      <c r="AC1064">
        <f>IF(AC1063&gt;1E-9,IF(AC1063*(1+$G$53)-MAX($B$9,0.01*AC1063+AC1063*$G$53)&gt;1E-9,AC1063*(1+$G$53)-MAX($B$9,0.01*AC1063+AC1063*$G$53),0),0)</f>
        <v/>
      </c>
      <c r="AD1064">
        <f>AC1063*$G$53</f>
        <v/>
      </c>
      <c r="AE1064">
        <f>IF(AE1063&gt;1E-9,IF(AE1063*(1+$G$54)-MAX($B$9,0.01*AE1063+AE1063*$G$54)&gt;1E-9,AE1063*(1+$G$54)-MAX($B$9,0.01*AE1063+AE1063*$G$54),0),0)</f>
        <v/>
      </c>
      <c r="AF1064">
        <f>AE1063*$G$54</f>
        <v/>
      </c>
      <c r="AG1064">
        <f>IF(AG1063&gt;1E-9,IF(AG1063*(1+$G$55)-MAX($B$9,0.01*AG1063+AG1063*$G$55)&gt;1E-9,AG1063*(1+$G$55)-MAX($B$9,0.01*AG1063+AG1063*$G$55),0),0)</f>
        <v/>
      </c>
      <c r="AH1064">
        <f>AG1063*$G$55</f>
        <v/>
      </c>
      <c r="AI1064">
        <f>G1064+K1064+O1064+S1064+W1064</f>
        <v/>
      </c>
      <c r="AJ1064">
        <f>AI1063+AK1064-AI1064</f>
        <v/>
      </c>
      <c r="AK1064">
        <f>H1064+L1064+P1064+T1064+X1064</f>
        <v/>
      </c>
      <c r="AL1064">
        <f>TEXT(EDATE($B$5,D1064-1),"mmm yyyy")</f>
        <v/>
      </c>
      <c r="AM1064">
        <f>AI1064</f>
        <v/>
      </c>
    </row>
    <row r="1065">
      <c r="D1065" t="n">
        <v>1004</v>
      </c>
      <c r="E1065">
        <f>IF(G1064&gt;0,MAX(0,G1064*(1+$G$51)-$H$51),0)</f>
        <v/>
      </c>
      <c r="F1065">
        <f>$B$6+IF($D1065=$B$8,$B$7,0)</f>
        <v/>
      </c>
      <c r="G1065">
        <f>IF(E1065-F1065&gt;1E-9,E1065-F1065,0)</f>
        <v/>
      </c>
      <c r="H1065">
        <f>G1064*$G$51</f>
        <v/>
      </c>
      <c r="I1065">
        <f>IF(K1064&gt;0,MAX(0,K1064*(1+$G$52)-$H$52),0)</f>
        <v/>
      </c>
      <c r="J1065">
        <f>MAX(0,F1065-E1065)</f>
        <v/>
      </c>
      <c r="K1065">
        <f>IF(I1065-J1065&gt;1E-9,I1065-J1065,0)</f>
        <v/>
      </c>
      <c r="L1065">
        <f>K1064*$G$52</f>
        <v/>
      </c>
      <c r="M1065">
        <f>IF(O1064&gt;0,MAX(0,O1064*(1+$G$53)-$H$53),0)</f>
        <v/>
      </c>
      <c r="N1065">
        <f>MAX(0,J1065-I1065)</f>
        <v/>
      </c>
      <c r="O1065">
        <f>IF(M1065-N1065&gt;1E-9,M1065-N1065,0)</f>
        <v/>
      </c>
      <c r="P1065">
        <f>O1064*$G$53</f>
        <v/>
      </c>
      <c r="Q1065">
        <f>IF(S1064&gt;0,MAX(0,S1064*(1+$G$54)-$H$54),0)</f>
        <v/>
      </c>
      <c r="R1065">
        <f>MAX(0,N1065-M1065)</f>
        <v/>
      </c>
      <c r="S1065">
        <f>IF(Q1065-R1065&gt;1E-9,Q1065-R1065,0)</f>
        <v/>
      </c>
      <c r="T1065">
        <f>S1064*$G$54</f>
        <v/>
      </c>
      <c r="U1065">
        <f>IF(W1064&gt;0,MAX(0,W1064*(1+$G$55)-$H$55),0)</f>
        <v/>
      </c>
      <c r="V1065">
        <f>MAX(0,R1065-Q1065)</f>
        <v/>
      </c>
      <c r="W1065">
        <f>IF(U1065-V1065&gt;1E-9,U1065-V1065,0)</f>
        <v/>
      </c>
      <c r="X1065">
        <f>W1064*$G$55</f>
        <v/>
      </c>
      <c r="Y1065">
        <f>IF(Y1064&gt;1E-9,IF(Y1064*(1+$G$51)-MAX($B$9,0.01*Y1064+Y1064*$G$51)&gt;1E-9,Y1064*(1+$G$51)-MAX($B$9,0.01*Y1064+Y1064*$G$51),0),0)</f>
        <v/>
      </c>
      <c r="Z1065">
        <f>Y1064*$G$51</f>
        <v/>
      </c>
      <c r="AA1065">
        <f>IF(AA1064&gt;1E-9,IF(AA1064*(1+$G$52)-MAX($B$9,0.01*AA1064+AA1064*$G$52)&gt;1E-9,AA1064*(1+$G$52)-MAX($B$9,0.01*AA1064+AA1064*$G$52),0),0)</f>
        <v/>
      </c>
      <c r="AB1065">
        <f>AA1064*$G$52</f>
        <v/>
      </c>
      <c r="AC1065">
        <f>IF(AC1064&gt;1E-9,IF(AC1064*(1+$G$53)-MAX($B$9,0.01*AC1064+AC1064*$G$53)&gt;1E-9,AC1064*(1+$G$53)-MAX($B$9,0.01*AC1064+AC1064*$G$53),0),0)</f>
        <v/>
      </c>
      <c r="AD1065">
        <f>AC1064*$G$53</f>
        <v/>
      </c>
      <c r="AE1065">
        <f>IF(AE1064&gt;1E-9,IF(AE1064*(1+$G$54)-MAX($B$9,0.01*AE1064+AE1064*$G$54)&gt;1E-9,AE1064*(1+$G$54)-MAX($B$9,0.01*AE1064+AE1064*$G$54),0),0)</f>
        <v/>
      </c>
      <c r="AF1065">
        <f>AE1064*$G$54</f>
        <v/>
      </c>
      <c r="AG1065">
        <f>IF(AG1064&gt;1E-9,IF(AG1064*(1+$G$55)-MAX($B$9,0.01*AG1064+AG1064*$G$55)&gt;1E-9,AG1064*(1+$G$55)-MAX($B$9,0.01*AG1064+AG1064*$G$55),0),0)</f>
        <v/>
      </c>
      <c r="AH1065">
        <f>AG1064*$G$55</f>
        <v/>
      </c>
      <c r="AI1065">
        <f>G1065+K1065+O1065+S1065+W1065</f>
        <v/>
      </c>
      <c r="AJ1065">
        <f>AI1064+AK1065-AI1065</f>
        <v/>
      </c>
      <c r="AK1065">
        <f>H1065+L1065+P1065+T1065+X1065</f>
        <v/>
      </c>
      <c r="AL1065">
        <f>TEXT(EDATE($B$5,D1065-1),"mmm yyyy")</f>
        <v/>
      </c>
      <c r="AM1065">
        <f>AI1065</f>
        <v/>
      </c>
    </row>
    <row r="1066">
      <c r="D1066" t="n">
        <v>1005</v>
      </c>
      <c r="E1066">
        <f>IF(G1065&gt;0,MAX(0,G1065*(1+$G$51)-$H$51),0)</f>
        <v/>
      </c>
      <c r="F1066">
        <f>$B$6+IF($D1066=$B$8,$B$7,0)</f>
        <v/>
      </c>
      <c r="G1066">
        <f>IF(E1066-F1066&gt;1E-9,E1066-F1066,0)</f>
        <v/>
      </c>
      <c r="H1066">
        <f>G1065*$G$51</f>
        <v/>
      </c>
      <c r="I1066">
        <f>IF(K1065&gt;0,MAX(0,K1065*(1+$G$52)-$H$52),0)</f>
        <v/>
      </c>
      <c r="J1066">
        <f>MAX(0,F1066-E1066)</f>
        <v/>
      </c>
      <c r="K1066">
        <f>IF(I1066-J1066&gt;1E-9,I1066-J1066,0)</f>
        <v/>
      </c>
      <c r="L1066">
        <f>K1065*$G$52</f>
        <v/>
      </c>
      <c r="M1066">
        <f>IF(O1065&gt;0,MAX(0,O1065*(1+$G$53)-$H$53),0)</f>
        <v/>
      </c>
      <c r="N1066">
        <f>MAX(0,J1066-I1066)</f>
        <v/>
      </c>
      <c r="O1066">
        <f>IF(M1066-N1066&gt;1E-9,M1066-N1066,0)</f>
        <v/>
      </c>
      <c r="P1066">
        <f>O1065*$G$53</f>
        <v/>
      </c>
      <c r="Q1066">
        <f>IF(S1065&gt;0,MAX(0,S1065*(1+$G$54)-$H$54),0)</f>
        <v/>
      </c>
      <c r="R1066">
        <f>MAX(0,N1066-M1066)</f>
        <v/>
      </c>
      <c r="S1066">
        <f>IF(Q1066-R1066&gt;1E-9,Q1066-R1066,0)</f>
        <v/>
      </c>
      <c r="T1066">
        <f>S1065*$G$54</f>
        <v/>
      </c>
      <c r="U1066">
        <f>IF(W1065&gt;0,MAX(0,W1065*(1+$G$55)-$H$55),0)</f>
        <v/>
      </c>
      <c r="V1066">
        <f>MAX(0,R1066-Q1066)</f>
        <v/>
      </c>
      <c r="W1066">
        <f>IF(U1066-V1066&gt;1E-9,U1066-V1066,0)</f>
        <v/>
      </c>
      <c r="X1066">
        <f>W1065*$G$55</f>
        <v/>
      </c>
      <c r="Y1066">
        <f>IF(Y1065&gt;1E-9,IF(Y1065*(1+$G$51)-MAX($B$9,0.01*Y1065+Y1065*$G$51)&gt;1E-9,Y1065*(1+$G$51)-MAX($B$9,0.01*Y1065+Y1065*$G$51),0),0)</f>
        <v/>
      </c>
      <c r="Z1066">
        <f>Y1065*$G$51</f>
        <v/>
      </c>
      <c r="AA1066">
        <f>IF(AA1065&gt;1E-9,IF(AA1065*(1+$G$52)-MAX($B$9,0.01*AA1065+AA1065*$G$52)&gt;1E-9,AA1065*(1+$G$52)-MAX($B$9,0.01*AA1065+AA1065*$G$52),0),0)</f>
        <v/>
      </c>
      <c r="AB1066">
        <f>AA1065*$G$52</f>
        <v/>
      </c>
      <c r="AC1066">
        <f>IF(AC1065&gt;1E-9,IF(AC1065*(1+$G$53)-MAX($B$9,0.01*AC1065+AC1065*$G$53)&gt;1E-9,AC1065*(1+$G$53)-MAX($B$9,0.01*AC1065+AC1065*$G$53),0),0)</f>
        <v/>
      </c>
      <c r="AD1066">
        <f>AC1065*$G$53</f>
        <v/>
      </c>
      <c r="AE1066">
        <f>IF(AE1065&gt;1E-9,IF(AE1065*(1+$G$54)-MAX($B$9,0.01*AE1065+AE1065*$G$54)&gt;1E-9,AE1065*(1+$G$54)-MAX($B$9,0.01*AE1065+AE1065*$G$54),0),0)</f>
        <v/>
      </c>
      <c r="AF1066">
        <f>AE1065*$G$54</f>
        <v/>
      </c>
      <c r="AG1066">
        <f>IF(AG1065&gt;1E-9,IF(AG1065*(1+$G$55)-MAX($B$9,0.01*AG1065+AG1065*$G$55)&gt;1E-9,AG1065*(1+$G$55)-MAX($B$9,0.01*AG1065+AG1065*$G$55),0),0)</f>
        <v/>
      </c>
      <c r="AH1066">
        <f>AG1065*$G$55</f>
        <v/>
      </c>
      <c r="AI1066">
        <f>G1066+K1066+O1066+S1066+W1066</f>
        <v/>
      </c>
      <c r="AJ1066">
        <f>AI1065+AK1066-AI1066</f>
        <v/>
      </c>
      <c r="AK1066">
        <f>H1066+L1066+P1066+T1066+X1066</f>
        <v/>
      </c>
      <c r="AL1066">
        <f>TEXT(EDATE($B$5,D1066-1),"mmm yyyy")</f>
        <v/>
      </c>
      <c r="AM1066">
        <f>AI1066</f>
        <v/>
      </c>
    </row>
    <row r="1067">
      <c r="D1067" t="n">
        <v>1006</v>
      </c>
      <c r="E1067">
        <f>IF(G1066&gt;0,MAX(0,G1066*(1+$G$51)-$H$51),0)</f>
        <v/>
      </c>
      <c r="F1067">
        <f>$B$6+IF($D1067=$B$8,$B$7,0)</f>
        <v/>
      </c>
      <c r="G1067">
        <f>IF(E1067-F1067&gt;1E-9,E1067-F1067,0)</f>
        <v/>
      </c>
      <c r="H1067">
        <f>G1066*$G$51</f>
        <v/>
      </c>
      <c r="I1067">
        <f>IF(K1066&gt;0,MAX(0,K1066*(1+$G$52)-$H$52),0)</f>
        <v/>
      </c>
      <c r="J1067">
        <f>MAX(0,F1067-E1067)</f>
        <v/>
      </c>
      <c r="K1067">
        <f>IF(I1067-J1067&gt;1E-9,I1067-J1067,0)</f>
        <v/>
      </c>
      <c r="L1067">
        <f>K1066*$G$52</f>
        <v/>
      </c>
      <c r="M1067">
        <f>IF(O1066&gt;0,MAX(0,O1066*(1+$G$53)-$H$53),0)</f>
        <v/>
      </c>
      <c r="N1067">
        <f>MAX(0,J1067-I1067)</f>
        <v/>
      </c>
      <c r="O1067">
        <f>IF(M1067-N1067&gt;1E-9,M1067-N1067,0)</f>
        <v/>
      </c>
      <c r="P1067">
        <f>O1066*$G$53</f>
        <v/>
      </c>
      <c r="Q1067">
        <f>IF(S1066&gt;0,MAX(0,S1066*(1+$G$54)-$H$54),0)</f>
        <v/>
      </c>
      <c r="R1067">
        <f>MAX(0,N1067-M1067)</f>
        <v/>
      </c>
      <c r="S1067">
        <f>IF(Q1067-R1067&gt;1E-9,Q1067-R1067,0)</f>
        <v/>
      </c>
      <c r="T1067">
        <f>S1066*$G$54</f>
        <v/>
      </c>
      <c r="U1067">
        <f>IF(W1066&gt;0,MAX(0,W1066*(1+$G$55)-$H$55),0)</f>
        <v/>
      </c>
      <c r="V1067">
        <f>MAX(0,R1067-Q1067)</f>
        <v/>
      </c>
      <c r="W1067">
        <f>IF(U1067-V1067&gt;1E-9,U1067-V1067,0)</f>
        <v/>
      </c>
      <c r="X1067">
        <f>W1066*$G$55</f>
        <v/>
      </c>
      <c r="Y1067">
        <f>IF(Y1066&gt;1E-9,IF(Y1066*(1+$G$51)-MAX($B$9,0.01*Y1066+Y1066*$G$51)&gt;1E-9,Y1066*(1+$G$51)-MAX($B$9,0.01*Y1066+Y1066*$G$51),0),0)</f>
        <v/>
      </c>
      <c r="Z1067">
        <f>Y1066*$G$51</f>
        <v/>
      </c>
      <c r="AA1067">
        <f>IF(AA1066&gt;1E-9,IF(AA1066*(1+$G$52)-MAX($B$9,0.01*AA1066+AA1066*$G$52)&gt;1E-9,AA1066*(1+$G$52)-MAX($B$9,0.01*AA1066+AA1066*$G$52),0),0)</f>
        <v/>
      </c>
      <c r="AB1067">
        <f>AA1066*$G$52</f>
        <v/>
      </c>
      <c r="AC1067">
        <f>IF(AC1066&gt;1E-9,IF(AC1066*(1+$G$53)-MAX($B$9,0.01*AC1066+AC1066*$G$53)&gt;1E-9,AC1066*(1+$G$53)-MAX($B$9,0.01*AC1066+AC1066*$G$53),0),0)</f>
        <v/>
      </c>
      <c r="AD1067">
        <f>AC1066*$G$53</f>
        <v/>
      </c>
      <c r="AE1067">
        <f>IF(AE1066&gt;1E-9,IF(AE1066*(1+$G$54)-MAX($B$9,0.01*AE1066+AE1066*$G$54)&gt;1E-9,AE1066*(1+$G$54)-MAX($B$9,0.01*AE1066+AE1066*$G$54),0),0)</f>
        <v/>
      </c>
      <c r="AF1067">
        <f>AE1066*$G$54</f>
        <v/>
      </c>
      <c r="AG1067">
        <f>IF(AG1066&gt;1E-9,IF(AG1066*(1+$G$55)-MAX($B$9,0.01*AG1066+AG1066*$G$55)&gt;1E-9,AG1066*(1+$G$55)-MAX($B$9,0.01*AG1066+AG1066*$G$55),0),0)</f>
        <v/>
      </c>
      <c r="AH1067">
        <f>AG1066*$G$55</f>
        <v/>
      </c>
      <c r="AI1067">
        <f>G1067+K1067+O1067+S1067+W1067</f>
        <v/>
      </c>
      <c r="AJ1067">
        <f>AI1066+AK1067-AI1067</f>
        <v/>
      </c>
      <c r="AK1067">
        <f>H1067+L1067+P1067+T1067+X1067</f>
        <v/>
      </c>
      <c r="AL1067">
        <f>TEXT(EDATE($B$5,D1067-1),"mmm yyyy")</f>
        <v/>
      </c>
      <c r="AM1067">
        <f>AI1067</f>
        <v/>
      </c>
    </row>
    <row r="1068">
      <c r="D1068" t="n">
        <v>1007</v>
      </c>
      <c r="E1068">
        <f>IF(G1067&gt;0,MAX(0,G1067*(1+$G$51)-$H$51),0)</f>
        <v/>
      </c>
      <c r="F1068">
        <f>$B$6+IF($D1068=$B$8,$B$7,0)</f>
        <v/>
      </c>
      <c r="G1068">
        <f>IF(E1068-F1068&gt;1E-9,E1068-F1068,0)</f>
        <v/>
      </c>
      <c r="H1068">
        <f>G1067*$G$51</f>
        <v/>
      </c>
      <c r="I1068">
        <f>IF(K1067&gt;0,MAX(0,K1067*(1+$G$52)-$H$52),0)</f>
        <v/>
      </c>
      <c r="J1068">
        <f>MAX(0,F1068-E1068)</f>
        <v/>
      </c>
      <c r="K1068">
        <f>IF(I1068-J1068&gt;1E-9,I1068-J1068,0)</f>
        <v/>
      </c>
      <c r="L1068">
        <f>K1067*$G$52</f>
        <v/>
      </c>
      <c r="M1068">
        <f>IF(O1067&gt;0,MAX(0,O1067*(1+$G$53)-$H$53),0)</f>
        <v/>
      </c>
      <c r="N1068">
        <f>MAX(0,J1068-I1068)</f>
        <v/>
      </c>
      <c r="O1068">
        <f>IF(M1068-N1068&gt;1E-9,M1068-N1068,0)</f>
        <v/>
      </c>
      <c r="P1068">
        <f>O1067*$G$53</f>
        <v/>
      </c>
      <c r="Q1068">
        <f>IF(S1067&gt;0,MAX(0,S1067*(1+$G$54)-$H$54),0)</f>
        <v/>
      </c>
      <c r="R1068">
        <f>MAX(0,N1068-M1068)</f>
        <v/>
      </c>
      <c r="S1068">
        <f>IF(Q1068-R1068&gt;1E-9,Q1068-R1068,0)</f>
        <v/>
      </c>
      <c r="T1068">
        <f>S1067*$G$54</f>
        <v/>
      </c>
      <c r="U1068">
        <f>IF(W1067&gt;0,MAX(0,W1067*(1+$G$55)-$H$55),0)</f>
        <v/>
      </c>
      <c r="V1068">
        <f>MAX(0,R1068-Q1068)</f>
        <v/>
      </c>
      <c r="W1068">
        <f>IF(U1068-V1068&gt;1E-9,U1068-V1068,0)</f>
        <v/>
      </c>
      <c r="X1068">
        <f>W1067*$G$55</f>
        <v/>
      </c>
      <c r="Y1068">
        <f>IF(Y1067&gt;1E-9,IF(Y1067*(1+$G$51)-MAX($B$9,0.01*Y1067+Y1067*$G$51)&gt;1E-9,Y1067*(1+$G$51)-MAX($B$9,0.01*Y1067+Y1067*$G$51),0),0)</f>
        <v/>
      </c>
      <c r="Z1068">
        <f>Y1067*$G$51</f>
        <v/>
      </c>
      <c r="AA1068">
        <f>IF(AA1067&gt;1E-9,IF(AA1067*(1+$G$52)-MAX($B$9,0.01*AA1067+AA1067*$G$52)&gt;1E-9,AA1067*(1+$G$52)-MAX($B$9,0.01*AA1067+AA1067*$G$52),0),0)</f>
        <v/>
      </c>
      <c r="AB1068">
        <f>AA1067*$G$52</f>
        <v/>
      </c>
      <c r="AC1068">
        <f>IF(AC1067&gt;1E-9,IF(AC1067*(1+$G$53)-MAX($B$9,0.01*AC1067+AC1067*$G$53)&gt;1E-9,AC1067*(1+$G$53)-MAX($B$9,0.01*AC1067+AC1067*$G$53),0),0)</f>
        <v/>
      </c>
      <c r="AD1068">
        <f>AC1067*$G$53</f>
        <v/>
      </c>
      <c r="AE1068">
        <f>IF(AE1067&gt;1E-9,IF(AE1067*(1+$G$54)-MAX($B$9,0.01*AE1067+AE1067*$G$54)&gt;1E-9,AE1067*(1+$G$54)-MAX($B$9,0.01*AE1067+AE1067*$G$54),0),0)</f>
        <v/>
      </c>
      <c r="AF1068">
        <f>AE1067*$G$54</f>
        <v/>
      </c>
      <c r="AG1068">
        <f>IF(AG1067&gt;1E-9,IF(AG1067*(1+$G$55)-MAX($B$9,0.01*AG1067+AG1067*$G$55)&gt;1E-9,AG1067*(1+$G$55)-MAX($B$9,0.01*AG1067+AG1067*$G$55),0),0)</f>
        <v/>
      </c>
      <c r="AH1068">
        <f>AG1067*$G$55</f>
        <v/>
      </c>
      <c r="AI1068">
        <f>G1068+K1068+O1068+S1068+W1068</f>
        <v/>
      </c>
      <c r="AJ1068">
        <f>AI1067+AK1068-AI1068</f>
        <v/>
      </c>
      <c r="AK1068">
        <f>H1068+L1068+P1068+T1068+X1068</f>
        <v/>
      </c>
      <c r="AL1068">
        <f>TEXT(EDATE($B$5,D1068-1),"mmm yyyy")</f>
        <v/>
      </c>
      <c r="AM1068">
        <f>AI1068</f>
        <v/>
      </c>
    </row>
    <row r="1069">
      <c r="D1069" t="n">
        <v>1008</v>
      </c>
      <c r="E1069">
        <f>IF(G1068&gt;0,MAX(0,G1068*(1+$G$51)-$H$51),0)</f>
        <v/>
      </c>
      <c r="F1069">
        <f>$B$6+IF($D1069=$B$8,$B$7,0)</f>
        <v/>
      </c>
      <c r="G1069">
        <f>IF(E1069-F1069&gt;1E-9,E1069-F1069,0)</f>
        <v/>
      </c>
      <c r="H1069">
        <f>G1068*$G$51</f>
        <v/>
      </c>
      <c r="I1069">
        <f>IF(K1068&gt;0,MAX(0,K1068*(1+$G$52)-$H$52),0)</f>
        <v/>
      </c>
      <c r="J1069">
        <f>MAX(0,F1069-E1069)</f>
        <v/>
      </c>
      <c r="K1069">
        <f>IF(I1069-J1069&gt;1E-9,I1069-J1069,0)</f>
        <v/>
      </c>
      <c r="L1069">
        <f>K1068*$G$52</f>
        <v/>
      </c>
      <c r="M1069">
        <f>IF(O1068&gt;0,MAX(0,O1068*(1+$G$53)-$H$53),0)</f>
        <v/>
      </c>
      <c r="N1069">
        <f>MAX(0,J1069-I1069)</f>
        <v/>
      </c>
      <c r="O1069">
        <f>IF(M1069-N1069&gt;1E-9,M1069-N1069,0)</f>
        <v/>
      </c>
      <c r="P1069">
        <f>O1068*$G$53</f>
        <v/>
      </c>
      <c r="Q1069">
        <f>IF(S1068&gt;0,MAX(0,S1068*(1+$G$54)-$H$54),0)</f>
        <v/>
      </c>
      <c r="R1069">
        <f>MAX(0,N1069-M1069)</f>
        <v/>
      </c>
      <c r="S1069">
        <f>IF(Q1069-R1069&gt;1E-9,Q1069-R1069,0)</f>
        <v/>
      </c>
      <c r="T1069">
        <f>S1068*$G$54</f>
        <v/>
      </c>
      <c r="U1069">
        <f>IF(W1068&gt;0,MAX(0,W1068*(1+$G$55)-$H$55),0)</f>
        <v/>
      </c>
      <c r="V1069">
        <f>MAX(0,R1069-Q1069)</f>
        <v/>
      </c>
      <c r="W1069">
        <f>IF(U1069-V1069&gt;1E-9,U1069-V1069,0)</f>
        <v/>
      </c>
      <c r="X1069">
        <f>W1068*$G$55</f>
        <v/>
      </c>
      <c r="Y1069">
        <f>IF(Y1068&gt;1E-9,IF(Y1068*(1+$G$51)-MAX($B$9,0.01*Y1068+Y1068*$G$51)&gt;1E-9,Y1068*(1+$G$51)-MAX($B$9,0.01*Y1068+Y1068*$G$51),0),0)</f>
        <v/>
      </c>
      <c r="Z1069">
        <f>Y1068*$G$51</f>
        <v/>
      </c>
      <c r="AA1069">
        <f>IF(AA1068&gt;1E-9,IF(AA1068*(1+$G$52)-MAX($B$9,0.01*AA1068+AA1068*$G$52)&gt;1E-9,AA1068*(1+$G$52)-MAX($B$9,0.01*AA1068+AA1068*$G$52),0),0)</f>
        <v/>
      </c>
      <c r="AB1069">
        <f>AA1068*$G$52</f>
        <v/>
      </c>
      <c r="AC1069">
        <f>IF(AC1068&gt;1E-9,IF(AC1068*(1+$G$53)-MAX($B$9,0.01*AC1068+AC1068*$G$53)&gt;1E-9,AC1068*(1+$G$53)-MAX($B$9,0.01*AC1068+AC1068*$G$53),0),0)</f>
        <v/>
      </c>
      <c r="AD1069">
        <f>AC1068*$G$53</f>
        <v/>
      </c>
      <c r="AE1069">
        <f>IF(AE1068&gt;1E-9,IF(AE1068*(1+$G$54)-MAX($B$9,0.01*AE1068+AE1068*$G$54)&gt;1E-9,AE1068*(1+$G$54)-MAX($B$9,0.01*AE1068+AE1068*$G$54),0),0)</f>
        <v/>
      </c>
      <c r="AF1069">
        <f>AE1068*$G$54</f>
        <v/>
      </c>
      <c r="AG1069">
        <f>IF(AG1068&gt;1E-9,IF(AG1068*(1+$G$55)-MAX($B$9,0.01*AG1068+AG1068*$G$55)&gt;1E-9,AG1068*(1+$G$55)-MAX($B$9,0.01*AG1068+AG1068*$G$55),0),0)</f>
        <v/>
      </c>
      <c r="AH1069">
        <f>AG1068*$G$55</f>
        <v/>
      </c>
      <c r="AI1069">
        <f>G1069+K1069+O1069+S1069+W1069</f>
        <v/>
      </c>
      <c r="AJ1069">
        <f>AI1068+AK1069-AI1069</f>
        <v/>
      </c>
      <c r="AK1069">
        <f>H1069+L1069+P1069+T1069+X1069</f>
        <v/>
      </c>
      <c r="AL1069">
        <f>TEXT(EDATE($B$5,D1069-1),"mmm yyyy")</f>
        <v/>
      </c>
      <c r="AM1069">
        <f>AI1069</f>
        <v/>
      </c>
    </row>
    <row r="1070">
      <c r="D1070" t="n">
        <v>1009</v>
      </c>
      <c r="E1070">
        <f>IF(G1069&gt;0,MAX(0,G1069*(1+$G$51)-$H$51),0)</f>
        <v/>
      </c>
      <c r="F1070">
        <f>$B$6+IF($D1070=$B$8,$B$7,0)</f>
        <v/>
      </c>
      <c r="G1070">
        <f>IF(E1070-F1070&gt;1E-9,E1070-F1070,0)</f>
        <v/>
      </c>
      <c r="H1070">
        <f>G1069*$G$51</f>
        <v/>
      </c>
      <c r="I1070">
        <f>IF(K1069&gt;0,MAX(0,K1069*(1+$G$52)-$H$52),0)</f>
        <v/>
      </c>
      <c r="J1070">
        <f>MAX(0,F1070-E1070)</f>
        <v/>
      </c>
      <c r="K1070">
        <f>IF(I1070-J1070&gt;1E-9,I1070-J1070,0)</f>
        <v/>
      </c>
      <c r="L1070">
        <f>K1069*$G$52</f>
        <v/>
      </c>
      <c r="M1070">
        <f>IF(O1069&gt;0,MAX(0,O1069*(1+$G$53)-$H$53),0)</f>
        <v/>
      </c>
      <c r="N1070">
        <f>MAX(0,J1070-I1070)</f>
        <v/>
      </c>
      <c r="O1070">
        <f>IF(M1070-N1070&gt;1E-9,M1070-N1070,0)</f>
        <v/>
      </c>
      <c r="P1070">
        <f>O1069*$G$53</f>
        <v/>
      </c>
      <c r="Q1070">
        <f>IF(S1069&gt;0,MAX(0,S1069*(1+$G$54)-$H$54),0)</f>
        <v/>
      </c>
      <c r="R1070">
        <f>MAX(0,N1070-M1070)</f>
        <v/>
      </c>
      <c r="S1070">
        <f>IF(Q1070-R1070&gt;1E-9,Q1070-R1070,0)</f>
        <v/>
      </c>
      <c r="T1070">
        <f>S1069*$G$54</f>
        <v/>
      </c>
      <c r="U1070">
        <f>IF(W1069&gt;0,MAX(0,W1069*(1+$G$55)-$H$55),0)</f>
        <v/>
      </c>
      <c r="V1070">
        <f>MAX(0,R1070-Q1070)</f>
        <v/>
      </c>
      <c r="W1070">
        <f>IF(U1070-V1070&gt;1E-9,U1070-V1070,0)</f>
        <v/>
      </c>
      <c r="X1070">
        <f>W1069*$G$55</f>
        <v/>
      </c>
      <c r="Y1070">
        <f>IF(Y1069&gt;1E-9,IF(Y1069*(1+$G$51)-MAX($B$9,0.01*Y1069+Y1069*$G$51)&gt;1E-9,Y1069*(1+$G$51)-MAX($B$9,0.01*Y1069+Y1069*$G$51),0),0)</f>
        <v/>
      </c>
      <c r="Z1070">
        <f>Y1069*$G$51</f>
        <v/>
      </c>
      <c r="AA1070">
        <f>IF(AA1069&gt;1E-9,IF(AA1069*(1+$G$52)-MAX($B$9,0.01*AA1069+AA1069*$G$52)&gt;1E-9,AA1069*(1+$G$52)-MAX($B$9,0.01*AA1069+AA1069*$G$52),0),0)</f>
        <v/>
      </c>
      <c r="AB1070">
        <f>AA1069*$G$52</f>
        <v/>
      </c>
      <c r="AC1070">
        <f>IF(AC1069&gt;1E-9,IF(AC1069*(1+$G$53)-MAX($B$9,0.01*AC1069+AC1069*$G$53)&gt;1E-9,AC1069*(1+$G$53)-MAX($B$9,0.01*AC1069+AC1069*$G$53),0),0)</f>
        <v/>
      </c>
      <c r="AD1070">
        <f>AC1069*$G$53</f>
        <v/>
      </c>
      <c r="AE1070">
        <f>IF(AE1069&gt;1E-9,IF(AE1069*(1+$G$54)-MAX($B$9,0.01*AE1069+AE1069*$G$54)&gt;1E-9,AE1069*(1+$G$54)-MAX($B$9,0.01*AE1069+AE1069*$G$54),0),0)</f>
        <v/>
      </c>
      <c r="AF1070">
        <f>AE1069*$G$54</f>
        <v/>
      </c>
      <c r="AG1070">
        <f>IF(AG1069&gt;1E-9,IF(AG1069*(1+$G$55)-MAX($B$9,0.01*AG1069+AG1069*$G$55)&gt;1E-9,AG1069*(1+$G$55)-MAX($B$9,0.01*AG1069+AG1069*$G$55),0),0)</f>
        <v/>
      </c>
      <c r="AH1070">
        <f>AG1069*$G$55</f>
        <v/>
      </c>
      <c r="AI1070">
        <f>G1070+K1070+O1070+S1070+W1070</f>
        <v/>
      </c>
      <c r="AJ1070">
        <f>AI1069+AK1070-AI1070</f>
        <v/>
      </c>
      <c r="AK1070">
        <f>H1070+L1070+P1070+T1070+X1070</f>
        <v/>
      </c>
      <c r="AL1070">
        <f>TEXT(EDATE($B$5,D1070-1),"mmm yyyy")</f>
        <v/>
      </c>
      <c r="AM1070">
        <f>AI1070</f>
        <v/>
      </c>
    </row>
    <row r="1071">
      <c r="D1071" t="n">
        <v>1010</v>
      </c>
      <c r="E1071">
        <f>IF(G1070&gt;0,MAX(0,G1070*(1+$G$51)-$H$51),0)</f>
        <v/>
      </c>
      <c r="F1071">
        <f>$B$6+IF($D1071=$B$8,$B$7,0)</f>
        <v/>
      </c>
      <c r="G1071">
        <f>IF(E1071-F1071&gt;1E-9,E1071-F1071,0)</f>
        <v/>
      </c>
      <c r="H1071">
        <f>G1070*$G$51</f>
        <v/>
      </c>
      <c r="I1071">
        <f>IF(K1070&gt;0,MAX(0,K1070*(1+$G$52)-$H$52),0)</f>
        <v/>
      </c>
      <c r="J1071">
        <f>MAX(0,F1071-E1071)</f>
        <v/>
      </c>
      <c r="K1071">
        <f>IF(I1071-J1071&gt;1E-9,I1071-J1071,0)</f>
        <v/>
      </c>
      <c r="L1071">
        <f>K1070*$G$52</f>
        <v/>
      </c>
      <c r="M1071">
        <f>IF(O1070&gt;0,MAX(0,O1070*(1+$G$53)-$H$53),0)</f>
        <v/>
      </c>
      <c r="N1071">
        <f>MAX(0,J1071-I1071)</f>
        <v/>
      </c>
      <c r="O1071">
        <f>IF(M1071-N1071&gt;1E-9,M1071-N1071,0)</f>
        <v/>
      </c>
      <c r="P1071">
        <f>O1070*$G$53</f>
        <v/>
      </c>
      <c r="Q1071">
        <f>IF(S1070&gt;0,MAX(0,S1070*(1+$G$54)-$H$54),0)</f>
        <v/>
      </c>
      <c r="R1071">
        <f>MAX(0,N1071-M1071)</f>
        <v/>
      </c>
      <c r="S1071">
        <f>IF(Q1071-R1071&gt;1E-9,Q1071-R1071,0)</f>
        <v/>
      </c>
      <c r="T1071">
        <f>S1070*$G$54</f>
        <v/>
      </c>
      <c r="U1071">
        <f>IF(W1070&gt;0,MAX(0,W1070*(1+$G$55)-$H$55),0)</f>
        <v/>
      </c>
      <c r="V1071">
        <f>MAX(0,R1071-Q1071)</f>
        <v/>
      </c>
      <c r="W1071">
        <f>IF(U1071-V1071&gt;1E-9,U1071-V1071,0)</f>
        <v/>
      </c>
      <c r="X1071">
        <f>W1070*$G$55</f>
        <v/>
      </c>
      <c r="Y1071">
        <f>IF(Y1070&gt;1E-9,IF(Y1070*(1+$G$51)-MAX($B$9,0.01*Y1070+Y1070*$G$51)&gt;1E-9,Y1070*(1+$G$51)-MAX($B$9,0.01*Y1070+Y1070*$G$51),0),0)</f>
        <v/>
      </c>
      <c r="Z1071">
        <f>Y1070*$G$51</f>
        <v/>
      </c>
      <c r="AA1071">
        <f>IF(AA1070&gt;1E-9,IF(AA1070*(1+$G$52)-MAX($B$9,0.01*AA1070+AA1070*$G$52)&gt;1E-9,AA1070*(1+$G$52)-MAX($B$9,0.01*AA1070+AA1070*$G$52),0),0)</f>
        <v/>
      </c>
      <c r="AB1071">
        <f>AA1070*$G$52</f>
        <v/>
      </c>
      <c r="AC1071">
        <f>IF(AC1070&gt;1E-9,IF(AC1070*(1+$G$53)-MAX($B$9,0.01*AC1070+AC1070*$G$53)&gt;1E-9,AC1070*(1+$G$53)-MAX($B$9,0.01*AC1070+AC1070*$G$53),0),0)</f>
        <v/>
      </c>
      <c r="AD1071">
        <f>AC1070*$G$53</f>
        <v/>
      </c>
      <c r="AE1071">
        <f>IF(AE1070&gt;1E-9,IF(AE1070*(1+$G$54)-MAX($B$9,0.01*AE1070+AE1070*$G$54)&gt;1E-9,AE1070*(1+$G$54)-MAX($B$9,0.01*AE1070+AE1070*$G$54),0),0)</f>
        <v/>
      </c>
      <c r="AF1071">
        <f>AE1070*$G$54</f>
        <v/>
      </c>
      <c r="AG1071">
        <f>IF(AG1070&gt;1E-9,IF(AG1070*(1+$G$55)-MAX($B$9,0.01*AG1070+AG1070*$G$55)&gt;1E-9,AG1070*(1+$G$55)-MAX($B$9,0.01*AG1070+AG1070*$G$55),0),0)</f>
        <v/>
      </c>
      <c r="AH1071">
        <f>AG1070*$G$55</f>
        <v/>
      </c>
      <c r="AI1071">
        <f>G1071+K1071+O1071+S1071+W1071</f>
        <v/>
      </c>
      <c r="AJ1071">
        <f>AI1070+AK1071-AI1071</f>
        <v/>
      </c>
      <c r="AK1071">
        <f>H1071+L1071+P1071+T1071+X1071</f>
        <v/>
      </c>
      <c r="AL1071">
        <f>TEXT(EDATE($B$5,D1071-1),"mmm yyyy")</f>
        <v/>
      </c>
      <c r="AM1071">
        <f>AI1071</f>
        <v/>
      </c>
    </row>
    <row r="1072">
      <c r="D1072" t="n">
        <v>1011</v>
      </c>
      <c r="E1072">
        <f>IF(G1071&gt;0,MAX(0,G1071*(1+$G$51)-$H$51),0)</f>
        <v/>
      </c>
      <c r="F1072">
        <f>$B$6+IF($D1072=$B$8,$B$7,0)</f>
        <v/>
      </c>
      <c r="G1072">
        <f>IF(E1072-F1072&gt;1E-9,E1072-F1072,0)</f>
        <v/>
      </c>
      <c r="H1072">
        <f>G1071*$G$51</f>
        <v/>
      </c>
      <c r="I1072">
        <f>IF(K1071&gt;0,MAX(0,K1071*(1+$G$52)-$H$52),0)</f>
        <v/>
      </c>
      <c r="J1072">
        <f>MAX(0,F1072-E1072)</f>
        <v/>
      </c>
      <c r="K1072">
        <f>IF(I1072-J1072&gt;1E-9,I1072-J1072,0)</f>
        <v/>
      </c>
      <c r="L1072">
        <f>K1071*$G$52</f>
        <v/>
      </c>
      <c r="M1072">
        <f>IF(O1071&gt;0,MAX(0,O1071*(1+$G$53)-$H$53),0)</f>
        <v/>
      </c>
      <c r="N1072">
        <f>MAX(0,J1072-I1072)</f>
        <v/>
      </c>
      <c r="O1072">
        <f>IF(M1072-N1072&gt;1E-9,M1072-N1072,0)</f>
        <v/>
      </c>
      <c r="P1072">
        <f>O1071*$G$53</f>
        <v/>
      </c>
      <c r="Q1072">
        <f>IF(S1071&gt;0,MAX(0,S1071*(1+$G$54)-$H$54),0)</f>
        <v/>
      </c>
      <c r="R1072">
        <f>MAX(0,N1072-M1072)</f>
        <v/>
      </c>
      <c r="S1072">
        <f>IF(Q1072-R1072&gt;1E-9,Q1072-R1072,0)</f>
        <v/>
      </c>
      <c r="T1072">
        <f>S1071*$G$54</f>
        <v/>
      </c>
      <c r="U1072">
        <f>IF(W1071&gt;0,MAX(0,W1071*(1+$G$55)-$H$55),0)</f>
        <v/>
      </c>
      <c r="V1072">
        <f>MAX(0,R1072-Q1072)</f>
        <v/>
      </c>
      <c r="W1072">
        <f>IF(U1072-V1072&gt;1E-9,U1072-V1072,0)</f>
        <v/>
      </c>
      <c r="X1072">
        <f>W1071*$G$55</f>
        <v/>
      </c>
      <c r="Y1072">
        <f>IF(Y1071&gt;1E-9,IF(Y1071*(1+$G$51)-MAX($B$9,0.01*Y1071+Y1071*$G$51)&gt;1E-9,Y1071*(1+$G$51)-MAX($B$9,0.01*Y1071+Y1071*$G$51),0),0)</f>
        <v/>
      </c>
      <c r="Z1072">
        <f>Y1071*$G$51</f>
        <v/>
      </c>
      <c r="AA1072">
        <f>IF(AA1071&gt;1E-9,IF(AA1071*(1+$G$52)-MAX($B$9,0.01*AA1071+AA1071*$G$52)&gt;1E-9,AA1071*(1+$G$52)-MAX($B$9,0.01*AA1071+AA1071*$G$52),0),0)</f>
        <v/>
      </c>
      <c r="AB1072">
        <f>AA1071*$G$52</f>
        <v/>
      </c>
      <c r="AC1072">
        <f>IF(AC1071&gt;1E-9,IF(AC1071*(1+$G$53)-MAX($B$9,0.01*AC1071+AC1071*$G$53)&gt;1E-9,AC1071*(1+$G$53)-MAX($B$9,0.01*AC1071+AC1071*$G$53),0),0)</f>
        <v/>
      </c>
      <c r="AD1072">
        <f>AC1071*$G$53</f>
        <v/>
      </c>
      <c r="AE1072">
        <f>IF(AE1071&gt;1E-9,IF(AE1071*(1+$G$54)-MAX($B$9,0.01*AE1071+AE1071*$G$54)&gt;1E-9,AE1071*(1+$G$54)-MAX($B$9,0.01*AE1071+AE1071*$G$54),0),0)</f>
        <v/>
      </c>
      <c r="AF1072">
        <f>AE1071*$G$54</f>
        <v/>
      </c>
      <c r="AG1072">
        <f>IF(AG1071&gt;1E-9,IF(AG1071*(1+$G$55)-MAX($B$9,0.01*AG1071+AG1071*$G$55)&gt;1E-9,AG1071*(1+$G$55)-MAX($B$9,0.01*AG1071+AG1071*$G$55),0),0)</f>
        <v/>
      </c>
      <c r="AH1072">
        <f>AG1071*$G$55</f>
        <v/>
      </c>
      <c r="AI1072">
        <f>G1072+K1072+O1072+S1072+W1072</f>
        <v/>
      </c>
      <c r="AJ1072">
        <f>AI1071+AK1072-AI1072</f>
        <v/>
      </c>
      <c r="AK1072">
        <f>H1072+L1072+P1072+T1072+X1072</f>
        <v/>
      </c>
      <c r="AL1072">
        <f>TEXT(EDATE($B$5,D1072-1),"mmm yyyy")</f>
        <v/>
      </c>
      <c r="AM1072">
        <f>AI1072</f>
        <v/>
      </c>
    </row>
    <row r="1073">
      <c r="D1073" t="n">
        <v>1012</v>
      </c>
      <c r="E1073">
        <f>IF(G1072&gt;0,MAX(0,G1072*(1+$G$51)-$H$51),0)</f>
        <v/>
      </c>
      <c r="F1073">
        <f>$B$6+IF($D1073=$B$8,$B$7,0)</f>
        <v/>
      </c>
      <c r="G1073">
        <f>IF(E1073-F1073&gt;1E-9,E1073-F1073,0)</f>
        <v/>
      </c>
      <c r="H1073">
        <f>G1072*$G$51</f>
        <v/>
      </c>
      <c r="I1073">
        <f>IF(K1072&gt;0,MAX(0,K1072*(1+$G$52)-$H$52),0)</f>
        <v/>
      </c>
      <c r="J1073">
        <f>MAX(0,F1073-E1073)</f>
        <v/>
      </c>
      <c r="K1073">
        <f>IF(I1073-J1073&gt;1E-9,I1073-J1073,0)</f>
        <v/>
      </c>
      <c r="L1073">
        <f>K1072*$G$52</f>
        <v/>
      </c>
      <c r="M1073">
        <f>IF(O1072&gt;0,MAX(0,O1072*(1+$G$53)-$H$53),0)</f>
        <v/>
      </c>
      <c r="N1073">
        <f>MAX(0,J1073-I1073)</f>
        <v/>
      </c>
      <c r="O1073">
        <f>IF(M1073-N1073&gt;1E-9,M1073-N1073,0)</f>
        <v/>
      </c>
      <c r="P1073">
        <f>O1072*$G$53</f>
        <v/>
      </c>
      <c r="Q1073">
        <f>IF(S1072&gt;0,MAX(0,S1072*(1+$G$54)-$H$54),0)</f>
        <v/>
      </c>
      <c r="R1073">
        <f>MAX(0,N1073-M1073)</f>
        <v/>
      </c>
      <c r="S1073">
        <f>IF(Q1073-R1073&gt;1E-9,Q1073-R1073,0)</f>
        <v/>
      </c>
      <c r="T1073">
        <f>S1072*$G$54</f>
        <v/>
      </c>
      <c r="U1073">
        <f>IF(W1072&gt;0,MAX(0,W1072*(1+$G$55)-$H$55),0)</f>
        <v/>
      </c>
      <c r="V1073">
        <f>MAX(0,R1073-Q1073)</f>
        <v/>
      </c>
      <c r="W1073">
        <f>IF(U1073-V1073&gt;1E-9,U1073-V1073,0)</f>
        <v/>
      </c>
      <c r="X1073">
        <f>W1072*$G$55</f>
        <v/>
      </c>
      <c r="Y1073">
        <f>IF(Y1072&gt;1E-9,IF(Y1072*(1+$G$51)-MAX($B$9,0.01*Y1072+Y1072*$G$51)&gt;1E-9,Y1072*(1+$G$51)-MAX($B$9,0.01*Y1072+Y1072*$G$51),0),0)</f>
        <v/>
      </c>
      <c r="Z1073">
        <f>Y1072*$G$51</f>
        <v/>
      </c>
      <c r="AA1073">
        <f>IF(AA1072&gt;1E-9,IF(AA1072*(1+$G$52)-MAX($B$9,0.01*AA1072+AA1072*$G$52)&gt;1E-9,AA1072*(1+$G$52)-MAX($B$9,0.01*AA1072+AA1072*$G$52),0),0)</f>
        <v/>
      </c>
      <c r="AB1073">
        <f>AA1072*$G$52</f>
        <v/>
      </c>
      <c r="AC1073">
        <f>IF(AC1072&gt;1E-9,IF(AC1072*(1+$G$53)-MAX($B$9,0.01*AC1072+AC1072*$G$53)&gt;1E-9,AC1072*(1+$G$53)-MAX($B$9,0.01*AC1072+AC1072*$G$53),0),0)</f>
        <v/>
      </c>
      <c r="AD1073">
        <f>AC1072*$G$53</f>
        <v/>
      </c>
      <c r="AE1073">
        <f>IF(AE1072&gt;1E-9,IF(AE1072*(1+$G$54)-MAX($B$9,0.01*AE1072+AE1072*$G$54)&gt;1E-9,AE1072*(1+$G$54)-MAX($B$9,0.01*AE1072+AE1072*$G$54),0),0)</f>
        <v/>
      </c>
      <c r="AF1073">
        <f>AE1072*$G$54</f>
        <v/>
      </c>
      <c r="AG1073">
        <f>IF(AG1072&gt;1E-9,IF(AG1072*(1+$G$55)-MAX($B$9,0.01*AG1072+AG1072*$G$55)&gt;1E-9,AG1072*(1+$G$55)-MAX($B$9,0.01*AG1072+AG1072*$G$55),0),0)</f>
        <v/>
      </c>
      <c r="AH1073">
        <f>AG1072*$G$55</f>
        <v/>
      </c>
      <c r="AI1073">
        <f>G1073+K1073+O1073+S1073+W1073</f>
        <v/>
      </c>
      <c r="AJ1073">
        <f>AI1072+AK1073-AI1073</f>
        <v/>
      </c>
      <c r="AK1073">
        <f>H1073+L1073+P1073+T1073+X1073</f>
        <v/>
      </c>
      <c r="AL1073">
        <f>TEXT(EDATE($B$5,D1073-1),"mmm yyyy")</f>
        <v/>
      </c>
      <c r="AM1073">
        <f>AI1073</f>
        <v/>
      </c>
    </row>
    <row r="1074">
      <c r="D1074" t="n">
        <v>1013</v>
      </c>
      <c r="E1074">
        <f>IF(G1073&gt;0,MAX(0,G1073*(1+$G$51)-$H$51),0)</f>
        <v/>
      </c>
      <c r="F1074">
        <f>$B$6+IF($D1074=$B$8,$B$7,0)</f>
        <v/>
      </c>
      <c r="G1074">
        <f>IF(E1074-F1074&gt;1E-9,E1074-F1074,0)</f>
        <v/>
      </c>
      <c r="H1074">
        <f>G1073*$G$51</f>
        <v/>
      </c>
      <c r="I1074">
        <f>IF(K1073&gt;0,MAX(0,K1073*(1+$G$52)-$H$52),0)</f>
        <v/>
      </c>
      <c r="J1074">
        <f>MAX(0,F1074-E1074)</f>
        <v/>
      </c>
      <c r="K1074">
        <f>IF(I1074-J1074&gt;1E-9,I1074-J1074,0)</f>
        <v/>
      </c>
      <c r="L1074">
        <f>K1073*$G$52</f>
        <v/>
      </c>
      <c r="M1074">
        <f>IF(O1073&gt;0,MAX(0,O1073*(1+$G$53)-$H$53),0)</f>
        <v/>
      </c>
      <c r="N1074">
        <f>MAX(0,J1074-I1074)</f>
        <v/>
      </c>
      <c r="O1074">
        <f>IF(M1074-N1074&gt;1E-9,M1074-N1074,0)</f>
        <v/>
      </c>
      <c r="P1074">
        <f>O1073*$G$53</f>
        <v/>
      </c>
      <c r="Q1074">
        <f>IF(S1073&gt;0,MAX(0,S1073*(1+$G$54)-$H$54),0)</f>
        <v/>
      </c>
      <c r="R1074">
        <f>MAX(0,N1074-M1074)</f>
        <v/>
      </c>
      <c r="S1074">
        <f>IF(Q1074-R1074&gt;1E-9,Q1074-R1074,0)</f>
        <v/>
      </c>
      <c r="T1074">
        <f>S1073*$G$54</f>
        <v/>
      </c>
      <c r="U1074">
        <f>IF(W1073&gt;0,MAX(0,W1073*(1+$G$55)-$H$55),0)</f>
        <v/>
      </c>
      <c r="V1074">
        <f>MAX(0,R1074-Q1074)</f>
        <v/>
      </c>
      <c r="W1074">
        <f>IF(U1074-V1074&gt;1E-9,U1074-V1074,0)</f>
        <v/>
      </c>
      <c r="X1074">
        <f>W1073*$G$55</f>
        <v/>
      </c>
      <c r="Y1074">
        <f>IF(Y1073&gt;1E-9,IF(Y1073*(1+$G$51)-MAX($B$9,0.01*Y1073+Y1073*$G$51)&gt;1E-9,Y1073*(1+$G$51)-MAX($B$9,0.01*Y1073+Y1073*$G$51),0),0)</f>
        <v/>
      </c>
      <c r="Z1074">
        <f>Y1073*$G$51</f>
        <v/>
      </c>
      <c r="AA1074">
        <f>IF(AA1073&gt;1E-9,IF(AA1073*(1+$G$52)-MAX($B$9,0.01*AA1073+AA1073*$G$52)&gt;1E-9,AA1073*(1+$G$52)-MAX($B$9,0.01*AA1073+AA1073*$G$52),0),0)</f>
        <v/>
      </c>
      <c r="AB1074">
        <f>AA1073*$G$52</f>
        <v/>
      </c>
      <c r="AC1074">
        <f>IF(AC1073&gt;1E-9,IF(AC1073*(1+$G$53)-MAX($B$9,0.01*AC1073+AC1073*$G$53)&gt;1E-9,AC1073*(1+$G$53)-MAX($B$9,0.01*AC1073+AC1073*$G$53),0),0)</f>
        <v/>
      </c>
      <c r="AD1074">
        <f>AC1073*$G$53</f>
        <v/>
      </c>
      <c r="AE1074">
        <f>IF(AE1073&gt;1E-9,IF(AE1073*(1+$G$54)-MAX($B$9,0.01*AE1073+AE1073*$G$54)&gt;1E-9,AE1073*(1+$G$54)-MAX($B$9,0.01*AE1073+AE1073*$G$54),0),0)</f>
        <v/>
      </c>
      <c r="AF1074">
        <f>AE1073*$G$54</f>
        <v/>
      </c>
      <c r="AG1074">
        <f>IF(AG1073&gt;1E-9,IF(AG1073*(1+$G$55)-MAX($B$9,0.01*AG1073+AG1073*$G$55)&gt;1E-9,AG1073*(1+$G$55)-MAX($B$9,0.01*AG1073+AG1073*$G$55),0),0)</f>
        <v/>
      </c>
      <c r="AH1074">
        <f>AG1073*$G$55</f>
        <v/>
      </c>
      <c r="AI1074">
        <f>G1074+K1074+O1074+S1074+W1074</f>
        <v/>
      </c>
      <c r="AJ1074">
        <f>AI1073+AK1074-AI1074</f>
        <v/>
      </c>
      <c r="AK1074">
        <f>H1074+L1074+P1074+T1074+X1074</f>
        <v/>
      </c>
      <c r="AL1074">
        <f>TEXT(EDATE($B$5,D1074-1),"mmm yyyy")</f>
        <v/>
      </c>
      <c r="AM1074">
        <f>AI1074</f>
        <v/>
      </c>
    </row>
    <row r="1075">
      <c r="D1075" t="n">
        <v>1014</v>
      </c>
      <c r="E1075">
        <f>IF(G1074&gt;0,MAX(0,G1074*(1+$G$51)-$H$51),0)</f>
        <v/>
      </c>
      <c r="F1075">
        <f>$B$6+IF($D1075=$B$8,$B$7,0)</f>
        <v/>
      </c>
      <c r="G1075">
        <f>IF(E1075-F1075&gt;1E-9,E1075-F1075,0)</f>
        <v/>
      </c>
      <c r="H1075">
        <f>G1074*$G$51</f>
        <v/>
      </c>
      <c r="I1075">
        <f>IF(K1074&gt;0,MAX(0,K1074*(1+$G$52)-$H$52),0)</f>
        <v/>
      </c>
      <c r="J1075">
        <f>MAX(0,F1075-E1075)</f>
        <v/>
      </c>
      <c r="K1075">
        <f>IF(I1075-J1075&gt;1E-9,I1075-J1075,0)</f>
        <v/>
      </c>
      <c r="L1075">
        <f>K1074*$G$52</f>
        <v/>
      </c>
      <c r="M1075">
        <f>IF(O1074&gt;0,MAX(0,O1074*(1+$G$53)-$H$53),0)</f>
        <v/>
      </c>
      <c r="N1075">
        <f>MAX(0,J1075-I1075)</f>
        <v/>
      </c>
      <c r="O1075">
        <f>IF(M1075-N1075&gt;1E-9,M1075-N1075,0)</f>
        <v/>
      </c>
      <c r="P1075">
        <f>O1074*$G$53</f>
        <v/>
      </c>
      <c r="Q1075">
        <f>IF(S1074&gt;0,MAX(0,S1074*(1+$G$54)-$H$54),0)</f>
        <v/>
      </c>
      <c r="R1075">
        <f>MAX(0,N1075-M1075)</f>
        <v/>
      </c>
      <c r="S1075">
        <f>IF(Q1075-R1075&gt;1E-9,Q1075-R1075,0)</f>
        <v/>
      </c>
      <c r="T1075">
        <f>S1074*$G$54</f>
        <v/>
      </c>
      <c r="U1075">
        <f>IF(W1074&gt;0,MAX(0,W1074*(1+$G$55)-$H$55),0)</f>
        <v/>
      </c>
      <c r="V1075">
        <f>MAX(0,R1075-Q1075)</f>
        <v/>
      </c>
      <c r="W1075">
        <f>IF(U1075-V1075&gt;1E-9,U1075-V1075,0)</f>
        <v/>
      </c>
      <c r="X1075">
        <f>W1074*$G$55</f>
        <v/>
      </c>
      <c r="Y1075">
        <f>IF(Y1074&gt;1E-9,IF(Y1074*(1+$G$51)-MAX($B$9,0.01*Y1074+Y1074*$G$51)&gt;1E-9,Y1074*(1+$G$51)-MAX($B$9,0.01*Y1074+Y1074*$G$51),0),0)</f>
        <v/>
      </c>
      <c r="Z1075">
        <f>Y1074*$G$51</f>
        <v/>
      </c>
      <c r="AA1075">
        <f>IF(AA1074&gt;1E-9,IF(AA1074*(1+$G$52)-MAX($B$9,0.01*AA1074+AA1074*$G$52)&gt;1E-9,AA1074*(1+$G$52)-MAX($B$9,0.01*AA1074+AA1074*$G$52),0),0)</f>
        <v/>
      </c>
      <c r="AB1075">
        <f>AA1074*$G$52</f>
        <v/>
      </c>
      <c r="AC1075">
        <f>IF(AC1074&gt;1E-9,IF(AC1074*(1+$G$53)-MAX($B$9,0.01*AC1074+AC1074*$G$53)&gt;1E-9,AC1074*(1+$G$53)-MAX($B$9,0.01*AC1074+AC1074*$G$53),0),0)</f>
        <v/>
      </c>
      <c r="AD1075">
        <f>AC1074*$G$53</f>
        <v/>
      </c>
      <c r="AE1075">
        <f>IF(AE1074&gt;1E-9,IF(AE1074*(1+$G$54)-MAX($B$9,0.01*AE1074+AE1074*$G$54)&gt;1E-9,AE1074*(1+$G$54)-MAX($B$9,0.01*AE1074+AE1074*$G$54),0),0)</f>
        <v/>
      </c>
      <c r="AF1075">
        <f>AE1074*$G$54</f>
        <v/>
      </c>
      <c r="AG1075">
        <f>IF(AG1074&gt;1E-9,IF(AG1074*(1+$G$55)-MAX($B$9,0.01*AG1074+AG1074*$G$55)&gt;1E-9,AG1074*(1+$G$55)-MAX($B$9,0.01*AG1074+AG1074*$G$55),0),0)</f>
        <v/>
      </c>
      <c r="AH1075">
        <f>AG1074*$G$55</f>
        <v/>
      </c>
      <c r="AI1075">
        <f>G1075+K1075+O1075+S1075+W1075</f>
        <v/>
      </c>
      <c r="AJ1075">
        <f>AI1074+AK1075-AI1075</f>
        <v/>
      </c>
      <c r="AK1075">
        <f>H1075+L1075+P1075+T1075+X1075</f>
        <v/>
      </c>
      <c r="AL1075">
        <f>TEXT(EDATE($B$5,D1075-1),"mmm yyyy")</f>
        <v/>
      </c>
      <c r="AM1075">
        <f>AI1075</f>
        <v/>
      </c>
    </row>
    <row r="1076">
      <c r="D1076" t="n">
        <v>1015</v>
      </c>
      <c r="E1076">
        <f>IF(G1075&gt;0,MAX(0,G1075*(1+$G$51)-$H$51),0)</f>
        <v/>
      </c>
      <c r="F1076">
        <f>$B$6+IF($D1076=$B$8,$B$7,0)</f>
        <v/>
      </c>
      <c r="G1076">
        <f>IF(E1076-F1076&gt;1E-9,E1076-F1076,0)</f>
        <v/>
      </c>
      <c r="H1076">
        <f>G1075*$G$51</f>
        <v/>
      </c>
      <c r="I1076">
        <f>IF(K1075&gt;0,MAX(0,K1075*(1+$G$52)-$H$52),0)</f>
        <v/>
      </c>
      <c r="J1076">
        <f>MAX(0,F1076-E1076)</f>
        <v/>
      </c>
      <c r="K1076">
        <f>IF(I1076-J1076&gt;1E-9,I1076-J1076,0)</f>
        <v/>
      </c>
      <c r="L1076">
        <f>K1075*$G$52</f>
        <v/>
      </c>
      <c r="M1076">
        <f>IF(O1075&gt;0,MAX(0,O1075*(1+$G$53)-$H$53),0)</f>
        <v/>
      </c>
      <c r="N1076">
        <f>MAX(0,J1076-I1076)</f>
        <v/>
      </c>
      <c r="O1076">
        <f>IF(M1076-N1076&gt;1E-9,M1076-N1076,0)</f>
        <v/>
      </c>
      <c r="P1076">
        <f>O1075*$G$53</f>
        <v/>
      </c>
      <c r="Q1076">
        <f>IF(S1075&gt;0,MAX(0,S1075*(1+$G$54)-$H$54),0)</f>
        <v/>
      </c>
      <c r="R1076">
        <f>MAX(0,N1076-M1076)</f>
        <v/>
      </c>
      <c r="S1076">
        <f>IF(Q1076-R1076&gt;1E-9,Q1076-R1076,0)</f>
        <v/>
      </c>
      <c r="T1076">
        <f>S1075*$G$54</f>
        <v/>
      </c>
      <c r="U1076">
        <f>IF(W1075&gt;0,MAX(0,W1075*(1+$G$55)-$H$55),0)</f>
        <v/>
      </c>
      <c r="V1076">
        <f>MAX(0,R1076-Q1076)</f>
        <v/>
      </c>
      <c r="W1076">
        <f>IF(U1076-V1076&gt;1E-9,U1076-V1076,0)</f>
        <v/>
      </c>
      <c r="X1076">
        <f>W1075*$G$55</f>
        <v/>
      </c>
      <c r="Y1076">
        <f>IF(Y1075&gt;1E-9,IF(Y1075*(1+$G$51)-MAX($B$9,0.01*Y1075+Y1075*$G$51)&gt;1E-9,Y1075*(1+$G$51)-MAX($B$9,0.01*Y1075+Y1075*$G$51),0),0)</f>
        <v/>
      </c>
      <c r="Z1076">
        <f>Y1075*$G$51</f>
        <v/>
      </c>
      <c r="AA1076">
        <f>IF(AA1075&gt;1E-9,IF(AA1075*(1+$G$52)-MAX($B$9,0.01*AA1075+AA1075*$G$52)&gt;1E-9,AA1075*(1+$G$52)-MAX($B$9,0.01*AA1075+AA1075*$G$52),0),0)</f>
        <v/>
      </c>
      <c r="AB1076">
        <f>AA1075*$G$52</f>
        <v/>
      </c>
      <c r="AC1076">
        <f>IF(AC1075&gt;1E-9,IF(AC1075*(1+$G$53)-MAX($B$9,0.01*AC1075+AC1075*$G$53)&gt;1E-9,AC1075*(1+$G$53)-MAX($B$9,0.01*AC1075+AC1075*$G$53),0),0)</f>
        <v/>
      </c>
      <c r="AD1076">
        <f>AC1075*$G$53</f>
        <v/>
      </c>
      <c r="AE1076">
        <f>IF(AE1075&gt;1E-9,IF(AE1075*(1+$G$54)-MAX($B$9,0.01*AE1075+AE1075*$G$54)&gt;1E-9,AE1075*(1+$G$54)-MAX($B$9,0.01*AE1075+AE1075*$G$54),0),0)</f>
        <v/>
      </c>
      <c r="AF1076">
        <f>AE1075*$G$54</f>
        <v/>
      </c>
      <c r="AG1076">
        <f>IF(AG1075&gt;1E-9,IF(AG1075*(1+$G$55)-MAX($B$9,0.01*AG1075+AG1075*$G$55)&gt;1E-9,AG1075*(1+$G$55)-MAX($B$9,0.01*AG1075+AG1075*$G$55),0),0)</f>
        <v/>
      </c>
      <c r="AH1076">
        <f>AG1075*$G$55</f>
        <v/>
      </c>
      <c r="AI1076">
        <f>G1076+K1076+O1076+S1076+W1076</f>
        <v/>
      </c>
      <c r="AJ1076">
        <f>AI1075+AK1076-AI1076</f>
        <v/>
      </c>
      <c r="AK1076">
        <f>H1076+L1076+P1076+T1076+X1076</f>
        <v/>
      </c>
      <c r="AL1076">
        <f>TEXT(EDATE($B$5,D1076-1),"mmm yyyy")</f>
        <v/>
      </c>
      <c r="AM1076">
        <f>AI1076</f>
        <v/>
      </c>
    </row>
    <row r="1077">
      <c r="D1077" t="n">
        <v>1016</v>
      </c>
      <c r="E1077">
        <f>IF(G1076&gt;0,MAX(0,G1076*(1+$G$51)-$H$51),0)</f>
        <v/>
      </c>
      <c r="F1077">
        <f>$B$6+IF($D1077=$B$8,$B$7,0)</f>
        <v/>
      </c>
      <c r="G1077">
        <f>IF(E1077-F1077&gt;1E-9,E1077-F1077,0)</f>
        <v/>
      </c>
      <c r="H1077">
        <f>G1076*$G$51</f>
        <v/>
      </c>
      <c r="I1077">
        <f>IF(K1076&gt;0,MAX(0,K1076*(1+$G$52)-$H$52),0)</f>
        <v/>
      </c>
      <c r="J1077">
        <f>MAX(0,F1077-E1077)</f>
        <v/>
      </c>
      <c r="K1077">
        <f>IF(I1077-J1077&gt;1E-9,I1077-J1077,0)</f>
        <v/>
      </c>
      <c r="L1077">
        <f>K1076*$G$52</f>
        <v/>
      </c>
      <c r="M1077">
        <f>IF(O1076&gt;0,MAX(0,O1076*(1+$G$53)-$H$53),0)</f>
        <v/>
      </c>
      <c r="N1077">
        <f>MAX(0,J1077-I1077)</f>
        <v/>
      </c>
      <c r="O1077">
        <f>IF(M1077-N1077&gt;1E-9,M1077-N1077,0)</f>
        <v/>
      </c>
      <c r="P1077">
        <f>O1076*$G$53</f>
        <v/>
      </c>
      <c r="Q1077">
        <f>IF(S1076&gt;0,MAX(0,S1076*(1+$G$54)-$H$54),0)</f>
        <v/>
      </c>
      <c r="R1077">
        <f>MAX(0,N1077-M1077)</f>
        <v/>
      </c>
      <c r="S1077">
        <f>IF(Q1077-R1077&gt;1E-9,Q1077-R1077,0)</f>
        <v/>
      </c>
      <c r="T1077">
        <f>S1076*$G$54</f>
        <v/>
      </c>
      <c r="U1077">
        <f>IF(W1076&gt;0,MAX(0,W1076*(1+$G$55)-$H$55),0)</f>
        <v/>
      </c>
      <c r="V1077">
        <f>MAX(0,R1077-Q1077)</f>
        <v/>
      </c>
      <c r="W1077">
        <f>IF(U1077-V1077&gt;1E-9,U1077-V1077,0)</f>
        <v/>
      </c>
      <c r="X1077">
        <f>W1076*$G$55</f>
        <v/>
      </c>
      <c r="Y1077">
        <f>IF(Y1076&gt;1E-9,IF(Y1076*(1+$G$51)-MAX($B$9,0.01*Y1076+Y1076*$G$51)&gt;1E-9,Y1076*(1+$G$51)-MAX($B$9,0.01*Y1076+Y1076*$G$51),0),0)</f>
        <v/>
      </c>
      <c r="Z1077">
        <f>Y1076*$G$51</f>
        <v/>
      </c>
      <c r="AA1077">
        <f>IF(AA1076&gt;1E-9,IF(AA1076*(1+$G$52)-MAX($B$9,0.01*AA1076+AA1076*$G$52)&gt;1E-9,AA1076*(1+$G$52)-MAX($B$9,0.01*AA1076+AA1076*$G$52),0),0)</f>
        <v/>
      </c>
      <c r="AB1077">
        <f>AA1076*$G$52</f>
        <v/>
      </c>
      <c r="AC1077">
        <f>IF(AC1076&gt;1E-9,IF(AC1076*(1+$G$53)-MAX($B$9,0.01*AC1076+AC1076*$G$53)&gt;1E-9,AC1076*(1+$G$53)-MAX($B$9,0.01*AC1076+AC1076*$G$53),0),0)</f>
        <v/>
      </c>
      <c r="AD1077">
        <f>AC1076*$G$53</f>
        <v/>
      </c>
      <c r="AE1077">
        <f>IF(AE1076&gt;1E-9,IF(AE1076*(1+$G$54)-MAX($B$9,0.01*AE1076+AE1076*$G$54)&gt;1E-9,AE1076*(1+$G$54)-MAX($B$9,0.01*AE1076+AE1076*$G$54),0),0)</f>
        <v/>
      </c>
      <c r="AF1077">
        <f>AE1076*$G$54</f>
        <v/>
      </c>
      <c r="AG1077">
        <f>IF(AG1076&gt;1E-9,IF(AG1076*(1+$G$55)-MAX($B$9,0.01*AG1076+AG1076*$G$55)&gt;1E-9,AG1076*(1+$G$55)-MAX($B$9,0.01*AG1076+AG1076*$G$55),0),0)</f>
        <v/>
      </c>
      <c r="AH1077">
        <f>AG1076*$G$55</f>
        <v/>
      </c>
      <c r="AI1077">
        <f>G1077+K1077+O1077+S1077+W1077</f>
        <v/>
      </c>
      <c r="AJ1077">
        <f>AI1076+AK1077-AI1077</f>
        <v/>
      </c>
      <c r="AK1077">
        <f>H1077+L1077+P1077+T1077+X1077</f>
        <v/>
      </c>
      <c r="AL1077">
        <f>TEXT(EDATE($B$5,D1077-1),"mmm yyyy")</f>
        <v/>
      </c>
      <c r="AM1077">
        <f>AI1077</f>
        <v/>
      </c>
    </row>
    <row r="1078">
      <c r="D1078" t="n">
        <v>1017</v>
      </c>
      <c r="E1078">
        <f>IF(G1077&gt;0,MAX(0,G1077*(1+$G$51)-$H$51),0)</f>
        <v/>
      </c>
      <c r="F1078">
        <f>$B$6+IF($D1078=$B$8,$B$7,0)</f>
        <v/>
      </c>
      <c r="G1078">
        <f>IF(E1078-F1078&gt;1E-9,E1078-F1078,0)</f>
        <v/>
      </c>
      <c r="H1078">
        <f>G1077*$G$51</f>
        <v/>
      </c>
      <c r="I1078">
        <f>IF(K1077&gt;0,MAX(0,K1077*(1+$G$52)-$H$52),0)</f>
        <v/>
      </c>
      <c r="J1078">
        <f>MAX(0,F1078-E1078)</f>
        <v/>
      </c>
      <c r="K1078">
        <f>IF(I1078-J1078&gt;1E-9,I1078-J1078,0)</f>
        <v/>
      </c>
      <c r="L1078">
        <f>K1077*$G$52</f>
        <v/>
      </c>
      <c r="M1078">
        <f>IF(O1077&gt;0,MAX(0,O1077*(1+$G$53)-$H$53),0)</f>
        <v/>
      </c>
      <c r="N1078">
        <f>MAX(0,J1078-I1078)</f>
        <v/>
      </c>
      <c r="O1078">
        <f>IF(M1078-N1078&gt;1E-9,M1078-N1078,0)</f>
        <v/>
      </c>
      <c r="P1078">
        <f>O1077*$G$53</f>
        <v/>
      </c>
      <c r="Q1078">
        <f>IF(S1077&gt;0,MAX(0,S1077*(1+$G$54)-$H$54),0)</f>
        <v/>
      </c>
      <c r="R1078">
        <f>MAX(0,N1078-M1078)</f>
        <v/>
      </c>
      <c r="S1078">
        <f>IF(Q1078-R1078&gt;1E-9,Q1078-R1078,0)</f>
        <v/>
      </c>
      <c r="T1078">
        <f>S1077*$G$54</f>
        <v/>
      </c>
      <c r="U1078">
        <f>IF(W1077&gt;0,MAX(0,W1077*(1+$G$55)-$H$55),0)</f>
        <v/>
      </c>
      <c r="V1078">
        <f>MAX(0,R1078-Q1078)</f>
        <v/>
      </c>
      <c r="W1078">
        <f>IF(U1078-V1078&gt;1E-9,U1078-V1078,0)</f>
        <v/>
      </c>
      <c r="X1078">
        <f>W1077*$G$55</f>
        <v/>
      </c>
      <c r="Y1078">
        <f>IF(Y1077&gt;1E-9,IF(Y1077*(1+$G$51)-MAX($B$9,0.01*Y1077+Y1077*$G$51)&gt;1E-9,Y1077*(1+$G$51)-MAX($B$9,0.01*Y1077+Y1077*$G$51),0),0)</f>
        <v/>
      </c>
      <c r="Z1078">
        <f>Y1077*$G$51</f>
        <v/>
      </c>
      <c r="AA1078">
        <f>IF(AA1077&gt;1E-9,IF(AA1077*(1+$G$52)-MAX($B$9,0.01*AA1077+AA1077*$G$52)&gt;1E-9,AA1077*(1+$G$52)-MAX($B$9,0.01*AA1077+AA1077*$G$52),0),0)</f>
        <v/>
      </c>
      <c r="AB1078">
        <f>AA1077*$G$52</f>
        <v/>
      </c>
      <c r="AC1078">
        <f>IF(AC1077&gt;1E-9,IF(AC1077*(1+$G$53)-MAX($B$9,0.01*AC1077+AC1077*$G$53)&gt;1E-9,AC1077*(1+$G$53)-MAX($B$9,0.01*AC1077+AC1077*$G$53),0),0)</f>
        <v/>
      </c>
      <c r="AD1078">
        <f>AC1077*$G$53</f>
        <v/>
      </c>
      <c r="AE1078">
        <f>IF(AE1077&gt;1E-9,IF(AE1077*(1+$G$54)-MAX($B$9,0.01*AE1077+AE1077*$G$54)&gt;1E-9,AE1077*(1+$G$54)-MAX($B$9,0.01*AE1077+AE1077*$G$54),0),0)</f>
        <v/>
      </c>
      <c r="AF1078">
        <f>AE1077*$G$54</f>
        <v/>
      </c>
      <c r="AG1078">
        <f>IF(AG1077&gt;1E-9,IF(AG1077*(1+$G$55)-MAX($B$9,0.01*AG1077+AG1077*$G$55)&gt;1E-9,AG1077*(1+$G$55)-MAX($B$9,0.01*AG1077+AG1077*$G$55),0),0)</f>
        <v/>
      </c>
      <c r="AH1078">
        <f>AG1077*$G$55</f>
        <v/>
      </c>
      <c r="AI1078">
        <f>G1078+K1078+O1078+S1078+W1078</f>
        <v/>
      </c>
      <c r="AJ1078">
        <f>AI1077+AK1078-AI1078</f>
        <v/>
      </c>
      <c r="AK1078">
        <f>H1078+L1078+P1078+T1078+X1078</f>
        <v/>
      </c>
      <c r="AL1078">
        <f>TEXT(EDATE($B$5,D1078-1),"mmm yyyy")</f>
        <v/>
      </c>
      <c r="AM1078">
        <f>AI1078</f>
        <v/>
      </c>
    </row>
    <row r="1079">
      <c r="D1079" t="n">
        <v>1018</v>
      </c>
      <c r="E1079">
        <f>IF(G1078&gt;0,MAX(0,G1078*(1+$G$51)-$H$51),0)</f>
        <v/>
      </c>
      <c r="F1079">
        <f>$B$6+IF($D1079=$B$8,$B$7,0)</f>
        <v/>
      </c>
      <c r="G1079">
        <f>IF(E1079-F1079&gt;1E-9,E1079-F1079,0)</f>
        <v/>
      </c>
      <c r="H1079">
        <f>G1078*$G$51</f>
        <v/>
      </c>
      <c r="I1079">
        <f>IF(K1078&gt;0,MAX(0,K1078*(1+$G$52)-$H$52),0)</f>
        <v/>
      </c>
      <c r="J1079">
        <f>MAX(0,F1079-E1079)</f>
        <v/>
      </c>
      <c r="K1079">
        <f>IF(I1079-J1079&gt;1E-9,I1079-J1079,0)</f>
        <v/>
      </c>
      <c r="L1079">
        <f>K1078*$G$52</f>
        <v/>
      </c>
      <c r="M1079">
        <f>IF(O1078&gt;0,MAX(0,O1078*(1+$G$53)-$H$53),0)</f>
        <v/>
      </c>
      <c r="N1079">
        <f>MAX(0,J1079-I1079)</f>
        <v/>
      </c>
      <c r="O1079">
        <f>IF(M1079-N1079&gt;1E-9,M1079-N1079,0)</f>
        <v/>
      </c>
      <c r="P1079">
        <f>O1078*$G$53</f>
        <v/>
      </c>
      <c r="Q1079">
        <f>IF(S1078&gt;0,MAX(0,S1078*(1+$G$54)-$H$54),0)</f>
        <v/>
      </c>
      <c r="R1079">
        <f>MAX(0,N1079-M1079)</f>
        <v/>
      </c>
      <c r="S1079">
        <f>IF(Q1079-R1079&gt;1E-9,Q1079-R1079,0)</f>
        <v/>
      </c>
      <c r="T1079">
        <f>S1078*$G$54</f>
        <v/>
      </c>
      <c r="U1079">
        <f>IF(W1078&gt;0,MAX(0,W1078*(1+$G$55)-$H$55),0)</f>
        <v/>
      </c>
      <c r="V1079">
        <f>MAX(0,R1079-Q1079)</f>
        <v/>
      </c>
      <c r="W1079">
        <f>IF(U1079-V1079&gt;1E-9,U1079-V1079,0)</f>
        <v/>
      </c>
      <c r="X1079">
        <f>W1078*$G$55</f>
        <v/>
      </c>
      <c r="Y1079">
        <f>IF(Y1078&gt;1E-9,IF(Y1078*(1+$G$51)-MAX($B$9,0.01*Y1078+Y1078*$G$51)&gt;1E-9,Y1078*(1+$G$51)-MAX($B$9,0.01*Y1078+Y1078*$G$51),0),0)</f>
        <v/>
      </c>
      <c r="Z1079">
        <f>Y1078*$G$51</f>
        <v/>
      </c>
      <c r="AA1079">
        <f>IF(AA1078&gt;1E-9,IF(AA1078*(1+$G$52)-MAX($B$9,0.01*AA1078+AA1078*$G$52)&gt;1E-9,AA1078*(1+$G$52)-MAX($B$9,0.01*AA1078+AA1078*$G$52),0),0)</f>
        <v/>
      </c>
      <c r="AB1079">
        <f>AA1078*$G$52</f>
        <v/>
      </c>
      <c r="AC1079">
        <f>IF(AC1078&gt;1E-9,IF(AC1078*(1+$G$53)-MAX($B$9,0.01*AC1078+AC1078*$G$53)&gt;1E-9,AC1078*(1+$G$53)-MAX($B$9,0.01*AC1078+AC1078*$G$53),0),0)</f>
        <v/>
      </c>
      <c r="AD1079">
        <f>AC1078*$G$53</f>
        <v/>
      </c>
      <c r="AE1079">
        <f>IF(AE1078&gt;1E-9,IF(AE1078*(1+$G$54)-MAX($B$9,0.01*AE1078+AE1078*$G$54)&gt;1E-9,AE1078*(1+$G$54)-MAX($B$9,0.01*AE1078+AE1078*$G$54),0),0)</f>
        <v/>
      </c>
      <c r="AF1079">
        <f>AE1078*$G$54</f>
        <v/>
      </c>
      <c r="AG1079">
        <f>IF(AG1078&gt;1E-9,IF(AG1078*(1+$G$55)-MAX($B$9,0.01*AG1078+AG1078*$G$55)&gt;1E-9,AG1078*(1+$G$55)-MAX($B$9,0.01*AG1078+AG1078*$G$55),0),0)</f>
        <v/>
      </c>
      <c r="AH1079">
        <f>AG1078*$G$55</f>
        <v/>
      </c>
      <c r="AI1079">
        <f>G1079+K1079+O1079+S1079+W1079</f>
        <v/>
      </c>
      <c r="AJ1079">
        <f>AI1078+AK1079-AI1079</f>
        <v/>
      </c>
      <c r="AK1079">
        <f>H1079+L1079+P1079+T1079+X1079</f>
        <v/>
      </c>
      <c r="AL1079">
        <f>TEXT(EDATE($B$5,D1079-1),"mmm yyyy")</f>
        <v/>
      </c>
      <c r="AM1079">
        <f>AI1079</f>
        <v/>
      </c>
    </row>
    <row r="1080">
      <c r="D1080" t="n">
        <v>1019</v>
      </c>
      <c r="E1080">
        <f>IF(G1079&gt;0,MAX(0,G1079*(1+$G$51)-$H$51),0)</f>
        <v/>
      </c>
      <c r="F1080">
        <f>$B$6+IF($D1080=$B$8,$B$7,0)</f>
        <v/>
      </c>
      <c r="G1080">
        <f>IF(E1080-F1080&gt;1E-9,E1080-F1080,0)</f>
        <v/>
      </c>
      <c r="H1080">
        <f>G1079*$G$51</f>
        <v/>
      </c>
      <c r="I1080">
        <f>IF(K1079&gt;0,MAX(0,K1079*(1+$G$52)-$H$52),0)</f>
        <v/>
      </c>
      <c r="J1080">
        <f>MAX(0,F1080-E1080)</f>
        <v/>
      </c>
      <c r="K1080">
        <f>IF(I1080-J1080&gt;1E-9,I1080-J1080,0)</f>
        <v/>
      </c>
      <c r="L1080">
        <f>K1079*$G$52</f>
        <v/>
      </c>
      <c r="M1080">
        <f>IF(O1079&gt;0,MAX(0,O1079*(1+$G$53)-$H$53),0)</f>
        <v/>
      </c>
      <c r="N1080">
        <f>MAX(0,J1080-I1080)</f>
        <v/>
      </c>
      <c r="O1080">
        <f>IF(M1080-N1080&gt;1E-9,M1080-N1080,0)</f>
        <v/>
      </c>
      <c r="P1080">
        <f>O1079*$G$53</f>
        <v/>
      </c>
      <c r="Q1080">
        <f>IF(S1079&gt;0,MAX(0,S1079*(1+$G$54)-$H$54),0)</f>
        <v/>
      </c>
      <c r="R1080">
        <f>MAX(0,N1080-M1080)</f>
        <v/>
      </c>
      <c r="S1080">
        <f>IF(Q1080-R1080&gt;1E-9,Q1080-R1080,0)</f>
        <v/>
      </c>
      <c r="T1080">
        <f>S1079*$G$54</f>
        <v/>
      </c>
      <c r="U1080">
        <f>IF(W1079&gt;0,MAX(0,W1079*(1+$G$55)-$H$55),0)</f>
        <v/>
      </c>
      <c r="V1080">
        <f>MAX(0,R1080-Q1080)</f>
        <v/>
      </c>
      <c r="W1080">
        <f>IF(U1080-V1080&gt;1E-9,U1080-V1080,0)</f>
        <v/>
      </c>
      <c r="X1080">
        <f>W1079*$G$55</f>
        <v/>
      </c>
      <c r="Y1080">
        <f>IF(Y1079&gt;1E-9,IF(Y1079*(1+$G$51)-MAX($B$9,0.01*Y1079+Y1079*$G$51)&gt;1E-9,Y1079*(1+$G$51)-MAX($B$9,0.01*Y1079+Y1079*$G$51),0),0)</f>
        <v/>
      </c>
      <c r="Z1080">
        <f>Y1079*$G$51</f>
        <v/>
      </c>
      <c r="AA1080">
        <f>IF(AA1079&gt;1E-9,IF(AA1079*(1+$G$52)-MAX($B$9,0.01*AA1079+AA1079*$G$52)&gt;1E-9,AA1079*(1+$G$52)-MAX($B$9,0.01*AA1079+AA1079*$G$52),0),0)</f>
        <v/>
      </c>
      <c r="AB1080">
        <f>AA1079*$G$52</f>
        <v/>
      </c>
      <c r="AC1080">
        <f>IF(AC1079&gt;1E-9,IF(AC1079*(1+$G$53)-MAX($B$9,0.01*AC1079+AC1079*$G$53)&gt;1E-9,AC1079*(1+$G$53)-MAX($B$9,0.01*AC1079+AC1079*$G$53),0),0)</f>
        <v/>
      </c>
      <c r="AD1080">
        <f>AC1079*$G$53</f>
        <v/>
      </c>
      <c r="AE1080">
        <f>IF(AE1079&gt;1E-9,IF(AE1079*(1+$G$54)-MAX($B$9,0.01*AE1079+AE1079*$G$54)&gt;1E-9,AE1079*(1+$G$54)-MAX($B$9,0.01*AE1079+AE1079*$G$54),0),0)</f>
        <v/>
      </c>
      <c r="AF1080">
        <f>AE1079*$G$54</f>
        <v/>
      </c>
      <c r="AG1080">
        <f>IF(AG1079&gt;1E-9,IF(AG1079*(1+$G$55)-MAX($B$9,0.01*AG1079+AG1079*$G$55)&gt;1E-9,AG1079*(1+$G$55)-MAX($B$9,0.01*AG1079+AG1079*$G$55),0),0)</f>
        <v/>
      </c>
      <c r="AH1080">
        <f>AG1079*$G$55</f>
        <v/>
      </c>
      <c r="AI1080">
        <f>G1080+K1080+O1080+S1080+W1080</f>
        <v/>
      </c>
      <c r="AJ1080">
        <f>AI1079+AK1080-AI1080</f>
        <v/>
      </c>
      <c r="AK1080">
        <f>H1080+L1080+P1080+T1080+X1080</f>
        <v/>
      </c>
      <c r="AL1080">
        <f>TEXT(EDATE($B$5,D1080-1),"mmm yyyy")</f>
        <v/>
      </c>
      <c r="AM1080">
        <f>AI1080</f>
        <v/>
      </c>
    </row>
    <row r="1081">
      <c r="D1081" t="n">
        <v>1020</v>
      </c>
      <c r="E1081">
        <f>IF(G1080&gt;0,MAX(0,G1080*(1+$G$51)-$H$51),0)</f>
        <v/>
      </c>
      <c r="F1081">
        <f>$B$6+IF($D1081=$B$8,$B$7,0)</f>
        <v/>
      </c>
      <c r="G1081">
        <f>IF(E1081-F1081&gt;1E-9,E1081-F1081,0)</f>
        <v/>
      </c>
      <c r="H1081">
        <f>G1080*$G$51</f>
        <v/>
      </c>
      <c r="I1081">
        <f>IF(K1080&gt;0,MAX(0,K1080*(1+$G$52)-$H$52),0)</f>
        <v/>
      </c>
      <c r="J1081">
        <f>MAX(0,F1081-E1081)</f>
        <v/>
      </c>
      <c r="K1081">
        <f>IF(I1081-J1081&gt;1E-9,I1081-J1081,0)</f>
        <v/>
      </c>
      <c r="L1081">
        <f>K1080*$G$52</f>
        <v/>
      </c>
      <c r="M1081">
        <f>IF(O1080&gt;0,MAX(0,O1080*(1+$G$53)-$H$53),0)</f>
        <v/>
      </c>
      <c r="N1081">
        <f>MAX(0,J1081-I1081)</f>
        <v/>
      </c>
      <c r="O1081">
        <f>IF(M1081-N1081&gt;1E-9,M1081-N1081,0)</f>
        <v/>
      </c>
      <c r="P1081">
        <f>O1080*$G$53</f>
        <v/>
      </c>
      <c r="Q1081">
        <f>IF(S1080&gt;0,MAX(0,S1080*(1+$G$54)-$H$54),0)</f>
        <v/>
      </c>
      <c r="R1081">
        <f>MAX(0,N1081-M1081)</f>
        <v/>
      </c>
      <c r="S1081">
        <f>IF(Q1081-R1081&gt;1E-9,Q1081-R1081,0)</f>
        <v/>
      </c>
      <c r="T1081">
        <f>S1080*$G$54</f>
        <v/>
      </c>
      <c r="U1081">
        <f>IF(W1080&gt;0,MAX(0,W1080*(1+$G$55)-$H$55),0)</f>
        <v/>
      </c>
      <c r="V1081">
        <f>MAX(0,R1081-Q1081)</f>
        <v/>
      </c>
      <c r="W1081">
        <f>IF(U1081-V1081&gt;1E-9,U1081-V1081,0)</f>
        <v/>
      </c>
      <c r="X1081">
        <f>W1080*$G$55</f>
        <v/>
      </c>
      <c r="Y1081">
        <f>IF(Y1080&gt;1E-9,IF(Y1080*(1+$G$51)-MAX($B$9,0.01*Y1080+Y1080*$G$51)&gt;1E-9,Y1080*(1+$G$51)-MAX($B$9,0.01*Y1080+Y1080*$G$51),0),0)</f>
        <v/>
      </c>
      <c r="Z1081">
        <f>Y1080*$G$51</f>
        <v/>
      </c>
      <c r="AA1081">
        <f>IF(AA1080&gt;1E-9,IF(AA1080*(1+$G$52)-MAX($B$9,0.01*AA1080+AA1080*$G$52)&gt;1E-9,AA1080*(1+$G$52)-MAX($B$9,0.01*AA1080+AA1080*$G$52),0),0)</f>
        <v/>
      </c>
      <c r="AB1081">
        <f>AA1080*$G$52</f>
        <v/>
      </c>
      <c r="AC1081">
        <f>IF(AC1080&gt;1E-9,IF(AC1080*(1+$G$53)-MAX($B$9,0.01*AC1080+AC1080*$G$53)&gt;1E-9,AC1080*(1+$G$53)-MAX($B$9,0.01*AC1080+AC1080*$G$53),0),0)</f>
        <v/>
      </c>
      <c r="AD1081">
        <f>AC1080*$G$53</f>
        <v/>
      </c>
      <c r="AE1081">
        <f>IF(AE1080&gt;1E-9,IF(AE1080*(1+$G$54)-MAX($B$9,0.01*AE1080+AE1080*$G$54)&gt;1E-9,AE1080*(1+$G$54)-MAX($B$9,0.01*AE1080+AE1080*$G$54),0),0)</f>
        <v/>
      </c>
      <c r="AF1081">
        <f>AE1080*$G$54</f>
        <v/>
      </c>
      <c r="AG1081">
        <f>IF(AG1080&gt;1E-9,IF(AG1080*(1+$G$55)-MAX($B$9,0.01*AG1080+AG1080*$G$55)&gt;1E-9,AG1080*(1+$G$55)-MAX($B$9,0.01*AG1080+AG1080*$G$55),0),0)</f>
        <v/>
      </c>
      <c r="AH1081">
        <f>AG1080*$G$55</f>
        <v/>
      </c>
      <c r="AI1081">
        <f>G1081+K1081+O1081+S1081+W1081</f>
        <v/>
      </c>
      <c r="AJ1081">
        <f>AI1080+AK1081-AI1081</f>
        <v/>
      </c>
      <c r="AK1081">
        <f>H1081+L1081+P1081+T1081+X1081</f>
        <v/>
      </c>
      <c r="AL1081">
        <f>TEXT(EDATE($B$5,D1081-1),"mmm yyyy")</f>
        <v/>
      </c>
      <c r="AM1081">
        <f>AI1081</f>
        <v/>
      </c>
    </row>
    <row r="1082">
      <c r="D1082" t="n">
        <v>1021</v>
      </c>
      <c r="E1082">
        <f>IF(G1081&gt;0,MAX(0,G1081*(1+$G$51)-$H$51),0)</f>
        <v/>
      </c>
      <c r="F1082">
        <f>$B$6+IF($D1082=$B$8,$B$7,0)</f>
        <v/>
      </c>
      <c r="G1082">
        <f>IF(E1082-F1082&gt;1E-9,E1082-F1082,0)</f>
        <v/>
      </c>
      <c r="H1082">
        <f>G1081*$G$51</f>
        <v/>
      </c>
      <c r="I1082">
        <f>IF(K1081&gt;0,MAX(0,K1081*(1+$G$52)-$H$52),0)</f>
        <v/>
      </c>
      <c r="J1082">
        <f>MAX(0,F1082-E1082)</f>
        <v/>
      </c>
      <c r="K1082">
        <f>IF(I1082-J1082&gt;1E-9,I1082-J1082,0)</f>
        <v/>
      </c>
      <c r="L1082">
        <f>K1081*$G$52</f>
        <v/>
      </c>
      <c r="M1082">
        <f>IF(O1081&gt;0,MAX(0,O1081*(1+$G$53)-$H$53),0)</f>
        <v/>
      </c>
      <c r="N1082">
        <f>MAX(0,J1082-I1082)</f>
        <v/>
      </c>
      <c r="O1082">
        <f>IF(M1082-N1082&gt;1E-9,M1082-N1082,0)</f>
        <v/>
      </c>
      <c r="P1082">
        <f>O1081*$G$53</f>
        <v/>
      </c>
      <c r="Q1082">
        <f>IF(S1081&gt;0,MAX(0,S1081*(1+$G$54)-$H$54),0)</f>
        <v/>
      </c>
      <c r="R1082">
        <f>MAX(0,N1082-M1082)</f>
        <v/>
      </c>
      <c r="S1082">
        <f>IF(Q1082-R1082&gt;1E-9,Q1082-R1082,0)</f>
        <v/>
      </c>
      <c r="T1082">
        <f>S1081*$G$54</f>
        <v/>
      </c>
      <c r="U1082">
        <f>IF(W1081&gt;0,MAX(0,W1081*(1+$G$55)-$H$55),0)</f>
        <v/>
      </c>
      <c r="V1082">
        <f>MAX(0,R1082-Q1082)</f>
        <v/>
      </c>
      <c r="W1082">
        <f>IF(U1082-V1082&gt;1E-9,U1082-V1082,0)</f>
        <v/>
      </c>
      <c r="X1082">
        <f>W1081*$G$55</f>
        <v/>
      </c>
      <c r="Y1082">
        <f>IF(Y1081&gt;1E-9,IF(Y1081*(1+$G$51)-MAX($B$9,0.01*Y1081+Y1081*$G$51)&gt;1E-9,Y1081*(1+$G$51)-MAX($B$9,0.01*Y1081+Y1081*$G$51),0),0)</f>
        <v/>
      </c>
      <c r="Z1082">
        <f>Y1081*$G$51</f>
        <v/>
      </c>
      <c r="AA1082">
        <f>IF(AA1081&gt;1E-9,IF(AA1081*(1+$G$52)-MAX($B$9,0.01*AA1081+AA1081*$G$52)&gt;1E-9,AA1081*(1+$G$52)-MAX($B$9,0.01*AA1081+AA1081*$G$52),0),0)</f>
        <v/>
      </c>
      <c r="AB1082">
        <f>AA1081*$G$52</f>
        <v/>
      </c>
      <c r="AC1082">
        <f>IF(AC1081&gt;1E-9,IF(AC1081*(1+$G$53)-MAX($B$9,0.01*AC1081+AC1081*$G$53)&gt;1E-9,AC1081*(1+$G$53)-MAX($B$9,0.01*AC1081+AC1081*$G$53),0),0)</f>
        <v/>
      </c>
      <c r="AD1082">
        <f>AC1081*$G$53</f>
        <v/>
      </c>
      <c r="AE1082">
        <f>IF(AE1081&gt;1E-9,IF(AE1081*(1+$G$54)-MAX($B$9,0.01*AE1081+AE1081*$G$54)&gt;1E-9,AE1081*(1+$G$54)-MAX($B$9,0.01*AE1081+AE1081*$G$54),0),0)</f>
        <v/>
      </c>
      <c r="AF1082">
        <f>AE1081*$G$54</f>
        <v/>
      </c>
      <c r="AG1082">
        <f>IF(AG1081&gt;1E-9,IF(AG1081*(1+$G$55)-MAX($B$9,0.01*AG1081+AG1081*$G$55)&gt;1E-9,AG1081*(1+$G$55)-MAX($B$9,0.01*AG1081+AG1081*$G$55),0),0)</f>
        <v/>
      </c>
      <c r="AH1082">
        <f>AG1081*$G$55</f>
        <v/>
      </c>
      <c r="AI1082">
        <f>G1082+K1082+O1082+S1082+W1082</f>
        <v/>
      </c>
      <c r="AJ1082">
        <f>AI1081+AK1082-AI1082</f>
        <v/>
      </c>
      <c r="AK1082">
        <f>H1082+L1082+P1082+T1082+X1082</f>
        <v/>
      </c>
      <c r="AL1082">
        <f>TEXT(EDATE($B$5,D1082-1),"mmm yyyy")</f>
        <v/>
      </c>
      <c r="AM1082">
        <f>AI1082</f>
        <v/>
      </c>
    </row>
    <row r="1083">
      <c r="D1083" t="n">
        <v>1022</v>
      </c>
      <c r="E1083">
        <f>IF(G1082&gt;0,MAX(0,G1082*(1+$G$51)-$H$51),0)</f>
        <v/>
      </c>
      <c r="F1083">
        <f>$B$6+IF($D1083=$B$8,$B$7,0)</f>
        <v/>
      </c>
      <c r="G1083">
        <f>IF(E1083-F1083&gt;1E-9,E1083-F1083,0)</f>
        <v/>
      </c>
      <c r="H1083">
        <f>G1082*$G$51</f>
        <v/>
      </c>
      <c r="I1083">
        <f>IF(K1082&gt;0,MAX(0,K1082*(1+$G$52)-$H$52),0)</f>
        <v/>
      </c>
      <c r="J1083">
        <f>MAX(0,F1083-E1083)</f>
        <v/>
      </c>
      <c r="K1083">
        <f>IF(I1083-J1083&gt;1E-9,I1083-J1083,0)</f>
        <v/>
      </c>
      <c r="L1083">
        <f>K1082*$G$52</f>
        <v/>
      </c>
      <c r="M1083">
        <f>IF(O1082&gt;0,MAX(0,O1082*(1+$G$53)-$H$53),0)</f>
        <v/>
      </c>
      <c r="N1083">
        <f>MAX(0,J1083-I1083)</f>
        <v/>
      </c>
      <c r="O1083">
        <f>IF(M1083-N1083&gt;1E-9,M1083-N1083,0)</f>
        <v/>
      </c>
      <c r="P1083">
        <f>O1082*$G$53</f>
        <v/>
      </c>
      <c r="Q1083">
        <f>IF(S1082&gt;0,MAX(0,S1082*(1+$G$54)-$H$54),0)</f>
        <v/>
      </c>
      <c r="R1083">
        <f>MAX(0,N1083-M1083)</f>
        <v/>
      </c>
      <c r="S1083">
        <f>IF(Q1083-R1083&gt;1E-9,Q1083-R1083,0)</f>
        <v/>
      </c>
      <c r="T1083">
        <f>S1082*$G$54</f>
        <v/>
      </c>
      <c r="U1083">
        <f>IF(W1082&gt;0,MAX(0,W1082*(1+$G$55)-$H$55),0)</f>
        <v/>
      </c>
      <c r="V1083">
        <f>MAX(0,R1083-Q1083)</f>
        <v/>
      </c>
      <c r="W1083">
        <f>IF(U1083-V1083&gt;1E-9,U1083-V1083,0)</f>
        <v/>
      </c>
      <c r="X1083">
        <f>W1082*$G$55</f>
        <v/>
      </c>
      <c r="Y1083">
        <f>IF(Y1082&gt;1E-9,IF(Y1082*(1+$G$51)-MAX($B$9,0.01*Y1082+Y1082*$G$51)&gt;1E-9,Y1082*(1+$G$51)-MAX($B$9,0.01*Y1082+Y1082*$G$51),0),0)</f>
        <v/>
      </c>
      <c r="Z1083">
        <f>Y1082*$G$51</f>
        <v/>
      </c>
      <c r="AA1083">
        <f>IF(AA1082&gt;1E-9,IF(AA1082*(1+$G$52)-MAX($B$9,0.01*AA1082+AA1082*$G$52)&gt;1E-9,AA1082*(1+$G$52)-MAX($B$9,0.01*AA1082+AA1082*$G$52),0),0)</f>
        <v/>
      </c>
      <c r="AB1083">
        <f>AA1082*$G$52</f>
        <v/>
      </c>
      <c r="AC1083">
        <f>IF(AC1082&gt;1E-9,IF(AC1082*(1+$G$53)-MAX($B$9,0.01*AC1082+AC1082*$G$53)&gt;1E-9,AC1082*(1+$G$53)-MAX($B$9,0.01*AC1082+AC1082*$G$53),0),0)</f>
        <v/>
      </c>
      <c r="AD1083">
        <f>AC1082*$G$53</f>
        <v/>
      </c>
      <c r="AE1083">
        <f>IF(AE1082&gt;1E-9,IF(AE1082*(1+$G$54)-MAX($B$9,0.01*AE1082+AE1082*$G$54)&gt;1E-9,AE1082*(1+$G$54)-MAX($B$9,0.01*AE1082+AE1082*$G$54),0),0)</f>
        <v/>
      </c>
      <c r="AF1083">
        <f>AE1082*$G$54</f>
        <v/>
      </c>
      <c r="AG1083">
        <f>IF(AG1082&gt;1E-9,IF(AG1082*(1+$G$55)-MAX($B$9,0.01*AG1082+AG1082*$G$55)&gt;1E-9,AG1082*(1+$G$55)-MAX($B$9,0.01*AG1082+AG1082*$G$55),0),0)</f>
        <v/>
      </c>
      <c r="AH1083">
        <f>AG1082*$G$55</f>
        <v/>
      </c>
      <c r="AI1083">
        <f>G1083+K1083+O1083+S1083+W1083</f>
        <v/>
      </c>
      <c r="AJ1083">
        <f>AI1082+AK1083-AI1083</f>
        <v/>
      </c>
      <c r="AK1083">
        <f>H1083+L1083+P1083+T1083+X1083</f>
        <v/>
      </c>
      <c r="AL1083">
        <f>TEXT(EDATE($B$5,D1083-1),"mmm yyyy")</f>
        <v/>
      </c>
      <c r="AM1083">
        <f>AI1083</f>
        <v/>
      </c>
    </row>
    <row r="1084">
      <c r="D1084" t="n">
        <v>1023</v>
      </c>
      <c r="E1084">
        <f>IF(G1083&gt;0,MAX(0,G1083*(1+$G$51)-$H$51),0)</f>
        <v/>
      </c>
      <c r="F1084">
        <f>$B$6+IF($D1084=$B$8,$B$7,0)</f>
        <v/>
      </c>
      <c r="G1084">
        <f>IF(E1084-F1084&gt;1E-9,E1084-F1084,0)</f>
        <v/>
      </c>
      <c r="H1084">
        <f>G1083*$G$51</f>
        <v/>
      </c>
      <c r="I1084">
        <f>IF(K1083&gt;0,MAX(0,K1083*(1+$G$52)-$H$52),0)</f>
        <v/>
      </c>
      <c r="J1084">
        <f>MAX(0,F1084-E1084)</f>
        <v/>
      </c>
      <c r="K1084">
        <f>IF(I1084-J1084&gt;1E-9,I1084-J1084,0)</f>
        <v/>
      </c>
      <c r="L1084">
        <f>K1083*$G$52</f>
        <v/>
      </c>
      <c r="M1084">
        <f>IF(O1083&gt;0,MAX(0,O1083*(1+$G$53)-$H$53),0)</f>
        <v/>
      </c>
      <c r="N1084">
        <f>MAX(0,J1084-I1084)</f>
        <v/>
      </c>
      <c r="O1084">
        <f>IF(M1084-N1084&gt;1E-9,M1084-N1084,0)</f>
        <v/>
      </c>
      <c r="P1084">
        <f>O1083*$G$53</f>
        <v/>
      </c>
      <c r="Q1084">
        <f>IF(S1083&gt;0,MAX(0,S1083*(1+$G$54)-$H$54),0)</f>
        <v/>
      </c>
      <c r="R1084">
        <f>MAX(0,N1084-M1084)</f>
        <v/>
      </c>
      <c r="S1084">
        <f>IF(Q1084-R1084&gt;1E-9,Q1084-R1084,0)</f>
        <v/>
      </c>
      <c r="T1084">
        <f>S1083*$G$54</f>
        <v/>
      </c>
      <c r="U1084">
        <f>IF(W1083&gt;0,MAX(0,W1083*(1+$G$55)-$H$55),0)</f>
        <v/>
      </c>
      <c r="V1084">
        <f>MAX(0,R1084-Q1084)</f>
        <v/>
      </c>
      <c r="W1084">
        <f>IF(U1084-V1084&gt;1E-9,U1084-V1084,0)</f>
        <v/>
      </c>
      <c r="X1084">
        <f>W1083*$G$55</f>
        <v/>
      </c>
      <c r="Y1084">
        <f>IF(Y1083&gt;1E-9,IF(Y1083*(1+$G$51)-MAX($B$9,0.01*Y1083+Y1083*$G$51)&gt;1E-9,Y1083*(1+$G$51)-MAX($B$9,0.01*Y1083+Y1083*$G$51),0),0)</f>
        <v/>
      </c>
      <c r="Z1084">
        <f>Y1083*$G$51</f>
        <v/>
      </c>
      <c r="AA1084">
        <f>IF(AA1083&gt;1E-9,IF(AA1083*(1+$G$52)-MAX($B$9,0.01*AA1083+AA1083*$G$52)&gt;1E-9,AA1083*(1+$G$52)-MAX($B$9,0.01*AA1083+AA1083*$G$52),0),0)</f>
        <v/>
      </c>
      <c r="AB1084">
        <f>AA1083*$G$52</f>
        <v/>
      </c>
      <c r="AC1084">
        <f>IF(AC1083&gt;1E-9,IF(AC1083*(1+$G$53)-MAX($B$9,0.01*AC1083+AC1083*$G$53)&gt;1E-9,AC1083*(1+$G$53)-MAX($B$9,0.01*AC1083+AC1083*$G$53),0),0)</f>
        <v/>
      </c>
      <c r="AD1084">
        <f>AC1083*$G$53</f>
        <v/>
      </c>
      <c r="AE1084">
        <f>IF(AE1083&gt;1E-9,IF(AE1083*(1+$G$54)-MAX($B$9,0.01*AE1083+AE1083*$G$54)&gt;1E-9,AE1083*(1+$G$54)-MAX($B$9,0.01*AE1083+AE1083*$G$54),0),0)</f>
        <v/>
      </c>
      <c r="AF1084">
        <f>AE1083*$G$54</f>
        <v/>
      </c>
      <c r="AG1084">
        <f>IF(AG1083&gt;1E-9,IF(AG1083*(1+$G$55)-MAX($B$9,0.01*AG1083+AG1083*$G$55)&gt;1E-9,AG1083*(1+$G$55)-MAX($B$9,0.01*AG1083+AG1083*$G$55),0),0)</f>
        <v/>
      </c>
      <c r="AH1084">
        <f>AG1083*$G$55</f>
        <v/>
      </c>
      <c r="AI1084">
        <f>G1084+K1084+O1084+S1084+W1084</f>
        <v/>
      </c>
      <c r="AJ1084">
        <f>AI1083+AK1084-AI1084</f>
        <v/>
      </c>
      <c r="AK1084">
        <f>H1084+L1084+P1084+T1084+X1084</f>
        <v/>
      </c>
      <c r="AL1084">
        <f>TEXT(EDATE($B$5,D1084-1),"mmm yyyy")</f>
        <v/>
      </c>
      <c r="AM1084">
        <f>AI1084</f>
        <v/>
      </c>
    </row>
    <row r="1085">
      <c r="D1085" t="n">
        <v>1024</v>
      </c>
      <c r="E1085">
        <f>IF(G1084&gt;0,MAX(0,G1084*(1+$G$51)-$H$51),0)</f>
        <v/>
      </c>
      <c r="F1085">
        <f>$B$6+IF($D1085=$B$8,$B$7,0)</f>
        <v/>
      </c>
      <c r="G1085">
        <f>IF(E1085-F1085&gt;1E-9,E1085-F1085,0)</f>
        <v/>
      </c>
      <c r="H1085">
        <f>G1084*$G$51</f>
        <v/>
      </c>
      <c r="I1085">
        <f>IF(K1084&gt;0,MAX(0,K1084*(1+$G$52)-$H$52),0)</f>
        <v/>
      </c>
      <c r="J1085">
        <f>MAX(0,F1085-E1085)</f>
        <v/>
      </c>
      <c r="K1085">
        <f>IF(I1085-J1085&gt;1E-9,I1085-J1085,0)</f>
        <v/>
      </c>
      <c r="L1085">
        <f>K1084*$G$52</f>
        <v/>
      </c>
      <c r="M1085">
        <f>IF(O1084&gt;0,MAX(0,O1084*(1+$G$53)-$H$53),0)</f>
        <v/>
      </c>
      <c r="N1085">
        <f>MAX(0,J1085-I1085)</f>
        <v/>
      </c>
      <c r="O1085">
        <f>IF(M1085-N1085&gt;1E-9,M1085-N1085,0)</f>
        <v/>
      </c>
      <c r="P1085">
        <f>O1084*$G$53</f>
        <v/>
      </c>
      <c r="Q1085">
        <f>IF(S1084&gt;0,MAX(0,S1084*(1+$G$54)-$H$54),0)</f>
        <v/>
      </c>
      <c r="R1085">
        <f>MAX(0,N1085-M1085)</f>
        <v/>
      </c>
      <c r="S1085">
        <f>IF(Q1085-R1085&gt;1E-9,Q1085-R1085,0)</f>
        <v/>
      </c>
      <c r="T1085">
        <f>S1084*$G$54</f>
        <v/>
      </c>
      <c r="U1085">
        <f>IF(W1084&gt;0,MAX(0,W1084*(1+$G$55)-$H$55),0)</f>
        <v/>
      </c>
      <c r="V1085">
        <f>MAX(0,R1085-Q1085)</f>
        <v/>
      </c>
      <c r="W1085">
        <f>IF(U1085-V1085&gt;1E-9,U1085-V1085,0)</f>
        <v/>
      </c>
      <c r="X1085">
        <f>W1084*$G$55</f>
        <v/>
      </c>
      <c r="Y1085">
        <f>IF(Y1084&gt;1E-9,IF(Y1084*(1+$G$51)-MAX($B$9,0.01*Y1084+Y1084*$G$51)&gt;1E-9,Y1084*(1+$G$51)-MAX($B$9,0.01*Y1084+Y1084*$G$51),0),0)</f>
        <v/>
      </c>
      <c r="Z1085">
        <f>Y1084*$G$51</f>
        <v/>
      </c>
      <c r="AA1085">
        <f>IF(AA1084&gt;1E-9,IF(AA1084*(1+$G$52)-MAX($B$9,0.01*AA1084+AA1084*$G$52)&gt;1E-9,AA1084*(1+$G$52)-MAX($B$9,0.01*AA1084+AA1084*$G$52),0),0)</f>
        <v/>
      </c>
      <c r="AB1085">
        <f>AA1084*$G$52</f>
        <v/>
      </c>
      <c r="AC1085">
        <f>IF(AC1084&gt;1E-9,IF(AC1084*(1+$G$53)-MAX($B$9,0.01*AC1084+AC1084*$G$53)&gt;1E-9,AC1084*(1+$G$53)-MAX($B$9,0.01*AC1084+AC1084*$G$53),0),0)</f>
        <v/>
      </c>
      <c r="AD1085">
        <f>AC1084*$G$53</f>
        <v/>
      </c>
      <c r="AE1085">
        <f>IF(AE1084&gt;1E-9,IF(AE1084*(1+$G$54)-MAX($B$9,0.01*AE1084+AE1084*$G$54)&gt;1E-9,AE1084*(1+$G$54)-MAX($B$9,0.01*AE1084+AE1084*$G$54),0),0)</f>
        <v/>
      </c>
      <c r="AF1085">
        <f>AE1084*$G$54</f>
        <v/>
      </c>
      <c r="AG1085">
        <f>IF(AG1084&gt;1E-9,IF(AG1084*(1+$G$55)-MAX($B$9,0.01*AG1084+AG1084*$G$55)&gt;1E-9,AG1084*(1+$G$55)-MAX($B$9,0.01*AG1084+AG1084*$G$55),0),0)</f>
        <v/>
      </c>
      <c r="AH1085">
        <f>AG1084*$G$55</f>
        <v/>
      </c>
      <c r="AI1085">
        <f>G1085+K1085+O1085+S1085+W1085</f>
        <v/>
      </c>
      <c r="AJ1085">
        <f>AI1084+AK1085-AI1085</f>
        <v/>
      </c>
      <c r="AK1085">
        <f>H1085+L1085+P1085+T1085+X1085</f>
        <v/>
      </c>
      <c r="AL1085">
        <f>TEXT(EDATE($B$5,D1085-1),"mmm yyyy")</f>
        <v/>
      </c>
      <c r="AM1085">
        <f>AI1085</f>
        <v/>
      </c>
    </row>
    <row r="1086">
      <c r="D1086" t="n">
        <v>1025</v>
      </c>
      <c r="E1086">
        <f>IF(G1085&gt;0,MAX(0,G1085*(1+$G$51)-$H$51),0)</f>
        <v/>
      </c>
      <c r="F1086">
        <f>$B$6+IF($D1086=$B$8,$B$7,0)</f>
        <v/>
      </c>
      <c r="G1086">
        <f>IF(E1086-F1086&gt;1E-9,E1086-F1086,0)</f>
        <v/>
      </c>
      <c r="H1086">
        <f>G1085*$G$51</f>
        <v/>
      </c>
      <c r="I1086">
        <f>IF(K1085&gt;0,MAX(0,K1085*(1+$G$52)-$H$52),0)</f>
        <v/>
      </c>
      <c r="J1086">
        <f>MAX(0,F1086-E1086)</f>
        <v/>
      </c>
      <c r="K1086">
        <f>IF(I1086-J1086&gt;1E-9,I1086-J1086,0)</f>
        <v/>
      </c>
      <c r="L1086">
        <f>K1085*$G$52</f>
        <v/>
      </c>
      <c r="M1086">
        <f>IF(O1085&gt;0,MAX(0,O1085*(1+$G$53)-$H$53),0)</f>
        <v/>
      </c>
      <c r="N1086">
        <f>MAX(0,J1086-I1086)</f>
        <v/>
      </c>
      <c r="O1086">
        <f>IF(M1086-N1086&gt;1E-9,M1086-N1086,0)</f>
        <v/>
      </c>
      <c r="P1086">
        <f>O1085*$G$53</f>
        <v/>
      </c>
      <c r="Q1086">
        <f>IF(S1085&gt;0,MAX(0,S1085*(1+$G$54)-$H$54),0)</f>
        <v/>
      </c>
      <c r="R1086">
        <f>MAX(0,N1086-M1086)</f>
        <v/>
      </c>
      <c r="S1086">
        <f>IF(Q1086-R1086&gt;1E-9,Q1086-R1086,0)</f>
        <v/>
      </c>
      <c r="T1086">
        <f>S1085*$G$54</f>
        <v/>
      </c>
      <c r="U1086">
        <f>IF(W1085&gt;0,MAX(0,W1085*(1+$G$55)-$H$55),0)</f>
        <v/>
      </c>
      <c r="V1086">
        <f>MAX(0,R1086-Q1086)</f>
        <v/>
      </c>
      <c r="W1086">
        <f>IF(U1086-V1086&gt;1E-9,U1086-V1086,0)</f>
        <v/>
      </c>
      <c r="X1086">
        <f>W1085*$G$55</f>
        <v/>
      </c>
      <c r="Y1086">
        <f>IF(Y1085&gt;1E-9,IF(Y1085*(1+$G$51)-MAX($B$9,0.01*Y1085+Y1085*$G$51)&gt;1E-9,Y1085*(1+$G$51)-MAX($B$9,0.01*Y1085+Y1085*$G$51),0),0)</f>
        <v/>
      </c>
      <c r="Z1086">
        <f>Y1085*$G$51</f>
        <v/>
      </c>
      <c r="AA1086">
        <f>IF(AA1085&gt;1E-9,IF(AA1085*(1+$G$52)-MAX($B$9,0.01*AA1085+AA1085*$G$52)&gt;1E-9,AA1085*(1+$G$52)-MAX($B$9,0.01*AA1085+AA1085*$G$52),0),0)</f>
        <v/>
      </c>
      <c r="AB1086">
        <f>AA1085*$G$52</f>
        <v/>
      </c>
      <c r="AC1086">
        <f>IF(AC1085&gt;1E-9,IF(AC1085*(1+$G$53)-MAX($B$9,0.01*AC1085+AC1085*$G$53)&gt;1E-9,AC1085*(1+$G$53)-MAX($B$9,0.01*AC1085+AC1085*$G$53),0),0)</f>
        <v/>
      </c>
      <c r="AD1086">
        <f>AC1085*$G$53</f>
        <v/>
      </c>
      <c r="AE1086">
        <f>IF(AE1085&gt;1E-9,IF(AE1085*(1+$G$54)-MAX($B$9,0.01*AE1085+AE1085*$G$54)&gt;1E-9,AE1085*(1+$G$54)-MAX($B$9,0.01*AE1085+AE1085*$G$54),0),0)</f>
        <v/>
      </c>
      <c r="AF1086">
        <f>AE1085*$G$54</f>
        <v/>
      </c>
      <c r="AG1086">
        <f>IF(AG1085&gt;1E-9,IF(AG1085*(1+$G$55)-MAX($B$9,0.01*AG1085+AG1085*$G$55)&gt;1E-9,AG1085*(1+$G$55)-MAX($B$9,0.01*AG1085+AG1085*$G$55),0),0)</f>
        <v/>
      </c>
      <c r="AH1086">
        <f>AG1085*$G$55</f>
        <v/>
      </c>
      <c r="AI1086">
        <f>G1086+K1086+O1086+S1086+W1086</f>
        <v/>
      </c>
      <c r="AJ1086">
        <f>AI1085+AK1086-AI1086</f>
        <v/>
      </c>
      <c r="AK1086">
        <f>H1086+L1086+P1086+T1086+X1086</f>
        <v/>
      </c>
      <c r="AL1086">
        <f>TEXT(EDATE($B$5,D1086-1),"mmm yyyy")</f>
        <v/>
      </c>
      <c r="AM1086">
        <f>AI1086</f>
        <v/>
      </c>
    </row>
    <row r="1087">
      <c r="D1087" t="n">
        <v>1026</v>
      </c>
      <c r="E1087">
        <f>IF(G1086&gt;0,MAX(0,G1086*(1+$G$51)-$H$51),0)</f>
        <v/>
      </c>
      <c r="F1087">
        <f>$B$6+IF($D1087=$B$8,$B$7,0)</f>
        <v/>
      </c>
      <c r="G1087">
        <f>IF(E1087-F1087&gt;1E-9,E1087-F1087,0)</f>
        <v/>
      </c>
      <c r="H1087">
        <f>G1086*$G$51</f>
        <v/>
      </c>
      <c r="I1087">
        <f>IF(K1086&gt;0,MAX(0,K1086*(1+$G$52)-$H$52),0)</f>
        <v/>
      </c>
      <c r="J1087">
        <f>MAX(0,F1087-E1087)</f>
        <v/>
      </c>
      <c r="K1087">
        <f>IF(I1087-J1087&gt;1E-9,I1087-J1087,0)</f>
        <v/>
      </c>
      <c r="L1087">
        <f>K1086*$G$52</f>
        <v/>
      </c>
      <c r="M1087">
        <f>IF(O1086&gt;0,MAX(0,O1086*(1+$G$53)-$H$53),0)</f>
        <v/>
      </c>
      <c r="N1087">
        <f>MAX(0,J1087-I1087)</f>
        <v/>
      </c>
      <c r="O1087">
        <f>IF(M1087-N1087&gt;1E-9,M1087-N1087,0)</f>
        <v/>
      </c>
      <c r="P1087">
        <f>O1086*$G$53</f>
        <v/>
      </c>
      <c r="Q1087">
        <f>IF(S1086&gt;0,MAX(0,S1086*(1+$G$54)-$H$54),0)</f>
        <v/>
      </c>
      <c r="R1087">
        <f>MAX(0,N1087-M1087)</f>
        <v/>
      </c>
      <c r="S1087">
        <f>IF(Q1087-R1087&gt;1E-9,Q1087-R1087,0)</f>
        <v/>
      </c>
      <c r="T1087">
        <f>S1086*$G$54</f>
        <v/>
      </c>
      <c r="U1087">
        <f>IF(W1086&gt;0,MAX(0,W1086*(1+$G$55)-$H$55),0)</f>
        <v/>
      </c>
      <c r="V1087">
        <f>MAX(0,R1087-Q1087)</f>
        <v/>
      </c>
      <c r="W1087">
        <f>IF(U1087-V1087&gt;1E-9,U1087-V1087,0)</f>
        <v/>
      </c>
      <c r="X1087">
        <f>W1086*$G$55</f>
        <v/>
      </c>
      <c r="Y1087">
        <f>IF(Y1086&gt;1E-9,IF(Y1086*(1+$G$51)-MAX($B$9,0.01*Y1086+Y1086*$G$51)&gt;1E-9,Y1086*(1+$G$51)-MAX($B$9,0.01*Y1086+Y1086*$G$51),0),0)</f>
        <v/>
      </c>
      <c r="Z1087">
        <f>Y1086*$G$51</f>
        <v/>
      </c>
      <c r="AA1087">
        <f>IF(AA1086&gt;1E-9,IF(AA1086*(1+$G$52)-MAX($B$9,0.01*AA1086+AA1086*$G$52)&gt;1E-9,AA1086*(1+$G$52)-MAX($B$9,0.01*AA1086+AA1086*$G$52),0),0)</f>
        <v/>
      </c>
      <c r="AB1087">
        <f>AA1086*$G$52</f>
        <v/>
      </c>
      <c r="AC1087">
        <f>IF(AC1086&gt;1E-9,IF(AC1086*(1+$G$53)-MAX($B$9,0.01*AC1086+AC1086*$G$53)&gt;1E-9,AC1086*(1+$G$53)-MAX($B$9,0.01*AC1086+AC1086*$G$53),0),0)</f>
        <v/>
      </c>
      <c r="AD1087">
        <f>AC1086*$G$53</f>
        <v/>
      </c>
      <c r="AE1087">
        <f>IF(AE1086&gt;1E-9,IF(AE1086*(1+$G$54)-MAX($B$9,0.01*AE1086+AE1086*$G$54)&gt;1E-9,AE1086*(1+$G$54)-MAX($B$9,0.01*AE1086+AE1086*$G$54),0),0)</f>
        <v/>
      </c>
      <c r="AF1087">
        <f>AE1086*$G$54</f>
        <v/>
      </c>
      <c r="AG1087">
        <f>IF(AG1086&gt;1E-9,IF(AG1086*(1+$G$55)-MAX($B$9,0.01*AG1086+AG1086*$G$55)&gt;1E-9,AG1086*(1+$G$55)-MAX($B$9,0.01*AG1086+AG1086*$G$55),0),0)</f>
        <v/>
      </c>
      <c r="AH1087">
        <f>AG1086*$G$55</f>
        <v/>
      </c>
      <c r="AI1087">
        <f>G1087+K1087+O1087+S1087+W1087</f>
        <v/>
      </c>
      <c r="AJ1087">
        <f>AI1086+AK1087-AI1087</f>
        <v/>
      </c>
      <c r="AK1087">
        <f>H1087+L1087+P1087+T1087+X1087</f>
        <v/>
      </c>
      <c r="AL1087">
        <f>TEXT(EDATE($B$5,D1087-1),"mmm yyyy")</f>
        <v/>
      </c>
      <c r="AM1087">
        <f>AI1087</f>
        <v/>
      </c>
    </row>
    <row r="1088">
      <c r="D1088" t="n">
        <v>1027</v>
      </c>
      <c r="E1088">
        <f>IF(G1087&gt;0,MAX(0,G1087*(1+$G$51)-$H$51),0)</f>
        <v/>
      </c>
      <c r="F1088">
        <f>$B$6+IF($D1088=$B$8,$B$7,0)</f>
        <v/>
      </c>
      <c r="G1088">
        <f>IF(E1088-F1088&gt;1E-9,E1088-F1088,0)</f>
        <v/>
      </c>
      <c r="H1088">
        <f>G1087*$G$51</f>
        <v/>
      </c>
      <c r="I1088">
        <f>IF(K1087&gt;0,MAX(0,K1087*(1+$G$52)-$H$52),0)</f>
        <v/>
      </c>
      <c r="J1088">
        <f>MAX(0,F1088-E1088)</f>
        <v/>
      </c>
      <c r="K1088">
        <f>IF(I1088-J1088&gt;1E-9,I1088-J1088,0)</f>
        <v/>
      </c>
      <c r="L1088">
        <f>K1087*$G$52</f>
        <v/>
      </c>
      <c r="M1088">
        <f>IF(O1087&gt;0,MAX(0,O1087*(1+$G$53)-$H$53),0)</f>
        <v/>
      </c>
      <c r="N1088">
        <f>MAX(0,J1088-I1088)</f>
        <v/>
      </c>
      <c r="O1088">
        <f>IF(M1088-N1088&gt;1E-9,M1088-N1088,0)</f>
        <v/>
      </c>
      <c r="P1088">
        <f>O1087*$G$53</f>
        <v/>
      </c>
      <c r="Q1088">
        <f>IF(S1087&gt;0,MAX(0,S1087*(1+$G$54)-$H$54),0)</f>
        <v/>
      </c>
      <c r="R1088">
        <f>MAX(0,N1088-M1088)</f>
        <v/>
      </c>
      <c r="S1088">
        <f>IF(Q1088-R1088&gt;1E-9,Q1088-R1088,0)</f>
        <v/>
      </c>
      <c r="T1088">
        <f>S1087*$G$54</f>
        <v/>
      </c>
      <c r="U1088">
        <f>IF(W1087&gt;0,MAX(0,W1087*(1+$G$55)-$H$55),0)</f>
        <v/>
      </c>
      <c r="V1088">
        <f>MAX(0,R1088-Q1088)</f>
        <v/>
      </c>
      <c r="W1088">
        <f>IF(U1088-V1088&gt;1E-9,U1088-V1088,0)</f>
        <v/>
      </c>
      <c r="X1088">
        <f>W1087*$G$55</f>
        <v/>
      </c>
      <c r="Y1088">
        <f>IF(Y1087&gt;1E-9,IF(Y1087*(1+$G$51)-MAX($B$9,0.01*Y1087+Y1087*$G$51)&gt;1E-9,Y1087*(1+$G$51)-MAX($B$9,0.01*Y1087+Y1087*$G$51),0),0)</f>
        <v/>
      </c>
      <c r="Z1088">
        <f>Y1087*$G$51</f>
        <v/>
      </c>
      <c r="AA1088">
        <f>IF(AA1087&gt;1E-9,IF(AA1087*(1+$G$52)-MAX($B$9,0.01*AA1087+AA1087*$G$52)&gt;1E-9,AA1087*(1+$G$52)-MAX($B$9,0.01*AA1087+AA1087*$G$52),0),0)</f>
        <v/>
      </c>
      <c r="AB1088">
        <f>AA1087*$G$52</f>
        <v/>
      </c>
      <c r="AC1088">
        <f>IF(AC1087&gt;1E-9,IF(AC1087*(1+$G$53)-MAX($B$9,0.01*AC1087+AC1087*$G$53)&gt;1E-9,AC1087*(1+$G$53)-MAX($B$9,0.01*AC1087+AC1087*$G$53),0),0)</f>
        <v/>
      </c>
      <c r="AD1088">
        <f>AC1087*$G$53</f>
        <v/>
      </c>
      <c r="AE1088">
        <f>IF(AE1087&gt;1E-9,IF(AE1087*(1+$G$54)-MAX($B$9,0.01*AE1087+AE1087*$G$54)&gt;1E-9,AE1087*(1+$G$54)-MAX($B$9,0.01*AE1087+AE1087*$G$54),0),0)</f>
        <v/>
      </c>
      <c r="AF1088">
        <f>AE1087*$G$54</f>
        <v/>
      </c>
      <c r="AG1088">
        <f>IF(AG1087&gt;1E-9,IF(AG1087*(1+$G$55)-MAX($B$9,0.01*AG1087+AG1087*$G$55)&gt;1E-9,AG1087*(1+$G$55)-MAX($B$9,0.01*AG1087+AG1087*$G$55),0),0)</f>
        <v/>
      </c>
      <c r="AH1088">
        <f>AG1087*$G$55</f>
        <v/>
      </c>
      <c r="AI1088">
        <f>G1088+K1088+O1088+S1088+W1088</f>
        <v/>
      </c>
      <c r="AJ1088">
        <f>AI1087+AK1088-AI1088</f>
        <v/>
      </c>
      <c r="AK1088">
        <f>H1088+L1088+P1088+T1088+X1088</f>
        <v/>
      </c>
      <c r="AL1088">
        <f>TEXT(EDATE($B$5,D1088-1),"mmm yyyy")</f>
        <v/>
      </c>
      <c r="AM1088">
        <f>AI1088</f>
        <v/>
      </c>
    </row>
    <row r="1089">
      <c r="D1089" t="n">
        <v>1028</v>
      </c>
      <c r="E1089">
        <f>IF(G1088&gt;0,MAX(0,G1088*(1+$G$51)-$H$51),0)</f>
        <v/>
      </c>
      <c r="F1089">
        <f>$B$6+IF($D1089=$B$8,$B$7,0)</f>
        <v/>
      </c>
      <c r="G1089">
        <f>IF(E1089-F1089&gt;1E-9,E1089-F1089,0)</f>
        <v/>
      </c>
      <c r="H1089">
        <f>G1088*$G$51</f>
        <v/>
      </c>
      <c r="I1089">
        <f>IF(K1088&gt;0,MAX(0,K1088*(1+$G$52)-$H$52),0)</f>
        <v/>
      </c>
      <c r="J1089">
        <f>MAX(0,F1089-E1089)</f>
        <v/>
      </c>
      <c r="K1089">
        <f>IF(I1089-J1089&gt;1E-9,I1089-J1089,0)</f>
        <v/>
      </c>
      <c r="L1089">
        <f>K1088*$G$52</f>
        <v/>
      </c>
      <c r="M1089">
        <f>IF(O1088&gt;0,MAX(0,O1088*(1+$G$53)-$H$53),0)</f>
        <v/>
      </c>
      <c r="N1089">
        <f>MAX(0,J1089-I1089)</f>
        <v/>
      </c>
      <c r="O1089">
        <f>IF(M1089-N1089&gt;1E-9,M1089-N1089,0)</f>
        <v/>
      </c>
      <c r="P1089">
        <f>O1088*$G$53</f>
        <v/>
      </c>
      <c r="Q1089">
        <f>IF(S1088&gt;0,MAX(0,S1088*(1+$G$54)-$H$54),0)</f>
        <v/>
      </c>
      <c r="R1089">
        <f>MAX(0,N1089-M1089)</f>
        <v/>
      </c>
      <c r="S1089">
        <f>IF(Q1089-R1089&gt;1E-9,Q1089-R1089,0)</f>
        <v/>
      </c>
      <c r="T1089">
        <f>S1088*$G$54</f>
        <v/>
      </c>
      <c r="U1089">
        <f>IF(W1088&gt;0,MAX(0,W1088*(1+$G$55)-$H$55),0)</f>
        <v/>
      </c>
      <c r="V1089">
        <f>MAX(0,R1089-Q1089)</f>
        <v/>
      </c>
      <c r="W1089">
        <f>IF(U1089-V1089&gt;1E-9,U1089-V1089,0)</f>
        <v/>
      </c>
      <c r="X1089">
        <f>W1088*$G$55</f>
        <v/>
      </c>
      <c r="Y1089">
        <f>IF(Y1088&gt;1E-9,IF(Y1088*(1+$G$51)-MAX($B$9,0.01*Y1088+Y1088*$G$51)&gt;1E-9,Y1088*(1+$G$51)-MAX($B$9,0.01*Y1088+Y1088*$G$51),0),0)</f>
        <v/>
      </c>
      <c r="Z1089">
        <f>Y1088*$G$51</f>
        <v/>
      </c>
      <c r="AA1089">
        <f>IF(AA1088&gt;1E-9,IF(AA1088*(1+$G$52)-MAX($B$9,0.01*AA1088+AA1088*$G$52)&gt;1E-9,AA1088*(1+$G$52)-MAX($B$9,0.01*AA1088+AA1088*$G$52),0),0)</f>
        <v/>
      </c>
      <c r="AB1089">
        <f>AA1088*$G$52</f>
        <v/>
      </c>
      <c r="AC1089">
        <f>IF(AC1088&gt;1E-9,IF(AC1088*(1+$G$53)-MAX($B$9,0.01*AC1088+AC1088*$G$53)&gt;1E-9,AC1088*(1+$G$53)-MAX($B$9,0.01*AC1088+AC1088*$G$53),0),0)</f>
        <v/>
      </c>
      <c r="AD1089">
        <f>AC1088*$G$53</f>
        <v/>
      </c>
      <c r="AE1089">
        <f>IF(AE1088&gt;1E-9,IF(AE1088*(1+$G$54)-MAX($B$9,0.01*AE1088+AE1088*$G$54)&gt;1E-9,AE1088*(1+$G$54)-MAX($B$9,0.01*AE1088+AE1088*$G$54),0),0)</f>
        <v/>
      </c>
      <c r="AF1089">
        <f>AE1088*$G$54</f>
        <v/>
      </c>
      <c r="AG1089">
        <f>IF(AG1088&gt;1E-9,IF(AG1088*(1+$G$55)-MAX($B$9,0.01*AG1088+AG1088*$G$55)&gt;1E-9,AG1088*(1+$G$55)-MAX($B$9,0.01*AG1088+AG1088*$G$55),0),0)</f>
        <v/>
      </c>
      <c r="AH1089">
        <f>AG1088*$G$55</f>
        <v/>
      </c>
      <c r="AI1089">
        <f>G1089+K1089+O1089+S1089+W1089</f>
        <v/>
      </c>
      <c r="AJ1089">
        <f>AI1088+AK1089-AI1089</f>
        <v/>
      </c>
      <c r="AK1089">
        <f>H1089+L1089+P1089+T1089+X1089</f>
        <v/>
      </c>
      <c r="AL1089">
        <f>TEXT(EDATE($B$5,D1089-1),"mmm yyyy")</f>
        <v/>
      </c>
      <c r="AM1089">
        <f>AI1089</f>
        <v/>
      </c>
    </row>
    <row r="1090">
      <c r="D1090" t="n">
        <v>1029</v>
      </c>
      <c r="E1090">
        <f>IF(G1089&gt;0,MAX(0,G1089*(1+$G$51)-$H$51),0)</f>
        <v/>
      </c>
      <c r="F1090">
        <f>$B$6+IF($D1090=$B$8,$B$7,0)</f>
        <v/>
      </c>
      <c r="G1090">
        <f>IF(E1090-F1090&gt;1E-9,E1090-F1090,0)</f>
        <v/>
      </c>
      <c r="H1090">
        <f>G1089*$G$51</f>
        <v/>
      </c>
      <c r="I1090">
        <f>IF(K1089&gt;0,MAX(0,K1089*(1+$G$52)-$H$52),0)</f>
        <v/>
      </c>
      <c r="J1090">
        <f>MAX(0,F1090-E1090)</f>
        <v/>
      </c>
      <c r="K1090">
        <f>IF(I1090-J1090&gt;1E-9,I1090-J1090,0)</f>
        <v/>
      </c>
      <c r="L1090">
        <f>K1089*$G$52</f>
        <v/>
      </c>
      <c r="M1090">
        <f>IF(O1089&gt;0,MAX(0,O1089*(1+$G$53)-$H$53),0)</f>
        <v/>
      </c>
      <c r="N1090">
        <f>MAX(0,J1090-I1090)</f>
        <v/>
      </c>
      <c r="O1090">
        <f>IF(M1090-N1090&gt;1E-9,M1090-N1090,0)</f>
        <v/>
      </c>
      <c r="P1090">
        <f>O1089*$G$53</f>
        <v/>
      </c>
      <c r="Q1090">
        <f>IF(S1089&gt;0,MAX(0,S1089*(1+$G$54)-$H$54),0)</f>
        <v/>
      </c>
      <c r="R1090">
        <f>MAX(0,N1090-M1090)</f>
        <v/>
      </c>
      <c r="S1090">
        <f>IF(Q1090-R1090&gt;1E-9,Q1090-R1090,0)</f>
        <v/>
      </c>
      <c r="T1090">
        <f>S1089*$G$54</f>
        <v/>
      </c>
      <c r="U1090">
        <f>IF(W1089&gt;0,MAX(0,W1089*(1+$G$55)-$H$55),0)</f>
        <v/>
      </c>
      <c r="V1090">
        <f>MAX(0,R1090-Q1090)</f>
        <v/>
      </c>
      <c r="W1090">
        <f>IF(U1090-V1090&gt;1E-9,U1090-V1090,0)</f>
        <v/>
      </c>
      <c r="X1090">
        <f>W1089*$G$55</f>
        <v/>
      </c>
      <c r="Y1090">
        <f>IF(Y1089&gt;1E-9,IF(Y1089*(1+$G$51)-MAX($B$9,0.01*Y1089+Y1089*$G$51)&gt;1E-9,Y1089*(1+$G$51)-MAX($B$9,0.01*Y1089+Y1089*$G$51),0),0)</f>
        <v/>
      </c>
      <c r="Z1090">
        <f>Y1089*$G$51</f>
        <v/>
      </c>
      <c r="AA1090">
        <f>IF(AA1089&gt;1E-9,IF(AA1089*(1+$G$52)-MAX($B$9,0.01*AA1089+AA1089*$G$52)&gt;1E-9,AA1089*(1+$G$52)-MAX($B$9,0.01*AA1089+AA1089*$G$52),0),0)</f>
        <v/>
      </c>
      <c r="AB1090">
        <f>AA1089*$G$52</f>
        <v/>
      </c>
      <c r="AC1090">
        <f>IF(AC1089&gt;1E-9,IF(AC1089*(1+$G$53)-MAX($B$9,0.01*AC1089+AC1089*$G$53)&gt;1E-9,AC1089*(1+$G$53)-MAX($B$9,0.01*AC1089+AC1089*$G$53),0),0)</f>
        <v/>
      </c>
      <c r="AD1090">
        <f>AC1089*$G$53</f>
        <v/>
      </c>
      <c r="AE1090">
        <f>IF(AE1089&gt;1E-9,IF(AE1089*(1+$G$54)-MAX($B$9,0.01*AE1089+AE1089*$G$54)&gt;1E-9,AE1089*(1+$G$54)-MAX($B$9,0.01*AE1089+AE1089*$G$54),0),0)</f>
        <v/>
      </c>
      <c r="AF1090">
        <f>AE1089*$G$54</f>
        <v/>
      </c>
      <c r="AG1090">
        <f>IF(AG1089&gt;1E-9,IF(AG1089*(1+$G$55)-MAX($B$9,0.01*AG1089+AG1089*$G$55)&gt;1E-9,AG1089*(1+$G$55)-MAX($B$9,0.01*AG1089+AG1089*$G$55),0),0)</f>
        <v/>
      </c>
      <c r="AH1090">
        <f>AG1089*$G$55</f>
        <v/>
      </c>
      <c r="AI1090">
        <f>G1090+K1090+O1090+S1090+W1090</f>
        <v/>
      </c>
      <c r="AJ1090">
        <f>AI1089+AK1090-AI1090</f>
        <v/>
      </c>
      <c r="AK1090">
        <f>H1090+L1090+P1090+T1090+X1090</f>
        <v/>
      </c>
      <c r="AL1090">
        <f>TEXT(EDATE($B$5,D1090-1),"mmm yyyy")</f>
        <v/>
      </c>
      <c r="AM1090">
        <f>AI1090</f>
        <v/>
      </c>
    </row>
    <row r="1091">
      <c r="D1091" t="n">
        <v>1030</v>
      </c>
      <c r="E1091">
        <f>IF(G1090&gt;0,MAX(0,G1090*(1+$G$51)-$H$51),0)</f>
        <v/>
      </c>
      <c r="F1091">
        <f>$B$6+IF($D1091=$B$8,$B$7,0)</f>
        <v/>
      </c>
      <c r="G1091">
        <f>IF(E1091-F1091&gt;1E-9,E1091-F1091,0)</f>
        <v/>
      </c>
      <c r="H1091">
        <f>G1090*$G$51</f>
        <v/>
      </c>
      <c r="I1091">
        <f>IF(K1090&gt;0,MAX(0,K1090*(1+$G$52)-$H$52),0)</f>
        <v/>
      </c>
      <c r="J1091">
        <f>MAX(0,F1091-E1091)</f>
        <v/>
      </c>
      <c r="K1091">
        <f>IF(I1091-J1091&gt;1E-9,I1091-J1091,0)</f>
        <v/>
      </c>
      <c r="L1091">
        <f>K1090*$G$52</f>
        <v/>
      </c>
      <c r="M1091">
        <f>IF(O1090&gt;0,MAX(0,O1090*(1+$G$53)-$H$53),0)</f>
        <v/>
      </c>
      <c r="N1091">
        <f>MAX(0,J1091-I1091)</f>
        <v/>
      </c>
      <c r="O1091">
        <f>IF(M1091-N1091&gt;1E-9,M1091-N1091,0)</f>
        <v/>
      </c>
      <c r="P1091">
        <f>O1090*$G$53</f>
        <v/>
      </c>
      <c r="Q1091">
        <f>IF(S1090&gt;0,MAX(0,S1090*(1+$G$54)-$H$54),0)</f>
        <v/>
      </c>
      <c r="R1091">
        <f>MAX(0,N1091-M1091)</f>
        <v/>
      </c>
      <c r="S1091">
        <f>IF(Q1091-R1091&gt;1E-9,Q1091-R1091,0)</f>
        <v/>
      </c>
      <c r="T1091">
        <f>S1090*$G$54</f>
        <v/>
      </c>
      <c r="U1091">
        <f>IF(W1090&gt;0,MAX(0,W1090*(1+$G$55)-$H$55),0)</f>
        <v/>
      </c>
      <c r="V1091">
        <f>MAX(0,R1091-Q1091)</f>
        <v/>
      </c>
      <c r="W1091">
        <f>IF(U1091-V1091&gt;1E-9,U1091-V1091,0)</f>
        <v/>
      </c>
      <c r="X1091">
        <f>W1090*$G$55</f>
        <v/>
      </c>
      <c r="Y1091">
        <f>IF(Y1090&gt;1E-9,IF(Y1090*(1+$G$51)-MAX($B$9,0.01*Y1090+Y1090*$G$51)&gt;1E-9,Y1090*(1+$G$51)-MAX($B$9,0.01*Y1090+Y1090*$G$51),0),0)</f>
        <v/>
      </c>
      <c r="Z1091">
        <f>Y1090*$G$51</f>
        <v/>
      </c>
      <c r="AA1091">
        <f>IF(AA1090&gt;1E-9,IF(AA1090*(1+$G$52)-MAX($B$9,0.01*AA1090+AA1090*$G$52)&gt;1E-9,AA1090*(1+$G$52)-MAX($B$9,0.01*AA1090+AA1090*$G$52),0),0)</f>
        <v/>
      </c>
      <c r="AB1091">
        <f>AA1090*$G$52</f>
        <v/>
      </c>
      <c r="AC1091">
        <f>IF(AC1090&gt;1E-9,IF(AC1090*(1+$G$53)-MAX($B$9,0.01*AC1090+AC1090*$G$53)&gt;1E-9,AC1090*(1+$G$53)-MAX($B$9,0.01*AC1090+AC1090*$G$53),0),0)</f>
        <v/>
      </c>
      <c r="AD1091">
        <f>AC1090*$G$53</f>
        <v/>
      </c>
      <c r="AE1091">
        <f>IF(AE1090&gt;1E-9,IF(AE1090*(1+$G$54)-MAX($B$9,0.01*AE1090+AE1090*$G$54)&gt;1E-9,AE1090*(1+$G$54)-MAX($B$9,0.01*AE1090+AE1090*$G$54),0),0)</f>
        <v/>
      </c>
      <c r="AF1091">
        <f>AE1090*$G$54</f>
        <v/>
      </c>
      <c r="AG1091">
        <f>IF(AG1090&gt;1E-9,IF(AG1090*(1+$G$55)-MAX($B$9,0.01*AG1090+AG1090*$G$55)&gt;1E-9,AG1090*(1+$G$55)-MAX($B$9,0.01*AG1090+AG1090*$G$55),0),0)</f>
        <v/>
      </c>
      <c r="AH1091">
        <f>AG1090*$G$55</f>
        <v/>
      </c>
      <c r="AI1091">
        <f>G1091+K1091+O1091+S1091+W1091</f>
        <v/>
      </c>
      <c r="AJ1091">
        <f>AI1090+AK1091-AI1091</f>
        <v/>
      </c>
      <c r="AK1091">
        <f>H1091+L1091+P1091+T1091+X1091</f>
        <v/>
      </c>
      <c r="AL1091">
        <f>TEXT(EDATE($B$5,D1091-1),"mmm yyyy")</f>
        <v/>
      </c>
      <c r="AM1091">
        <f>AI1091</f>
        <v/>
      </c>
    </row>
    <row r="1092">
      <c r="D1092" t="n">
        <v>1031</v>
      </c>
      <c r="E1092">
        <f>IF(G1091&gt;0,MAX(0,G1091*(1+$G$51)-$H$51),0)</f>
        <v/>
      </c>
      <c r="F1092">
        <f>$B$6+IF($D1092=$B$8,$B$7,0)</f>
        <v/>
      </c>
      <c r="G1092">
        <f>IF(E1092-F1092&gt;1E-9,E1092-F1092,0)</f>
        <v/>
      </c>
      <c r="H1092">
        <f>G1091*$G$51</f>
        <v/>
      </c>
      <c r="I1092">
        <f>IF(K1091&gt;0,MAX(0,K1091*(1+$G$52)-$H$52),0)</f>
        <v/>
      </c>
      <c r="J1092">
        <f>MAX(0,F1092-E1092)</f>
        <v/>
      </c>
      <c r="K1092">
        <f>IF(I1092-J1092&gt;1E-9,I1092-J1092,0)</f>
        <v/>
      </c>
      <c r="L1092">
        <f>K1091*$G$52</f>
        <v/>
      </c>
      <c r="M1092">
        <f>IF(O1091&gt;0,MAX(0,O1091*(1+$G$53)-$H$53),0)</f>
        <v/>
      </c>
      <c r="N1092">
        <f>MAX(0,J1092-I1092)</f>
        <v/>
      </c>
      <c r="O1092">
        <f>IF(M1092-N1092&gt;1E-9,M1092-N1092,0)</f>
        <v/>
      </c>
      <c r="P1092">
        <f>O1091*$G$53</f>
        <v/>
      </c>
      <c r="Q1092">
        <f>IF(S1091&gt;0,MAX(0,S1091*(1+$G$54)-$H$54),0)</f>
        <v/>
      </c>
      <c r="R1092">
        <f>MAX(0,N1092-M1092)</f>
        <v/>
      </c>
      <c r="S1092">
        <f>IF(Q1092-R1092&gt;1E-9,Q1092-R1092,0)</f>
        <v/>
      </c>
      <c r="T1092">
        <f>S1091*$G$54</f>
        <v/>
      </c>
      <c r="U1092">
        <f>IF(W1091&gt;0,MAX(0,W1091*(1+$G$55)-$H$55),0)</f>
        <v/>
      </c>
      <c r="V1092">
        <f>MAX(0,R1092-Q1092)</f>
        <v/>
      </c>
      <c r="W1092">
        <f>IF(U1092-V1092&gt;1E-9,U1092-V1092,0)</f>
        <v/>
      </c>
      <c r="X1092">
        <f>W1091*$G$55</f>
        <v/>
      </c>
      <c r="Y1092">
        <f>IF(Y1091&gt;1E-9,IF(Y1091*(1+$G$51)-MAX($B$9,0.01*Y1091+Y1091*$G$51)&gt;1E-9,Y1091*(1+$G$51)-MAX($B$9,0.01*Y1091+Y1091*$G$51),0),0)</f>
        <v/>
      </c>
      <c r="Z1092">
        <f>Y1091*$G$51</f>
        <v/>
      </c>
      <c r="AA1092">
        <f>IF(AA1091&gt;1E-9,IF(AA1091*(1+$G$52)-MAX($B$9,0.01*AA1091+AA1091*$G$52)&gt;1E-9,AA1091*(1+$G$52)-MAX($B$9,0.01*AA1091+AA1091*$G$52),0),0)</f>
        <v/>
      </c>
      <c r="AB1092">
        <f>AA1091*$G$52</f>
        <v/>
      </c>
      <c r="AC1092">
        <f>IF(AC1091&gt;1E-9,IF(AC1091*(1+$G$53)-MAX($B$9,0.01*AC1091+AC1091*$G$53)&gt;1E-9,AC1091*(1+$G$53)-MAX($B$9,0.01*AC1091+AC1091*$G$53),0),0)</f>
        <v/>
      </c>
      <c r="AD1092">
        <f>AC1091*$G$53</f>
        <v/>
      </c>
      <c r="AE1092">
        <f>IF(AE1091&gt;1E-9,IF(AE1091*(1+$G$54)-MAX($B$9,0.01*AE1091+AE1091*$G$54)&gt;1E-9,AE1091*(1+$G$54)-MAX($B$9,0.01*AE1091+AE1091*$G$54),0),0)</f>
        <v/>
      </c>
      <c r="AF1092">
        <f>AE1091*$G$54</f>
        <v/>
      </c>
      <c r="AG1092">
        <f>IF(AG1091&gt;1E-9,IF(AG1091*(1+$G$55)-MAX($B$9,0.01*AG1091+AG1091*$G$55)&gt;1E-9,AG1091*(1+$G$55)-MAX($B$9,0.01*AG1091+AG1091*$G$55),0),0)</f>
        <v/>
      </c>
      <c r="AH1092">
        <f>AG1091*$G$55</f>
        <v/>
      </c>
      <c r="AI1092">
        <f>G1092+K1092+O1092+S1092+W1092</f>
        <v/>
      </c>
      <c r="AJ1092">
        <f>AI1091+AK1092-AI1092</f>
        <v/>
      </c>
      <c r="AK1092">
        <f>H1092+L1092+P1092+T1092+X1092</f>
        <v/>
      </c>
      <c r="AL1092">
        <f>TEXT(EDATE($B$5,D1092-1),"mmm yyyy")</f>
        <v/>
      </c>
      <c r="AM1092">
        <f>AI1092</f>
        <v/>
      </c>
    </row>
    <row r="1093">
      <c r="D1093" t="n">
        <v>1032</v>
      </c>
      <c r="E1093">
        <f>IF(G1092&gt;0,MAX(0,G1092*(1+$G$51)-$H$51),0)</f>
        <v/>
      </c>
      <c r="F1093">
        <f>$B$6+IF($D1093=$B$8,$B$7,0)</f>
        <v/>
      </c>
      <c r="G1093">
        <f>IF(E1093-F1093&gt;1E-9,E1093-F1093,0)</f>
        <v/>
      </c>
      <c r="H1093">
        <f>G1092*$G$51</f>
        <v/>
      </c>
      <c r="I1093">
        <f>IF(K1092&gt;0,MAX(0,K1092*(1+$G$52)-$H$52),0)</f>
        <v/>
      </c>
      <c r="J1093">
        <f>MAX(0,F1093-E1093)</f>
        <v/>
      </c>
      <c r="K1093">
        <f>IF(I1093-J1093&gt;1E-9,I1093-J1093,0)</f>
        <v/>
      </c>
      <c r="L1093">
        <f>K1092*$G$52</f>
        <v/>
      </c>
      <c r="M1093">
        <f>IF(O1092&gt;0,MAX(0,O1092*(1+$G$53)-$H$53),0)</f>
        <v/>
      </c>
      <c r="N1093">
        <f>MAX(0,J1093-I1093)</f>
        <v/>
      </c>
      <c r="O1093">
        <f>IF(M1093-N1093&gt;1E-9,M1093-N1093,0)</f>
        <v/>
      </c>
      <c r="P1093">
        <f>O1092*$G$53</f>
        <v/>
      </c>
      <c r="Q1093">
        <f>IF(S1092&gt;0,MAX(0,S1092*(1+$G$54)-$H$54),0)</f>
        <v/>
      </c>
      <c r="R1093">
        <f>MAX(0,N1093-M1093)</f>
        <v/>
      </c>
      <c r="S1093">
        <f>IF(Q1093-R1093&gt;1E-9,Q1093-R1093,0)</f>
        <v/>
      </c>
      <c r="T1093">
        <f>S1092*$G$54</f>
        <v/>
      </c>
      <c r="U1093">
        <f>IF(W1092&gt;0,MAX(0,W1092*(1+$G$55)-$H$55),0)</f>
        <v/>
      </c>
      <c r="V1093">
        <f>MAX(0,R1093-Q1093)</f>
        <v/>
      </c>
      <c r="W1093">
        <f>IF(U1093-V1093&gt;1E-9,U1093-V1093,0)</f>
        <v/>
      </c>
      <c r="X1093">
        <f>W1092*$G$55</f>
        <v/>
      </c>
      <c r="Y1093">
        <f>IF(Y1092&gt;1E-9,IF(Y1092*(1+$G$51)-MAX($B$9,0.01*Y1092+Y1092*$G$51)&gt;1E-9,Y1092*(1+$G$51)-MAX($B$9,0.01*Y1092+Y1092*$G$51),0),0)</f>
        <v/>
      </c>
      <c r="Z1093">
        <f>Y1092*$G$51</f>
        <v/>
      </c>
      <c r="AA1093">
        <f>IF(AA1092&gt;1E-9,IF(AA1092*(1+$G$52)-MAX($B$9,0.01*AA1092+AA1092*$G$52)&gt;1E-9,AA1092*(1+$G$52)-MAX($B$9,0.01*AA1092+AA1092*$G$52),0),0)</f>
        <v/>
      </c>
      <c r="AB1093">
        <f>AA1092*$G$52</f>
        <v/>
      </c>
      <c r="AC1093">
        <f>IF(AC1092&gt;1E-9,IF(AC1092*(1+$G$53)-MAX($B$9,0.01*AC1092+AC1092*$G$53)&gt;1E-9,AC1092*(1+$G$53)-MAX($B$9,0.01*AC1092+AC1092*$G$53),0),0)</f>
        <v/>
      </c>
      <c r="AD1093">
        <f>AC1092*$G$53</f>
        <v/>
      </c>
      <c r="AE1093">
        <f>IF(AE1092&gt;1E-9,IF(AE1092*(1+$G$54)-MAX($B$9,0.01*AE1092+AE1092*$G$54)&gt;1E-9,AE1092*(1+$G$54)-MAX($B$9,0.01*AE1092+AE1092*$G$54),0),0)</f>
        <v/>
      </c>
      <c r="AF1093">
        <f>AE1092*$G$54</f>
        <v/>
      </c>
      <c r="AG1093">
        <f>IF(AG1092&gt;1E-9,IF(AG1092*(1+$G$55)-MAX($B$9,0.01*AG1092+AG1092*$G$55)&gt;1E-9,AG1092*(1+$G$55)-MAX($B$9,0.01*AG1092+AG1092*$G$55),0),0)</f>
        <v/>
      </c>
      <c r="AH1093">
        <f>AG1092*$G$55</f>
        <v/>
      </c>
      <c r="AI1093">
        <f>G1093+K1093+O1093+S1093+W1093</f>
        <v/>
      </c>
      <c r="AJ1093">
        <f>AI1092+AK1093-AI1093</f>
        <v/>
      </c>
      <c r="AK1093">
        <f>H1093+L1093+P1093+T1093+X1093</f>
        <v/>
      </c>
      <c r="AL1093">
        <f>TEXT(EDATE($B$5,D1093-1),"mmm yyyy")</f>
        <v/>
      </c>
      <c r="AM1093">
        <f>AI1093</f>
        <v/>
      </c>
    </row>
    <row r="1094">
      <c r="D1094" t="n">
        <v>1033</v>
      </c>
      <c r="E1094">
        <f>IF(G1093&gt;0,MAX(0,G1093*(1+$G$51)-$H$51),0)</f>
        <v/>
      </c>
      <c r="F1094">
        <f>$B$6+IF($D1094=$B$8,$B$7,0)</f>
        <v/>
      </c>
      <c r="G1094">
        <f>IF(E1094-F1094&gt;1E-9,E1094-F1094,0)</f>
        <v/>
      </c>
      <c r="H1094">
        <f>G1093*$G$51</f>
        <v/>
      </c>
      <c r="I1094">
        <f>IF(K1093&gt;0,MAX(0,K1093*(1+$G$52)-$H$52),0)</f>
        <v/>
      </c>
      <c r="J1094">
        <f>MAX(0,F1094-E1094)</f>
        <v/>
      </c>
      <c r="K1094">
        <f>IF(I1094-J1094&gt;1E-9,I1094-J1094,0)</f>
        <v/>
      </c>
      <c r="L1094">
        <f>K1093*$G$52</f>
        <v/>
      </c>
      <c r="M1094">
        <f>IF(O1093&gt;0,MAX(0,O1093*(1+$G$53)-$H$53),0)</f>
        <v/>
      </c>
      <c r="N1094">
        <f>MAX(0,J1094-I1094)</f>
        <v/>
      </c>
      <c r="O1094">
        <f>IF(M1094-N1094&gt;1E-9,M1094-N1094,0)</f>
        <v/>
      </c>
      <c r="P1094">
        <f>O1093*$G$53</f>
        <v/>
      </c>
      <c r="Q1094">
        <f>IF(S1093&gt;0,MAX(0,S1093*(1+$G$54)-$H$54),0)</f>
        <v/>
      </c>
      <c r="R1094">
        <f>MAX(0,N1094-M1094)</f>
        <v/>
      </c>
      <c r="S1094">
        <f>IF(Q1094-R1094&gt;1E-9,Q1094-R1094,0)</f>
        <v/>
      </c>
      <c r="T1094">
        <f>S1093*$G$54</f>
        <v/>
      </c>
      <c r="U1094">
        <f>IF(W1093&gt;0,MAX(0,W1093*(1+$G$55)-$H$55),0)</f>
        <v/>
      </c>
      <c r="V1094">
        <f>MAX(0,R1094-Q1094)</f>
        <v/>
      </c>
      <c r="W1094">
        <f>IF(U1094-V1094&gt;1E-9,U1094-V1094,0)</f>
        <v/>
      </c>
      <c r="X1094">
        <f>W1093*$G$55</f>
        <v/>
      </c>
      <c r="Y1094">
        <f>IF(Y1093&gt;1E-9,IF(Y1093*(1+$G$51)-MAX($B$9,0.01*Y1093+Y1093*$G$51)&gt;1E-9,Y1093*(1+$G$51)-MAX($B$9,0.01*Y1093+Y1093*$G$51),0),0)</f>
        <v/>
      </c>
      <c r="Z1094">
        <f>Y1093*$G$51</f>
        <v/>
      </c>
      <c r="AA1094">
        <f>IF(AA1093&gt;1E-9,IF(AA1093*(1+$G$52)-MAX($B$9,0.01*AA1093+AA1093*$G$52)&gt;1E-9,AA1093*(1+$G$52)-MAX($B$9,0.01*AA1093+AA1093*$G$52),0),0)</f>
        <v/>
      </c>
      <c r="AB1094">
        <f>AA1093*$G$52</f>
        <v/>
      </c>
      <c r="AC1094">
        <f>IF(AC1093&gt;1E-9,IF(AC1093*(1+$G$53)-MAX($B$9,0.01*AC1093+AC1093*$G$53)&gt;1E-9,AC1093*(1+$G$53)-MAX($B$9,0.01*AC1093+AC1093*$G$53),0),0)</f>
        <v/>
      </c>
      <c r="AD1094">
        <f>AC1093*$G$53</f>
        <v/>
      </c>
      <c r="AE1094">
        <f>IF(AE1093&gt;1E-9,IF(AE1093*(1+$G$54)-MAX($B$9,0.01*AE1093+AE1093*$G$54)&gt;1E-9,AE1093*(1+$G$54)-MAX($B$9,0.01*AE1093+AE1093*$G$54),0),0)</f>
        <v/>
      </c>
      <c r="AF1094">
        <f>AE1093*$G$54</f>
        <v/>
      </c>
      <c r="AG1094">
        <f>IF(AG1093&gt;1E-9,IF(AG1093*(1+$G$55)-MAX($B$9,0.01*AG1093+AG1093*$G$55)&gt;1E-9,AG1093*(1+$G$55)-MAX($B$9,0.01*AG1093+AG1093*$G$55),0),0)</f>
        <v/>
      </c>
      <c r="AH1094">
        <f>AG1093*$G$55</f>
        <v/>
      </c>
      <c r="AI1094">
        <f>G1094+K1094+O1094+S1094+W1094</f>
        <v/>
      </c>
      <c r="AJ1094">
        <f>AI1093+AK1094-AI1094</f>
        <v/>
      </c>
      <c r="AK1094">
        <f>H1094+L1094+P1094+T1094+X1094</f>
        <v/>
      </c>
      <c r="AL1094">
        <f>TEXT(EDATE($B$5,D1094-1),"mmm yyyy")</f>
        <v/>
      </c>
      <c r="AM1094">
        <f>AI1094</f>
        <v/>
      </c>
    </row>
    <row r="1095">
      <c r="D1095" t="n">
        <v>1034</v>
      </c>
      <c r="E1095">
        <f>IF(G1094&gt;0,MAX(0,G1094*(1+$G$51)-$H$51),0)</f>
        <v/>
      </c>
      <c r="F1095">
        <f>$B$6+IF($D1095=$B$8,$B$7,0)</f>
        <v/>
      </c>
      <c r="G1095">
        <f>IF(E1095-F1095&gt;1E-9,E1095-F1095,0)</f>
        <v/>
      </c>
      <c r="H1095">
        <f>G1094*$G$51</f>
        <v/>
      </c>
      <c r="I1095">
        <f>IF(K1094&gt;0,MAX(0,K1094*(1+$G$52)-$H$52),0)</f>
        <v/>
      </c>
      <c r="J1095">
        <f>MAX(0,F1095-E1095)</f>
        <v/>
      </c>
      <c r="K1095">
        <f>IF(I1095-J1095&gt;1E-9,I1095-J1095,0)</f>
        <v/>
      </c>
      <c r="L1095">
        <f>K1094*$G$52</f>
        <v/>
      </c>
      <c r="M1095">
        <f>IF(O1094&gt;0,MAX(0,O1094*(1+$G$53)-$H$53),0)</f>
        <v/>
      </c>
      <c r="N1095">
        <f>MAX(0,J1095-I1095)</f>
        <v/>
      </c>
      <c r="O1095">
        <f>IF(M1095-N1095&gt;1E-9,M1095-N1095,0)</f>
        <v/>
      </c>
      <c r="P1095">
        <f>O1094*$G$53</f>
        <v/>
      </c>
      <c r="Q1095">
        <f>IF(S1094&gt;0,MAX(0,S1094*(1+$G$54)-$H$54),0)</f>
        <v/>
      </c>
      <c r="R1095">
        <f>MAX(0,N1095-M1095)</f>
        <v/>
      </c>
      <c r="S1095">
        <f>IF(Q1095-R1095&gt;1E-9,Q1095-R1095,0)</f>
        <v/>
      </c>
      <c r="T1095">
        <f>S1094*$G$54</f>
        <v/>
      </c>
      <c r="U1095">
        <f>IF(W1094&gt;0,MAX(0,W1094*(1+$G$55)-$H$55),0)</f>
        <v/>
      </c>
      <c r="V1095">
        <f>MAX(0,R1095-Q1095)</f>
        <v/>
      </c>
      <c r="W1095">
        <f>IF(U1095-V1095&gt;1E-9,U1095-V1095,0)</f>
        <v/>
      </c>
      <c r="X1095">
        <f>W1094*$G$55</f>
        <v/>
      </c>
      <c r="Y1095">
        <f>IF(Y1094&gt;1E-9,IF(Y1094*(1+$G$51)-MAX($B$9,0.01*Y1094+Y1094*$G$51)&gt;1E-9,Y1094*(1+$G$51)-MAX($B$9,0.01*Y1094+Y1094*$G$51),0),0)</f>
        <v/>
      </c>
      <c r="Z1095">
        <f>Y1094*$G$51</f>
        <v/>
      </c>
      <c r="AA1095">
        <f>IF(AA1094&gt;1E-9,IF(AA1094*(1+$G$52)-MAX($B$9,0.01*AA1094+AA1094*$G$52)&gt;1E-9,AA1094*(1+$G$52)-MAX($B$9,0.01*AA1094+AA1094*$G$52),0),0)</f>
        <v/>
      </c>
      <c r="AB1095">
        <f>AA1094*$G$52</f>
        <v/>
      </c>
      <c r="AC1095">
        <f>IF(AC1094&gt;1E-9,IF(AC1094*(1+$G$53)-MAX($B$9,0.01*AC1094+AC1094*$G$53)&gt;1E-9,AC1094*(1+$G$53)-MAX($B$9,0.01*AC1094+AC1094*$G$53),0),0)</f>
        <v/>
      </c>
      <c r="AD1095">
        <f>AC1094*$G$53</f>
        <v/>
      </c>
      <c r="AE1095">
        <f>IF(AE1094&gt;1E-9,IF(AE1094*(1+$G$54)-MAX($B$9,0.01*AE1094+AE1094*$G$54)&gt;1E-9,AE1094*(1+$G$54)-MAX($B$9,0.01*AE1094+AE1094*$G$54),0),0)</f>
        <v/>
      </c>
      <c r="AF1095">
        <f>AE1094*$G$54</f>
        <v/>
      </c>
      <c r="AG1095">
        <f>IF(AG1094&gt;1E-9,IF(AG1094*(1+$G$55)-MAX($B$9,0.01*AG1094+AG1094*$G$55)&gt;1E-9,AG1094*(1+$G$55)-MAX($B$9,0.01*AG1094+AG1094*$G$55),0),0)</f>
        <v/>
      </c>
      <c r="AH1095">
        <f>AG1094*$G$55</f>
        <v/>
      </c>
      <c r="AI1095">
        <f>G1095+K1095+O1095+S1095+W1095</f>
        <v/>
      </c>
      <c r="AJ1095">
        <f>AI1094+AK1095-AI1095</f>
        <v/>
      </c>
      <c r="AK1095">
        <f>H1095+L1095+P1095+T1095+X1095</f>
        <v/>
      </c>
      <c r="AL1095">
        <f>TEXT(EDATE($B$5,D1095-1),"mmm yyyy")</f>
        <v/>
      </c>
      <c r="AM1095">
        <f>AI1095</f>
        <v/>
      </c>
    </row>
    <row r="1096">
      <c r="D1096" t="n">
        <v>1035</v>
      </c>
      <c r="E1096">
        <f>IF(G1095&gt;0,MAX(0,G1095*(1+$G$51)-$H$51),0)</f>
        <v/>
      </c>
      <c r="F1096">
        <f>$B$6+IF($D1096=$B$8,$B$7,0)</f>
        <v/>
      </c>
      <c r="G1096">
        <f>IF(E1096-F1096&gt;1E-9,E1096-F1096,0)</f>
        <v/>
      </c>
      <c r="H1096">
        <f>G1095*$G$51</f>
        <v/>
      </c>
      <c r="I1096">
        <f>IF(K1095&gt;0,MAX(0,K1095*(1+$G$52)-$H$52),0)</f>
        <v/>
      </c>
      <c r="J1096">
        <f>MAX(0,F1096-E1096)</f>
        <v/>
      </c>
      <c r="K1096">
        <f>IF(I1096-J1096&gt;1E-9,I1096-J1096,0)</f>
        <v/>
      </c>
      <c r="L1096">
        <f>K1095*$G$52</f>
        <v/>
      </c>
      <c r="M1096">
        <f>IF(O1095&gt;0,MAX(0,O1095*(1+$G$53)-$H$53),0)</f>
        <v/>
      </c>
      <c r="N1096">
        <f>MAX(0,J1096-I1096)</f>
        <v/>
      </c>
      <c r="O1096">
        <f>IF(M1096-N1096&gt;1E-9,M1096-N1096,0)</f>
        <v/>
      </c>
      <c r="P1096">
        <f>O1095*$G$53</f>
        <v/>
      </c>
      <c r="Q1096">
        <f>IF(S1095&gt;0,MAX(0,S1095*(1+$G$54)-$H$54),0)</f>
        <v/>
      </c>
      <c r="R1096">
        <f>MAX(0,N1096-M1096)</f>
        <v/>
      </c>
      <c r="S1096">
        <f>IF(Q1096-R1096&gt;1E-9,Q1096-R1096,0)</f>
        <v/>
      </c>
      <c r="T1096">
        <f>S1095*$G$54</f>
        <v/>
      </c>
      <c r="U1096">
        <f>IF(W1095&gt;0,MAX(0,W1095*(1+$G$55)-$H$55),0)</f>
        <v/>
      </c>
      <c r="V1096">
        <f>MAX(0,R1096-Q1096)</f>
        <v/>
      </c>
      <c r="W1096">
        <f>IF(U1096-V1096&gt;1E-9,U1096-V1096,0)</f>
        <v/>
      </c>
      <c r="X1096">
        <f>W1095*$G$55</f>
        <v/>
      </c>
      <c r="Y1096">
        <f>IF(Y1095&gt;1E-9,IF(Y1095*(1+$G$51)-MAX($B$9,0.01*Y1095+Y1095*$G$51)&gt;1E-9,Y1095*(1+$G$51)-MAX($B$9,0.01*Y1095+Y1095*$G$51),0),0)</f>
        <v/>
      </c>
      <c r="Z1096">
        <f>Y1095*$G$51</f>
        <v/>
      </c>
      <c r="AA1096">
        <f>IF(AA1095&gt;1E-9,IF(AA1095*(1+$G$52)-MAX($B$9,0.01*AA1095+AA1095*$G$52)&gt;1E-9,AA1095*(1+$G$52)-MAX($B$9,0.01*AA1095+AA1095*$G$52),0),0)</f>
        <v/>
      </c>
      <c r="AB1096">
        <f>AA1095*$G$52</f>
        <v/>
      </c>
      <c r="AC1096">
        <f>IF(AC1095&gt;1E-9,IF(AC1095*(1+$G$53)-MAX($B$9,0.01*AC1095+AC1095*$G$53)&gt;1E-9,AC1095*(1+$G$53)-MAX($B$9,0.01*AC1095+AC1095*$G$53),0),0)</f>
        <v/>
      </c>
      <c r="AD1096">
        <f>AC1095*$G$53</f>
        <v/>
      </c>
      <c r="AE1096">
        <f>IF(AE1095&gt;1E-9,IF(AE1095*(1+$G$54)-MAX($B$9,0.01*AE1095+AE1095*$G$54)&gt;1E-9,AE1095*(1+$G$54)-MAX($B$9,0.01*AE1095+AE1095*$G$54),0),0)</f>
        <v/>
      </c>
      <c r="AF1096">
        <f>AE1095*$G$54</f>
        <v/>
      </c>
      <c r="AG1096">
        <f>IF(AG1095&gt;1E-9,IF(AG1095*(1+$G$55)-MAX($B$9,0.01*AG1095+AG1095*$G$55)&gt;1E-9,AG1095*(1+$G$55)-MAX($B$9,0.01*AG1095+AG1095*$G$55),0),0)</f>
        <v/>
      </c>
      <c r="AH1096">
        <f>AG1095*$G$55</f>
        <v/>
      </c>
      <c r="AI1096">
        <f>G1096+K1096+O1096+S1096+W1096</f>
        <v/>
      </c>
      <c r="AJ1096">
        <f>AI1095+AK1096-AI1096</f>
        <v/>
      </c>
      <c r="AK1096">
        <f>H1096+L1096+P1096+T1096+X1096</f>
        <v/>
      </c>
      <c r="AL1096">
        <f>TEXT(EDATE($B$5,D1096-1),"mmm yyyy")</f>
        <v/>
      </c>
      <c r="AM1096">
        <f>AI1096</f>
        <v/>
      </c>
    </row>
    <row r="1097">
      <c r="D1097" t="n">
        <v>1036</v>
      </c>
      <c r="E1097">
        <f>IF(G1096&gt;0,MAX(0,G1096*(1+$G$51)-$H$51),0)</f>
        <v/>
      </c>
      <c r="F1097">
        <f>$B$6+IF($D1097=$B$8,$B$7,0)</f>
        <v/>
      </c>
      <c r="G1097">
        <f>IF(E1097-F1097&gt;1E-9,E1097-F1097,0)</f>
        <v/>
      </c>
      <c r="H1097">
        <f>G1096*$G$51</f>
        <v/>
      </c>
      <c r="I1097">
        <f>IF(K1096&gt;0,MAX(0,K1096*(1+$G$52)-$H$52),0)</f>
        <v/>
      </c>
      <c r="J1097">
        <f>MAX(0,F1097-E1097)</f>
        <v/>
      </c>
      <c r="K1097">
        <f>IF(I1097-J1097&gt;1E-9,I1097-J1097,0)</f>
        <v/>
      </c>
      <c r="L1097">
        <f>K1096*$G$52</f>
        <v/>
      </c>
      <c r="M1097">
        <f>IF(O1096&gt;0,MAX(0,O1096*(1+$G$53)-$H$53),0)</f>
        <v/>
      </c>
      <c r="N1097">
        <f>MAX(0,J1097-I1097)</f>
        <v/>
      </c>
      <c r="O1097">
        <f>IF(M1097-N1097&gt;1E-9,M1097-N1097,0)</f>
        <v/>
      </c>
      <c r="P1097">
        <f>O1096*$G$53</f>
        <v/>
      </c>
      <c r="Q1097">
        <f>IF(S1096&gt;0,MAX(0,S1096*(1+$G$54)-$H$54),0)</f>
        <v/>
      </c>
      <c r="R1097">
        <f>MAX(0,N1097-M1097)</f>
        <v/>
      </c>
      <c r="S1097">
        <f>IF(Q1097-R1097&gt;1E-9,Q1097-R1097,0)</f>
        <v/>
      </c>
      <c r="T1097">
        <f>S1096*$G$54</f>
        <v/>
      </c>
      <c r="U1097">
        <f>IF(W1096&gt;0,MAX(0,W1096*(1+$G$55)-$H$55),0)</f>
        <v/>
      </c>
      <c r="V1097">
        <f>MAX(0,R1097-Q1097)</f>
        <v/>
      </c>
      <c r="W1097">
        <f>IF(U1097-V1097&gt;1E-9,U1097-V1097,0)</f>
        <v/>
      </c>
      <c r="X1097">
        <f>W1096*$G$55</f>
        <v/>
      </c>
      <c r="Y1097">
        <f>IF(Y1096&gt;1E-9,IF(Y1096*(1+$G$51)-MAX($B$9,0.01*Y1096+Y1096*$G$51)&gt;1E-9,Y1096*(1+$G$51)-MAX($B$9,0.01*Y1096+Y1096*$G$51),0),0)</f>
        <v/>
      </c>
      <c r="Z1097">
        <f>Y1096*$G$51</f>
        <v/>
      </c>
      <c r="AA1097">
        <f>IF(AA1096&gt;1E-9,IF(AA1096*(1+$G$52)-MAX($B$9,0.01*AA1096+AA1096*$G$52)&gt;1E-9,AA1096*(1+$G$52)-MAX($B$9,0.01*AA1096+AA1096*$G$52),0),0)</f>
        <v/>
      </c>
      <c r="AB1097">
        <f>AA1096*$G$52</f>
        <v/>
      </c>
      <c r="AC1097">
        <f>IF(AC1096&gt;1E-9,IF(AC1096*(1+$G$53)-MAX($B$9,0.01*AC1096+AC1096*$G$53)&gt;1E-9,AC1096*(1+$G$53)-MAX($B$9,0.01*AC1096+AC1096*$G$53),0),0)</f>
        <v/>
      </c>
      <c r="AD1097">
        <f>AC1096*$G$53</f>
        <v/>
      </c>
      <c r="AE1097">
        <f>IF(AE1096&gt;1E-9,IF(AE1096*(1+$G$54)-MAX($B$9,0.01*AE1096+AE1096*$G$54)&gt;1E-9,AE1096*(1+$G$54)-MAX($B$9,0.01*AE1096+AE1096*$G$54),0),0)</f>
        <v/>
      </c>
      <c r="AF1097">
        <f>AE1096*$G$54</f>
        <v/>
      </c>
      <c r="AG1097">
        <f>IF(AG1096&gt;1E-9,IF(AG1096*(1+$G$55)-MAX($B$9,0.01*AG1096+AG1096*$G$55)&gt;1E-9,AG1096*(1+$G$55)-MAX($B$9,0.01*AG1096+AG1096*$G$55),0),0)</f>
        <v/>
      </c>
      <c r="AH1097">
        <f>AG1096*$G$55</f>
        <v/>
      </c>
      <c r="AI1097">
        <f>G1097+K1097+O1097+S1097+W1097</f>
        <v/>
      </c>
      <c r="AJ1097">
        <f>AI1096+AK1097-AI1097</f>
        <v/>
      </c>
      <c r="AK1097">
        <f>H1097+L1097+P1097+T1097+X1097</f>
        <v/>
      </c>
      <c r="AL1097">
        <f>TEXT(EDATE($B$5,D1097-1),"mmm yyyy")</f>
        <v/>
      </c>
      <c r="AM1097">
        <f>AI1097</f>
        <v/>
      </c>
    </row>
    <row r="1098">
      <c r="D1098" t="n">
        <v>1037</v>
      </c>
      <c r="E1098">
        <f>IF(G1097&gt;0,MAX(0,G1097*(1+$G$51)-$H$51),0)</f>
        <v/>
      </c>
      <c r="F1098">
        <f>$B$6+IF($D1098=$B$8,$B$7,0)</f>
        <v/>
      </c>
      <c r="G1098">
        <f>IF(E1098-F1098&gt;1E-9,E1098-F1098,0)</f>
        <v/>
      </c>
      <c r="H1098">
        <f>G1097*$G$51</f>
        <v/>
      </c>
      <c r="I1098">
        <f>IF(K1097&gt;0,MAX(0,K1097*(1+$G$52)-$H$52),0)</f>
        <v/>
      </c>
      <c r="J1098">
        <f>MAX(0,F1098-E1098)</f>
        <v/>
      </c>
      <c r="K1098">
        <f>IF(I1098-J1098&gt;1E-9,I1098-J1098,0)</f>
        <v/>
      </c>
      <c r="L1098">
        <f>K1097*$G$52</f>
        <v/>
      </c>
      <c r="M1098">
        <f>IF(O1097&gt;0,MAX(0,O1097*(1+$G$53)-$H$53),0)</f>
        <v/>
      </c>
      <c r="N1098">
        <f>MAX(0,J1098-I1098)</f>
        <v/>
      </c>
      <c r="O1098">
        <f>IF(M1098-N1098&gt;1E-9,M1098-N1098,0)</f>
        <v/>
      </c>
      <c r="P1098">
        <f>O1097*$G$53</f>
        <v/>
      </c>
      <c r="Q1098">
        <f>IF(S1097&gt;0,MAX(0,S1097*(1+$G$54)-$H$54),0)</f>
        <v/>
      </c>
      <c r="R1098">
        <f>MAX(0,N1098-M1098)</f>
        <v/>
      </c>
      <c r="S1098">
        <f>IF(Q1098-R1098&gt;1E-9,Q1098-R1098,0)</f>
        <v/>
      </c>
      <c r="T1098">
        <f>S1097*$G$54</f>
        <v/>
      </c>
      <c r="U1098">
        <f>IF(W1097&gt;0,MAX(0,W1097*(1+$G$55)-$H$55),0)</f>
        <v/>
      </c>
      <c r="V1098">
        <f>MAX(0,R1098-Q1098)</f>
        <v/>
      </c>
      <c r="W1098">
        <f>IF(U1098-V1098&gt;1E-9,U1098-V1098,0)</f>
        <v/>
      </c>
      <c r="X1098">
        <f>W1097*$G$55</f>
        <v/>
      </c>
      <c r="Y1098">
        <f>IF(Y1097&gt;1E-9,IF(Y1097*(1+$G$51)-MAX($B$9,0.01*Y1097+Y1097*$G$51)&gt;1E-9,Y1097*(1+$G$51)-MAX($B$9,0.01*Y1097+Y1097*$G$51),0),0)</f>
        <v/>
      </c>
      <c r="Z1098">
        <f>Y1097*$G$51</f>
        <v/>
      </c>
      <c r="AA1098">
        <f>IF(AA1097&gt;1E-9,IF(AA1097*(1+$G$52)-MAX($B$9,0.01*AA1097+AA1097*$G$52)&gt;1E-9,AA1097*(1+$G$52)-MAX($B$9,0.01*AA1097+AA1097*$G$52),0),0)</f>
        <v/>
      </c>
      <c r="AB1098">
        <f>AA1097*$G$52</f>
        <v/>
      </c>
      <c r="AC1098">
        <f>IF(AC1097&gt;1E-9,IF(AC1097*(1+$G$53)-MAX($B$9,0.01*AC1097+AC1097*$G$53)&gt;1E-9,AC1097*(1+$G$53)-MAX($B$9,0.01*AC1097+AC1097*$G$53),0),0)</f>
        <v/>
      </c>
      <c r="AD1098">
        <f>AC1097*$G$53</f>
        <v/>
      </c>
      <c r="AE1098">
        <f>IF(AE1097&gt;1E-9,IF(AE1097*(1+$G$54)-MAX($B$9,0.01*AE1097+AE1097*$G$54)&gt;1E-9,AE1097*(1+$G$54)-MAX($B$9,0.01*AE1097+AE1097*$G$54),0),0)</f>
        <v/>
      </c>
      <c r="AF1098">
        <f>AE1097*$G$54</f>
        <v/>
      </c>
      <c r="AG1098">
        <f>IF(AG1097&gt;1E-9,IF(AG1097*(1+$G$55)-MAX($B$9,0.01*AG1097+AG1097*$G$55)&gt;1E-9,AG1097*(1+$G$55)-MAX($B$9,0.01*AG1097+AG1097*$G$55),0),0)</f>
        <v/>
      </c>
      <c r="AH1098">
        <f>AG1097*$G$55</f>
        <v/>
      </c>
      <c r="AI1098">
        <f>G1098+K1098+O1098+S1098+W1098</f>
        <v/>
      </c>
      <c r="AJ1098">
        <f>AI1097+AK1098-AI1098</f>
        <v/>
      </c>
      <c r="AK1098">
        <f>H1098+L1098+P1098+T1098+X1098</f>
        <v/>
      </c>
      <c r="AL1098">
        <f>TEXT(EDATE($B$5,D1098-1),"mmm yyyy")</f>
        <v/>
      </c>
      <c r="AM1098">
        <f>AI1098</f>
        <v/>
      </c>
    </row>
    <row r="1099">
      <c r="D1099" t="n">
        <v>1038</v>
      </c>
      <c r="E1099">
        <f>IF(G1098&gt;0,MAX(0,G1098*(1+$G$51)-$H$51),0)</f>
        <v/>
      </c>
      <c r="F1099">
        <f>$B$6+IF($D1099=$B$8,$B$7,0)</f>
        <v/>
      </c>
      <c r="G1099">
        <f>IF(E1099-F1099&gt;1E-9,E1099-F1099,0)</f>
        <v/>
      </c>
      <c r="H1099">
        <f>G1098*$G$51</f>
        <v/>
      </c>
      <c r="I1099">
        <f>IF(K1098&gt;0,MAX(0,K1098*(1+$G$52)-$H$52),0)</f>
        <v/>
      </c>
      <c r="J1099">
        <f>MAX(0,F1099-E1099)</f>
        <v/>
      </c>
      <c r="K1099">
        <f>IF(I1099-J1099&gt;1E-9,I1099-J1099,0)</f>
        <v/>
      </c>
      <c r="L1099">
        <f>K1098*$G$52</f>
        <v/>
      </c>
      <c r="M1099">
        <f>IF(O1098&gt;0,MAX(0,O1098*(1+$G$53)-$H$53),0)</f>
        <v/>
      </c>
      <c r="N1099">
        <f>MAX(0,J1099-I1099)</f>
        <v/>
      </c>
      <c r="O1099">
        <f>IF(M1099-N1099&gt;1E-9,M1099-N1099,0)</f>
        <v/>
      </c>
      <c r="P1099">
        <f>O1098*$G$53</f>
        <v/>
      </c>
      <c r="Q1099">
        <f>IF(S1098&gt;0,MAX(0,S1098*(1+$G$54)-$H$54),0)</f>
        <v/>
      </c>
      <c r="R1099">
        <f>MAX(0,N1099-M1099)</f>
        <v/>
      </c>
      <c r="S1099">
        <f>IF(Q1099-R1099&gt;1E-9,Q1099-R1099,0)</f>
        <v/>
      </c>
      <c r="T1099">
        <f>S1098*$G$54</f>
        <v/>
      </c>
      <c r="U1099">
        <f>IF(W1098&gt;0,MAX(0,W1098*(1+$G$55)-$H$55),0)</f>
        <v/>
      </c>
      <c r="V1099">
        <f>MAX(0,R1099-Q1099)</f>
        <v/>
      </c>
      <c r="W1099">
        <f>IF(U1099-V1099&gt;1E-9,U1099-V1099,0)</f>
        <v/>
      </c>
      <c r="X1099">
        <f>W1098*$G$55</f>
        <v/>
      </c>
      <c r="Y1099">
        <f>IF(Y1098&gt;1E-9,IF(Y1098*(1+$G$51)-MAX($B$9,0.01*Y1098+Y1098*$G$51)&gt;1E-9,Y1098*(1+$G$51)-MAX($B$9,0.01*Y1098+Y1098*$G$51),0),0)</f>
        <v/>
      </c>
      <c r="Z1099">
        <f>Y1098*$G$51</f>
        <v/>
      </c>
      <c r="AA1099">
        <f>IF(AA1098&gt;1E-9,IF(AA1098*(1+$G$52)-MAX($B$9,0.01*AA1098+AA1098*$G$52)&gt;1E-9,AA1098*(1+$G$52)-MAX($B$9,0.01*AA1098+AA1098*$G$52),0),0)</f>
        <v/>
      </c>
      <c r="AB1099">
        <f>AA1098*$G$52</f>
        <v/>
      </c>
      <c r="AC1099">
        <f>IF(AC1098&gt;1E-9,IF(AC1098*(1+$G$53)-MAX($B$9,0.01*AC1098+AC1098*$G$53)&gt;1E-9,AC1098*(1+$G$53)-MAX($B$9,0.01*AC1098+AC1098*$G$53),0),0)</f>
        <v/>
      </c>
      <c r="AD1099">
        <f>AC1098*$G$53</f>
        <v/>
      </c>
      <c r="AE1099">
        <f>IF(AE1098&gt;1E-9,IF(AE1098*(1+$G$54)-MAX($B$9,0.01*AE1098+AE1098*$G$54)&gt;1E-9,AE1098*(1+$G$54)-MAX($B$9,0.01*AE1098+AE1098*$G$54),0),0)</f>
        <v/>
      </c>
      <c r="AF1099">
        <f>AE1098*$G$54</f>
        <v/>
      </c>
      <c r="AG1099">
        <f>IF(AG1098&gt;1E-9,IF(AG1098*(1+$G$55)-MAX($B$9,0.01*AG1098+AG1098*$G$55)&gt;1E-9,AG1098*(1+$G$55)-MAX($B$9,0.01*AG1098+AG1098*$G$55),0),0)</f>
        <v/>
      </c>
      <c r="AH1099">
        <f>AG1098*$G$55</f>
        <v/>
      </c>
      <c r="AI1099">
        <f>G1099+K1099+O1099+S1099+W1099</f>
        <v/>
      </c>
      <c r="AJ1099">
        <f>AI1098+AK1099-AI1099</f>
        <v/>
      </c>
      <c r="AK1099">
        <f>H1099+L1099+P1099+T1099+X1099</f>
        <v/>
      </c>
      <c r="AL1099">
        <f>TEXT(EDATE($B$5,D1099-1),"mmm yyyy")</f>
        <v/>
      </c>
      <c r="AM1099">
        <f>AI1099</f>
        <v/>
      </c>
    </row>
    <row r="1100">
      <c r="D1100" t="n">
        <v>1039</v>
      </c>
      <c r="E1100">
        <f>IF(G1099&gt;0,MAX(0,G1099*(1+$G$51)-$H$51),0)</f>
        <v/>
      </c>
      <c r="F1100">
        <f>$B$6+IF($D1100=$B$8,$B$7,0)</f>
        <v/>
      </c>
      <c r="G1100">
        <f>IF(E1100-F1100&gt;1E-9,E1100-F1100,0)</f>
        <v/>
      </c>
      <c r="H1100">
        <f>G1099*$G$51</f>
        <v/>
      </c>
      <c r="I1100">
        <f>IF(K1099&gt;0,MAX(0,K1099*(1+$G$52)-$H$52),0)</f>
        <v/>
      </c>
      <c r="J1100">
        <f>MAX(0,F1100-E1100)</f>
        <v/>
      </c>
      <c r="K1100">
        <f>IF(I1100-J1100&gt;1E-9,I1100-J1100,0)</f>
        <v/>
      </c>
      <c r="L1100">
        <f>K1099*$G$52</f>
        <v/>
      </c>
      <c r="M1100">
        <f>IF(O1099&gt;0,MAX(0,O1099*(1+$G$53)-$H$53),0)</f>
        <v/>
      </c>
      <c r="N1100">
        <f>MAX(0,J1100-I1100)</f>
        <v/>
      </c>
      <c r="O1100">
        <f>IF(M1100-N1100&gt;1E-9,M1100-N1100,0)</f>
        <v/>
      </c>
      <c r="P1100">
        <f>O1099*$G$53</f>
        <v/>
      </c>
      <c r="Q1100">
        <f>IF(S1099&gt;0,MAX(0,S1099*(1+$G$54)-$H$54),0)</f>
        <v/>
      </c>
      <c r="R1100">
        <f>MAX(0,N1100-M1100)</f>
        <v/>
      </c>
      <c r="S1100">
        <f>IF(Q1100-R1100&gt;1E-9,Q1100-R1100,0)</f>
        <v/>
      </c>
      <c r="T1100">
        <f>S1099*$G$54</f>
        <v/>
      </c>
      <c r="U1100">
        <f>IF(W1099&gt;0,MAX(0,W1099*(1+$G$55)-$H$55),0)</f>
        <v/>
      </c>
      <c r="V1100">
        <f>MAX(0,R1100-Q1100)</f>
        <v/>
      </c>
      <c r="W1100">
        <f>IF(U1100-V1100&gt;1E-9,U1100-V1100,0)</f>
        <v/>
      </c>
      <c r="X1100">
        <f>W1099*$G$55</f>
        <v/>
      </c>
      <c r="Y1100">
        <f>IF(Y1099&gt;1E-9,IF(Y1099*(1+$G$51)-MAX($B$9,0.01*Y1099+Y1099*$G$51)&gt;1E-9,Y1099*(1+$G$51)-MAX($B$9,0.01*Y1099+Y1099*$G$51),0),0)</f>
        <v/>
      </c>
      <c r="Z1100">
        <f>Y1099*$G$51</f>
        <v/>
      </c>
      <c r="AA1100">
        <f>IF(AA1099&gt;1E-9,IF(AA1099*(1+$G$52)-MAX($B$9,0.01*AA1099+AA1099*$G$52)&gt;1E-9,AA1099*(1+$G$52)-MAX($B$9,0.01*AA1099+AA1099*$G$52),0),0)</f>
        <v/>
      </c>
      <c r="AB1100">
        <f>AA1099*$G$52</f>
        <v/>
      </c>
      <c r="AC1100">
        <f>IF(AC1099&gt;1E-9,IF(AC1099*(1+$G$53)-MAX($B$9,0.01*AC1099+AC1099*$G$53)&gt;1E-9,AC1099*(1+$G$53)-MAX($B$9,0.01*AC1099+AC1099*$G$53),0),0)</f>
        <v/>
      </c>
      <c r="AD1100">
        <f>AC1099*$G$53</f>
        <v/>
      </c>
      <c r="AE1100">
        <f>IF(AE1099&gt;1E-9,IF(AE1099*(1+$G$54)-MAX($B$9,0.01*AE1099+AE1099*$G$54)&gt;1E-9,AE1099*(1+$G$54)-MAX($B$9,0.01*AE1099+AE1099*$G$54),0),0)</f>
        <v/>
      </c>
      <c r="AF1100">
        <f>AE1099*$G$54</f>
        <v/>
      </c>
      <c r="AG1100">
        <f>IF(AG1099&gt;1E-9,IF(AG1099*(1+$G$55)-MAX($B$9,0.01*AG1099+AG1099*$G$55)&gt;1E-9,AG1099*(1+$G$55)-MAX($B$9,0.01*AG1099+AG1099*$G$55),0),0)</f>
        <v/>
      </c>
      <c r="AH1100">
        <f>AG1099*$G$55</f>
        <v/>
      </c>
      <c r="AI1100">
        <f>G1100+K1100+O1100+S1100+W1100</f>
        <v/>
      </c>
      <c r="AJ1100">
        <f>AI1099+AK1100-AI1100</f>
        <v/>
      </c>
      <c r="AK1100">
        <f>H1100+L1100+P1100+T1100+X1100</f>
        <v/>
      </c>
      <c r="AL1100">
        <f>TEXT(EDATE($B$5,D1100-1),"mmm yyyy")</f>
        <v/>
      </c>
      <c r="AM1100">
        <f>AI1100</f>
        <v/>
      </c>
    </row>
    <row r="1101">
      <c r="D1101" t="n">
        <v>1040</v>
      </c>
      <c r="E1101">
        <f>IF(G1100&gt;0,MAX(0,G1100*(1+$G$51)-$H$51),0)</f>
        <v/>
      </c>
      <c r="F1101">
        <f>$B$6+IF($D1101=$B$8,$B$7,0)</f>
        <v/>
      </c>
      <c r="G1101">
        <f>IF(E1101-F1101&gt;1E-9,E1101-F1101,0)</f>
        <v/>
      </c>
      <c r="H1101">
        <f>G1100*$G$51</f>
        <v/>
      </c>
      <c r="I1101">
        <f>IF(K1100&gt;0,MAX(0,K1100*(1+$G$52)-$H$52),0)</f>
        <v/>
      </c>
      <c r="J1101">
        <f>MAX(0,F1101-E1101)</f>
        <v/>
      </c>
      <c r="K1101">
        <f>IF(I1101-J1101&gt;1E-9,I1101-J1101,0)</f>
        <v/>
      </c>
      <c r="L1101">
        <f>K1100*$G$52</f>
        <v/>
      </c>
      <c r="M1101">
        <f>IF(O1100&gt;0,MAX(0,O1100*(1+$G$53)-$H$53),0)</f>
        <v/>
      </c>
      <c r="N1101">
        <f>MAX(0,J1101-I1101)</f>
        <v/>
      </c>
      <c r="O1101">
        <f>IF(M1101-N1101&gt;1E-9,M1101-N1101,0)</f>
        <v/>
      </c>
      <c r="P1101">
        <f>O1100*$G$53</f>
        <v/>
      </c>
      <c r="Q1101">
        <f>IF(S1100&gt;0,MAX(0,S1100*(1+$G$54)-$H$54),0)</f>
        <v/>
      </c>
      <c r="R1101">
        <f>MAX(0,N1101-M1101)</f>
        <v/>
      </c>
      <c r="S1101">
        <f>IF(Q1101-R1101&gt;1E-9,Q1101-R1101,0)</f>
        <v/>
      </c>
      <c r="T1101">
        <f>S1100*$G$54</f>
        <v/>
      </c>
      <c r="U1101">
        <f>IF(W1100&gt;0,MAX(0,W1100*(1+$G$55)-$H$55),0)</f>
        <v/>
      </c>
      <c r="V1101">
        <f>MAX(0,R1101-Q1101)</f>
        <v/>
      </c>
      <c r="W1101">
        <f>IF(U1101-V1101&gt;1E-9,U1101-V1101,0)</f>
        <v/>
      </c>
      <c r="X1101">
        <f>W1100*$G$55</f>
        <v/>
      </c>
      <c r="Y1101">
        <f>IF(Y1100&gt;1E-9,IF(Y1100*(1+$G$51)-MAX($B$9,0.01*Y1100+Y1100*$G$51)&gt;1E-9,Y1100*(1+$G$51)-MAX($B$9,0.01*Y1100+Y1100*$G$51),0),0)</f>
        <v/>
      </c>
      <c r="Z1101">
        <f>Y1100*$G$51</f>
        <v/>
      </c>
      <c r="AA1101">
        <f>IF(AA1100&gt;1E-9,IF(AA1100*(1+$G$52)-MAX($B$9,0.01*AA1100+AA1100*$G$52)&gt;1E-9,AA1100*(1+$G$52)-MAX($B$9,0.01*AA1100+AA1100*$G$52),0),0)</f>
        <v/>
      </c>
      <c r="AB1101">
        <f>AA1100*$G$52</f>
        <v/>
      </c>
      <c r="AC1101">
        <f>IF(AC1100&gt;1E-9,IF(AC1100*(1+$G$53)-MAX($B$9,0.01*AC1100+AC1100*$G$53)&gt;1E-9,AC1100*(1+$G$53)-MAX($B$9,0.01*AC1100+AC1100*$G$53),0),0)</f>
        <v/>
      </c>
      <c r="AD1101">
        <f>AC1100*$G$53</f>
        <v/>
      </c>
      <c r="AE1101">
        <f>IF(AE1100&gt;1E-9,IF(AE1100*(1+$G$54)-MAX($B$9,0.01*AE1100+AE1100*$G$54)&gt;1E-9,AE1100*(1+$G$54)-MAX($B$9,0.01*AE1100+AE1100*$G$54),0),0)</f>
        <v/>
      </c>
      <c r="AF1101">
        <f>AE1100*$G$54</f>
        <v/>
      </c>
      <c r="AG1101">
        <f>IF(AG1100&gt;1E-9,IF(AG1100*(1+$G$55)-MAX($B$9,0.01*AG1100+AG1100*$G$55)&gt;1E-9,AG1100*(1+$G$55)-MAX($B$9,0.01*AG1100+AG1100*$G$55),0),0)</f>
        <v/>
      </c>
      <c r="AH1101">
        <f>AG1100*$G$55</f>
        <v/>
      </c>
      <c r="AI1101">
        <f>G1101+K1101+O1101+S1101+W1101</f>
        <v/>
      </c>
      <c r="AJ1101">
        <f>AI1100+AK1101-AI1101</f>
        <v/>
      </c>
      <c r="AK1101">
        <f>H1101+L1101+P1101+T1101+X1101</f>
        <v/>
      </c>
      <c r="AL1101">
        <f>TEXT(EDATE($B$5,D1101-1),"mmm yyyy")</f>
        <v/>
      </c>
      <c r="AM1101">
        <f>AI1101</f>
        <v/>
      </c>
    </row>
    <row r="1102">
      <c r="D1102" t="n">
        <v>1041</v>
      </c>
      <c r="E1102">
        <f>IF(G1101&gt;0,MAX(0,G1101*(1+$G$51)-$H$51),0)</f>
        <v/>
      </c>
      <c r="F1102">
        <f>$B$6+IF($D1102=$B$8,$B$7,0)</f>
        <v/>
      </c>
      <c r="G1102">
        <f>IF(E1102-F1102&gt;1E-9,E1102-F1102,0)</f>
        <v/>
      </c>
      <c r="H1102">
        <f>G1101*$G$51</f>
        <v/>
      </c>
      <c r="I1102">
        <f>IF(K1101&gt;0,MAX(0,K1101*(1+$G$52)-$H$52),0)</f>
        <v/>
      </c>
      <c r="J1102">
        <f>MAX(0,F1102-E1102)</f>
        <v/>
      </c>
      <c r="K1102">
        <f>IF(I1102-J1102&gt;1E-9,I1102-J1102,0)</f>
        <v/>
      </c>
      <c r="L1102">
        <f>K1101*$G$52</f>
        <v/>
      </c>
      <c r="M1102">
        <f>IF(O1101&gt;0,MAX(0,O1101*(1+$G$53)-$H$53),0)</f>
        <v/>
      </c>
      <c r="N1102">
        <f>MAX(0,J1102-I1102)</f>
        <v/>
      </c>
      <c r="O1102">
        <f>IF(M1102-N1102&gt;1E-9,M1102-N1102,0)</f>
        <v/>
      </c>
      <c r="P1102">
        <f>O1101*$G$53</f>
        <v/>
      </c>
      <c r="Q1102">
        <f>IF(S1101&gt;0,MAX(0,S1101*(1+$G$54)-$H$54),0)</f>
        <v/>
      </c>
      <c r="R1102">
        <f>MAX(0,N1102-M1102)</f>
        <v/>
      </c>
      <c r="S1102">
        <f>IF(Q1102-R1102&gt;1E-9,Q1102-R1102,0)</f>
        <v/>
      </c>
      <c r="T1102">
        <f>S1101*$G$54</f>
        <v/>
      </c>
      <c r="U1102">
        <f>IF(W1101&gt;0,MAX(0,W1101*(1+$G$55)-$H$55),0)</f>
        <v/>
      </c>
      <c r="V1102">
        <f>MAX(0,R1102-Q1102)</f>
        <v/>
      </c>
      <c r="W1102">
        <f>IF(U1102-V1102&gt;1E-9,U1102-V1102,0)</f>
        <v/>
      </c>
      <c r="X1102">
        <f>W1101*$G$55</f>
        <v/>
      </c>
      <c r="Y1102">
        <f>IF(Y1101&gt;1E-9,IF(Y1101*(1+$G$51)-MAX($B$9,0.01*Y1101+Y1101*$G$51)&gt;1E-9,Y1101*(1+$G$51)-MAX($B$9,0.01*Y1101+Y1101*$G$51),0),0)</f>
        <v/>
      </c>
      <c r="Z1102">
        <f>Y1101*$G$51</f>
        <v/>
      </c>
      <c r="AA1102">
        <f>IF(AA1101&gt;1E-9,IF(AA1101*(1+$G$52)-MAX($B$9,0.01*AA1101+AA1101*$G$52)&gt;1E-9,AA1101*(1+$G$52)-MAX($B$9,0.01*AA1101+AA1101*$G$52),0),0)</f>
        <v/>
      </c>
      <c r="AB1102">
        <f>AA1101*$G$52</f>
        <v/>
      </c>
      <c r="AC1102">
        <f>IF(AC1101&gt;1E-9,IF(AC1101*(1+$G$53)-MAX($B$9,0.01*AC1101+AC1101*$G$53)&gt;1E-9,AC1101*(1+$G$53)-MAX($B$9,0.01*AC1101+AC1101*$G$53),0),0)</f>
        <v/>
      </c>
      <c r="AD1102">
        <f>AC1101*$G$53</f>
        <v/>
      </c>
      <c r="AE1102">
        <f>IF(AE1101&gt;1E-9,IF(AE1101*(1+$G$54)-MAX($B$9,0.01*AE1101+AE1101*$G$54)&gt;1E-9,AE1101*(1+$G$54)-MAX($B$9,0.01*AE1101+AE1101*$G$54),0),0)</f>
        <v/>
      </c>
      <c r="AF1102">
        <f>AE1101*$G$54</f>
        <v/>
      </c>
      <c r="AG1102">
        <f>IF(AG1101&gt;1E-9,IF(AG1101*(1+$G$55)-MAX($B$9,0.01*AG1101+AG1101*$G$55)&gt;1E-9,AG1101*(1+$G$55)-MAX($B$9,0.01*AG1101+AG1101*$G$55),0),0)</f>
        <v/>
      </c>
      <c r="AH1102">
        <f>AG1101*$G$55</f>
        <v/>
      </c>
      <c r="AI1102">
        <f>G1102+K1102+O1102+S1102+W1102</f>
        <v/>
      </c>
      <c r="AJ1102">
        <f>AI1101+AK1102-AI1102</f>
        <v/>
      </c>
      <c r="AK1102">
        <f>H1102+L1102+P1102+T1102+X1102</f>
        <v/>
      </c>
      <c r="AL1102">
        <f>TEXT(EDATE($B$5,D1102-1),"mmm yyyy")</f>
        <v/>
      </c>
      <c r="AM1102">
        <f>AI1102</f>
        <v/>
      </c>
    </row>
    <row r="1103">
      <c r="D1103" t="n">
        <v>1042</v>
      </c>
      <c r="E1103">
        <f>IF(G1102&gt;0,MAX(0,G1102*(1+$G$51)-$H$51),0)</f>
        <v/>
      </c>
      <c r="F1103">
        <f>$B$6+IF($D1103=$B$8,$B$7,0)</f>
        <v/>
      </c>
      <c r="G1103">
        <f>IF(E1103-F1103&gt;1E-9,E1103-F1103,0)</f>
        <v/>
      </c>
      <c r="H1103">
        <f>G1102*$G$51</f>
        <v/>
      </c>
      <c r="I1103">
        <f>IF(K1102&gt;0,MAX(0,K1102*(1+$G$52)-$H$52),0)</f>
        <v/>
      </c>
      <c r="J1103">
        <f>MAX(0,F1103-E1103)</f>
        <v/>
      </c>
      <c r="K1103">
        <f>IF(I1103-J1103&gt;1E-9,I1103-J1103,0)</f>
        <v/>
      </c>
      <c r="L1103">
        <f>K1102*$G$52</f>
        <v/>
      </c>
      <c r="M1103">
        <f>IF(O1102&gt;0,MAX(0,O1102*(1+$G$53)-$H$53),0)</f>
        <v/>
      </c>
      <c r="N1103">
        <f>MAX(0,J1103-I1103)</f>
        <v/>
      </c>
      <c r="O1103">
        <f>IF(M1103-N1103&gt;1E-9,M1103-N1103,0)</f>
        <v/>
      </c>
      <c r="P1103">
        <f>O1102*$G$53</f>
        <v/>
      </c>
      <c r="Q1103">
        <f>IF(S1102&gt;0,MAX(0,S1102*(1+$G$54)-$H$54),0)</f>
        <v/>
      </c>
      <c r="R1103">
        <f>MAX(0,N1103-M1103)</f>
        <v/>
      </c>
      <c r="S1103">
        <f>IF(Q1103-R1103&gt;1E-9,Q1103-R1103,0)</f>
        <v/>
      </c>
      <c r="T1103">
        <f>S1102*$G$54</f>
        <v/>
      </c>
      <c r="U1103">
        <f>IF(W1102&gt;0,MAX(0,W1102*(1+$G$55)-$H$55),0)</f>
        <v/>
      </c>
      <c r="V1103">
        <f>MAX(0,R1103-Q1103)</f>
        <v/>
      </c>
      <c r="W1103">
        <f>IF(U1103-V1103&gt;1E-9,U1103-V1103,0)</f>
        <v/>
      </c>
      <c r="X1103">
        <f>W1102*$G$55</f>
        <v/>
      </c>
      <c r="Y1103">
        <f>IF(Y1102&gt;1E-9,IF(Y1102*(1+$G$51)-MAX($B$9,0.01*Y1102+Y1102*$G$51)&gt;1E-9,Y1102*(1+$G$51)-MAX($B$9,0.01*Y1102+Y1102*$G$51),0),0)</f>
        <v/>
      </c>
      <c r="Z1103">
        <f>Y1102*$G$51</f>
        <v/>
      </c>
      <c r="AA1103">
        <f>IF(AA1102&gt;1E-9,IF(AA1102*(1+$G$52)-MAX($B$9,0.01*AA1102+AA1102*$G$52)&gt;1E-9,AA1102*(1+$G$52)-MAX($B$9,0.01*AA1102+AA1102*$G$52),0),0)</f>
        <v/>
      </c>
      <c r="AB1103">
        <f>AA1102*$G$52</f>
        <v/>
      </c>
      <c r="AC1103">
        <f>IF(AC1102&gt;1E-9,IF(AC1102*(1+$G$53)-MAX($B$9,0.01*AC1102+AC1102*$G$53)&gt;1E-9,AC1102*(1+$G$53)-MAX($B$9,0.01*AC1102+AC1102*$G$53),0),0)</f>
        <v/>
      </c>
      <c r="AD1103">
        <f>AC1102*$G$53</f>
        <v/>
      </c>
      <c r="AE1103">
        <f>IF(AE1102&gt;1E-9,IF(AE1102*(1+$G$54)-MAX($B$9,0.01*AE1102+AE1102*$G$54)&gt;1E-9,AE1102*(1+$G$54)-MAX($B$9,0.01*AE1102+AE1102*$G$54),0),0)</f>
        <v/>
      </c>
      <c r="AF1103">
        <f>AE1102*$G$54</f>
        <v/>
      </c>
      <c r="AG1103">
        <f>IF(AG1102&gt;1E-9,IF(AG1102*(1+$G$55)-MAX($B$9,0.01*AG1102+AG1102*$G$55)&gt;1E-9,AG1102*(1+$G$55)-MAX($B$9,0.01*AG1102+AG1102*$G$55),0),0)</f>
        <v/>
      </c>
      <c r="AH1103">
        <f>AG1102*$G$55</f>
        <v/>
      </c>
      <c r="AI1103">
        <f>G1103+K1103+O1103+S1103+W1103</f>
        <v/>
      </c>
      <c r="AJ1103">
        <f>AI1102+AK1103-AI1103</f>
        <v/>
      </c>
      <c r="AK1103">
        <f>H1103+L1103+P1103+T1103+X1103</f>
        <v/>
      </c>
      <c r="AL1103">
        <f>TEXT(EDATE($B$5,D1103-1),"mmm yyyy")</f>
        <v/>
      </c>
      <c r="AM1103">
        <f>AI1103</f>
        <v/>
      </c>
    </row>
    <row r="1104">
      <c r="D1104" t="n">
        <v>1043</v>
      </c>
      <c r="E1104">
        <f>IF(G1103&gt;0,MAX(0,G1103*(1+$G$51)-$H$51),0)</f>
        <v/>
      </c>
      <c r="F1104">
        <f>$B$6+IF($D1104=$B$8,$B$7,0)</f>
        <v/>
      </c>
      <c r="G1104">
        <f>IF(E1104-F1104&gt;1E-9,E1104-F1104,0)</f>
        <v/>
      </c>
      <c r="H1104">
        <f>G1103*$G$51</f>
        <v/>
      </c>
      <c r="I1104">
        <f>IF(K1103&gt;0,MAX(0,K1103*(1+$G$52)-$H$52),0)</f>
        <v/>
      </c>
      <c r="J1104">
        <f>MAX(0,F1104-E1104)</f>
        <v/>
      </c>
      <c r="K1104">
        <f>IF(I1104-J1104&gt;1E-9,I1104-J1104,0)</f>
        <v/>
      </c>
      <c r="L1104">
        <f>K1103*$G$52</f>
        <v/>
      </c>
      <c r="M1104">
        <f>IF(O1103&gt;0,MAX(0,O1103*(1+$G$53)-$H$53),0)</f>
        <v/>
      </c>
      <c r="N1104">
        <f>MAX(0,J1104-I1104)</f>
        <v/>
      </c>
      <c r="O1104">
        <f>IF(M1104-N1104&gt;1E-9,M1104-N1104,0)</f>
        <v/>
      </c>
      <c r="P1104">
        <f>O1103*$G$53</f>
        <v/>
      </c>
      <c r="Q1104">
        <f>IF(S1103&gt;0,MAX(0,S1103*(1+$G$54)-$H$54),0)</f>
        <v/>
      </c>
      <c r="R1104">
        <f>MAX(0,N1104-M1104)</f>
        <v/>
      </c>
      <c r="S1104">
        <f>IF(Q1104-R1104&gt;1E-9,Q1104-R1104,0)</f>
        <v/>
      </c>
      <c r="T1104">
        <f>S1103*$G$54</f>
        <v/>
      </c>
      <c r="U1104">
        <f>IF(W1103&gt;0,MAX(0,W1103*(1+$G$55)-$H$55),0)</f>
        <v/>
      </c>
      <c r="V1104">
        <f>MAX(0,R1104-Q1104)</f>
        <v/>
      </c>
      <c r="W1104">
        <f>IF(U1104-V1104&gt;1E-9,U1104-V1104,0)</f>
        <v/>
      </c>
      <c r="X1104">
        <f>W1103*$G$55</f>
        <v/>
      </c>
      <c r="Y1104">
        <f>IF(Y1103&gt;1E-9,IF(Y1103*(1+$G$51)-MAX($B$9,0.01*Y1103+Y1103*$G$51)&gt;1E-9,Y1103*(1+$G$51)-MAX($B$9,0.01*Y1103+Y1103*$G$51),0),0)</f>
        <v/>
      </c>
      <c r="Z1104">
        <f>Y1103*$G$51</f>
        <v/>
      </c>
      <c r="AA1104">
        <f>IF(AA1103&gt;1E-9,IF(AA1103*(1+$G$52)-MAX($B$9,0.01*AA1103+AA1103*$G$52)&gt;1E-9,AA1103*(1+$G$52)-MAX($B$9,0.01*AA1103+AA1103*$G$52),0),0)</f>
        <v/>
      </c>
      <c r="AB1104">
        <f>AA1103*$G$52</f>
        <v/>
      </c>
      <c r="AC1104">
        <f>IF(AC1103&gt;1E-9,IF(AC1103*(1+$G$53)-MAX($B$9,0.01*AC1103+AC1103*$G$53)&gt;1E-9,AC1103*(1+$G$53)-MAX($B$9,0.01*AC1103+AC1103*$G$53),0),0)</f>
        <v/>
      </c>
      <c r="AD1104">
        <f>AC1103*$G$53</f>
        <v/>
      </c>
      <c r="AE1104">
        <f>IF(AE1103&gt;1E-9,IF(AE1103*(1+$G$54)-MAX($B$9,0.01*AE1103+AE1103*$G$54)&gt;1E-9,AE1103*(1+$G$54)-MAX($B$9,0.01*AE1103+AE1103*$G$54),0),0)</f>
        <v/>
      </c>
      <c r="AF1104">
        <f>AE1103*$G$54</f>
        <v/>
      </c>
      <c r="AG1104">
        <f>IF(AG1103&gt;1E-9,IF(AG1103*(1+$G$55)-MAX($B$9,0.01*AG1103+AG1103*$G$55)&gt;1E-9,AG1103*(1+$G$55)-MAX($B$9,0.01*AG1103+AG1103*$G$55),0),0)</f>
        <v/>
      </c>
      <c r="AH1104">
        <f>AG1103*$G$55</f>
        <v/>
      </c>
      <c r="AI1104">
        <f>G1104+K1104+O1104+S1104+W1104</f>
        <v/>
      </c>
      <c r="AJ1104">
        <f>AI1103+AK1104-AI1104</f>
        <v/>
      </c>
      <c r="AK1104">
        <f>H1104+L1104+P1104+T1104+X1104</f>
        <v/>
      </c>
      <c r="AL1104">
        <f>TEXT(EDATE($B$5,D1104-1),"mmm yyyy")</f>
        <v/>
      </c>
      <c r="AM1104">
        <f>AI1104</f>
        <v/>
      </c>
    </row>
    <row r="1105">
      <c r="D1105" t="n">
        <v>1044</v>
      </c>
      <c r="E1105">
        <f>IF(G1104&gt;0,MAX(0,G1104*(1+$G$51)-$H$51),0)</f>
        <v/>
      </c>
      <c r="F1105">
        <f>$B$6+IF($D1105=$B$8,$B$7,0)</f>
        <v/>
      </c>
      <c r="G1105">
        <f>IF(E1105-F1105&gt;1E-9,E1105-F1105,0)</f>
        <v/>
      </c>
      <c r="H1105">
        <f>G1104*$G$51</f>
        <v/>
      </c>
      <c r="I1105">
        <f>IF(K1104&gt;0,MAX(0,K1104*(1+$G$52)-$H$52),0)</f>
        <v/>
      </c>
      <c r="J1105">
        <f>MAX(0,F1105-E1105)</f>
        <v/>
      </c>
      <c r="K1105">
        <f>IF(I1105-J1105&gt;1E-9,I1105-J1105,0)</f>
        <v/>
      </c>
      <c r="L1105">
        <f>K1104*$G$52</f>
        <v/>
      </c>
      <c r="M1105">
        <f>IF(O1104&gt;0,MAX(0,O1104*(1+$G$53)-$H$53),0)</f>
        <v/>
      </c>
      <c r="N1105">
        <f>MAX(0,J1105-I1105)</f>
        <v/>
      </c>
      <c r="O1105">
        <f>IF(M1105-N1105&gt;1E-9,M1105-N1105,0)</f>
        <v/>
      </c>
      <c r="P1105">
        <f>O1104*$G$53</f>
        <v/>
      </c>
      <c r="Q1105">
        <f>IF(S1104&gt;0,MAX(0,S1104*(1+$G$54)-$H$54),0)</f>
        <v/>
      </c>
      <c r="R1105">
        <f>MAX(0,N1105-M1105)</f>
        <v/>
      </c>
      <c r="S1105">
        <f>IF(Q1105-R1105&gt;1E-9,Q1105-R1105,0)</f>
        <v/>
      </c>
      <c r="T1105">
        <f>S1104*$G$54</f>
        <v/>
      </c>
      <c r="U1105">
        <f>IF(W1104&gt;0,MAX(0,W1104*(1+$G$55)-$H$55),0)</f>
        <v/>
      </c>
      <c r="V1105">
        <f>MAX(0,R1105-Q1105)</f>
        <v/>
      </c>
      <c r="W1105">
        <f>IF(U1105-V1105&gt;1E-9,U1105-V1105,0)</f>
        <v/>
      </c>
      <c r="X1105">
        <f>W1104*$G$55</f>
        <v/>
      </c>
      <c r="Y1105">
        <f>IF(Y1104&gt;1E-9,IF(Y1104*(1+$G$51)-MAX($B$9,0.01*Y1104+Y1104*$G$51)&gt;1E-9,Y1104*(1+$G$51)-MAX($B$9,0.01*Y1104+Y1104*$G$51),0),0)</f>
        <v/>
      </c>
      <c r="Z1105">
        <f>Y1104*$G$51</f>
        <v/>
      </c>
      <c r="AA1105">
        <f>IF(AA1104&gt;1E-9,IF(AA1104*(1+$G$52)-MAX($B$9,0.01*AA1104+AA1104*$G$52)&gt;1E-9,AA1104*(1+$G$52)-MAX($B$9,0.01*AA1104+AA1104*$G$52),0),0)</f>
        <v/>
      </c>
      <c r="AB1105">
        <f>AA1104*$G$52</f>
        <v/>
      </c>
      <c r="AC1105">
        <f>IF(AC1104&gt;1E-9,IF(AC1104*(1+$G$53)-MAX($B$9,0.01*AC1104+AC1104*$G$53)&gt;1E-9,AC1104*(1+$G$53)-MAX($B$9,0.01*AC1104+AC1104*$G$53),0),0)</f>
        <v/>
      </c>
      <c r="AD1105">
        <f>AC1104*$G$53</f>
        <v/>
      </c>
      <c r="AE1105">
        <f>IF(AE1104&gt;1E-9,IF(AE1104*(1+$G$54)-MAX($B$9,0.01*AE1104+AE1104*$G$54)&gt;1E-9,AE1104*(1+$G$54)-MAX($B$9,0.01*AE1104+AE1104*$G$54),0),0)</f>
        <v/>
      </c>
      <c r="AF1105">
        <f>AE1104*$G$54</f>
        <v/>
      </c>
      <c r="AG1105">
        <f>IF(AG1104&gt;1E-9,IF(AG1104*(1+$G$55)-MAX($B$9,0.01*AG1104+AG1104*$G$55)&gt;1E-9,AG1104*(1+$G$55)-MAX($B$9,0.01*AG1104+AG1104*$G$55),0),0)</f>
        <v/>
      </c>
      <c r="AH1105">
        <f>AG1104*$G$55</f>
        <v/>
      </c>
      <c r="AI1105">
        <f>G1105+K1105+O1105+S1105+W1105</f>
        <v/>
      </c>
      <c r="AJ1105">
        <f>AI1104+AK1105-AI1105</f>
        <v/>
      </c>
      <c r="AK1105">
        <f>H1105+L1105+P1105+T1105+X1105</f>
        <v/>
      </c>
      <c r="AL1105">
        <f>TEXT(EDATE($B$5,D1105-1),"mmm yyyy")</f>
        <v/>
      </c>
      <c r="AM1105">
        <f>AI1105</f>
        <v/>
      </c>
    </row>
    <row r="1106">
      <c r="D1106" t="n">
        <v>1045</v>
      </c>
      <c r="E1106">
        <f>IF(G1105&gt;0,MAX(0,G1105*(1+$G$51)-$H$51),0)</f>
        <v/>
      </c>
      <c r="F1106">
        <f>$B$6+IF($D1106=$B$8,$B$7,0)</f>
        <v/>
      </c>
      <c r="G1106">
        <f>IF(E1106-F1106&gt;1E-9,E1106-F1106,0)</f>
        <v/>
      </c>
      <c r="H1106">
        <f>G1105*$G$51</f>
        <v/>
      </c>
      <c r="I1106">
        <f>IF(K1105&gt;0,MAX(0,K1105*(1+$G$52)-$H$52),0)</f>
        <v/>
      </c>
      <c r="J1106">
        <f>MAX(0,F1106-E1106)</f>
        <v/>
      </c>
      <c r="K1106">
        <f>IF(I1106-J1106&gt;1E-9,I1106-J1106,0)</f>
        <v/>
      </c>
      <c r="L1106">
        <f>K1105*$G$52</f>
        <v/>
      </c>
      <c r="M1106">
        <f>IF(O1105&gt;0,MAX(0,O1105*(1+$G$53)-$H$53),0)</f>
        <v/>
      </c>
      <c r="N1106">
        <f>MAX(0,J1106-I1106)</f>
        <v/>
      </c>
      <c r="O1106">
        <f>IF(M1106-N1106&gt;1E-9,M1106-N1106,0)</f>
        <v/>
      </c>
      <c r="P1106">
        <f>O1105*$G$53</f>
        <v/>
      </c>
      <c r="Q1106">
        <f>IF(S1105&gt;0,MAX(0,S1105*(1+$G$54)-$H$54),0)</f>
        <v/>
      </c>
      <c r="R1106">
        <f>MAX(0,N1106-M1106)</f>
        <v/>
      </c>
      <c r="S1106">
        <f>IF(Q1106-R1106&gt;1E-9,Q1106-R1106,0)</f>
        <v/>
      </c>
      <c r="T1106">
        <f>S1105*$G$54</f>
        <v/>
      </c>
      <c r="U1106">
        <f>IF(W1105&gt;0,MAX(0,W1105*(1+$G$55)-$H$55),0)</f>
        <v/>
      </c>
      <c r="V1106">
        <f>MAX(0,R1106-Q1106)</f>
        <v/>
      </c>
      <c r="W1106">
        <f>IF(U1106-V1106&gt;1E-9,U1106-V1106,0)</f>
        <v/>
      </c>
      <c r="X1106">
        <f>W1105*$G$55</f>
        <v/>
      </c>
      <c r="Y1106">
        <f>IF(Y1105&gt;1E-9,IF(Y1105*(1+$G$51)-MAX($B$9,0.01*Y1105+Y1105*$G$51)&gt;1E-9,Y1105*(1+$G$51)-MAX($B$9,0.01*Y1105+Y1105*$G$51),0),0)</f>
        <v/>
      </c>
      <c r="Z1106">
        <f>Y1105*$G$51</f>
        <v/>
      </c>
      <c r="AA1106">
        <f>IF(AA1105&gt;1E-9,IF(AA1105*(1+$G$52)-MAX($B$9,0.01*AA1105+AA1105*$G$52)&gt;1E-9,AA1105*(1+$G$52)-MAX($B$9,0.01*AA1105+AA1105*$G$52),0),0)</f>
        <v/>
      </c>
      <c r="AB1106">
        <f>AA1105*$G$52</f>
        <v/>
      </c>
      <c r="AC1106">
        <f>IF(AC1105&gt;1E-9,IF(AC1105*(1+$G$53)-MAX($B$9,0.01*AC1105+AC1105*$G$53)&gt;1E-9,AC1105*(1+$G$53)-MAX($B$9,0.01*AC1105+AC1105*$G$53),0),0)</f>
        <v/>
      </c>
      <c r="AD1106">
        <f>AC1105*$G$53</f>
        <v/>
      </c>
      <c r="AE1106">
        <f>IF(AE1105&gt;1E-9,IF(AE1105*(1+$G$54)-MAX($B$9,0.01*AE1105+AE1105*$G$54)&gt;1E-9,AE1105*(1+$G$54)-MAX($B$9,0.01*AE1105+AE1105*$G$54),0),0)</f>
        <v/>
      </c>
      <c r="AF1106">
        <f>AE1105*$G$54</f>
        <v/>
      </c>
      <c r="AG1106">
        <f>IF(AG1105&gt;1E-9,IF(AG1105*(1+$G$55)-MAX($B$9,0.01*AG1105+AG1105*$G$55)&gt;1E-9,AG1105*(1+$G$55)-MAX($B$9,0.01*AG1105+AG1105*$G$55),0),0)</f>
        <v/>
      </c>
      <c r="AH1106">
        <f>AG1105*$G$55</f>
        <v/>
      </c>
      <c r="AI1106">
        <f>G1106+K1106+O1106+S1106+W1106</f>
        <v/>
      </c>
      <c r="AJ1106">
        <f>AI1105+AK1106-AI1106</f>
        <v/>
      </c>
      <c r="AK1106">
        <f>H1106+L1106+P1106+T1106+X1106</f>
        <v/>
      </c>
      <c r="AL1106">
        <f>TEXT(EDATE($B$5,D1106-1),"mmm yyyy")</f>
        <v/>
      </c>
      <c r="AM1106">
        <f>AI1106</f>
        <v/>
      </c>
    </row>
    <row r="1107">
      <c r="D1107" t="n">
        <v>1046</v>
      </c>
      <c r="E1107">
        <f>IF(G1106&gt;0,MAX(0,G1106*(1+$G$51)-$H$51),0)</f>
        <v/>
      </c>
      <c r="F1107">
        <f>$B$6+IF($D1107=$B$8,$B$7,0)</f>
        <v/>
      </c>
      <c r="G1107">
        <f>IF(E1107-F1107&gt;1E-9,E1107-F1107,0)</f>
        <v/>
      </c>
      <c r="H1107">
        <f>G1106*$G$51</f>
        <v/>
      </c>
      <c r="I1107">
        <f>IF(K1106&gt;0,MAX(0,K1106*(1+$G$52)-$H$52),0)</f>
        <v/>
      </c>
      <c r="J1107">
        <f>MAX(0,F1107-E1107)</f>
        <v/>
      </c>
      <c r="K1107">
        <f>IF(I1107-J1107&gt;1E-9,I1107-J1107,0)</f>
        <v/>
      </c>
      <c r="L1107">
        <f>K1106*$G$52</f>
        <v/>
      </c>
      <c r="M1107">
        <f>IF(O1106&gt;0,MAX(0,O1106*(1+$G$53)-$H$53),0)</f>
        <v/>
      </c>
      <c r="N1107">
        <f>MAX(0,J1107-I1107)</f>
        <v/>
      </c>
      <c r="O1107">
        <f>IF(M1107-N1107&gt;1E-9,M1107-N1107,0)</f>
        <v/>
      </c>
      <c r="P1107">
        <f>O1106*$G$53</f>
        <v/>
      </c>
      <c r="Q1107">
        <f>IF(S1106&gt;0,MAX(0,S1106*(1+$G$54)-$H$54),0)</f>
        <v/>
      </c>
      <c r="R1107">
        <f>MAX(0,N1107-M1107)</f>
        <v/>
      </c>
      <c r="S1107">
        <f>IF(Q1107-R1107&gt;1E-9,Q1107-R1107,0)</f>
        <v/>
      </c>
      <c r="T1107">
        <f>S1106*$G$54</f>
        <v/>
      </c>
      <c r="U1107">
        <f>IF(W1106&gt;0,MAX(0,W1106*(1+$G$55)-$H$55),0)</f>
        <v/>
      </c>
      <c r="V1107">
        <f>MAX(0,R1107-Q1107)</f>
        <v/>
      </c>
      <c r="W1107">
        <f>IF(U1107-V1107&gt;1E-9,U1107-V1107,0)</f>
        <v/>
      </c>
      <c r="X1107">
        <f>W1106*$G$55</f>
        <v/>
      </c>
      <c r="Y1107">
        <f>IF(Y1106&gt;1E-9,IF(Y1106*(1+$G$51)-MAX($B$9,0.01*Y1106+Y1106*$G$51)&gt;1E-9,Y1106*(1+$G$51)-MAX($B$9,0.01*Y1106+Y1106*$G$51),0),0)</f>
        <v/>
      </c>
      <c r="Z1107">
        <f>Y1106*$G$51</f>
        <v/>
      </c>
      <c r="AA1107">
        <f>IF(AA1106&gt;1E-9,IF(AA1106*(1+$G$52)-MAX($B$9,0.01*AA1106+AA1106*$G$52)&gt;1E-9,AA1106*(1+$G$52)-MAX($B$9,0.01*AA1106+AA1106*$G$52),0),0)</f>
        <v/>
      </c>
      <c r="AB1107">
        <f>AA1106*$G$52</f>
        <v/>
      </c>
      <c r="AC1107">
        <f>IF(AC1106&gt;1E-9,IF(AC1106*(1+$G$53)-MAX($B$9,0.01*AC1106+AC1106*$G$53)&gt;1E-9,AC1106*(1+$G$53)-MAX($B$9,0.01*AC1106+AC1106*$G$53),0),0)</f>
        <v/>
      </c>
      <c r="AD1107">
        <f>AC1106*$G$53</f>
        <v/>
      </c>
      <c r="AE1107">
        <f>IF(AE1106&gt;1E-9,IF(AE1106*(1+$G$54)-MAX($B$9,0.01*AE1106+AE1106*$G$54)&gt;1E-9,AE1106*(1+$G$54)-MAX($B$9,0.01*AE1106+AE1106*$G$54),0),0)</f>
        <v/>
      </c>
      <c r="AF1107">
        <f>AE1106*$G$54</f>
        <v/>
      </c>
      <c r="AG1107">
        <f>IF(AG1106&gt;1E-9,IF(AG1106*(1+$G$55)-MAX($B$9,0.01*AG1106+AG1106*$G$55)&gt;1E-9,AG1106*(1+$G$55)-MAX($B$9,0.01*AG1106+AG1106*$G$55),0),0)</f>
        <v/>
      </c>
      <c r="AH1107">
        <f>AG1106*$G$55</f>
        <v/>
      </c>
      <c r="AI1107">
        <f>G1107+K1107+O1107+S1107+W1107</f>
        <v/>
      </c>
      <c r="AJ1107">
        <f>AI1106+AK1107-AI1107</f>
        <v/>
      </c>
      <c r="AK1107">
        <f>H1107+L1107+P1107+T1107+X1107</f>
        <v/>
      </c>
      <c r="AL1107">
        <f>TEXT(EDATE($B$5,D1107-1),"mmm yyyy")</f>
        <v/>
      </c>
      <c r="AM1107">
        <f>AI1107</f>
        <v/>
      </c>
    </row>
    <row r="1108">
      <c r="D1108" t="n">
        <v>1047</v>
      </c>
      <c r="E1108">
        <f>IF(G1107&gt;0,MAX(0,G1107*(1+$G$51)-$H$51),0)</f>
        <v/>
      </c>
      <c r="F1108">
        <f>$B$6+IF($D1108=$B$8,$B$7,0)</f>
        <v/>
      </c>
      <c r="G1108">
        <f>IF(E1108-F1108&gt;1E-9,E1108-F1108,0)</f>
        <v/>
      </c>
      <c r="H1108">
        <f>G1107*$G$51</f>
        <v/>
      </c>
      <c r="I1108">
        <f>IF(K1107&gt;0,MAX(0,K1107*(1+$G$52)-$H$52),0)</f>
        <v/>
      </c>
      <c r="J1108">
        <f>MAX(0,F1108-E1108)</f>
        <v/>
      </c>
      <c r="K1108">
        <f>IF(I1108-J1108&gt;1E-9,I1108-J1108,0)</f>
        <v/>
      </c>
      <c r="L1108">
        <f>K1107*$G$52</f>
        <v/>
      </c>
      <c r="M1108">
        <f>IF(O1107&gt;0,MAX(0,O1107*(1+$G$53)-$H$53),0)</f>
        <v/>
      </c>
      <c r="N1108">
        <f>MAX(0,J1108-I1108)</f>
        <v/>
      </c>
      <c r="O1108">
        <f>IF(M1108-N1108&gt;1E-9,M1108-N1108,0)</f>
        <v/>
      </c>
      <c r="P1108">
        <f>O1107*$G$53</f>
        <v/>
      </c>
      <c r="Q1108">
        <f>IF(S1107&gt;0,MAX(0,S1107*(1+$G$54)-$H$54),0)</f>
        <v/>
      </c>
      <c r="R1108">
        <f>MAX(0,N1108-M1108)</f>
        <v/>
      </c>
      <c r="S1108">
        <f>IF(Q1108-R1108&gt;1E-9,Q1108-R1108,0)</f>
        <v/>
      </c>
      <c r="T1108">
        <f>S1107*$G$54</f>
        <v/>
      </c>
      <c r="U1108">
        <f>IF(W1107&gt;0,MAX(0,W1107*(1+$G$55)-$H$55),0)</f>
        <v/>
      </c>
      <c r="V1108">
        <f>MAX(0,R1108-Q1108)</f>
        <v/>
      </c>
      <c r="W1108">
        <f>IF(U1108-V1108&gt;1E-9,U1108-V1108,0)</f>
        <v/>
      </c>
      <c r="X1108">
        <f>W1107*$G$55</f>
        <v/>
      </c>
      <c r="Y1108">
        <f>IF(Y1107&gt;1E-9,IF(Y1107*(1+$G$51)-MAX($B$9,0.01*Y1107+Y1107*$G$51)&gt;1E-9,Y1107*(1+$G$51)-MAX($B$9,0.01*Y1107+Y1107*$G$51),0),0)</f>
        <v/>
      </c>
      <c r="Z1108">
        <f>Y1107*$G$51</f>
        <v/>
      </c>
      <c r="AA1108">
        <f>IF(AA1107&gt;1E-9,IF(AA1107*(1+$G$52)-MAX($B$9,0.01*AA1107+AA1107*$G$52)&gt;1E-9,AA1107*(1+$G$52)-MAX($B$9,0.01*AA1107+AA1107*$G$52),0),0)</f>
        <v/>
      </c>
      <c r="AB1108">
        <f>AA1107*$G$52</f>
        <v/>
      </c>
      <c r="AC1108">
        <f>IF(AC1107&gt;1E-9,IF(AC1107*(1+$G$53)-MAX($B$9,0.01*AC1107+AC1107*$G$53)&gt;1E-9,AC1107*(1+$G$53)-MAX($B$9,0.01*AC1107+AC1107*$G$53),0),0)</f>
        <v/>
      </c>
      <c r="AD1108">
        <f>AC1107*$G$53</f>
        <v/>
      </c>
      <c r="AE1108">
        <f>IF(AE1107&gt;1E-9,IF(AE1107*(1+$G$54)-MAX($B$9,0.01*AE1107+AE1107*$G$54)&gt;1E-9,AE1107*(1+$G$54)-MAX($B$9,0.01*AE1107+AE1107*$G$54),0),0)</f>
        <v/>
      </c>
      <c r="AF1108">
        <f>AE1107*$G$54</f>
        <v/>
      </c>
      <c r="AG1108">
        <f>IF(AG1107&gt;1E-9,IF(AG1107*(1+$G$55)-MAX($B$9,0.01*AG1107+AG1107*$G$55)&gt;1E-9,AG1107*(1+$G$55)-MAX($B$9,0.01*AG1107+AG1107*$G$55),0),0)</f>
        <v/>
      </c>
      <c r="AH1108">
        <f>AG1107*$G$55</f>
        <v/>
      </c>
      <c r="AI1108">
        <f>G1108+K1108+O1108+S1108+W1108</f>
        <v/>
      </c>
      <c r="AJ1108">
        <f>AI1107+AK1108-AI1108</f>
        <v/>
      </c>
      <c r="AK1108">
        <f>H1108+L1108+P1108+T1108+X1108</f>
        <v/>
      </c>
      <c r="AL1108">
        <f>TEXT(EDATE($B$5,D1108-1),"mmm yyyy")</f>
        <v/>
      </c>
      <c r="AM1108">
        <f>AI1108</f>
        <v/>
      </c>
    </row>
    <row r="1109">
      <c r="D1109" t="n">
        <v>1048</v>
      </c>
      <c r="E1109">
        <f>IF(G1108&gt;0,MAX(0,G1108*(1+$G$51)-$H$51),0)</f>
        <v/>
      </c>
      <c r="F1109">
        <f>$B$6+IF($D1109=$B$8,$B$7,0)</f>
        <v/>
      </c>
      <c r="G1109">
        <f>IF(E1109-F1109&gt;1E-9,E1109-F1109,0)</f>
        <v/>
      </c>
      <c r="H1109">
        <f>G1108*$G$51</f>
        <v/>
      </c>
      <c r="I1109">
        <f>IF(K1108&gt;0,MAX(0,K1108*(1+$G$52)-$H$52),0)</f>
        <v/>
      </c>
      <c r="J1109">
        <f>MAX(0,F1109-E1109)</f>
        <v/>
      </c>
      <c r="K1109">
        <f>IF(I1109-J1109&gt;1E-9,I1109-J1109,0)</f>
        <v/>
      </c>
      <c r="L1109">
        <f>K1108*$G$52</f>
        <v/>
      </c>
      <c r="M1109">
        <f>IF(O1108&gt;0,MAX(0,O1108*(1+$G$53)-$H$53),0)</f>
        <v/>
      </c>
      <c r="N1109">
        <f>MAX(0,J1109-I1109)</f>
        <v/>
      </c>
      <c r="O1109">
        <f>IF(M1109-N1109&gt;1E-9,M1109-N1109,0)</f>
        <v/>
      </c>
      <c r="P1109">
        <f>O1108*$G$53</f>
        <v/>
      </c>
      <c r="Q1109">
        <f>IF(S1108&gt;0,MAX(0,S1108*(1+$G$54)-$H$54),0)</f>
        <v/>
      </c>
      <c r="R1109">
        <f>MAX(0,N1109-M1109)</f>
        <v/>
      </c>
      <c r="S1109">
        <f>IF(Q1109-R1109&gt;1E-9,Q1109-R1109,0)</f>
        <v/>
      </c>
      <c r="T1109">
        <f>S1108*$G$54</f>
        <v/>
      </c>
      <c r="U1109">
        <f>IF(W1108&gt;0,MAX(0,W1108*(1+$G$55)-$H$55),0)</f>
        <v/>
      </c>
      <c r="V1109">
        <f>MAX(0,R1109-Q1109)</f>
        <v/>
      </c>
      <c r="W1109">
        <f>IF(U1109-V1109&gt;1E-9,U1109-V1109,0)</f>
        <v/>
      </c>
      <c r="X1109">
        <f>W1108*$G$55</f>
        <v/>
      </c>
      <c r="Y1109">
        <f>IF(Y1108&gt;1E-9,IF(Y1108*(1+$G$51)-MAX($B$9,0.01*Y1108+Y1108*$G$51)&gt;1E-9,Y1108*(1+$G$51)-MAX($B$9,0.01*Y1108+Y1108*$G$51),0),0)</f>
        <v/>
      </c>
      <c r="Z1109">
        <f>Y1108*$G$51</f>
        <v/>
      </c>
      <c r="AA1109">
        <f>IF(AA1108&gt;1E-9,IF(AA1108*(1+$G$52)-MAX($B$9,0.01*AA1108+AA1108*$G$52)&gt;1E-9,AA1108*(1+$G$52)-MAX($B$9,0.01*AA1108+AA1108*$G$52),0),0)</f>
        <v/>
      </c>
      <c r="AB1109">
        <f>AA1108*$G$52</f>
        <v/>
      </c>
      <c r="AC1109">
        <f>IF(AC1108&gt;1E-9,IF(AC1108*(1+$G$53)-MAX($B$9,0.01*AC1108+AC1108*$G$53)&gt;1E-9,AC1108*(1+$G$53)-MAX($B$9,0.01*AC1108+AC1108*$G$53),0),0)</f>
        <v/>
      </c>
      <c r="AD1109">
        <f>AC1108*$G$53</f>
        <v/>
      </c>
      <c r="AE1109">
        <f>IF(AE1108&gt;1E-9,IF(AE1108*(1+$G$54)-MAX($B$9,0.01*AE1108+AE1108*$G$54)&gt;1E-9,AE1108*(1+$G$54)-MAX($B$9,0.01*AE1108+AE1108*$G$54),0),0)</f>
        <v/>
      </c>
      <c r="AF1109">
        <f>AE1108*$G$54</f>
        <v/>
      </c>
      <c r="AG1109">
        <f>IF(AG1108&gt;1E-9,IF(AG1108*(1+$G$55)-MAX($B$9,0.01*AG1108+AG1108*$G$55)&gt;1E-9,AG1108*(1+$G$55)-MAX($B$9,0.01*AG1108+AG1108*$G$55),0),0)</f>
        <v/>
      </c>
      <c r="AH1109">
        <f>AG1108*$G$55</f>
        <v/>
      </c>
      <c r="AI1109">
        <f>G1109+K1109+O1109+S1109+W1109</f>
        <v/>
      </c>
      <c r="AJ1109">
        <f>AI1108+AK1109-AI1109</f>
        <v/>
      </c>
      <c r="AK1109">
        <f>H1109+L1109+P1109+T1109+X1109</f>
        <v/>
      </c>
      <c r="AL1109">
        <f>TEXT(EDATE($B$5,D1109-1),"mmm yyyy")</f>
        <v/>
      </c>
      <c r="AM1109">
        <f>AI1109</f>
        <v/>
      </c>
    </row>
    <row r="1110">
      <c r="D1110" t="n">
        <v>1049</v>
      </c>
      <c r="E1110">
        <f>IF(G1109&gt;0,MAX(0,G1109*(1+$G$51)-$H$51),0)</f>
        <v/>
      </c>
      <c r="F1110">
        <f>$B$6+IF($D1110=$B$8,$B$7,0)</f>
        <v/>
      </c>
      <c r="G1110">
        <f>IF(E1110-F1110&gt;1E-9,E1110-F1110,0)</f>
        <v/>
      </c>
      <c r="H1110">
        <f>G1109*$G$51</f>
        <v/>
      </c>
      <c r="I1110">
        <f>IF(K1109&gt;0,MAX(0,K1109*(1+$G$52)-$H$52),0)</f>
        <v/>
      </c>
      <c r="J1110">
        <f>MAX(0,F1110-E1110)</f>
        <v/>
      </c>
      <c r="K1110">
        <f>IF(I1110-J1110&gt;1E-9,I1110-J1110,0)</f>
        <v/>
      </c>
      <c r="L1110">
        <f>K1109*$G$52</f>
        <v/>
      </c>
      <c r="M1110">
        <f>IF(O1109&gt;0,MAX(0,O1109*(1+$G$53)-$H$53),0)</f>
        <v/>
      </c>
      <c r="N1110">
        <f>MAX(0,J1110-I1110)</f>
        <v/>
      </c>
      <c r="O1110">
        <f>IF(M1110-N1110&gt;1E-9,M1110-N1110,0)</f>
        <v/>
      </c>
      <c r="P1110">
        <f>O1109*$G$53</f>
        <v/>
      </c>
      <c r="Q1110">
        <f>IF(S1109&gt;0,MAX(0,S1109*(1+$G$54)-$H$54),0)</f>
        <v/>
      </c>
      <c r="R1110">
        <f>MAX(0,N1110-M1110)</f>
        <v/>
      </c>
      <c r="S1110">
        <f>IF(Q1110-R1110&gt;1E-9,Q1110-R1110,0)</f>
        <v/>
      </c>
      <c r="T1110">
        <f>S1109*$G$54</f>
        <v/>
      </c>
      <c r="U1110">
        <f>IF(W1109&gt;0,MAX(0,W1109*(1+$G$55)-$H$55),0)</f>
        <v/>
      </c>
      <c r="V1110">
        <f>MAX(0,R1110-Q1110)</f>
        <v/>
      </c>
      <c r="W1110">
        <f>IF(U1110-V1110&gt;1E-9,U1110-V1110,0)</f>
        <v/>
      </c>
      <c r="X1110">
        <f>W1109*$G$55</f>
        <v/>
      </c>
      <c r="Y1110">
        <f>IF(Y1109&gt;1E-9,IF(Y1109*(1+$G$51)-MAX($B$9,0.01*Y1109+Y1109*$G$51)&gt;1E-9,Y1109*(1+$G$51)-MAX($B$9,0.01*Y1109+Y1109*$G$51),0),0)</f>
        <v/>
      </c>
      <c r="Z1110">
        <f>Y1109*$G$51</f>
        <v/>
      </c>
      <c r="AA1110">
        <f>IF(AA1109&gt;1E-9,IF(AA1109*(1+$G$52)-MAX($B$9,0.01*AA1109+AA1109*$G$52)&gt;1E-9,AA1109*(1+$G$52)-MAX($B$9,0.01*AA1109+AA1109*$G$52),0),0)</f>
        <v/>
      </c>
      <c r="AB1110">
        <f>AA1109*$G$52</f>
        <v/>
      </c>
      <c r="AC1110">
        <f>IF(AC1109&gt;1E-9,IF(AC1109*(1+$G$53)-MAX($B$9,0.01*AC1109+AC1109*$G$53)&gt;1E-9,AC1109*(1+$G$53)-MAX($B$9,0.01*AC1109+AC1109*$G$53),0),0)</f>
        <v/>
      </c>
      <c r="AD1110">
        <f>AC1109*$G$53</f>
        <v/>
      </c>
      <c r="AE1110">
        <f>IF(AE1109&gt;1E-9,IF(AE1109*(1+$G$54)-MAX($B$9,0.01*AE1109+AE1109*$G$54)&gt;1E-9,AE1109*(1+$G$54)-MAX($B$9,0.01*AE1109+AE1109*$G$54),0),0)</f>
        <v/>
      </c>
      <c r="AF1110">
        <f>AE1109*$G$54</f>
        <v/>
      </c>
      <c r="AG1110">
        <f>IF(AG1109&gt;1E-9,IF(AG1109*(1+$G$55)-MAX($B$9,0.01*AG1109+AG1109*$G$55)&gt;1E-9,AG1109*(1+$G$55)-MAX($B$9,0.01*AG1109+AG1109*$G$55),0),0)</f>
        <v/>
      </c>
      <c r="AH1110">
        <f>AG1109*$G$55</f>
        <v/>
      </c>
      <c r="AI1110">
        <f>G1110+K1110+O1110+S1110+W1110</f>
        <v/>
      </c>
      <c r="AJ1110">
        <f>AI1109+AK1110-AI1110</f>
        <v/>
      </c>
      <c r="AK1110">
        <f>H1110+L1110+P1110+T1110+X1110</f>
        <v/>
      </c>
      <c r="AL1110">
        <f>TEXT(EDATE($B$5,D1110-1),"mmm yyyy")</f>
        <v/>
      </c>
      <c r="AM1110">
        <f>AI1110</f>
        <v/>
      </c>
    </row>
    <row r="1111">
      <c r="D1111" t="n">
        <v>1050</v>
      </c>
      <c r="E1111">
        <f>IF(G1110&gt;0,MAX(0,G1110*(1+$G$51)-$H$51),0)</f>
        <v/>
      </c>
      <c r="F1111">
        <f>$B$6+IF($D1111=$B$8,$B$7,0)</f>
        <v/>
      </c>
      <c r="G1111">
        <f>IF(E1111-F1111&gt;1E-9,E1111-F1111,0)</f>
        <v/>
      </c>
      <c r="H1111">
        <f>G1110*$G$51</f>
        <v/>
      </c>
      <c r="I1111">
        <f>IF(K1110&gt;0,MAX(0,K1110*(1+$G$52)-$H$52),0)</f>
        <v/>
      </c>
      <c r="J1111">
        <f>MAX(0,F1111-E1111)</f>
        <v/>
      </c>
      <c r="K1111">
        <f>IF(I1111-J1111&gt;1E-9,I1111-J1111,0)</f>
        <v/>
      </c>
      <c r="L1111">
        <f>K1110*$G$52</f>
        <v/>
      </c>
      <c r="M1111">
        <f>IF(O1110&gt;0,MAX(0,O1110*(1+$G$53)-$H$53),0)</f>
        <v/>
      </c>
      <c r="N1111">
        <f>MAX(0,J1111-I1111)</f>
        <v/>
      </c>
      <c r="O1111">
        <f>IF(M1111-N1111&gt;1E-9,M1111-N1111,0)</f>
        <v/>
      </c>
      <c r="P1111">
        <f>O1110*$G$53</f>
        <v/>
      </c>
      <c r="Q1111">
        <f>IF(S1110&gt;0,MAX(0,S1110*(1+$G$54)-$H$54),0)</f>
        <v/>
      </c>
      <c r="R1111">
        <f>MAX(0,N1111-M1111)</f>
        <v/>
      </c>
      <c r="S1111">
        <f>IF(Q1111-R1111&gt;1E-9,Q1111-R1111,0)</f>
        <v/>
      </c>
      <c r="T1111">
        <f>S1110*$G$54</f>
        <v/>
      </c>
      <c r="U1111">
        <f>IF(W1110&gt;0,MAX(0,W1110*(1+$G$55)-$H$55),0)</f>
        <v/>
      </c>
      <c r="V1111">
        <f>MAX(0,R1111-Q1111)</f>
        <v/>
      </c>
      <c r="W1111">
        <f>IF(U1111-V1111&gt;1E-9,U1111-V1111,0)</f>
        <v/>
      </c>
      <c r="X1111">
        <f>W1110*$G$55</f>
        <v/>
      </c>
      <c r="Y1111">
        <f>IF(Y1110&gt;1E-9,IF(Y1110*(1+$G$51)-MAX($B$9,0.01*Y1110+Y1110*$G$51)&gt;1E-9,Y1110*(1+$G$51)-MAX($B$9,0.01*Y1110+Y1110*$G$51),0),0)</f>
        <v/>
      </c>
      <c r="Z1111">
        <f>Y1110*$G$51</f>
        <v/>
      </c>
      <c r="AA1111">
        <f>IF(AA1110&gt;1E-9,IF(AA1110*(1+$G$52)-MAX($B$9,0.01*AA1110+AA1110*$G$52)&gt;1E-9,AA1110*(1+$G$52)-MAX($B$9,0.01*AA1110+AA1110*$G$52),0),0)</f>
        <v/>
      </c>
      <c r="AB1111">
        <f>AA1110*$G$52</f>
        <v/>
      </c>
      <c r="AC1111">
        <f>IF(AC1110&gt;1E-9,IF(AC1110*(1+$G$53)-MAX($B$9,0.01*AC1110+AC1110*$G$53)&gt;1E-9,AC1110*(1+$G$53)-MAX($B$9,0.01*AC1110+AC1110*$G$53),0),0)</f>
        <v/>
      </c>
      <c r="AD1111">
        <f>AC1110*$G$53</f>
        <v/>
      </c>
      <c r="AE1111">
        <f>IF(AE1110&gt;1E-9,IF(AE1110*(1+$G$54)-MAX($B$9,0.01*AE1110+AE1110*$G$54)&gt;1E-9,AE1110*(1+$G$54)-MAX($B$9,0.01*AE1110+AE1110*$G$54),0),0)</f>
        <v/>
      </c>
      <c r="AF1111">
        <f>AE1110*$G$54</f>
        <v/>
      </c>
      <c r="AG1111">
        <f>IF(AG1110&gt;1E-9,IF(AG1110*(1+$G$55)-MAX($B$9,0.01*AG1110+AG1110*$G$55)&gt;1E-9,AG1110*(1+$G$55)-MAX($B$9,0.01*AG1110+AG1110*$G$55),0),0)</f>
        <v/>
      </c>
      <c r="AH1111">
        <f>AG1110*$G$55</f>
        <v/>
      </c>
      <c r="AI1111">
        <f>G1111+K1111+O1111+S1111+W1111</f>
        <v/>
      </c>
      <c r="AJ1111">
        <f>AI1110+AK1111-AI1111</f>
        <v/>
      </c>
      <c r="AK1111">
        <f>H1111+L1111+P1111+T1111+X1111</f>
        <v/>
      </c>
      <c r="AL1111">
        <f>TEXT(EDATE($B$5,D1111-1),"mmm yyyy")</f>
        <v/>
      </c>
      <c r="AM1111">
        <f>AI1111</f>
        <v/>
      </c>
    </row>
    <row r="1112">
      <c r="D1112" t="n">
        <v>1051</v>
      </c>
      <c r="E1112">
        <f>IF(G1111&gt;0,MAX(0,G1111*(1+$G$51)-$H$51),0)</f>
        <v/>
      </c>
      <c r="F1112">
        <f>$B$6+IF($D1112=$B$8,$B$7,0)</f>
        <v/>
      </c>
      <c r="G1112">
        <f>IF(E1112-F1112&gt;1E-9,E1112-F1112,0)</f>
        <v/>
      </c>
      <c r="H1112">
        <f>G1111*$G$51</f>
        <v/>
      </c>
      <c r="I1112">
        <f>IF(K1111&gt;0,MAX(0,K1111*(1+$G$52)-$H$52),0)</f>
        <v/>
      </c>
      <c r="J1112">
        <f>MAX(0,F1112-E1112)</f>
        <v/>
      </c>
      <c r="K1112">
        <f>IF(I1112-J1112&gt;1E-9,I1112-J1112,0)</f>
        <v/>
      </c>
      <c r="L1112">
        <f>K1111*$G$52</f>
        <v/>
      </c>
      <c r="M1112">
        <f>IF(O1111&gt;0,MAX(0,O1111*(1+$G$53)-$H$53),0)</f>
        <v/>
      </c>
      <c r="N1112">
        <f>MAX(0,J1112-I1112)</f>
        <v/>
      </c>
      <c r="O1112">
        <f>IF(M1112-N1112&gt;1E-9,M1112-N1112,0)</f>
        <v/>
      </c>
      <c r="P1112">
        <f>O1111*$G$53</f>
        <v/>
      </c>
      <c r="Q1112">
        <f>IF(S1111&gt;0,MAX(0,S1111*(1+$G$54)-$H$54),0)</f>
        <v/>
      </c>
      <c r="R1112">
        <f>MAX(0,N1112-M1112)</f>
        <v/>
      </c>
      <c r="S1112">
        <f>IF(Q1112-R1112&gt;1E-9,Q1112-R1112,0)</f>
        <v/>
      </c>
      <c r="T1112">
        <f>S1111*$G$54</f>
        <v/>
      </c>
      <c r="U1112">
        <f>IF(W1111&gt;0,MAX(0,W1111*(1+$G$55)-$H$55),0)</f>
        <v/>
      </c>
      <c r="V1112">
        <f>MAX(0,R1112-Q1112)</f>
        <v/>
      </c>
      <c r="W1112">
        <f>IF(U1112-V1112&gt;1E-9,U1112-V1112,0)</f>
        <v/>
      </c>
      <c r="X1112">
        <f>W1111*$G$55</f>
        <v/>
      </c>
      <c r="Y1112">
        <f>IF(Y1111&gt;1E-9,IF(Y1111*(1+$G$51)-MAX($B$9,0.01*Y1111+Y1111*$G$51)&gt;1E-9,Y1111*(1+$G$51)-MAX($B$9,0.01*Y1111+Y1111*$G$51),0),0)</f>
        <v/>
      </c>
      <c r="Z1112">
        <f>Y1111*$G$51</f>
        <v/>
      </c>
      <c r="AA1112">
        <f>IF(AA1111&gt;1E-9,IF(AA1111*(1+$G$52)-MAX($B$9,0.01*AA1111+AA1111*$G$52)&gt;1E-9,AA1111*(1+$G$52)-MAX($B$9,0.01*AA1111+AA1111*$G$52),0),0)</f>
        <v/>
      </c>
      <c r="AB1112">
        <f>AA1111*$G$52</f>
        <v/>
      </c>
      <c r="AC1112">
        <f>IF(AC1111&gt;1E-9,IF(AC1111*(1+$G$53)-MAX($B$9,0.01*AC1111+AC1111*$G$53)&gt;1E-9,AC1111*(1+$G$53)-MAX($B$9,0.01*AC1111+AC1111*$G$53),0),0)</f>
        <v/>
      </c>
      <c r="AD1112">
        <f>AC1111*$G$53</f>
        <v/>
      </c>
      <c r="AE1112">
        <f>IF(AE1111&gt;1E-9,IF(AE1111*(1+$G$54)-MAX($B$9,0.01*AE1111+AE1111*$G$54)&gt;1E-9,AE1111*(1+$G$54)-MAX($B$9,0.01*AE1111+AE1111*$G$54),0),0)</f>
        <v/>
      </c>
      <c r="AF1112">
        <f>AE1111*$G$54</f>
        <v/>
      </c>
      <c r="AG1112">
        <f>IF(AG1111&gt;1E-9,IF(AG1111*(1+$G$55)-MAX($B$9,0.01*AG1111+AG1111*$G$55)&gt;1E-9,AG1111*(1+$G$55)-MAX($B$9,0.01*AG1111+AG1111*$G$55),0),0)</f>
        <v/>
      </c>
      <c r="AH1112">
        <f>AG1111*$G$55</f>
        <v/>
      </c>
      <c r="AI1112">
        <f>G1112+K1112+O1112+S1112+W1112</f>
        <v/>
      </c>
      <c r="AJ1112">
        <f>AI1111+AK1112-AI1112</f>
        <v/>
      </c>
      <c r="AK1112">
        <f>H1112+L1112+P1112+T1112+X1112</f>
        <v/>
      </c>
      <c r="AL1112">
        <f>TEXT(EDATE($B$5,D1112-1),"mmm yyyy")</f>
        <v/>
      </c>
      <c r="AM1112">
        <f>AI1112</f>
        <v/>
      </c>
    </row>
    <row r="1113">
      <c r="D1113" t="n">
        <v>1052</v>
      </c>
      <c r="E1113">
        <f>IF(G1112&gt;0,MAX(0,G1112*(1+$G$51)-$H$51),0)</f>
        <v/>
      </c>
      <c r="F1113">
        <f>$B$6+IF($D1113=$B$8,$B$7,0)</f>
        <v/>
      </c>
      <c r="G1113">
        <f>IF(E1113-F1113&gt;1E-9,E1113-F1113,0)</f>
        <v/>
      </c>
      <c r="H1113">
        <f>G1112*$G$51</f>
        <v/>
      </c>
      <c r="I1113">
        <f>IF(K1112&gt;0,MAX(0,K1112*(1+$G$52)-$H$52),0)</f>
        <v/>
      </c>
      <c r="J1113">
        <f>MAX(0,F1113-E1113)</f>
        <v/>
      </c>
      <c r="K1113">
        <f>IF(I1113-J1113&gt;1E-9,I1113-J1113,0)</f>
        <v/>
      </c>
      <c r="L1113">
        <f>K1112*$G$52</f>
        <v/>
      </c>
      <c r="M1113">
        <f>IF(O1112&gt;0,MAX(0,O1112*(1+$G$53)-$H$53),0)</f>
        <v/>
      </c>
      <c r="N1113">
        <f>MAX(0,J1113-I1113)</f>
        <v/>
      </c>
      <c r="O1113">
        <f>IF(M1113-N1113&gt;1E-9,M1113-N1113,0)</f>
        <v/>
      </c>
      <c r="P1113">
        <f>O1112*$G$53</f>
        <v/>
      </c>
      <c r="Q1113">
        <f>IF(S1112&gt;0,MAX(0,S1112*(1+$G$54)-$H$54),0)</f>
        <v/>
      </c>
      <c r="R1113">
        <f>MAX(0,N1113-M1113)</f>
        <v/>
      </c>
      <c r="S1113">
        <f>IF(Q1113-R1113&gt;1E-9,Q1113-R1113,0)</f>
        <v/>
      </c>
      <c r="T1113">
        <f>S1112*$G$54</f>
        <v/>
      </c>
      <c r="U1113">
        <f>IF(W1112&gt;0,MAX(0,W1112*(1+$G$55)-$H$55),0)</f>
        <v/>
      </c>
      <c r="V1113">
        <f>MAX(0,R1113-Q1113)</f>
        <v/>
      </c>
      <c r="W1113">
        <f>IF(U1113-V1113&gt;1E-9,U1113-V1113,0)</f>
        <v/>
      </c>
      <c r="X1113">
        <f>W1112*$G$55</f>
        <v/>
      </c>
      <c r="Y1113">
        <f>IF(Y1112&gt;1E-9,IF(Y1112*(1+$G$51)-MAX($B$9,0.01*Y1112+Y1112*$G$51)&gt;1E-9,Y1112*(1+$G$51)-MAX($B$9,0.01*Y1112+Y1112*$G$51),0),0)</f>
        <v/>
      </c>
      <c r="Z1113">
        <f>Y1112*$G$51</f>
        <v/>
      </c>
      <c r="AA1113">
        <f>IF(AA1112&gt;1E-9,IF(AA1112*(1+$G$52)-MAX($B$9,0.01*AA1112+AA1112*$G$52)&gt;1E-9,AA1112*(1+$G$52)-MAX($B$9,0.01*AA1112+AA1112*$G$52),0),0)</f>
        <v/>
      </c>
      <c r="AB1113">
        <f>AA1112*$G$52</f>
        <v/>
      </c>
      <c r="AC1113">
        <f>IF(AC1112&gt;1E-9,IF(AC1112*(1+$G$53)-MAX($B$9,0.01*AC1112+AC1112*$G$53)&gt;1E-9,AC1112*(1+$G$53)-MAX($B$9,0.01*AC1112+AC1112*$G$53),0),0)</f>
        <v/>
      </c>
      <c r="AD1113">
        <f>AC1112*$G$53</f>
        <v/>
      </c>
      <c r="AE1113">
        <f>IF(AE1112&gt;1E-9,IF(AE1112*(1+$G$54)-MAX($B$9,0.01*AE1112+AE1112*$G$54)&gt;1E-9,AE1112*(1+$G$54)-MAX($B$9,0.01*AE1112+AE1112*$G$54),0),0)</f>
        <v/>
      </c>
      <c r="AF1113">
        <f>AE1112*$G$54</f>
        <v/>
      </c>
      <c r="AG1113">
        <f>IF(AG1112&gt;1E-9,IF(AG1112*(1+$G$55)-MAX($B$9,0.01*AG1112+AG1112*$G$55)&gt;1E-9,AG1112*(1+$G$55)-MAX($B$9,0.01*AG1112+AG1112*$G$55),0),0)</f>
        <v/>
      </c>
      <c r="AH1113">
        <f>AG1112*$G$55</f>
        <v/>
      </c>
      <c r="AI1113">
        <f>G1113+K1113+O1113+S1113+W1113</f>
        <v/>
      </c>
      <c r="AJ1113">
        <f>AI1112+AK1113-AI1113</f>
        <v/>
      </c>
      <c r="AK1113">
        <f>H1113+L1113+P1113+T1113+X1113</f>
        <v/>
      </c>
      <c r="AL1113">
        <f>TEXT(EDATE($B$5,D1113-1),"mmm yyyy")</f>
        <v/>
      </c>
      <c r="AM1113">
        <f>AI1113</f>
        <v/>
      </c>
    </row>
    <row r="1114">
      <c r="D1114" t="n">
        <v>1053</v>
      </c>
      <c r="E1114">
        <f>IF(G1113&gt;0,MAX(0,G1113*(1+$G$51)-$H$51),0)</f>
        <v/>
      </c>
      <c r="F1114">
        <f>$B$6+IF($D1114=$B$8,$B$7,0)</f>
        <v/>
      </c>
      <c r="G1114">
        <f>IF(E1114-F1114&gt;1E-9,E1114-F1114,0)</f>
        <v/>
      </c>
      <c r="H1114">
        <f>G1113*$G$51</f>
        <v/>
      </c>
      <c r="I1114">
        <f>IF(K1113&gt;0,MAX(0,K1113*(1+$G$52)-$H$52),0)</f>
        <v/>
      </c>
      <c r="J1114">
        <f>MAX(0,F1114-E1114)</f>
        <v/>
      </c>
      <c r="K1114">
        <f>IF(I1114-J1114&gt;1E-9,I1114-J1114,0)</f>
        <v/>
      </c>
      <c r="L1114">
        <f>K1113*$G$52</f>
        <v/>
      </c>
      <c r="M1114">
        <f>IF(O1113&gt;0,MAX(0,O1113*(1+$G$53)-$H$53),0)</f>
        <v/>
      </c>
      <c r="N1114">
        <f>MAX(0,J1114-I1114)</f>
        <v/>
      </c>
      <c r="O1114">
        <f>IF(M1114-N1114&gt;1E-9,M1114-N1114,0)</f>
        <v/>
      </c>
      <c r="P1114">
        <f>O1113*$G$53</f>
        <v/>
      </c>
      <c r="Q1114">
        <f>IF(S1113&gt;0,MAX(0,S1113*(1+$G$54)-$H$54),0)</f>
        <v/>
      </c>
      <c r="R1114">
        <f>MAX(0,N1114-M1114)</f>
        <v/>
      </c>
      <c r="S1114">
        <f>IF(Q1114-R1114&gt;1E-9,Q1114-R1114,0)</f>
        <v/>
      </c>
      <c r="T1114">
        <f>S1113*$G$54</f>
        <v/>
      </c>
      <c r="U1114">
        <f>IF(W1113&gt;0,MAX(0,W1113*(1+$G$55)-$H$55),0)</f>
        <v/>
      </c>
      <c r="V1114">
        <f>MAX(0,R1114-Q1114)</f>
        <v/>
      </c>
      <c r="W1114">
        <f>IF(U1114-V1114&gt;1E-9,U1114-V1114,0)</f>
        <v/>
      </c>
      <c r="X1114">
        <f>W1113*$G$55</f>
        <v/>
      </c>
      <c r="Y1114">
        <f>IF(Y1113&gt;1E-9,IF(Y1113*(1+$G$51)-MAX($B$9,0.01*Y1113+Y1113*$G$51)&gt;1E-9,Y1113*(1+$G$51)-MAX($B$9,0.01*Y1113+Y1113*$G$51),0),0)</f>
        <v/>
      </c>
      <c r="Z1114">
        <f>Y1113*$G$51</f>
        <v/>
      </c>
      <c r="AA1114">
        <f>IF(AA1113&gt;1E-9,IF(AA1113*(1+$G$52)-MAX($B$9,0.01*AA1113+AA1113*$G$52)&gt;1E-9,AA1113*(1+$G$52)-MAX($B$9,0.01*AA1113+AA1113*$G$52),0),0)</f>
        <v/>
      </c>
      <c r="AB1114">
        <f>AA1113*$G$52</f>
        <v/>
      </c>
      <c r="AC1114">
        <f>IF(AC1113&gt;1E-9,IF(AC1113*(1+$G$53)-MAX($B$9,0.01*AC1113+AC1113*$G$53)&gt;1E-9,AC1113*(1+$G$53)-MAX($B$9,0.01*AC1113+AC1113*$G$53),0),0)</f>
        <v/>
      </c>
      <c r="AD1114">
        <f>AC1113*$G$53</f>
        <v/>
      </c>
      <c r="AE1114">
        <f>IF(AE1113&gt;1E-9,IF(AE1113*(1+$G$54)-MAX($B$9,0.01*AE1113+AE1113*$G$54)&gt;1E-9,AE1113*(1+$G$54)-MAX($B$9,0.01*AE1113+AE1113*$G$54),0),0)</f>
        <v/>
      </c>
      <c r="AF1114">
        <f>AE1113*$G$54</f>
        <v/>
      </c>
      <c r="AG1114">
        <f>IF(AG1113&gt;1E-9,IF(AG1113*(1+$G$55)-MAX($B$9,0.01*AG1113+AG1113*$G$55)&gt;1E-9,AG1113*(1+$G$55)-MAX($B$9,0.01*AG1113+AG1113*$G$55),0),0)</f>
        <v/>
      </c>
      <c r="AH1114">
        <f>AG1113*$G$55</f>
        <v/>
      </c>
      <c r="AI1114">
        <f>G1114+K1114+O1114+S1114+W1114</f>
        <v/>
      </c>
      <c r="AJ1114">
        <f>AI1113+AK1114-AI1114</f>
        <v/>
      </c>
      <c r="AK1114">
        <f>H1114+L1114+P1114+T1114+X1114</f>
        <v/>
      </c>
      <c r="AL1114">
        <f>TEXT(EDATE($B$5,D1114-1),"mmm yyyy")</f>
        <v/>
      </c>
      <c r="AM1114">
        <f>AI1114</f>
        <v/>
      </c>
    </row>
    <row r="1115">
      <c r="D1115" t="n">
        <v>1054</v>
      </c>
      <c r="E1115">
        <f>IF(G1114&gt;0,MAX(0,G1114*(1+$G$51)-$H$51),0)</f>
        <v/>
      </c>
      <c r="F1115">
        <f>$B$6+IF($D1115=$B$8,$B$7,0)</f>
        <v/>
      </c>
      <c r="G1115">
        <f>IF(E1115-F1115&gt;1E-9,E1115-F1115,0)</f>
        <v/>
      </c>
      <c r="H1115">
        <f>G1114*$G$51</f>
        <v/>
      </c>
      <c r="I1115">
        <f>IF(K1114&gt;0,MAX(0,K1114*(1+$G$52)-$H$52),0)</f>
        <v/>
      </c>
      <c r="J1115">
        <f>MAX(0,F1115-E1115)</f>
        <v/>
      </c>
      <c r="K1115">
        <f>IF(I1115-J1115&gt;1E-9,I1115-J1115,0)</f>
        <v/>
      </c>
      <c r="L1115">
        <f>K1114*$G$52</f>
        <v/>
      </c>
      <c r="M1115">
        <f>IF(O1114&gt;0,MAX(0,O1114*(1+$G$53)-$H$53),0)</f>
        <v/>
      </c>
      <c r="N1115">
        <f>MAX(0,J1115-I1115)</f>
        <v/>
      </c>
      <c r="O1115">
        <f>IF(M1115-N1115&gt;1E-9,M1115-N1115,0)</f>
        <v/>
      </c>
      <c r="P1115">
        <f>O1114*$G$53</f>
        <v/>
      </c>
      <c r="Q1115">
        <f>IF(S1114&gt;0,MAX(0,S1114*(1+$G$54)-$H$54),0)</f>
        <v/>
      </c>
      <c r="R1115">
        <f>MAX(0,N1115-M1115)</f>
        <v/>
      </c>
      <c r="S1115">
        <f>IF(Q1115-R1115&gt;1E-9,Q1115-R1115,0)</f>
        <v/>
      </c>
      <c r="T1115">
        <f>S1114*$G$54</f>
        <v/>
      </c>
      <c r="U1115">
        <f>IF(W1114&gt;0,MAX(0,W1114*(1+$G$55)-$H$55),0)</f>
        <v/>
      </c>
      <c r="V1115">
        <f>MAX(0,R1115-Q1115)</f>
        <v/>
      </c>
      <c r="W1115">
        <f>IF(U1115-V1115&gt;1E-9,U1115-V1115,0)</f>
        <v/>
      </c>
      <c r="X1115">
        <f>W1114*$G$55</f>
        <v/>
      </c>
      <c r="Y1115">
        <f>IF(Y1114&gt;1E-9,IF(Y1114*(1+$G$51)-MAX($B$9,0.01*Y1114+Y1114*$G$51)&gt;1E-9,Y1114*(1+$G$51)-MAX($B$9,0.01*Y1114+Y1114*$G$51),0),0)</f>
        <v/>
      </c>
      <c r="Z1115">
        <f>Y1114*$G$51</f>
        <v/>
      </c>
      <c r="AA1115">
        <f>IF(AA1114&gt;1E-9,IF(AA1114*(1+$G$52)-MAX($B$9,0.01*AA1114+AA1114*$G$52)&gt;1E-9,AA1114*(1+$G$52)-MAX($B$9,0.01*AA1114+AA1114*$G$52),0),0)</f>
        <v/>
      </c>
      <c r="AB1115">
        <f>AA1114*$G$52</f>
        <v/>
      </c>
      <c r="AC1115">
        <f>IF(AC1114&gt;1E-9,IF(AC1114*(1+$G$53)-MAX($B$9,0.01*AC1114+AC1114*$G$53)&gt;1E-9,AC1114*(1+$G$53)-MAX($B$9,0.01*AC1114+AC1114*$G$53),0),0)</f>
        <v/>
      </c>
      <c r="AD1115">
        <f>AC1114*$G$53</f>
        <v/>
      </c>
      <c r="AE1115">
        <f>IF(AE1114&gt;1E-9,IF(AE1114*(1+$G$54)-MAX($B$9,0.01*AE1114+AE1114*$G$54)&gt;1E-9,AE1114*(1+$G$54)-MAX($B$9,0.01*AE1114+AE1114*$G$54),0),0)</f>
        <v/>
      </c>
      <c r="AF1115">
        <f>AE1114*$G$54</f>
        <v/>
      </c>
      <c r="AG1115">
        <f>IF(AG1114&gt;1E-9,IF(AG1114*(1+$G$55)-MAX($B$9,0.01*AG1114+AG1114*$G$55)&gt;1E-9,AG1114*(1+$G$55)-MAX($B$9,0.01*AG1114+AG1114*$G$55),0),0)</f>
        <v/>
      </c>
      <c r="AH1115">
        <f>AG1114*$G$55</f>
        <v/>
      </c>
      <c r="AI1115">
        <f>G1115+K1115+O1115+S1115+W1115</f>
        <v/>
      </c>
      <c r="AJ1115">
        <f>AI1114+AK1115-AI1115</f>
        <v/>
      </c>
      <c r="AK1115">
        <f>H1115+L1115+P1115+T1115+X1115</f>
        <v/>
      </c>
      <c r="AL1115">
        <f>TEXT(EDATE($B$5,D1115-1),"mmm yyyy")</f>
        <v/>
      </c>
      <c r="AM1115">
        <f>AI1115</f>
        <v/>
      </c>
    </row>
    <row r="1116">
      <c r="D1116" t="n">
        <v>1055</v>
      </c>
      <c r="E1116">
        <f>IF(G1115&gt;0,MAX(0,G1115*(1+$G$51)-$H$51),0)</f>
        <v/>
      </c>
      <c r="F1116">
        <f>$B$6+IF($D1116=$B$8,$B$7,0)</f>
        <v/>
      </c>
      <c r="G1116">
        <f>IF(E1116-F1116&gt;1E-9,E1116-F1116,0)</f>
        <v/>
      </c>
      <c r="H1116">
        <f>G1115*$G$51</f>
        <v/>
      </c>
      <c r="I1116">
        <f>IF(K1115&gt;0,MAX(0,K1115*(1+$G$52)-$H$52),0)</f>
        <v/>
      </c>
      <c r="J1116">
        <f>MAX(0,F1116-E1116)</f>
        <v/>
      </c>
      <c r="K1116">
        <f>IF(I1116-J1116&gt;1E-9,I1116-J1116,0)</f>
        <v/>
      </c>
      <c r="L1116">
        <f>K1115*$G$52</f>
        <v/>
      </c>
      <c r="M1116">
        <f>IF(O1115&gt;0,MAX(0,O1115*(1+$G$53)-$H$53),0)</f>
        <v/>
      </c>
      <c r="N1116">
        <f>MAX(0,J1116-I1116)</f>
        <v/>
      </c>
      <c r="O1116">
        <f>IF(M1116-N1116&gt;1E-9,M1116-N1116,0)</f>
        <v/>
      </c>
      <c r="P1116">
        <f>O1115*$G$53</f>
        <v/>
      </c>
      <c r="Q1116">
        <f>IF(S1115&gt;0,MAX(0,S1115*(1+$G$54)-$H$54),0)</f>
        <v/>
      </c>
      <c r="R1116">
        <f>MAX(0,N1116-M1116)</f>
        <v/>
      </c>
      <c r="S1116">
        <f>IF(Q1116-R1116&gt;1E-9,Q1116-R1116,0)</f>
        <v/>
      </c>
      <c r="T1116">
        <f>S1115*$G$54</f>
        <v/>
      </c>
      <c r="U1116">
        <f>IF(W1115&gt;0,MAX(0,W1115*(1+$G$55)-$H$55),0)</f>
        <v/>
      </c>
      <c r="V1116">
        <f>MAX(0,R1116-Q1116)</f>
        <v/>
      </c>
      <c r="W1116">
        <f>IF(U1116-V1116&gt;1E-9,U1116-V1116,0)</f>
        <v/>
      </c>
      <c r="X1116">
        <f>W1115*$G$55</f>
        <v/>
      </c>
      <c r="Y1116">
        <f>IF(Y1115&gt;1E-9,IF(Y1115*(1+$G$51)-MAX($B$9,0.01*Y1115+Y1115*$G$51)&gt;1E-9,Y1115*(1+$G$51)-MAX($B$9,0.01*Y1115+Y1115*$G$51),0),0)</f>
        <v/>
      </c>
      <c r="Z1116">
        <f>Y1115*$G$51</f>
        <v/>
      </c>
      <c r="AA1116">
        <f>IF(AA1115&gt;1E-9,IF(AA1115*(1+$G$52)-MAX($B$9,0.01*AA1115+AA1115*$G$52)&gt;1E-9,AA1115*(1+$G$52)-MAX($B$9,0.01*AA1115+AA1115*$G$52),0),0)</f>
        <v/>
      </c>
      <c r="AB1116">
        <f>AA1115*$G$52</f>
        <v/>
      </c>
      <c r="AC1116">
        <f>IF(AC1115&gt;1E-9,IF(AC1115*(1+$G$53)-MAX($B$9,0.01*AC1115+AC1115*$G$53)&gt;1E-9,AC1115*(1+$G$53)-MAX($B$9,0.01*AC1115+AC1115*$G$53),0),0)</f>
        <v/>
      </c>
      <c r="AD1116">
        <f>AC1115*$G$53</f>
        <v/>
      </c>
      <c r="AE1116">
        <f>IF(AE1115&gt;1E-9,IF(AE1115*(1+$G$54)-MAX($B$9,0.01*AE1115+AE1115*$G$54)&gt;1E-9,AE1115*(1+$G$54)-MAX($B$9,0.01*AE1115+AE1115*$G$54),0),0)</f>
        <v/>
      </c>
      <c r="AF1116">
        <f>AE1115*$G$54</f>
        <v/>
      </c>
      <c r="AG1116">
        <f>IF(AG1115&gt;1E-9,IF(AG1115*(1+$G$55)-MAX($B$9,0.01*AG1115+AG1115*$G$55)&gt;1E-9,AG1115*(1+$G$55)-MAX($B$9,0.01*AG1115+AG1115*$G$55),0),0)</f>
        <v/>
      </c>
      <c r="AH1116">
        <f>AG1115*$G$55</f>
        <v/>
      </c>
      <c r="AI1116">
        <f>G1116+K1116+O1116+S1116+W1116</f>
        <v/>
      </c>
      <c r="AJ1116">
        <f>AI1115+AK1116-AI1116</f>
        <v/>
      </c>
      <c r="AK1116">
        <f>H1116+L1116+P1116+T1116+X1116</f>
        <v/>
      </c>
      <c r="AL1116">
        <f>TEXT(EDATE($B$5,D1116-1),"mmm yyyy")</f>
        <v/>
      </c>
      <c r="AM1116">
        <f>AI1116</f>
        <v/>
      </c>
    </row>
    <row r="1117">
      <c r="D1117" t="n">
        <v>1056</v>
      </c>
      <c r="E1117">
        <f>IF(G1116&gt;0,MAX(0,G1116*(1+$G$51)-$H$51),0)</f>
        <v/>
      </c>
      <c r="F1117">
        <f>$B$6+IF($D1117=$B$8,$B$7,0)</f>
        <v/>
      </c>
      <c r="G1117">
        <f>IF(E1117-F1117&gt;1E-9,E1117-F1117,0)</f>
        <v/>
      </c>
      <c r="H1117">
        <f>G1116*$G$51</f>
        <v/>
      </c>
      <c r="I1117">
        <f>IF(K1116&gt;0,MAX(0,K1116*(1+$G$52)-$H$52),0)</f>
        <v/>
      </c>
      <c r="J1117">
        <f>MAX(0,F1117-E1117)</f>
        <v/>
      </c>
      <c r="K1117">
        <f>IF(I1117-J1117&gt;1E-9,I1117-J1117,0)</f>
        <v/>
      </c>
      <c r="L1117">
        <f>K1116*$G$52</f>
        <v/>
      </c>
      <c r="M1117">
        <f>IF(O1116&gt;0,MAX(0,O1116*(1+$G$53)-$H$53),0)</f>
        <v/>
      </c>
      <c r="N1117">
        <f>MAX(0,J1117-I1117)</f>
        <v/>
      </c>
      <c r="O1117">
        <f>IF(M1117-N1117&gt;1E-9,M1117-N1117,0)</f>
        <v/>
      </c>
      <c r="P1117">
        <f>O1116*$G$53</f>
        <v/>
      </c>
      <c r="Q1117">
        <f>IF(S1116&gt;0,MAX(0,S1116*(1+$G$54)-$H$54),0)</f>
        <v/>
      </c>
      <c r="R1117">
        <f>MAX(0,N1117-M1117)</f>
        <v/>
      </c>
      <c r="S1117">
        <f>IF(Q1117-R1117&gt;1E-9,Q1117-R1117,0)</f>
        <v/>
      </c>
      <c r="T1117">
        <f>S1116*$G$54</f>
        <v/>
      </c>
      <c r="U1117">
        <f>IF(W1116&gt;0,MAX(0,W1116*(1+$G$55)-$H$55),0)</f>
        <v/>
      </c>
      <c r="V1117">
        <f>MAX(0,R1117-Q1117)</f>
        <v/>
      </c>
      <c r="W1117">
        <f>IF(U1117-V1117&gt;1E-9,U1117-V1117,0)</f>
        <v/>
      </c>
      <c r="X1117">
        <f>W1116*$G$55</f>
        <v/>
      </c>
      <c r="Y1117">
        <f>IF(Y1116&gt;1E-9,IF(Y1116*(1+$G$51)-MAX($B$9,0.01*Y1116+Y1116*$G$51)&gt;1E-9,Y1116*(1+$G$51)-MAX($B$9,0.01*Y1116+Y1116*$G$51),0),0)</f>
        <v/>
      </c>
      <c r="Z1117">
        <f>Y1116*$G$51</f>
        <v/>
      </c>
      <c r="AA1117">
        <f>IF(AA1116&gt;1E-9,IF(AA1116*(1+$G$52)-MAX($B$9,0.01*AA1116+AA1116*$G$52)&gt;1E-9,AA1116*(1+$G$52)-MAX($B$9,0.01*AA1116+AA1116*$G$52),0),0)</f>
        <v/>
      </c>
      <c r="AB1117">
        <f>AA1116*$G$52</f>
        <v/>
      </c>
      <c r="AC1117">
        <f>IF(AC1116&gt;1E-9,IF(AC1116*(1+$G$53)-MAX($B$9,0.01*AC1116+AC1116*$G$53)&gt;1E-9,AC1116*(1+$G$53)-MAX($B$9,0.01*AC1116+AC1116*$G$53),0),0)</f>
        <v/>
      </c>
      <c r="AD1117">
        <f>AC1116*$G$53</f>
        <v/>
      </c>
      <c r="AE1117">
        <f>IF(AE1116&gt;1E-9,IF(AE1116*(1+$G$54)-MAX($B$9,0.01*AE1116+AE1116*$G$54)&gt;1E-9,AE1116*(1+$G$54)-MAX($B$9,0.01*AE1116+AE1116*$G$54),0),0)</f>
        <v/>
      </c>
      <c r="AF1117">
        <f>AE1116*$G$54</f>
        <v/>
      </c>
      <c r="AG1117">
        <f>IF(AG1116&gt;1E-9,IF(AG1116*(1+$G$55)-MAX($B$9,0.01*AG1116+AG1116*$G$55)&gt;1E-9,AG1116*(1+$G$55)-MAX($B$9,0.01*AG1116+AG1116*$G$55),0),0)</f>
        <v/>
      </c>
      <c r="AH1117">
        <f>AG1116*$G$55</f>
        <v/>
      </c>
      <c r="AI1117">
        <f>G1117+K1117+O1117+S1117+W1117</f>
        <v/>
      </c>
      <c r="AJ1117">
        <f>AI1116+AK1117-AI1117</f>
        <v/>
      </c>
      <c r="AK1117">
        <f>H1117+L1117+P1117+T1117+X1117</f>
        <v/>
      </c>
      <c r="AL1117">
        <f>TEXT(EDATE($B$5,D1117-1),"mmm yyyy")</f>
        <v/>
      </c>
      <c r="AM1117">
        <f>AI1117</f>
        <v/>
      </c>
    </row>
    <row r="1118">
      <c r="D1118" t="n">
        <v>1057</v>
      </c>
      <c r="E1118">
        <f>IF(G1117&gt;0,MAX(0,G1117*(1+$G$51)-$H$51),0)</f>
        <v/>
      </c>
      <c r="F1118">
        <f>$B$6+IF($D1118=$B$8,$B$7,0)</f>
        <v/>
      </c>
      <c r="G1118">
        <f>IF(E1118-F1118&gt;1E-9,E1118-F1118,0)</f>
        <v/>
      </c>
      <c r="H1118">
        <f>G1117*$G$51</f>
        <v/>
      </c>
      <c r="I1118">
        <f>IF(K1117&gt;0,MAX(0,K1117*(1+$G$52)-$H$52),0)</f>
        <v/>
      </c>
      <c r="J1118">
        <f>MAX(0,F1118-E1118)</f>
        <v/>
      </c>
      <c r="K1118">
        <f>IF(I1118-J1118&gt;1E-9,I1118-J1118,0)</f>
        <v/>
      </c>
      <c r="L1118">
        <f>K1117*$G$52</f>
        <v/>
      </c>
      <c r="M1118">
        <f>IF(O1117&gt;0,MAX(0,O1117*(1+$G$53)-$H$53),0)</f>
        <v/>
      </c>
      <c r="N1118">
        <f>MAX(0,J1118-I1118)</f>
        <v/>
      </c>
      <c r="O1118">
        <f>IF(M1118-N1118&gt;1E-9,M1118-N1118,0)</f>
        <v/>
      </c>
      <c r="P1118">
        <f>O1117*$G$53</f>
        <v/>
      </c>
      <c r="Q1118">
        <f>IF(S1117&gt;0,MAX(0,S1117*(1+$G$54)-$H$54),0)</f>
        <v/>
      </c>
      <c r="R1118">
        <f>MAX(0,N1118-M1118)</f>
        <v/>
      </c>
      <c r="S1118">
        <f>IF(Q1118-R1118&gt;1E-9,Q1118-R1118,0)</f>
        <v/>
      </c>
      <c r="T1118">
        <f>S1117*$G$54</f>
        <v/>
      </c>
      <c r="U1118">
        <f>IF(W1117&gt;0,MAX(0,W1117*(1+$G$55)-$H$55),0)</f>
        <v/>
      </c>
      <c r="V1118">
        <f>MAX(0,R1118-Q1118)</f>
        <v/>
      </c>
      <c r="W1118">
        <f>IF(U1118-V1118&gt;1E-9,U1118-V1118,0)</f>
        <v/>
      </c>
      <c r="X1118">
        <f>W1117*$G$55</f>
        <v/>
      </c>
      <c r="Y1118">
        <f>IF(Y1117&gt;1E-9,IF(Y1117*(1+$G$51)-MAX($B$9,0.01*Y1117+Y1117*$G$51)&gt;1E-9,Y1117*(1+$G$51)-MAX($B$9,0.01*Y1117+Y1117*$G$51),0),0)</f>
        <v/>
      </c>
      <c r="Z1118">
        <f>Y1117*$G$51</f>
        <v/>
      </c>
      <c r="AA1118">
        <f>IF(AA1117&gt;1E-9,IF(AA1117*(1+$G$52)-MAX($B$9,0.01*AA1117+AA1117*$G$52)&gt;1E-9,AA1117*(1+$G$52)-MAX($B$9,0.01*AA1117+AA1117*$G$52),0),0)</f>
        <v/>
      </c>
      <c r="AB1118">
        <f>AA1117*$G$52</f>
        <v/>
      </c>
      <c r="AC1118">
        <f>IF(AC1117&gt;1E-9,IF(AC1117*(1+$G$53)-MAX($B$9,0.01*AC1117+AC1117*$G$53)&gt;1E-9,AC1117*(1+$G$53)-MAX($B$9,0.01*AC1117+AC1117*$G$53),0),0)</f>
        <v/>
      </c>
      <c r="AD1118">
        <f>AC1117*$G$53</f>
        <v/>
      </c>
      <c r="AE1118">
        <f>IF(AE1117&gt;1E-9,IF(AE1117*(1+$G$54)-MAX($B$9,0.01*AE1117+AE1117*$G$54)&gt;1E-9,AE1117*(1+$G$54)-MAX($B$9,0.01*AE1117+AE1117*$G$54),0),0)</f>
        <v/>
      </c>
      <c r="AF1118">
        <f>AE1117*$G$54</f>
        <v/>
      </c>
      <c r="AG1118">
        <f>IF(AG1117&gt;1E-9,IF(AG1117*(1+$G$55)-MAX($B$9,0.01*AG1117+AG1117*$G$55)&gt;1E-9,AG1117*(1+$G$55)-MAX($B$9,0.01*AG1117+AG1117*$G$55),0),0)</f>
        <v/>
      </c>
      <c r="AH1118">
        <f>AG1117*$G$55</f>
        <v/>
      </c>
      <c r="AI1118">
        <f>G1118+K1118+O1118+S1118+W1118</f>
        <v/>
      </c>
      <c r="AJ1118">
        <f>AI1117+AK1118-AI1118</f>
        <v/>
      </c>
      <c r="AK1118">
        <f>H1118+L1118+P1118+T1118+X1118</f>
        <v/>
      </c>
      <c r="AL1118">
        <f>TEXT(EDATE($B$5,D1118-1),"mmm yyyy")</f>
        <v/>
      </c>
      <c r="AM1118">
        <f>AI1118</f>
        <v/>
      </c>
    </row>
    <row r="1119">
      <c r="D1119" t="n">
        <v>1058</v>
      </c>
      <c r="E1119">
        <f>IF(G1118&gt;0,MAX(0,G1118*(1+$G$51)-$H$51),0)</f>
        <v/>
      </c>
      <c r="F1119">
        <f>$B$6+IF($D1119=$B$8,$B$7,0)</f>
        <v/>
      </c>
      <c r="G1119">
        <f>IF(E1119-F1119&gt;1E-9,E1119-F1119,0)</f>
        <v/>
      </c>
      <c r="H1119">
        <f>G1118*$G$51</f>
        <v/>
      </c>
      <c r="I1119">
        <f>IF(K1118&gt;0,MAX(0,K1118*(1+$G$52)-$H$52),0)</f>
        <v/>
      </c>
      <c r="J1119">
        <f>MAX(0,F1119-E1119)</f>
        <v/>
      </c>
      <c r="K1119">
        <f>IF(I1119-J1119&gt;1E-9,I1119-J1119,0)</f>
        <v/>
      </c>
      <c r="L1119">
        <f>K1118*$G$52</f>
        <v/>
      </c>
      <c r="M1119">
        <f>IF(O1118&gt;0,MAX(0,O1118*(1+$G$53)-$H$53),0)</f>
        <v/>
      </c>
      <c r="N1119">
        <f>MAX(0,J1119-I1119)</f>
        <v/>
      </c>
      <c r="O1119">
        <f>IF(M1119-N1119&gt;1E-9,M1119-N1119,0)</f>
        <v/>
      </c>
      <c r="P1119">
        <f>O1118*$G$53</f>
        <v/>
      </c>
      <c r="Q1119">
        <f>IF(S1118&gt;0,MAX(0,S1118*(1+$G$54)-$H$54),0)</f>
        <v/>
      </c>
      <c r="R1119">
        <f>MAX(0,N1119-M1119)</f>
        <v/>
      </c>
      <c r="S1119">
        <f>IF(Q1119-R1119&gt;1E-9,Q1119-R1119,0)</f>
        <v/>
      </c>
      <c r="T1119">
        <f>S1118*$G$54</f>
        <v/>
      </c>
      <c r="U1119">
        <f>IF(W1118&gt;0,MAX(0,W1118*(1+$G$55)-$H$55),0)</f>
        <v/>
      </c>
      <c r="V1119">
        <f>MAX(0,R1119-Q1119)</f>
        <v/>
      </c>
      <c r="W1119">
        <f>IF(U1119-V1119&gt;1E-9,U1119-V1119,0)</f>
        <v/>
      </c>
      <c r="X1119">
        <f>W1118*$G$55</f>
        <v/>
      </c>
      <c r="Y1119">
        <f>IF(Y1118&gt;1E-9,IF(Y1118*(1+$G$51)-MAX($B$9,0.01*Y1118+Y1118*$G$51)&gt;1E-9,Y1118*(1+$G$51)-MAX($B$9,0.01*Y1118+Y1118*$G$51),0),0)</f>
        <v/>
      </c>
      <c r="Z1119">
        <f>Y1118*$G$51</f>
        <v/>
      </c>
      <c r="AA1119">
        <f>IF(AA1118&gt;1E-9,IF(AA1118*(1+$G$52)-MAX($B$9,0.01*AA1118+AA1118*$G$52)&gt;1E-9,AA1118*(1+$G$52)-MAX($B$9,0.01*AA1118+AA1118*$G$52),0),0)</f>
        <v/>
      </c>
      <c r="AB1119">
        <f>AA1118*$G$52</f>
        <v/>
      </c>
      <c r="AC1119">
        <f>IF(AC1118&gt;1E-9,IF(AC1118*(1+$G$53)-MAX($B$9,0.01*AC1118+AC1118*$G$53)&gt;1E-9,AC1118*(1+$G$53)-MAX($B$9,0.01*AC1118+AC1118*$G$53),0),0)</f>
        <v/>
      </c>
      <c r="AD1119">
        <f>AC1118*$G$53</f>
        <v/>
      </c>
      <c r="AE1119">
        <f>IF(AE1118&gt;1E-9,IF(AE1118*(1+$G$54)-MAX($B$9,0.01*AE1118+AE1118*$G$54)&gt;1E-9,AE1118*(1+$G$54)-MAX($B$9,0.01*AE1118+AE1118*$G$54),0),0)</f>
        <v/>
      </c>
      <c r="AF1119">
        <f>AE1118*$G$54</f>
        <v/>
      </c>
      <c r="AG1119">
        <f>IF(AG1118&gt;1E-9,IF(AG1118*(1+$G$55)-MAX($B$9,0.01*AG1118+AG1118*$G$55)&gt;1E-9,AG1118*(1+$G$55)-MAX($B$9,0.01*AG1118+AG1118*$G$55),0),0)</f>
        <v/>
      </c>
      <c r="AH1119">
        <f>AG1118*$G$55</f>
        <v/>
      </c>
      <c r="AI1119">
        <f>G1119+K1119+O1119+S1119+W1119</f>
        <v/>
      </c>
      <c r="AJ1119">
        <f>AI1118+AK1119-AI1119</f>
        <v/>
      </c>
      <c r="AK1119">
        <f>H1119+L1119+P1119+T1119+X1119</f>
        <v/>
      </c>
      <c r="AL1119">
        <f>TEXT(EDATE($B$5,D1119-1),"mmm yyyy")</f>
        <v/>
      </c>
      <c r="AM1119">
        <f>AI1119</f>
        <v/>
      </c>
    </row>
    <row r="1120">
      <c r="D1120" t="n">
        <v>1059</v>
      </c>
      <c r="E1120">
        <f>IF(G1119&gt;0,MAX(0,G1119*(1+$G$51)-$H$51),0)</f>
        <v/>
      </c>
      <c r="F1120">
        <f>$B$6+IF($D1120=$B$8,$B$7,0)</f>
        <v/>
      </c>
      <c r="G1120">
        <f>IF(E1120-F1120&gt;1E-9,E1120-F1120,0)</f>
        <v/>
      </c>
      <c r="H1120">
        <f>G1119*$G$51</f>
        <v/>
      </c>
      <c r="I1120">
        <f>IF(K1119&gt;0,MAX(0,K1119*(1+$G$52)-$H$52),0)</f>
        <v/>
      </c>
      <c r="J1120">
        <f>MAX(0,F1120-E1120)</f>
        <v/>
      </c>
      <c r="K1120">
        <f>IF(I1120-J1120&gt;1E-9,I1120-J1120,0)</f>
        <v/>
      </c>
      <c r="L1120">
        <f>K1119*$G$52</f>
        <v/>
      </c>
      <c r="M1120">
        <f>IF(O1119&gt;0,MAX(0,O1119*(1+$G$53)-$H$53),0)</f>
        <v/>
      </c>
      <c r="N1120">
        <f>MAX(0,J1120-I1120)</f>
        <v/>
      </c>
      <c r="O1120">
        <f>IF(M1120-N1120&gt;1E-9,M1120-N1120,0)</f>
        <v/>
      </c>
      <c r="P1120">
        <f>O1119*$G$53</f>
        <v/>
      </c>
      <c r="Q1120">
        <f>IF(S1119&gt;0,MAX(0,S1119*(1+$G$54)-$H$54),0)</f>
        <v/>
      </c>
      <c r="R1120">
        <f>MAX(0,N1120-M1120)</f>
        <v/>
      </c>
      <c r="S1120">
        <f>IF(Q1120-R1120&gt;1E-9,Q1120-R1120,0)</f>
        <v/>
      </c>
      <c r="T1120">
        <f>S1119*$G$54</f>
        <v/>
      </c>
      <c r="U1120">
        <f>IF(W1119&gt;0,MAX(0,W1119*(1+$G$55)-$H$55),0)</f>
        <v/>
      </c>
      <c r="V1120">
        <f>MAX(0,R1120-Q1120)</f>
        <v/>
      </c>
      <c r="W1120">
        <f>IF(U1120-V1120&gt;1E-9,U1120-V1120,0)</f>
        <v/>
      </c>
      <c r="X1120">
        <f>W1119*$G$55</f>
        <v/>
      </c>
      <c r="Y1120">
        <f>IF(Y1119&gt;1E-9,IF(Y1119*(1+$G$51)-MAX($B$9,0.01*Y1119+Y1119*$G$51)&gt;1E-9,Y1119*(1+$G$51)-MAX($B$9,0.01*Y1119+Y1119*$G$51),0),0)</f>
        <v/>
      </c>
      <c r="Z1120">
        <f>Y1119*$G$51</f>
        <v/>
      </c>
      <c r="AA1120">
        <f>IF(AA1119&gt;1E-9,IF(AA1119*(1+$G$52)-MAX($B$9,0.01*AA1119+AA1119*$G$52)&gt;1E-9,AA1119*(1+$G$52)-MAX($B$9,0.01*AA1119+AA1119*$G$52),0),0)</f>
        <v/>
      </c>
      <c r="AB1120">
        <f>AA1119*$G$52</f>
        <v/>
      </c>
      <c r="AC1120">
        <f>IF(AC1119&gt;1E-9,IF(AC1119*(1+$G$53)-MAX($B$9,0.01*AC1119+AC1119*$G$53)&gt;1E-9,AC1119*(1+$G$53)-MAX($B$9,0.01*AC1119+AC1119*$G$53),0),0)</f>
        <v/>
      </c>
      <c r="AD1120">
        <f>AC1119*$G$53</f>
        <v/>
      </c>
      <c r="AE1120">
        <f>IF(AE1119&gt;1E-9,IF(AE1119*(1+$G$54)-MAX($B$9,0.01*AE1119+AE1119*$G$54)&gt;1E-9,AE1119*(1+$G$54)-MAX($B$9,0.01*AE1119+AE1119*$G$54),0),0)</f>
        <v/>
      </c>
      <c r="AF1120">
        <f>AE1119*$G$54</f>
        <v/>
      </c>
      <c r="AG1120">
        <f>IF(AG1119&gt;1E-9,IF(AG1119*(1+$G$55)-MAX($B$9,0.01*AG1119+AG1119*$G$55)&gt;1E-9,AG1119*(1+$G$55)-MAX($B$9,0.01*AG1119+AG1119*$G$55),0),0)</f>
        <v/>
      </c>
      <c r="AH1120">
        <f>AG1119*$G$55</f>
        <v/>
      </c>
      <c r="AI1120">
        <f>G1120+K1120+O1120+S1120+W1120</f>
        <v/>
      </c>
      <c r="AJ1120">
        <f>AI1119+AK1120-AI1120</f>
        <v/>
      </c>
      <c r="AK1120">
        <f>H1120+L1120+P1120+T1120+X1120</f>
        <v/>
      </c>
      <c r="AL1120">
        <f>TEXT(EDATE($B$5,D1120-1),"mmm yyyy")</f>
        <v/>
      </c>
      <c r="AM1120">
        <f>AI1120</f>
        <v/>
      </c>
    </row>
    <row r="1121">
      <c r="D1121" t="n">
        <v>1060</v>
      </c>
      <c r="E1121">
        <f>IF(G1120&gt;0,MAX(0,G1120*(1+$G$51)-$H$51),0)</f>
        <v/>
      </c>
      <c r="F1121">
        <f>$B$6+IF($D1121=$B$8,$B$7,0)</f>
        <v/>
      </c>
      <c r="G1121">
        <f>IF(E1121-F1121&gt;1E-9,E1121-F1121,0)</f>
        <v/>
      </c>
      <c r="H1121">
        <f>G1120*$G$51</f>
        <v/>
      </c>
      <c r="I1121">
        <f>IF(K1120&gt;0,MAX(0,K1120*(1+$G$52)-$H$52),0)</f>
        <v/>
      </c>
      <c r="J1121">
        <f>MAX(0,F1121-E1121)</f>
        <v/>
      </c>
      <c r="K1121">
        <f>IF(I1121-J1121&gt;1E-9,I1121-J1121,0)</f>
        <v/>
      </c>
      <c r="L1121">
        <f>K1120*$G$52</f>
        <v/>
      </c>
      <c r="M1121">
        <f>IF(O1120&gt;0,MAX(0,O1120*(1+$G$53)-$H$53),0)</f>
        <v/>
      </c>
      <c r="N1121">
        <f>MAX(0,J1121-I1121)</f>
        <v/>
      </c>
      <c r="O1121">
        <f>IF(M1121-N1121&gt;1E-9,M1121-N1121,0)</f>
        <v/>
      </c>
      <c r="P1121">
        <f>O1120*$G$53</f>
        <v/>
      </c>
      <c r="Q1121">
        <f>IF(S1120&gt;0,MAX(0,S1120*(1+$G$54)-$H$54),0)</f>
        <v/>
      </c>
      <c r="R1121">
        <f>MAX(0,N1121-M1121)</f>
        <v/>
      </c>
      <c r="S1121">
        <f>IF(Q1121-R1121&gt;1E-9,Q1121-R1121,0)</f>
        <v/>
      </c>
      <c r="T1121">
        <f>S1120*$G$54</f>
        <v/>
      </c>
      <c r="U1121">
        <f>IF(W1120&gt;0,MAX(0,W1120*(1+$G$55)-$H$55),0)</f>
        <v/>
      </c>
      <c r="V1121">
        <f>MAX(0,R1121-Q1121)</f>
        <v/>
      </c>
      <c r="W1121">
        <f>IF(U1121-V1121&gt;1E-9,U1121-V1121,0)</f>
        <v/>
      </c>
      <c r="X1121">
        <f>W1120*$G$55</f>
        <v/>
      </c>
      <c r="Y1121">
        <f>IF(Y1120&gt;1E-9,IF(Y1120*(1+$G$51)-MAX($B$9,0.01*Y1120+Y1120*$G$51)&gt;1E-9,Y1120*(1+$G$51)-MAX($B$9,0.01*Y1120+Y1120*$G$51),0),0)</f>
        <v/>
      </c>
      <c r="Z1121">
        <f>Y1120*$G$51</f>
        <v/>
      </c>
      <c r="AA1121">
        <f>IF(AA1120&gt;1E-9,IF(AA1120*(1+$G$52)-MAX($B$9,0.01*AA1120+AA1120*$G$52)&gt;1E-9,AA1120*(1+$G$52)-MAX($B$9,0.01*AA1120+AA1120*$G$52),0),0)</f>
        <v/>
      </c>
      <c r="AB1121">
        <f>AA1120*$G$52</f>
        <v/>
      </c>
      <c r="AC1121">
        <f>IF(AC1120&gt;1E-9,IF(AC1120*(1+$G$53)-MAX($B$9,0.01*AC1120+AC1120*$G$53)&gt;1E-9,AC1120*(1+$G$53)-MAX($B$9,0.01*AC1120+AC1120*$G$53),0),0)</f>
        <v/>
      </c>
      <c r="AD1121">
        <f>AC1120*$G$53</f>
        <v/>
      </c>
      <c r="AE1121">
        <f>IF(AE1120&gt;1E-9,IF(AE1120*(1+$G$54)-MAX($B$9,0.01*AE1120+AE1120*$G$54)&gt;1E-9,AE1120*(1+$G$54)-MAX($B$9,0.01*AE1120+AE1120*$G$54),0),0)</f>
        <v/>
      </c>
      <c r="AF1121">
        <f>AE1120*$G$54</f>
        <v/>
      </c>
      <c r="AG1121">
        <f>IF(AG1120&gt;1E-9,IF(AG1120*(1+$G$55)-MAX($B$9,0.01*AG1120+AG1120*$G$55)&gt;1E-9,AG1120*(1+$G$55)-MAX($B$9,0.01*AG1120+AG1120*$G$55),0),0)</f>
        <v/>
      </c>
      <c r="AH1121">
        <f>AG1120*$G$55</f>
        <v/>
      </c>
      <c r="AI1121">
        <f>G1121+K1121+O1121+S1121+W1121</f>
        <v/>
      </c>
      <c r="AJ1121">
        <f>AI1120+AK1121-AI1121</f>
        <v/>
      </c>
      <c r="AK1121">
        <f>H1121+L1121+P1121+T1121+X1121</f>
        <v/>
      </c>
      <c r="AL1121">
        <f>TEXT(EDATE($B$5,D1121-1),"mmm yyyy")</f>
        <v/>
      </c>
      <c r="AM1121">
        <f>AI1121</f>
        <v/>
      </c>
    </row>
    <row r="1122">
      <c r="D1122" t="n">
        <v>1061</v>
      </c>
      <c r="E1122">
        <f>IF(G1121&gt;0,MAX(0,G1121*(1+$G$51)-$H$51),0)</f>
        <v/>
      </c>
      <c r="F1122">
        <f>$B$6+IF($D1122=$B$8,$B$7,0)</f>
        <v/>
      </c>
      <c r="G1122">
        <f>IF(E1122-F1122&gt;1E-9,E1122-F1122,0)</f>
        <v/>
      </c>
      <c r="H1122">
        <f>G1121*$G$51</f>
        <v/>
      </c>
      <c r="I1122">
        <f>IF(K1121&gt;0,MAX(0,K1121*(1+$G$52)-$H$52),0)</f>
        <v/>
      </c>
      <c r="J1122">
        <f>MAX(0,F1122-E1122)</f>
        <v/>
      </c>
      <c r="K1122">
        <f>IF(I1122-J1122&gt;1E-9,I1122-J1122,0)</f>
        <v/>
      </c>
      <c r="L1122">
        <f>K1121*$G$52</f>
        <v/>
      </c>
      <c r="M1122">
        <f>IF(O1121&gt;0,MAX(0,O1121*(1+$G$53)-$H$53),0)</f>
        <v/>
      </c>
      <c r="N1122">
        <f>MAX(0,J1122-I1122)</f>
        <v/>
      </c>
      <c r="O1122">
        <f>IF(M1122-N1122&gt;1E-9,M1122-N1122,0)</f>
        <v/>
      </c>
      <c r="P1122">
        <f>O1121*$G$53</f>
        <v/>
      </c>
      <c r="Q1122">
        <f>IF(S1121&gt;0,MAX(0,S1121*(1+$G$54)-$H$54),0)</f>
        <v/>
      </c>
      <c r="R1122">
        <f>MAX(0,N1122-M1122)</f>
        <v/>
      </c>
      <c r="S1122">
        <f>IF(Q1122-R1122&gt;1E-9,Q1122-R1122,0)</f>
        <v/>
      </c>
      <c r="T1122">
        <f>S1121*$G$54</f>
        <v/>
      </c>
      <c r="U1122">
        <f>IF(W1121&gt;0,MAX(0,W1121*(1+$G$55)-$H$55),0)</f>
        <v/>
      </c>
      <c r="V1122">
        <f>MAX(0,R1122-Q1122)</f>
        <v/>
      </c>
      <c r="W1122">
        <f>IF(U1122-V1122&gt;1E-9,U1122-V1122,0)</f>
        <v/>
      </c>
      <c r="X1122">
        <f>W1121*$G$55</f>
        <v/>
      </c>
      <c r="Y1122">
        <f>IF(Y1121&gt;1E-9,IF(Y1121*(1+$G$51)-MAX($B$9,0.01*Y1121+Y1121*$G$51)&gt;1E-9,Y1121*(1+$G$51)-MAX($B$9,0.01*Y1121+Y1121*$G$51),0),0)</f>
        <v/>
      </c>
      <c r="Z1122">
        <f>Y1121*$G$51</f>
        <v/>
      </c>
      <c r="AA1122">
        <f>IF(AA1121&gt;1E-9,IF(AA1121*(1+$G$52)-MAX($B$9,0.01*AA1121+AA1121*$G$52)&gt;1E-9,AA1121*(1+$G$52)-MAX($B$9,0.01*AA1121+AA1121*$G$52),0),0)</f>
        <v/>
      </c>
      <c r="AB1122">
        <f>AA1121*$G$52</f>
        <v/>
      </c>
      <c r="AC1122">
        <f>IF(AC1121&gt;1E-9,IF(AC1121*(1+$G$53)-MAX($B$9,0.01*AC1121+AC1121*$G$53)&gt;1E-9,AC1121*(1+$G$53)-MAX($B$9,0.01*AC1121+AC1121*$G$53),0),0)</f>
        <v/>
      </c>
      <c r="AD1122">
        <f>AC1121*$G$53</f>
        <v/>
      </c>
      <c r="AE1122">
        <f>IF(AE1121&gt;1E-9,IF(AE1121*(1+$G$54)-MAX($B$9,0.01*AE1121+AE1121*$G$54)&gt;1E-9,AE1121*(1+$G$54)-MAX($B$9,0.01*AE1121+AE1121*$G$54),0),0)</f>
        <v/>
      </c>
      <c r="AF1122">
        <f>AE1121*$G$54</f>
        <v/>
      </c>
      <c r="AG1122">
        <f>IF(AG1121&gt;1E-9,IF(AG1121*(1+$G$55)-MAX($B$9,0.01*AG1121+AG1121*$G$55)&gt;1E-9,AG1121*(1+$G$55)-MAX($B$9,0.01*AG1121+AG1121*$G$55),0),0)</f>
        <v/>
      </c>
      <c r="AH1122">
        <f>AG1121*$G$55</f>
        <v/>
      </c>
      <c r="AI1122">
        <f>G1122+K1122+O1122+S1122+W1122</f>
        <v/>
      </c>
      <c r="AJ1122">
        <f>AI1121+AK1122-AI1122</f>
        <v/>
      </c>
      <c r="AK1122">
        <f>H1122+L1122+P1122+T1122+X1122</f>
        <v/>
      </c>
      <c r="AL1122">
        <f>TEXT(EDATE($B$5,D1122-1),"mmm yyyy")</f>
        <v/>
      </c>
      <c r="AM1122">
        <f>AI1122</f>
        <v/>
      </c>
    </row>
    <row r="1123">
      <c r="D1123" t="n">
        <v>1062</v>
      </c>
      <c r="E1123">
        <f>IF(G1122&gt;0,MAX(0,G1122*(1+$G$51)-$H$51),0)</f>
        <v/>
      </c>
      <c r="F1123">
        <f>$B$6+IF($D1123=$B$8,$B$7,0)</f>
        <v/>
      </c>
      <c r="G1123">
        <f>IF(E1123-F1123&gt;1E-9,E1123-F1123,0)</f>
        <v/>
      </c>
      <c r="H1123">
        <f>G1122*$G$51</f>
        <v/>
      </c>
      <c r="I1123">
        <f>IF(K1122&gt;0,MAX(0,K1122*(1+$G$52)-$H$52),0)</f>
        <v/>
      </c>
      <c r="J1123">
        <f>MAX(0,F1123-E1123)</f>
        <v/>
      </c>
      <c r="K1123">
        <f>IF(I1123-J1123&gt;1E-9,I1123-J1123,0)</f>
        <v/>
      </c>
      <c r="L1123">
        <f>K1122*$G$52</f>
        <v/>
      </c>
      <c r="M1123">
        <f>IF(O1122&gt;0,MAX(0,O1122*(1+$G$53)-$H$53),0)</f>
        <v/>
      </c>
      <c r="N1123">
        <f>MAX(0,J1123-I1123)</f>
        <v/>
      </c>
      <c r="O1123">
        <f>IF(M1123-N1123&gt;1E-9,M1123-N1123,0)</f>
        <v/>
      </c>
      <c r="P1123">
        <f>O1122*$G$53</f>
        <v/>
      </c>
      <c r="Q1123">
        <f>IF(S1122&gt;0,MAX(0,S1122*(1+$G$54)-$H$54),0)</f>
        <v/>
      </c>
      <c r="R1123">
        <f>MAX(0,N1123-M1123)</f>
        <v/>
      </c>
      <c r="S1123">
        <f>IF(Q1123-R1123&gt;1E-9,Q1123-R1123,0)</f>
        <v/>
      </c>
      <c r="T1123">
        <f>S1122*$G$54</f>
        <v/>
      </c>
      <c r="U1123">
        <f>IF(W1122&gt;0,MAX(0,W1122*(1+$G$55)-$H$55),0)</f>
        <v/>
      </c>
      <c r="V1123">
        <f>MAX(0,R1123-Q1123)</f>
        <v/>
      </c>
      <c r="W1123">
        <f>IF(U1123-V1123&gt;1E-9,U1123-V1123,0)</f>
        <v/>
      </c>
      <c r="X1123">
        <f>W1122*$G$55</f>
        <v/>
      </c>
      <c r="Y1123">
        <f>IF(Y1122&gt;1E-9,IF(Y1122*(1+$G$51)-MAX($B$9,0.01*Y1122+Y1122*$G$51)&gt;1E-9,Y1122*(1+$G$51)-MAX($B$9,0.01*Y1122+Y1122*$G$51),0),0)</f>
        <v/>
      </c>
      <c r="Z1123">
        <f>Y1122*$G$51</f>
        <v/>
      </c>
      <c r="AA1123">
        <f>IF(AA1122&gt;1E-9,IF(AA1122*(1+$G$52)-MAX($B$9,0.01*AA1122+AA1122*$G$52)&gt;1E-9,AA1122*(1+$G$52)-MAX($B$9,0.01*AA1122+AA1122*$G$52),0),0)</f>
        <v/>
      </c>
      <c r="AB1123">
        <f>AA1122*$G$52</f>
        <v/>
      </c>
      <c r="AC1123">
        <f>IF(AC1122&gt;1E-9,IF(AC1122*(1+$G$53)-MAX($B$9,0.01*AC1122+AC1122*$G$53)&gt;1E-9,AC1122*(1+$G$53)-MAX($B$9,0.01*AC1122+AC1122*$G$53),0),0)</f>
        <v/>
      </c>
      <c r="AD1123">
        <f>AC1122*$G$53</f>
        <v/>
      </c>
      <c r="AE1123">
        <f>IF(AE1122&gt;1E-9,IF(AE1122*(1+$G$54)-MAX($B$9,0.01*AE1122+AE1122*$G$54)&gt;1E-9,AE1122*(1+$G$54)-MAX($B$9,0.01*AE1122+AE1122*$G$54),0),0)</f>
        <v/>
      </c>
      <c r="AF1123">
        <f>AE1122*$G$54</f>
        <v/>
      </c>
      <c r="AG1123">
        <f>IF(AG1122&gt;1E-9,IF(AG1122*(1+$G$55)-MAX($B$9,0.01*AG1122+AG1122*$G$55)&gt;1E-9,AG1122*(1+$G$55)-MAX($B$9,0.01*AG1122+AG1122*$G$55),0),0)</f>
        <v/>
      </c>
      <c r="AH1123">
        <f>AG1122*$G$55</f>
        <v/>
      </c>
      <c r="AI1123">
        <f>G1123+K1123+O1123+S1123+W1123</f>
        <v/>
      </c>
      <c r="AJ1123">
        <f>AI1122+AK1123-AI1123</f>
        <v/>
      </c>
      <c r="AK1123">
        <f>H1123+L1123+P1123+T1123+X1123</f>
        <v/>
      </c>
      <c r="AL1123">
        <f>TEXT(EDATE($B$5,D1123-1),"mmm yyyy")</f>
        <v/>
      </c>
      <c r="AM1123">
        <f>AI1123</f>
        <v/>
      </c>
    </row>
    <row r="1124">
      <c r="D1124" t="n">
        <v>1063</v>
      </c>
      <c r="E1124">
        <f>IF(G1123&gt;0,MAX(0,G1123*(1+$G$51)-$H$51),0)</f>
        <v/>
      </c>
      <c r="F1124">
        <f>$B$6+IF($D1124=$B$8,$B$7,0)</f>
        <v/>
      </c>
      <c r="G1124">
        <f>IF(E1124-F1124&gt;1E-9,E1124-F1124,0)</f>
        <v/>
      </c>
      <c r="H1124">
        <f>G1123*$G$51</f>
        <v/>
      </c>
      <c r="I1124">
        <f>IF(K1123&gt;0,MAX(0,K1123*(1+$G$52)-$H$52),0)</f>
        <v/>
      </c>
      <c r="J1124">
        <f>MAX(0,F1124-E1124)</f>
        <v/>
      </c>
      <c r="K1124">
        <f>IF(I1124-J1124&gt;1E-9,I1124-J1124,0)</f>
        <v/>
      </c>
      <c r="L1124">
        <f>K1123*$G$52</f>
        <v/>
      </c>
      <c r="M1124">
        <f>IF(O1123&gt;0,MAX(0,O1123*(1+$G$53)-$H$53),0)</f>
        <v/>
      </c>
      <c r="N1124">
        <f>MAX(0,J1124-I1124)</f>
        <v/>
      </c>
      <c r="O1124">
        <f>IF(M1124-N1124&gt;1E-9,M1124-N1124,0)</f>
        <v/>
      </c>
      <c r="P1124">
        <f>O1123*$G$53</f>
        <v/>
      </c>
      <c r="Q1124">
        <f>IF(S1123&gt;0,MAX(0,S1123*(1+$G$54)-$H$54),0)</f>
        <v/>
      </c>
      <c r="R1124">
        <f>MAX(0,N1124-M1124)</f>
        <v/>
      </c>
      <c r="S1124">
        <f>IF(Q1124-R1124&gt;1E-9,Q1124-R1124,0)</f>
        <v/>
      </c>
      <c r="T1124">
        <f>S1123*$G$54</f>
        <v/>
      </c>
      <c r="U1124">
        <f>IF(W1123&gt;0,MAX(0,W1123*(1+$G$55)-$H$55),0)</f>
        <v/>
      </c>
      <c r="V1124">
        <f>MAX(0,R1124-Q1124)</f>
        <v/>
      </c>
      <c r="W1124">
        <f>IF(U1124-V1124&gt;1E-9,U1124-V1124,0)</f>
        <v/>
      </c>
      <c r="X1124">
        <f>W1123*$G$55</f>
        <v/>
      </c>
      <c r="Y1124">
        <f>IF(Y1123&gt;1E-9,IF(Y1123*(1+$G$51)-MAX($B$9,0.01*Y1123+Y1123*$G$51)&gt;1E-9,Y1123*(1+$G$51)-MAX($B$9,0.01*Y1123+Y1123*$G$51),0),0)</f>
        <v/>
      </c>
      <c r="Z1124">
        <f>Y1123*$G$51</f>
        <v/>
      </c>
      <c r="AA1124">
        <f>IF(AA1123&gt;1E-9,IF(AA1123*(1+$G$52)-MAX($B$9,0.01*AA1123+AA1123*$G$52)&gt;1E-9,AA1123*(1+$G$52)-MAX($B$9,0.01*AA1123+AA1123*$G$52),0),0)</f>
        <v/>
      </c>
      <c r="AB1124">
        <f>AA1123*$G$52</f>
        <v/>
      </c>
      <c r="AC1124">
        <f>IF(AC1123&gt;1E-9,IF(AC1123*(1+$G$53)-MAX($B$9,0.01*AC1123+AC1123*$G$53)&gt;1E-9,AC1123*(1+$G$53)-MAX($B$9,0.01*AC1123+AC1123*$G$53),0),0)</f>
        <v/>
      </c>
      <c r="AD1124">
        <f>AC1123*$G$53</f>
        <v/>
      </c>
      <c r="AE1124">
        <f>IF(AE1123&gt;1E-9,IF(AE1123*(1+$G$54)-MAX($B$9,0.01*AE1123+AE1123*$G$54)&gt;1E-9,AE1123*(1+$G$54)-MAX($B$9,0.01*AE1123+AE1123*$G$54),0),0)</f>
        <v/>
      </c>
      <c r="AF1124">
        <f>AE1123*$G$54</f>
        <v/>
      </c>
      <c r="AG1124">
        <f>IF(AG1123&gt;1E-9,IF(AG1123*(1+$G$55)-MAX($B$9,0.01*AG1123+AG1123*$G$55)&gt;1E-9,AG1123*(1+$G$55)-MAX($B$9,0.01*AG1123+AG1123*$G$55),0),0)</f>
        <v/>
      </c>
      <c r="AH1124">
        <f>AG1123*$G$55</f>
        <v/>
      </c>
      <c r="AI1124">
        <f>G1124+K1124+O1124+S1124+W1124</f>
        <v/>
      </c>
      <c r="AJ1124">
        <f>AI1123+AK1124-AI1124</f>
        <v/>
      </c>
      <c r="AK1124">
        <f>H1124+L1124+P1124+T1124+X1124</f>
        <v/>
      </c>
      <c r="AL1124">
        <f>TEXT(EDATE($B$5,D1124-1),"mmm yyyy")</f>
        <v/>
      </c>
      <c r="AM1124">
        <f>AI1124</f>
        <v/>
      </c>
    </row>
    <row r="1125">
      <c r="D1125" t="n">
        <v>1064</v>
      </c>
      <c r="E1125">
        <f>IF(G1124&gt;0,MAX(0,G1124*(1+$G$51)-$H$51),0)</f>
        <v/>
      </c>
      <c r="F1125">
        <f>$B$6+IF($D1125=$B$8,$B$7,0)</f>
        <v/>
      </c>
      <c r="G1125">
        <f>IF(E1125-F1125&gt;1E-9,E1125-F1125,0)</f>
        <v/>
      </c>
      <c r="H1125">
        <f>G1124*$G$51</f>
        <v/>
      </c>
      <c r="I1125">
        <f>IF(K1124&gt;0,MAX(0,K1124*(1+$G$52)-$H$52),0)</f>
        <v/>
      </c>
      <c r="J1125">
        <f>MAX(0,F1125-E1125)</f>
        <v/>
      </c>
      <c r="K1125">
        <f>IF(I1125-J1125&gt;1E-9,I1125-J1125,0)</f>
        <v/>
      </c>
      <c r="L1125">
        <f>K1124*$G$52</f>
        <v/>
      </c>
      <c r="M1125">
        <f>IF(O1124&gt;0,MAX(0,O1124*(1+$G$53)-$H$53),0)</f>
        <v/>
      </c>
      <c r="N1125">
        <f>MAX(0,J1125-I1125)</f>
        <v/>
      </c>
      <c r="O1125">
        <f>IF(M1125-N1125&gt;1E-9,M1125-N1125,0)</f>
        <v/>
      </c>
      <c r="P1125">
        <f>O1124*$G$53</f>
        <v/>
      </c>
      <c r="Q1125">
        <f>IF(S1124&gt;0,MAX(0,S1124*(1+$G$54)-$H$54),0)</f>
        <v/>
      </c>
      <c r="R1125">
        <f>MAX(0,N1125-M1125)</f>
        <v/>
      </c>
      <c r="S1125">
        <f>IF(Q1125-R1125&gt;1E-9,Q1125-R1125,0)</f>
        <v/>
      </c>
      <c r="T1125">
        <f>S1124*$G$54</f>
        <v/>
      </c>
      <c r="U1125">
        <f>IF(W1124&gt;0,MAX(0,W1124*(1+$G$55)-$H$55),0)</f>
        <v/>
      </c>
      <c r="V1125">
        <f>MAX(0,R1125-Q1125)</f>
        <v/>
      </c>
      <c r="W1125">
        <f>IF(U1125-V1125&gt;1E-9,U1125-V1125,0)</f>
        <v/>
      </c>
      <c r="X1125">
        <f>W1124*$G$55</f>
        <v/>
      </c>
      <c r="Y1125">
        <f>IF(Y1124&gt;1E-9,IF(Y1124*(1+$G$51)-MAX($B$9,0.01*Y1124+Y1124*$G$51)&gt;1E-9,Y1124*(1+$G$51)-MAX($B$9,0.01*Y1124+Y1124*$G$51),0),0)</f>
        <v/>
      </c>
      <c r="Z1125">
        <f>Y1124*$G$51</f>
        <v/>
      </c>
      <c r="AA1125">
        <f>IF(AA1124&gt;1E-9,IF(AA1124*(1+$G$52)-MAX($B$9,0.01*AA1124+AA1124*$G$52)&gt;1E-9,AA1124*(1+$G$52)-MAX($B$9,0.01*AA1124+AA1124*$G$52),0),0)</f>
        <v/>
      </c>
      <c r="AB1125">
        <f>AA1124*$G$52</f>
        <v/>
      </c>
      <c r="AC1125">
        <f>IF(AC1124&gt;1E-9,IF(AC1124*(1+$G$53)-MAX($B$9,0.01*AC1124+AC1124*$G$53)&gt;1E-9,AC1124*(1+$G$53)-MAX($B$9,0.01*AC1124+AC1124*$G$53),0),0)</f>
        <v/>
      </c>
      <c r="AD1125">
        <f>AC1124*$G$53</f>
        <v/>
      </c>
      <c r="AE1125">
        <f>IF(AE1124&gt;1E-9,IF(AE1124*(1+$G$54)-MAX($B$9,0.01*AE1124+AE1124*$G$54)&gt;1E-9,AE1124*(1+$G$54)-MAX($B$9,0.01*AE1124+AE1124*$G$54),0),0)</f>
        <v/>
      </c>
      <c r="AF1125">
        <f>AE1124*$G$54</f>
        <v/>
      </c>
      <c r="AG1125">
        <f>IF(AG1124&gt;1E-9,IF(AG1124*(1+$G$55)-MAX($B$9,0.01*AG1124+AG1124*$G$55)&gt;1E-9,AG1124*(1+$G$55)-MAX($B$9,0.01*AG1124+AG1124*$G$55),0),0)</f>
        <v/>
      </c>
      <c r="AH1125">
        <f>AG1124*$G$55</f>
        <v/>
      </c>
      <c r="AI1125">
        <f>G1125+K1125+O1125+S1125+W1125</f>
        <v/>
      </c>
      <c r="AJ1125">
        <f>AI1124+AK1125-AI1125</f>
        <v/>
      </c>
      <c r="AK1125">
        <f>H1125+L1125+P1125+T1125+X1125</f>
        <v/>
      </c>
      <c r="AL1125">
        <f>TEXT(EDATE($B$5,D1125-1),"mmm yyyy")</f>
        <v/>
      </c>
      <c r="AM1125">
        <f>AI1125</f>
        <v/>
      </c>
    </row>
    <row r="1126">
      <c r="D1126" t="n">
        <v>1065</v>
      </c>
      <c r="E1126">
        <f>IF(G1125&gt;0,MAX(0,G1125*(1+$G$51)-$H$51),0)</f>
        <v/>
      </c>
      <c r="F1126">
        <f>$B$6+IF($D1126=$B$8,$B$7,0)</f>
        <v/>
      </c>
      <c r="G1126">
        <f>IF(E1126-F1126&gt;1E-9,E1126-F1126,0)</f>
        <v/>
      </c>
      <c r="H1126">
        <f>G1125*$G$51</f>
        <v/>
      </c>
      <c r="I1126">
        <f>IF(K1125&gt;0,MAX(0,K1125*(1+$G$52)-$H$52),0)</f>
        <v/>
      </c>
      <c r="J1126">
        <f>MAX(0,F1126-E1126)</f>
        <v/>
      </c>
      <c r="K1126">
        <f>IF(I1126-J1126&gt;1E-9,I1126-J1126,0)</f>
        <v/>
      </c>
      <c r="L1126">
        <f>K1125*$G$52</f>
        <v/>
      </c>
      <c r="M1126">
        <f>IF(O1125&gt;0,MAX(0,O1125*(1+$G$53)-$H$53),0)</f>
        <v/>
      </c>
      <c r="N1126">
        <f>MAX(0,J1126-I1126)</f>
        <v/>
      </c>
      <c r="O1126">
        <f>IF(M1126-N1126&gt;1E-9,M1126-N1126,0)</f>
        <v/>
      </c>
      <c r="P1126">
        <f>O1125*$G$53</f>
        <v/>
      </c>
      <c r="Q1126">
        <f>IF(S1125&gt;0,MAX(0,S1125*(1+$G$54)-$H$54),0)</f>
        <v/>
      </c>
      <c r="R1126">
        <f>MAX(0,N1126-M1126)</f>
        <v/>
      </c>
      <c r="S1126">
        <f>IF(Q1126-R1126&gt;1E-9,Q1126-R1126,0)</f>
        <v/>
      </c>
      <c r="T1126">
        <f>S1125*$G$54</f>
        <v/>
      </c>
      <c r="U1126">
        <f>IF(W1125&gt;0,MAX(0,W1125*(1+$G$55)-$H$55),0)</f>
        <v/>
      </c>
      <c r="V1126">
        <f>MAX(0,R1126-Q1126)</f>
        <v/>
      </c>
      <c r="W1126">
        <f>IF(U1126-V1126&gt;1E-9,U1126-V1126,0)</f>
        <v/>
      </c>
      <c r="X1126">
        <f>W1125*$G$55</f>
        <v/>
      </c>
      <c r="Y1126">
        <f>IF(Y1125&gt;1E-9,IF(Y1125*(1+$G$51)-MAX($B$9,0.01*Y1125+Y1125*$G$51)&gt;1E-9,Y1125*(1+$G$51)-MAX($B$9,0.01*Y1125+Y1125*$G$51),0),0)</f>
        <v/>
      </c>
      <c r="Z1126">
        <f>Y1125*$G$51</f>
        <v/>
      </c>
      <c r="AA1126">
        <f>IF(AA1125&gt;1E-9,IF(AA1125*(1+$G$52)-MAX($B$9,0.01*AA1125+AA1125*$G$52)&gt;1E-9,AA1125*(1+$G$52)-MAX($B$9,0.01*AA1125+AA1125*$G$52),0),0)</f>
        <v/>
      </c>
      <c r="AB1126">
        <f>AA1125*$G$52</f>
        <v/>
      </c>
      <c r="AC1126">
        <f>IF(AC1125&gt;1E-9,IF(AC1125*(1+$G$53)-MAX($B$9,0.01*AC1125+AC1125*$G$53)&gt;1E-9,AC1125*(1+$G$53)-MAX($B$9,0.01*AC1125+AC1125*$G$53),0),0)</f>
        <v/>
      </c>
      <c r="AD1126">
        <f>AC1125*$G$53</f>
        <v/>
      </c>
      <c r="AE1126">
        <f>IF(AE1125&gt;1E-9,IF(AE1125*(1+$G$54)-MAX($B$9,0.01*AE1125+AE1125*$G$54)&gt;1E-9,AE1125*(1+$G$54)-MAX($B$9,0.01*AE1125+AE1125*$G$54),0),0)</f>
        <v/>
      </c>
      <c r="AF1126">
        <f>AE1125*$G$54</f>
        <v/>
      </c>
      <c r="AG1126">
        <f>IF(AG1125&gt;1E-9,IF(AG1125*(1+$G$55)-MAX($B$9,0.01*AG1125+AG1125*$G$55)&gt;1E-9,AG1125*(1+$G$55)-MAX($B$9,0.01*AG1125+AG1125*$G$55),0),0)</f>
        <v/>
      </c>
      <c r="AH1126">
        <f>AG1125*$G$55</f>
        <v/>
      </c>
      <c r="AI1126">
        <f>G1126+K1126+O1126+S1126+W1126</f>
        <v/>
      </c>
      <c r="AJ1126">
        <f>AI1125+AK1126-AI1126</f>
        <v/>
      </c>
      <c r="AK1126">
        <f>H1126+L1126+P1126+T1126+X1126</f>
        <v/>
      </c>
      <c r="AL1126">
        <f>TEXT(EDATE($B$5,D1126-1),"mmm yyyy")</f>
        <v/>
      </c>
      <c r="AM1126">
        <f>AI1126</f>
        <v/>
      </c>
    </row>
    <row r="1127">
      <c r="D1127" t="n">
        <v>1066</v>
      </c>
      <c r="E1127">
        <f>IF(G1126&gt;0,MAX(0,G1126*(1+$G$51)-$H$51),0)</f>
        <v/>
      </c>
      <c r="F1127">
        <f>$B$6+IF($D1127=$B$8,$B$7,0)</f>
        <v/>
      </c>
      <c r="G1127">
        <f>IF(E1127-F1127&gt;1E-9,E1127-F1127,0)</f>
        <v/>
      </c>
      <c r="H1127">
        <f>G1126*$G$51</f>
        <v/>
      </c>
      <c r="I1127">
        <f>IF(K1126&gt;0,MAX(0,K1126*(1+$G$52)-$H$52),0)</f>
        <v/>
      </c>
      <c r="J1127">
        <f>MAX(0,F1127-E1127)</f>
        <v/>
      </c>
      <c r="K1127">
        <f>IF(I1127-J1127&gt;1E-9,I1127-J1127,0)</f>
        <v/>
      </c>
      <c r="L1127">
        <f>K1126*$G$52</f>
        <v/>
      </c>
      <c r="M1127">
        <f>IF(O1126&gt;0,MAX(0,O1126*(1+$G$53)-$H$53),0)</f>
        <v/>
      </c>
      <c r="N1127">
        <f>MAX(0,J1127-I1127)</f>
        <v/>
      </c>
      <c r="O1127">
        <f>IF(M1127-N1127&gt;1E-9,M1127-N1127,0)</f>
        <v/>
      </c>
      <c r="P1127">
        <f>O1126*$G$53</f>
        <v/>
      </c>
      <c r="Q1127">
        <f>IF(S1126&gt;0,MAX(0,S1126*(1+$G$54)-$H$54),0)</f>
        <v/>
      </c>
      <c r="R1127">
        <f>MAX(0,N1127-M1127)</f>
        <v/>
      </c>
      <c r="S1127">
        <f>IF(Q1127-R1127&gt;1E-9,Q1127-R1127,0)</f>
        <v/>
      </c>
      <c r="T1127">
        <f>S1126*$G$54</f>
        <v/>
      </c>
      <c r="U1127">
        <f>IF(W1126&gt;0,MAX(0,W1126*(1+$G$55)-$H$55),0)</f>
        <v/>
      </c>
      <c r="V1127">
        <f>MAX(0,R1127-Q1127)</f>
        <v/>
      </c>
      <c r="W1127">
        <f>IF(U1127-V1127&gt;1E-9,U1127-V1127,0)</f>
        <v/>
      </c>
      <c r="X1127">
        <f>W1126*$G$55</f>
        <v/>
      </c>
      <c r="Y1127">
        <f>IF(Y1126&gt;1E-9,IF(Y1126*(1+$G$51)-MAX($B$9,0.01*Y1126+Y1126*$G$51)&gt;1E-9,Y1126*(1+$G$51)-MAX($B$9,0.01*Y1126+Y1126*$G$51),0),0)</f>
        <v/>
      </c>
      <c r="Z1127">
        <f>Y1126*$G$51</f>
        <v/>
      </c>
      <c r="AA1127">
        <f>IF(AA1126&gt;1E-9,IF(AA1126*(1+$G$52)-MAX($B$9,0.01*AA1126+AA1126*$G$52)&gt;1E-9,AA1126*(1+$G$52)-MAX($B$9,0.01*AA1126+AA1126*$G$52),0),0)</f>
        <v/>
      </c>
      <c r="AB1127">
        <f>AA1126*$G$52</f>
        <v/>
      </c>
      <c r="AC1127">
        <f>IF(AC1126&gt;1E-9,IF(AC1126*(1+$G$53)-MAX($B$9,0.01*AC1126+AC1126*$G$53)&gt;1E-9,AC1126*(1+$G$53)-MAX($B$9,0.01*AC1126+AC1126*$G$53),0),0)</f>
        <v/>
      </c>
      <c r="AD1127">
        <f>AC1126*$G$53</f>
        <v/>
      </c>
      <c r="AE1127">
        <f>IF(AE1126&gt;1E-9,IF(AE1126*(1+$G$54)-MAX($B$9,0.01*AE1126+AE1126*$G$54)&gt;1E-9,AE1126*(1+$G$54)-MAX($B$9,0.01*AE1126+AE1126*$G$54),0),0)</f>
        <v/>
      </c>
      <c r="AF1127">
        <f>AE1126*$G$54</f>
        <v/>
      </c>
      <c r="AG1127">
        <f>IF(AG1126&gt;1E-9,IF(AG1126*(1+$G$55)-MAX($B$9,0.01*AG1126+AG1126*$G$55)&gt;1E-9,AG1126*(1+$G$55)-MAX($B$9,0.01*AG1126+AG1126*$G$55),0),0)</f>
        <v/>
      </c>
      <c r="AH1127">
        <f>AG1126*$G$55</f>
        <v/>
      </c>
      <c r="AI1127">
        <f>G1127+K1127+O1127+S1127+W1127</f>
        <v/>
      </c>
      <c r="AJ1127">
        <f>AI1126+AK1127-AI1127</f>
        <v/>
      </c>
      <c r="AK1127">
        <f>H1127+L1127+P1127+T1127+X1127</f>
        <v/>
      </c>
      <c r="AL1127">
        <f>TEXT(EDATE($B$5,D1127-1),"mmm yyyy")</f>
        <v/>
      </c>
      <c r="AM1127">
        <f>AI1127</f>
        <v/>
      </c>
    </row>
    <row r="1128">
      <c r="D1128" t="n">
        <v>1067</v>
      </c>
      <c r="E1128">
        <f>IF(G1127&gt;0,MAX(0,G1127*(1+$G$51)-$H$51),0)</f>
        <v/>
      </c>
      <c r="F1128">
        <f>$B$6+IF($D1128=$B$8,$B$7,0)</f>
        <v/>
      </c>
      <c r="G1128">
        <f>IF(E1128-F1128&gt;1E-9,E1128-F1128,0)</f>
        <v/>
      </c>
      <c r="H1128">
        <f>G1127*$G$51</f>
        <v/>
      </c>
      <c r="I1128">
        <f>IF(K1127&gt;0,MAX(0,K1127*(1+$G$52)-$H$52),0)</f>
        <v/>
      </c>
      <c r="J1128">
        <f>MAX(0,F1128-E1128)</f>
        <v/>
      </c>
      <c r="K1128">
        <f>IF(I1128-J1128&gt;1E-9,I1128-J1128,0)</f>
        <v/>
      </c>
      <c r="L1128">
        <f>K1127*$G$52</f>
        <v/>
      </c>
      <c r="M1128">
        <f>IF(O1127&gt;0,MAX(0,O1127*(1+$G$53)-$H$53),0)</f>
        <v/>
      </c>
      <c r="N1128">
        <f>MAX(0,J1128-I1128)</f>
        <v/>
      </c>
      <c r="O1128">
        <f>IF(M1128-N1128&gt;1E-9,M1128-N1128,0)</f>
        <v/>
      </c>
      <c r="P1128">
        <f>O1127*$G$53</f>
        <v/>
      </c>
      <c r="Q1128">
        <f>IF(S1127&gt;0,MAX(0,S1127*(1+$G$54)-$H$54),0)</f>
        <v/>
      </c>
      <c r="R1128">
        <f>MAX(0,N1128-M1128)</f>
        <v/>
      </c>
      <c r="S1128">
        <f>IF(Q1128-R1128&gt;1E-9,Q1128-R1128,0)</f>
        <v/>
      </c>
      <c r="T1128">
        <f>S1127*$G$54</f>
        <v/>
      </c>
      <c r="U1128">
        <f>IF(W1127&gt;0,MAX(0,W1127*(1+$G$55)-$H$55),0)</f>
        <v/>
      </c>
      <c r="V1128">
        <f>MAX(0,R1128-Q1128)</f>
        <v/>
      </c>
      <c r="W1128">
        <f>IF(U1128-V1128&gt;1E-9,U1128-V1128,0)</f>
        <v/>
      </c>
      <c r="X1128">
        <f>W1127*$G$55</f>
        <v/>
      </c>
      <c r="Y1128">
        <f>IF(Y1127&gt;1E-9,IF(Y1127*(1+$G$51)-MAX($B$9,0.01*Y1127+Y1127*$G$51)&gt;1E-9,Y1127*(1+$G$51)-MAX($B$9,0.01*Y1127+Y1127*$G$51),0),0)</f>
        <v/>
      </c>
      <c r="Z1128">
        <f>Y1127*$G$51</f>
        <v/>
      </c>
      <c r="AA1128">
        <f>IF(AA1127&gt;1E-9,IF(AA1127*(1+$G$52)-MAX($B$9,0.01*AA1127+AA1127*$G$52)&gt;1E-9,AA1127*(1+$G$52)-MAX($B$9,0.01*AA1127+AA1127*$G$52),0),0)</f>
        <v/>
      </c>
      <c r="AB1128">
        <f>AA1127*$G$52</f>
        <v/>
      </c>
      <c r="AC1128">
        <f>IF(AC1127&gt;1E-9,IF(AC1127*(1+$G$53)-MAX($B$9,0.01*AC1127+AC1127*$G$53)&gt;1E-9,AC1127*(1+$G$53)-MAX($B$9,0.01*AC1127+AC1127*$G$53),0),0)</f>
        <v/>
      </c>
      <c r="AD1128">
        <f>AC1127*$G$53</f>
        <v/>
      </c>
      <c r="AE1128">
        <f>IF(AE1127&gt;1E-9,IF(AE1127*(1+$G$54)-MAX($B$9,0.01*AE1127+AE1127*$G$54)&gt;1E-9,AE1127*(1+$G$54)-MAX($B$9,0.01*AE1127+AE1127*$G$54),0),0)</f>
        <v/>
      </c>
      <c r="AF1128">
        <f>AE1127*$G$54</f>
        <v/>
      </c>
      <c r="AG1128">
        <f>IF(AG1127&gt;1E-9,IF(AG1127*(1+$G$55)-MAX($B$9,0.01*AG1127+AG1127*$G$55)&gt;1E-9,AG1127*(1+$G$55)-MAX($B$9,0.01*AG1127+AG1127*$G$55),0),0)</f>
        <v/>
      </c>
      <c r="AH1128">
        <f>AG1127*$G$55</f>
        <v/>
      </c>
      <c r="AI1128">
        <f>G1128+K1128+O1128+S1128+W1128</f>
        <v/>
      </c>
      <c r="AJ1128">
        <f>AI1127+AK1128-AI1128</f>
        <v/>
      </c>
      <c r="AK1128">
        <f>H1128+L1128+P1128+T1128+X1128</f>
        <v/>
      </c>
      <c r="AL1128">
        <f>TEXT(EDATE($B$5,D1128-1),"mmm yyyy")</f>
        <v/>
      </c>
      <c r="AM1128">
        <f>AI1128</f>
        <v/>
      </c>
    </row>
    <row r="1129">
      <c r="D1129" t="n">
        <v>1068</v>
      </c>
      <c r="E1129">
        <f>IF(G1128&gt;0,MAX(0,G1128*(1+$G$51)-$H$51),0)</f>
        <v/>
      </c>
      <c r="F1129">
        <f>$B$6+IF($D1129=$B$8,$B$7,0)</f>
        <v/>
      </c>
      <c r="G1129">
        <f>IF(E1129-F1129&gt;1E-9,E1129-F1129,0)</f>
        <v/>
      </c>
      <c r="H1129">
        <f>G1128*$G$51</f>
        <v/>
      </c>
      <c r="I1129">
        <f>IF(K1128&gt;0,MAX(0,K1128*(1+$G$52)-$H$52),0)</f>
        <v/>
      </c>
      <c r="J1129">
        <f>MAX(0,F1129-E1129)</f>
        <v/>
      </c>
      <c r="K1129">
        <f>IF(I1129-J1129&gt;1E-9,I1129-J1129,0)</f>
        <v/>
      </c>
      <c r="L1129">
        <f>K1128*$G$52</f>
        <v/>
      </c>
      <c r="M1129">
        <f>IF(O1128&gt;0,MAX(0,O1128*(1+$G$53)-$H$53),0)</f>
        <v/>
      </c>
      <c r="N1129">
        <f>MAX(0,J1129-I1129)</f>
        <v/>
      </c>
      <c r="O1129">
        <f>IF(M1129-N1129&gt;1E-9,M1129-N1129,0)</f>
        <v/>
      </c>
      <c r="P1129">
        <f>O1128*$G$53</f>
        <v/>
      </c>
      <c r="Q1129">
        <f>IF(S1128&gt;0,MAX(0,S1128*(1+$G$54)-$H$54),0)</f>
        <v/>
      </c>
      <c r="R1129">
        <f>MAX(0,N1129-M1129)</f>
        <v/>
      </c>
      <c r="S1129">
        <f>IF(Q1129-R1129&gt;1E-9,Q1129-R1129,0)</f>
        <v/>
      </c>
      <c r="T1129">
        <f>S1128*$G$54</f>
        <v/>
      </c>
      <c r="U1129">
        <f>IF(W1128&gt;0,MAX(0,W1128*(1+$G$55)-$H$55),0)</f>
        <v/>
      </c>
      <c r="V1129">
        <f>MAX(0,R1129-Q1129)</f>
        <v/>
      </c>
      <c r="W1129">
        <f>IF(U1129-V1129&gt;1E-9,U1129-V1129,0)</f>
        <v/>
      </c>
      <c r="X1129">
        <f>W1128*$G$55</f>
        <v/>
      </c>
      <c r="Y1129">
        <f>IF(Y1128&gt;1E-9,IF(Y1128*(1+$G$51)-MAX($B$9,0.01*Y1128+Y1128*$G$51)&gt;1E-9,Y1128*(1+$G$51)-MAX($B$9,0.01*Y1128+Y1128*$G$51),0),0)</f>
        <v/>
      </c>
      <c r="Z1129">
        <f>Y1128*$G$51</f>
        <v/>
      </c>
      <c r="AA1129">
        <f>IF(AA1128&gt;1E-9,IF(AA1128*(1+$G$52)-MAX($B$9,0.01*AA1128+AA1128*$G$52)&gt;1E-9,AA1128*(1+$G$52)-MAX($B$9,0.01*AA1128+AA1128*$G$52),0),0)</f>
        <v/>
      </c>
      <c r="AB1129">
        <f>AA1128*$G$52</f>
        <v/>
      </c>
      <c r="AC1129">
        <f>IF(AC1128&gt;1E-9,IF(AC1128*(1+$G$53)-MAX($B$9,0.01*AC1128+AC1128*$G$53)&gt;1E-9,AC1128*(1+$G$53)-MAX($B$9,0.01*AC1128+AC1128*$G$53),0),0)</f>
        <v/>
      </c>
      <c r="AD1129">
        <f>AC1128*$G$53</f>
        <v/>
      </c>
      <c r="AE1129">
        <f>IF(AE1128&gt;1E-9,IF(AE1128*(1+$G$54)-MAX($B$9,0.01*AE1128+AE1128*$G$54)&gt;1E-9,AE1128*(1+$G$54)-MAX($B$9,0.01*AE1128+AE1128*$G$54),0),0)</f>
        <v/>
      </c>
      <c r="AF1129">
        <f>AE1128*$G$54</f>
        <v/>
      </c>
      <c r="AG1129">
        <f>IF(AG1128&gt;1E-9,IF(AG1128*(1+$G$55)-MAX($B$9,0.01*AG1128+AG1128*$G$55)&gt;1E-9,AG1128*(1+$G$55)-MAX($B$9,0.01*AG1128+AG1128*$G$55),0),0)</f>
        <v/>
      </c>
      <c r="AH1129">
        <f>AG1128*$G$55</f>
        <v/>
      </c>
      <c r="AI1129">
        <f>G1129+K1129+O1129+S1129+W1129</f>
        <v/>
      </c>
      <c r="AJ1129">
        <f>AI1128+AK1129-AI1129</f>
        <v/>
      </c>
      <c r="AK1129">
        <f>H1129+L1129+P1129+T1129+X1129</f>
        <v/>
      </c>
      <c r="AL1129">
        <f>TEXT(EDATE($B$5,D1129-1),"mmm yyyy")</f>
        <v/>
      </c>
      <c r="AM1129">
        <f>AI1129</f>
        <v/>
      </c>
    </row>
    <row r="1130">
      <c r="D1130" t="n">
        <v>1069</v>
      </c>
      <c r="E1130">
        <f>IF(G1129&gt;0,MAX(0,G1129*(1+$G$51)-$H$51),0)</f>
        <v/>
      </c>
      <c r="F1130">
        <f>$B$6+IF($D1130=$B$8,$B$7,0)</f>
        <v/>
      </c>
      <c r="G1130">
        <f>IF(E1130-F1130&gt;1E-9,E1130-F1130,0)</f>
        <v/>
      </c>
      <c r="H1130">
        <f>G1129*$G$51</f>
        <v/>
      </c>
      <c r="I1130">
        <f>IF(K1129&gt;0,MAX(0,K1129*(1+$G$52)-$H$52),0)</f>
        <v/>
      </c>
      <c r="J1130">
        <f>MAX(0,F1130-E1130)</f>
        <v/>
      </c>
      <c r="K1130">
        <f>IF(I1130-J1130&gt;1E-9,I1130-J1130,0)</f>
        <v/>
      </c>
      <c r="L1130">
        <f>K1129*$G$52</f>
        <v/>
      </c>
      <c r="M1130">
        <f>IF(O1129&gt;0,MAX(0,O1129*(1+$G$53)-$H$53),0)</f>
        <v/>
      </c>
      <c r="N1130">
        <f>MAX(0,J1130-I1130)</f>
        <v/>
      </c>
      <c r="O1130">
        <f>IF(M1130-N1130&gt;1E-9,M1130-N1130,0)</f>
        <v/>
      </c>
      <c r="P1130">
        <f>O1129*$G$53</f>
        <v/>
      </c>
      <c r="Q1130">
        <f>IF(S1129&gt;0,MAX(0,S1129*(1+$G$54)-$H$54),0)</f>
        <v/>
      </c>
      <c r="R1130">
        <f>MAX(0,N1130-M1130)</f>
        <v/>
      </c>
      <c r="S1130">
        <f>IF(Q1130-R1130&gt;1E-9,Q1130-R1130,0)</f>
        <v/>
      </c>
      <c r="T1130">
        <f>S1129*$G$54</f>
        <v/>
      </c>
      <c r="U1130">
        <f>IF(W1129&gt;0,MAX(0,W1129*(1+$G$55)-$H$55),0)</f>
        <v/>
      </c>
      <c r="V1130">
        <f>MAX(0,R1130-Q1130)</f>
        <v/>
      </c>
      <c r="W1130">
        <f>IF(U1130-V1130&gt;1E-9,U1130-V1130,0)</f>
        <v/>
      </c>
      <c r="X1130">
        <f>W1129*$G$55</f>
        <v/>
      </c>
      <c r="Y1130">
        <f>IF(Y1129&gt;1E-9,IF(Y1129*(1+$G$51)-MAX($B$9,0.01*Y1129+Y1129*$G$51)&gt;1E-9,Y1129*(1+$G$51)-MAX($B$9,0.01*Y1129+Y1129*$G$51),0),0)</f>
        <v/>
      </c>
      <c r="Z1130">
        <f>Y1129*$G$51</f>
        <v/>
      </c>
      <c r="AA1130">
        <f>IF(AA1129&gt;1E-9,IF(AA1129*(1+$G$52)-MAX($B$9,0.01*AA1129+AA1129*$G$52)&gt;1E-9,AA1129*(1+$G$52)-MAX($B$9,0.01*AA1129+AA1129*$G$52),0),0)</f>
        <v/>
      </c>
      <c r="AB1130">
        <f>AA1129*$G$52</f>
        <v/>
      </c>
      <c r="AC1130">
        <f>IF(AC1129&gt;1E-9,IF(AC1129*(1+$G$53)-MAX($B$9,0.01*AC1129+AC1129*$G$53)&gt;1E-9,AC1129*(1+$G$53)-MAX($B$9,0.01*AC1129+AC1129*$G$53),0),0)</f>
        <v/>
      </c>
      <c r="AD1130">
        <f>AC1129*$G$53</f>
        <v/>
      </c>
      <c r="AE1130">
        <f>IF(AE1129&gt;1E-9,IF(AE1129*(1+$G$54)-MAX($B$9,0.01*AE1129+AE1129*$G$54)&gt;1E-9,AE1129*(1+$G$54)-MAX($B$9,0.01*AE1129+AE1129*$G$54),0),0)</f>
        <v/>
      </c>
      <c r="AF1130">
        <f>AE1129*$G$54</f>
        <v/>
      </c>
      <c r="AG1130">
        <f>IF(AG1129&gt;1E-9,IF(AG1129*(1+$G$55)-MAX($B$9,0.01*AG1129+AG1129*$G$55)&gt;1E-9,AG1129*(1+$G$55)-MAX($B$9,0.01*AG1129+AG1129*$G$55),0),0)</f>
        <v/>
      </c>
      <c r="AH1130">
        <f>AG1129*$G$55</f>
        <v/>
      </c>
      <c r="AI1130">
        <f>G1130+K1130+O1130+S1130+W1130</f>
        <v/>
      </c>
      <c r="AJ1130">
        <f>AI1129+AK1130-AI1130</f>
        <v/>
      </c>
      <c r="AK1130">
        <f>H1130+L1130+P1130+T1130+X1130</f>
        <v/>
      </c>
      <c r="AL1130">
        <f>TEXT(EDATE($B$5,D1130-1),"mmm yyyy")</f>
        <v/>
      </c>
      <c r="AM1130">
        <f>AI1130</f>
        <v/>
      </c>
    </row>
    <row r="1131">
      <c r="D1131" t="n">
        <v>1070</v>
      </c>
      <c r="E1131">
        <f>IF(G1130&gt;0,MAX(0,G1130*(1+$G$51)-$H$51),0)</f>
        <v/>
      </c>
      <c r="F1131">
        <f>$B$6+IF($D1131=$B$8,$B$7,0)</f>
        <v/>
      </c>
      <c r="G1131">
        <f>IF(E1131-F1131&gt;1E-9,E1131-F1131,0)</f>
        <v/>
      </c>
      <c r="H1131">
        <f>G1130*$G$51</f>
        <v/>
      </c>
      <c r="I1131">
        <f>IF(K1130&gt;0,MAX(0,K1130*(1+$G$52)-$H$52),0)</f>
        <v/>
      </c>
      <c r="J1131">
        <f>MAX(0,F1131-E1131)</f>
        <v/>
      </c>
      <c r="K1131">
        <f>IF(I1131-J1131&gt;1E-9,I1131-J1131,0)</f>
        <v/>
      </c>
      <c r="L1131">
        <f>K1130*$G$52</f>
        <v/>
      </c>
      <c r="M1131">
        <f>IF(O1130&gt;0,MAX(0,O1130*(1+$G$53)-$H$53),0)</f>
        <v/>
      </c>
      <c r="N1131">
        <f>MAX(0,J1131-I1131)</f>
        <v/>
      </c>
      <c r="O1131">
        <f>IF(M1131-N1131&gt;1E-9,M1131-N1131,0)</f>
        <v/>
      </c>
      <c r="P1131">
        <f>O1130*$G$53</f>
        <v/>
      </c>
      <c r="Q1131">
        <f>IF(S1130&gt;0,MAX(0,S1130*(1+$G$54)-$H$54),0)</f>
        <v/>
      </c>
      <c r="R1131">
        <f>MAX(0,N1131-M1131)</f>
        <v/>
      </c>
      <c r="S1131">
        <f>IF(Q1131-R1131&gt;1E-9,Q1131-R1131,0)</f>
        <v/>
      </c>
      <c r="T1131">
        <f>S1130*$G$54</f>
        <v/>
      </c>
      <c r="U1131">
        <f>IF(W1130&gt;0,MAX(0,W1130*(1+$G$55)-$H$55),0)</f>
        <v/>
      </c>
      <c r="V1131">
        <f>MAX(0,R1131-Q1131)</f>
        <v/>
      </c>
      <c r="W1131">
        <f>IF(U1131-V1131&gt;1E-9,U1131-V1131,0)</f>
        <v/>
      </c>
      <c r="X1131">
        <f>W1130*$G$55</f>
        <v/>
      </c>
      <c r="Y1131">
        <f>IF(Y1130&gt;1E-9,IF(Y1130*(1+$G$51)-MAX($B$9,0.01*Y1130+Y1130*$G$51)&gt;1E-9,Y1130*(1+$G$51)-MAX($B$9,0.01*Y1130+Y1130*$G$51),0),0)</f>
        <v/>
      </c>
      <c r="Z1131">
        <f>Y1130*$G$51</f>
        <v/>
      </c>
      <c r="AA1131">
        <f>IF(AA1130&gt;1E-9,IF(AA1130*(1+$G$52)-MAX($B$9,0.01*AA1130+AA1130*$G$52)&gt;1E-9,AA1130*(1+$G$52)-MAX($B$9,0.01*AA1130+AA1130*$G$52),0),0)</f>
        <v/>
      </c>
      <c r="AB1131">
        <f>AA1130*$G$52</f>
        <v/>
      </c>
      <c r="AC1131">
        <f>IF(AC1130&gt;1E-9,IF(AC1130*(1+$G$53)-MAX($B$9,0.01*AC1130+AC1130*$G$53)&gt;1E-9,AC1130*(1+$G$53)-MAX($B$9,0.01*AC1130+AC1130*$G$53),0),0)</f>
        <v/>
      </c>
      <c r="AD1131">
        <f>AC1130*$G$53</f>
        <v/>
      </c>
      <c r="AE1131">
        <f>IF(AE1130&gt;1E-9,IF(AE1130*(1+$G$54)-MAX($B$9,0.01*AE1130+AE1130*$G$54)&gt;1E-9,AE1130*(1+$G$54)-MAX($B$9,0.01*AE1130+AE1130*$G$54),0),0)</f>
        <v/>
      </c>
      <c r="AF1131">
        <f>AE1130*$G$54</f>
        <v/>
      </c>
      <c r="AG1131">
        <f>IF(AG1130&gt;1E-9,IF(AG1130*(1+$G$55)-MAX($B$9,0.01*AG1130+AG1130*$G$55)&gt;1E-9,AG1130*(1+$G$55)-MAX($B$9,0.01*AG1130+AG1130*$G$55),0),0)</f>
        <v/>
      </c>
      <c r="AH1131">
        <f>AG1130*$G$55</f>
        <v/>
      </c>
      <c r="AI1131">
        <f>G1131+K1131+O1131+S1131+W1131</f>
        <v/>
      </c>
      <c r="AJ1131">
        <f>AI1130+AK1131-AI1131</f>
        <v/>
      </c>
      <c r="AK1131">
        <f>H1131+L1131+P1131+T1131+X1131</f>
        <v/>
      </c>
      <c r="AL1131">
        <f>TEXT(EDATE($B$5,D1131-1),"mmm yyyy")</f>
        <v/>
      </c>
      <c r="AM1131">
        <f>AI1131</f>
        <v/>
      </c>
    </row>
    <row r="1132">
      <c r="D1132" t="n">
        <v>1071</v>
      </c>
      <c r="E1132">
        <f>IF(G1131&gt;0,MAX(0,G1131*(1+$G$51)-$H$51),0)</f>
        <v/>
      </c>
      <c r="F1132">
        <f>$B$6+IF($D1132=$B$8,$B$7,0)</f>
        <v/>
      </c>
      <c r="G1132">
        <f>IF(E1132-F1132&gt;1E-9,E1132-F1132,0)</f>
        <v/>
      </c>
      <c r="H1132">
        <f>G1131*$G$51</f>
        <v/>
      </c>
      <c r="I1132">
        <f>IF(K1131&gt;0,MAX(0,K1131*(1+$G$52)-$H$52),0)</f>
        <v/>
      </c>
      <c r="J1132">
        <f>MAX(0,F1132-E1132)</f>
        <v/>
      </c>
      <c r="K1132">
        <f>IF(I1132-J1132&gt;1E-9,I1132-J1132,0)</f>
        <v/>
      </c>
      <c r="L1132">
        <f>K1131*$G$52</f>
        <v/>
      </c>
      <c r="M1132">
        <f>IF(O1131&gt;0,MAX(0,O1131*(1+$G$53)-$H$53),0)</f>
        <v/>
      </c>
      <c r="N1132">
        <f>MAX(0,J1132-I1132)</f>
        <v/>
      </c>
      <c r="O1132">
        <f>IF(M1132-N1132&gt;1E-9,M1132-N1132,0)</f>
        <v/>
      </c>
      <c r="P1132">
        <f>O1131*$G$53</f>
        <v/>
      </c>
      <c r="Q1132">
        <f>IF(S1131&gt;0,MAX(0,S1131*(1+$G$54)-$H$54),0)</f>
        <v/>
      </c>
      <c r="R1132">
        <f>MAX(0,N1132-M1132)</f>
        <v/>
      </c>
      <c r="S1132">
        <f>IF(Q1132-R1132&gt;1E-9,Q1132-R1132,0)</f>
        <v/>
      </c>
      <c r="T1132">
        <f>S1131*$G$54</f>
        <v/>
      </c>
      <c r="U1132">
        <f>IF(W1131&gt;0,MAX(0,W1131*(1+$G$55)-$H$55),0)</f>
        <v/>
      </c>
      <c r="V1132">
        <f>MAX(0,R1132-Q1132)</f>
        <v/>
      </c>
      <c r="W1132">
        <f>IF(U1132-V1132&gt;1E-9,U1132-V1132,0)</f>
        <v/>
      </c>
      <c r="X1132">
        <f>W1131*$G$55</f>
        <v/>
      </c>
      <c r="Y1132">
        <f>IF(Y1131&gt;1E-9,IF(Y1131*(1+$G$51)-MAX($B$9,0.01*Y1131+Y1131*$G$51)&gt;1E-9,Y1131*(1+$G$51)-MAX($B$9,0.01*Y1131+Y1131*$G$51),0),0)</f>
        <v/>
      </c>
      <c r="Z1132">
        <f>Y1131*$G$51</f>
        <v/>
      </c>
      <c r="AA1132">
        <f>IF(AA1131&gt;1E-9,IF(AA1131*(1+$G$52)-MAX($B$9,0.01*AA1131+AA1131*$G$52)&gt;1E-9,AA1131*(1+$G$52)-MAX($B$9,0.01*AA1131+AA1131*$G$52),0),0)</f>
        <v/>
      </c>
      <c r="AB1132">
        <f>AA1131*$G$52</f>
        <v/>
      </c>
      <c r="AC1132">
        <f>IF(AC1131&gt;1E-9,IF(AC1131*(1+$G$53)-MAX($B$9,0.01*AC1131+AC1131*$G$53)&gt;1E-9,AC1131*(1+$G$53)-MAX($B$9,0.01*AC1131+AC1131*$G$53),0),0)</f>
        <v/>
      </c>
      <c r="AD1132">
        <f>AC1131*$G$53</f>
        <v/>
      </c>
      <c r="AE1132">
        <f>IF(AE1131&gt;1E-9,IF(AE1131*(1+$G$54)-MAX($B$9,0.01*AE1131+AE1131*$G$54)&gt;1E-9,AE1131*(1+$G$54)-MAX($B$9,0.01*AE1131+AE1131*$G$54),0),0)</f>
        <v/>
      </c>
      <c r="AF1132">
        <f>AE1131*$G$54</f>
        <v/>
      </c>
      <c r="AG1132">
        <f>IF(AG1131&gt;1E-9,IF(AG1131*(1+$G$55)-MAX($B$9,0.01*AG1131+AG1131*$G$55)&gt;1E-9,AG1131*(1+$G$55)-MAX($B$9,0.01*AG1131+AG1131*$G$55),0),0)</f>
        <v/>
      </c>
      <c r="AH1132">
        <f>AG1131*$G$55</f>
        <v/>
      </c>
      <c r="AI1132">
        <f>G1132+K1132+O1132+S1132+W1132</f>
        <v/>
      </c>
      <c r="AJ1132">
        <f>AI1131+AK1132-AI1132</f>
        <v/>
      </c>
      <c r="AK1132">
        <f>H1132+L1132+P1132+T1132+X1132</f>
        <v/>
      </c>
      <c r="AL1132">
        <f>TEXT(EDATE($B$5,D1132-1),"mmm yyyy")</f>
        <v/>
      </c>
      <c r="AM1132">
        <f>AI1132</f>
        <v/>
      </c>
    </row>
    <row r="1133">
      <c r="D1133" t="n">
        <v>1072</v>
      </c>
      <c r="E1133">
        <f>IF(G1132&gt;0,MAX(0,G1132*(1+$G$51)-$H$51),0)</f>
        <v/>
      </c>
      <c r="F1133">
        <f>$B$6+IF($D1133=$B$8,$B$7,0)</f>
        <v/>
      </c>
      <c r="G1133">
        <f>IF(E1133-F1133&gt;1E-9,E1133-F1133,0)</f>
        <v/>
      </c>
      <c r="H1133">
        <f>G1132*$G$51</f>
        <v/>
      </c>
      <c r="I1133">
        <f>IF(K1132&gt;0,MAX(0,K1132*(1+$G$52)-$H$52),0)</f>
        <v/>
      </c>
      <c r="J1133">
        <f>MAX(0,F1133-E1133)</f>
        <v/>
      </c>
      <c r="K1133">
        <f>IF(I1133-J1133&gt;1E-9,I1133-J1133,0)</f>
        <v/>
      </c>
      <c r="L1133">
        <f>K1132*$G$52</f>
        <v/>
      </c>
      <c r="M1133">
        <f>IF(O1132&gt;0,MAX(0,O1132*(1+$G$53)-$H$53),0)</f>
        <v/>
      </c>
      <c r="N1133">
        <f>MAX(0,J1133-I1133)</f>
        <v/>
      </c>
      <c r="O1133">
        <f>IF(M1133-N1133&gt;1E-9,M1133-N1133,0)</f>
        <v/>
      </c>
      <c r="P1133">
        <f>O1132*$G$53</f>
        <v/>
      </c>
      <c r="Q1133">
        <f>IF(S1132&gt;0,MAX(0,S1132*(1+$G$54)-$H$54),0)</f>
        <v/>
      </c>
      <c r="R1133">
        <f>MAX(0,N1133-M1133)</f>
        <v/>
      </c>
      <c r="S1133">
        <f>IF(Q1133-R1133&gt;1E-9,Q1133-R1133,0)</f>
        <v/>
      </c>
      <c r="T1133">
        <f>S1132*$G$54</f>
        <v/>
      </c>
      <c r="U1133">
        <f>IF(W1132&gt;0,MAX(0,W1132*(1+$G$55)-$H$55),0)</f>
        <v/>
      </c>
      <c r="V1133">
        <f>MAX(0,R1133-Q1133)</f>
        <v/>
      </c>
      <c r="W1133">
        <f>IF(U1133-V1133&gt;1E-9,U1133-V1133,0)</f>
        <v/>
      </c>
      <c r="X1133">
        <f>W1132*$G$55</f>
        <v/>
      </c>
      <c r="Y1133">
        <f>IF(Y1132&gt;1E-9,IF(Y1132*(1+$G$51)-MAX($B$9,0.01*Y1132+Y1132*$G$51)&gt;1E-9,Y1132*(1+$G$51)-MAX($B$9,0.01*Y1132+Y1132*$G$51),0),0)</f>
        <v/>
      </c>
      <c r="Z1133">
        <f>Y1132*$G$51</f>
        <v/>
      </c>
      <c r="AA1133">
        <f>IF(AA1132&gt;1E-9,IF(AA1132*(1+$G$52)-MAX($B$9,0.01*AA1132+AA1132*$G$52)&gt;1E-9,AA1132*(1+$G$52)-MAX($B$9,0.01*AA1132+AA1132*$G$52),0),0)</f>
        <v/>
      </c>
      <c r="AB1133">
        <f>AA1132*$G$52</f>
        <v/>
      </c>
      <c r="AC1133">
        <f>IF(AC1132&gt;1E-9,IF(AC1132*(1+$G$53)-MAX($B$9,0.01*AC1132+AC1132*$G$53)&gt;1E-9,AC1132*(1+$G$53)-MAX($B$9,0.01*AC1132+AC1132*$G$53),0),0)</f>
        <v/>
      </c>
      <c r="AD1133">
        <f>AC1132*$G$53</f>
        <v/>
      </c>
      <c r="AE1133">
        <f>IF(AE1132&gt;1E-9,IF(AE1132*(1+$G$54)-MAX($B$9,0.01*AE1132+AE1132*$G$54)&gt;1E-9,AE1132*(1+$G$54)-MAX($B$9,0.01*AE1132+AE1132*$G$54),0),0)</f>
        <v/>
      </c>
      <c r="AF1133">
        <f>AE1132*$G$54</f>
        <v/>
      </c>
      <c r="AG1133">
        <f>IF(AG1132&gt;1E-9,IF(AG1132*(1+$G$55)-MAX($B$9,0.01*AG1132+AG1132*$G$55)&gt;1E-9,AG1132*(1+$G$55)-MAX($B$9,0.01*AG1132+AG1132*$G$55),0),0)</f>
        <v/>
      </c>
      <c r="AH1133">
        <f>AG1132*$G$55</f>
        <v/>
      </c>
      <c r="AI1133">
        <f>G1133+K1133+O1133+S1133+W1133</f>
        <v/>
      </c>
      <c r="AJ1133">
        <f>AI1132+AK1133-AI1133</f>
        <v/>
      </c>
      <c r="AK1133">
        <f>H1133+L1133+P1133+T1133+X1133</f>
        <v/>
      </c>
      <c r="AL1133">
        <f>TEXT(EDATE($B$5,D1133-1),"mmm yyyy")</f>
        <v/>
      </c>
      <c r="AM1133">
        <f>AI1133</f>
        <v/>
      </c>
    </row>
    <row r="1134">
      <c r="D1134" t="n">
        <v>1073</v>
      </c>
      <c r="E1134">
        <f>IF(G1133&gt;0,MAX(0,G1133*(1+$G$51)-$H$51),0)</f>
        <v/>
      </c>
      <c r="F1134">
        <f>$B$6+IF($D1134=$B$8,$B$7,0)</f>
        <v/>
      </c>
      <c r="G1134">
        <f>IF(E1134-F1134&gt;1E-9,E1134-F1134,0)</f>
        <v/>
      </c>
      <c r="H1134">
        <f>G1133*$G$51</f>
        <v/>
      </c>
      <c r="I1134">
        <f>IF(K1133&gt;0,MAX(0,K1133*(1+$G$52)-$H$52),0)</f>
        <v/>
      </c>
      <c r="J1134">
        <f>MAX(0,F1134-E1134)</f>
        <v/>
      </c>
      <c r="K1134">
        <f>IF(I1134-J1134&gt;1E-9,I1134-J1134,0)</f>
        <v/>
      </c>
      <c r="L1134">
        <f>K1133*$G$52</f>
        <v/>
      </c>
      <c r="M1134">
        <f>IF(O1133&gt;0,MAX(0,O1133*(1+$G$53)-$H$53),0)</f>
        <v/>
      </c>
      <c r="N1134">
        <f>MAX(0,J1134-I1134)</f>
        <v/>
      </c>
      <c r="O1134">
        <f>IF(M1134-N1134&gt;1E-9,M1134-N1134,0)</f>
        <v/>
      </c>
      <c r="P1134">
        <f>O1133*$G$53</f>
        <v/>
      </c>
      <c r="Q1134">
        <f>IF(S1133&gt;0,MAX(0,S1133*(1+$G$54)-$H$54),0)</f>
        <v/>
      </c>
      <c r="R1134">
        <f>MAX(0,N1134-M1134)</f>
        <v/>
      </c>
      <c r="S1134">
        <f>IF(Q1134-R1134&gt;1E-9,Q1134-R1134,0)</f>
        <v/>
      </c>
      <c r="T1134">
        <f>S1133*$G$54</f>
        <v/>
      </c>
      <c r="U1134">
        <f>IF(W1133&gt;0,MAX(0,W1133*(1+$G$55)-$H$55),0)</f>
        <v/>
      </c>
      <c r="V1134">
        <f>MAX(0,R1134-Q1134)</f>
        <v/>
      </c>
      <c r="W1134">
        <f>IF(U1134-V1134&gt;1E-9,U1134-V1134,0)</f>
        <v/>
      </c>
      <c r="X1134">
        <f>W1133*$G$55</f>
        <v/>
      </c>
      <c r="Y1134">
        <f>IF(Y1133&gt;1E-9,IF(Y1133*(1+$G$51)-MAX($B$9,0.01*Y1133+Y1133*$G$51)&gt;1E-9,Y1133*(1+$G$51)-MAX($B$9,0.01*Y1133+Y1133*$G$51),0),0)</f>
        <v/>
      </c>
      <c r="Z1134">
        <f>Y1133*$G$51</f>
        <v/>
      </c>
      <c r="AA1134">
        <f>IF(AA1133&gt;1E-9,IF(AA1133*(1+$G$52)-MAX($B$9,0.01*AA1133+AA1133*$G$52)&gt;1E-9,AA1133*(1+$G$52)-MAX($B$9,0.01*AA1133+AA1133*$G$52),0),0)</f>
        <v/>
      </c>
      <c r="AB1134">
        <f>AA1133*$G$52</f>
        <v/>
      </c>
      <c r="AC1134">
        <f>IF(AC1133&gt;1E-9,IF(AC1133*(1+$G$53)-MAX($B$9,0.01*AC1133+AC1133*$G$53)&gt;1E-9,AC1133*(1+$G$53)-MAX($B$9,0.01*AC1133+AC1133*$G$53),0),0)</f>
        <v/>
      </c>
      <c r="AD1134">
        <f>AC1133*$G$53</f>
        <v/>
      </c>
      <c r="AE1134">
        <f>IF(AE1133&gt;1E-9,IF(AE1133*(1+$G$54)-MAX($B$9,0.01*AE1133+AE1133*$G$54)&gt;1E-9,AE1133*(1+$G$54)-MAX($B$9,0.01*AE1133+AE1133*$G$54),0),0)</f>
        <v/>
      </c>
      <c r="AF1134">
        <f>AE1133*$G$54</f>
        <v/>
      </c>
      <c r="AG1134">
        <f>IF(AG1133&gt;1E-9,IF(AG1133*(1+$G$55)-MAX($B$9,0.01*AG1133+AG1133*$G$55)&gt;1E-9,AG1133*(1+$G$55)-MAX($B$9,0.01*AG1133+AG1133*$G$55),0),0)</f>
        <v/>
      </c>
      <c r="AH1134">
        <f>AG1133*$G$55</f>
        <v/>
      </c>
      <c r="AI1134">
        <f>G1134+K1134+O1134+S1134+W1134</f>
        <v/>
      </c>
      <c r="AJ1134">
        <f>AI1133+AK1134-AI1134</f>
        <v/>
      </c>
      <c r="AK1134">
        <f>H1134+L1134+P1134+T1134+X1134</f>
        <v/>
      </c>
      <c r="AL1134">
        <f>TEXT(EDATE($B$5,D1134-1),"mmm yyyy")</f>
        <v/>
      </c>
      <c r="AM1134">
        <f>AI1134</f>
        <v/>
      </c>
    </row>
    <row r="1135">
      <c r="D1135" t="n">
        <v>1074</v>
      </c>
      <c r="E1135">
        <f>IF(G1134&gt;0,MAX(0,G1134*(1+$G$51)-$H$51),0)</f>
        <v/>
      </c>
      <c r="F1135">
        <f>$B$6+IF($D1135=$B$8,$B$7,0)</f>
        <v/>
      </c>
      <c r="G1135">
        <f>IF(E1135-F1135&gt;1E-9,E1135-F1135,0)</f>
        <v/>
      </c>
      <c r="H1135">
        <f>G1134*$G$51</f>
        <v/>
      </c>
      <c r="I1135">
        <f>IF(K1134&gt;0,MAX(0,K1134*(1+$G$52)-$H$52),0)</f>
        <v/>
      </c>
      <c r="J1135">
        <f>MAX(0,F1135-E1135)</f>
        <v/>
      </c>
      <c r="K1135">
        <f>IF(I1135-J1135&gt;1E-9,I1135-J1135,0)</f>
        <v/>
      </c>
      <c r="L1135">
        <f>K1134*$G$52</f>
        <v/>
      </c>
      <c r="M1135">
        <f>IF(O1134&gt;0,MAX(0,O1134*(1+$G$53)-$H$53),0)</f>
        <v/>
      </c>
      <c r="N1135">
        <f>MAX(0,J1135-I1135)</f>
        <v/>
      </c>
      <c r="O1135">
        <f>IF(M1135-N1135&gt;1E-9,M1135-N1135,0)</f>
        <v/>
      </c>
      <c r="P1135">
        <f>O1134*$G$53</f>
        <v/>
      </c>
      <c r="Q1135">
        <f>IF(S1134&gt;0,MAX(0,S1134*(1+$G$54)-$H$54),0)</f>
        <v/>
      </c>
      <c r="R1135">
        <f>MAX(0,N1135-M1135)</f>
        <v/>
      </c>
      <c r="S1135">
        <f>IF(Q1135-R1135&gt;1E-9,Q1135-R1135,0)</f>
        <v/>
      </c>
      <c r="T1135">
        <f>S1134*$G$54</f>
        <v/>
      </c>
      <c r="U1135">
        <f>IF(W1134&gt;0,MAX(0,W1134*(1+$G$55)-$H$55),0)</f>
        <v/>
      </c>
      <c r="V1135">
        <f>MAX(0,R1135-Q1135)</f>
        <v/>
      </c>
      <c r="W1135">
        <f>IF(U1135-V1135&gt;1E-9,U1135-V1135,0)</f>
        <v/>
      </c>
      <c r="X1135">
        <f>W1134*$G$55</f>
        <v/>
      </c>
      <c r="Y1135">
        <f>IF(Y1134&gt;1E-9,IF(Y1134*(1+$G$51)-MAX($B$9,0.01*Y1134+Y1134*$G$51)&gt;1E-9,Y1134*(1+$G$51)-MAX($B$9,0.01*Y1134+Y1134*$G$51),0),0)</f>
        <v/>
      </c>
      <c r="Z1135">
        <f>Y1134*$G$51</f>
        <v/>
      </c>
      <c r="AA1135">
        <f>IF(AA1134&gt;1E-9,IF(AA1134*(1+$G$52)-MAX($B$9,0.01*AA1134+AA1134*$G$52)&gt;1E-9,AA1134*(1+$G$52)-MAX($B$9,0.01*AA1134+AA1134*$G$52),0),0)</f>
        <v/>
      </c>
      <c r="AB1135">
        <f>AA1134*$G$52</f>
        <v/>
      </c>
      <c r="AC1135">
        <f>IF(AC1134&gt;1E-9,IF(AC1134*(1+$G$53)-MAX($B$9,0.01*AC1134+AC1134*$G$53)&gt;1E-9,AC1134*(1+$G$53)-MAX($B$9,0.01*AC1134+AC1134*$G$53),0),0)</f>
        <v/>
      </c>
      <c r="AD1135">
        <f>AC1134*$G$53</f>
        <v/>
      </c>
      <c r="AE1135">
        <f>IF(AE1134&gt;1E-9,IF(AE1134*(1+$G$54)-MAX($B$9,0.01*AE1134+AE1134*$G$54)&gt;1E-9,AE1134*(1+$G$54)-MAX($B$9,0.01*AE1134+AE1134*$G$54),0),0)</f>
        <v/>
      </c>
      <c r="AF1135">
        <f>AE1134*$G$54</f>
        <v/>
      </c>
      <c r="AG1135">
        <f>IF(AG1134&gt;1E-9,IF(AG1134*(1+$G$55)-MAX($B$9,0.01*AG1134+AG1134*$G$55)&gt;1E-9,AG1134*(1+$G$55)-MAX($B$9,0.01*AG1134+AG1134*$G$55),0),0)</f>
        <v/>
      </c>
      <c r="AH1135">
        <f>AG1134*$G$55</f>
        <v/>
      </c>
      <c r="AI1135">
        <f>G1135+K1135+O1135+S1135+W1135</f>
        <v/>
      </c>
      <c r="AJ1135">
        <f>AI1134+AK1135-AI1135</f>
        <v/>
      </c>
      <c r="AK1135">
        <f>H1135+L1135+P1135+T1135+X1135</f>
        <v/>
      </c>
      <c r="AL1135">
        <f>TEXT(EDATE($B$5,D1135-1),"mmm yyyy")</f>
        <v/>
      </c>
      <c r="AM1135">
        <f>AI1135</f>
        <v/>
      </c>
    </row>
    <row r="1136">
      <c r="D1136" t="n">
        <v>1075</v>
      </c>
      <c r="E1136">
        <f>IF(G1135&gt;0,MAX(0,G1135*(1+$G$51)-$H$51),0)</f>
        <v/>
      </c>
      <c r="F1136">
        <f>$B$6+IF($D1136=$B$8,$B$7,0)</f>
        <v/>
      </c>
      <c r="G1136">
        <f>IF(E1136-F1136&gt;1E-9,E1136-F1136,0)</f>
        <v/>
      </c>
      <c r="H1136">
        <f>G1135*$G$51</f>
        <v/>
      </c>
      <c r="I1136">
        <f>IF(K1135&gt;0,MAX(0,K1135*(1+$G$52)-$H$52),0)</f>
        <v/>
      </c>
      <c r="J1136">
        <f>MAX(0,F1136-E1136)</f>
        <v/>
      </c>
      <c r="K1136">
        <f>IF(I1136-J1136&gt;1E-9,I1136-J1136,0)</f>
        <v/>
      </c>
      <c r="L1136">
        <f>K1135*$G$52</f>
        <v/>
      </c>
      <c r="M1136">
        <f>IF(O1135&gt;0,MAX(0,O1135*(1+$G$53)-$H$53),0)</f>
        <v/>
      </c>
      <c r="N1136">
        <f>MAX(0,J1136-I1136)</f>
        <v/>
      </c>
      <c r="O1136">
        <f>IF(M1136-N1136&gt;1E-9,M1136-N1136,0)</f>
        <v/>
      </c>
      <c r="P1136">
        <f>O1135*$G$53</f>
        <v/>
      </c>
      <c r="Q1136">
        <f>IF(S1135&gt;0,MAX(0,S1135*(1+$G$54)-$H$54),0)</f>
        <v/>
      </c>
      <c r="R1136">
        <f>MAX(0,N1136-M1136)</f>
        <v/>
      </c>
      <c r="S1136">
        <f>IF(Q1136-R1136&gt;1E-9,Q1136-R1136,0)</f>
        <v/>
      </c>
      <c r="T1136">
        <f>S1135*$G$54</f>
        <v/>
      </c>
      <c r="U1136">
        <f>IF(W1135&gt;0,MAX(0,W1135*(1+$G$55)-$H$55),0)</f>
        <v/>
      </c>
      <c r="V1136">
        <f>MAX(0,R1136-Q1136)</f>
        <v/>
      </c>
      <c r="W1136">
        <f>IF(U1136-V1136&gt;1E-9,U1136-V1136,0)</f>
        <v/>
      </c>
      <c r="X1136">
        <f>W1135*$G$55</f>
        <v/>
      </c>
      <c r="Y1136">
        <f>IF(Y1135&gt;1E-9,IF(Y1135*(1+$G$51)-MAX($B$9,0.01*Y1135+Y1135*$G$51)&gt;1E-9,Y1135*(1+$G$51)-MAX($B$9,0.01*Y1135+Y1135*$G$51),0),0)</f>
        <v/>
      </c>
      <c r="Z1136">
        <f>Y1135*$G$51</f>
        <v/>
      </c>
      <c r="AA1136">
        <f>IF(AA1135&gt;1E-9,IF(AA1135*(1+$G$52)-MAX($B$9,0.01*AA1135+AA1135*$G$52)&gt;1E-9,AA1135*(1+$G$52)-MAX($B$9,0.01*AA1135+AA1135*$G$52),0),0)</f>
        <v/>
      </c>
      <c r="AB1136">
        <f>AA1135*$G$52</f>
        <v/>
      </c>
      <c r="AC1136">
        <f>IF(AC1135&gt;1E-9,IF(AC1135*(1+$G$53)-MAX($B$9,0.01*AC1135+AC1135*$G$53)&gt;1E-9,AC1135*(1+$G$53)-MAX($B$9,0.01*AC1135+AC1135*$G$53),0),0)</f>
        <v/>
      </c>
      <c r="AD1136">
        <f>AC1135*$G$53</f>
        <v/>
      </c>
      <c r="AE1136">
        <f>IF(AE1135&gt;1E-9,IF(AE1135*(1+$G$54)-MAX($B$9,0.01*AE1135+AE1135*$G$54)&gt;1E-9,AE1135*(1+$G$54)-MAX($B$9,0.01*AE1135+AE1135*$G$54),0),0)</f>
        <v/>
      </c>
      <c r="AF1136">
        <f>AE1135*$G$54</f>
        <v/>
      </c>
      <c r="AG1136">
        <f>IF(AG1135&gt;1E-9,IF(AG1135*(1+$G$55)-MAX($B$9,0.01*AG1135+AG1135*$G$55)&gt;1E-9,AG1135*(1+$G$55)-MAX($B$9,0.01*AG1135+AG1135*$G$55),0),0)</f>
        <v/>
      </c>
      <c r="AH1136">
        <f>AG1135*$G$55</f>
        <v/>
      </c>
      <c r="AI1136">
        <f>G1136+K1136+O1136+S1136+W1136</f>
        <v/>
      </c>
      <c r="AJ1136">
        <f>AI1135+AK1136-AI1136</f>
        <v/>
      </c>
      <c r="AK1136">
        <f>H1136+L1136+P1136+T1136+X1136</f>
        <v/>
      </c>
      <c r="AL1136">
        <f>TEXT(EDATE($B$5,D1136-1),"mmm yyyy")</f>
        <v/>
      </c>
      <c r="AM1136">
        <f>AI1136</f>
        <v/>
      </c>
    </row>
    <row r="1137">
      <c r="D1137" t="n">
        <v>1076</v>
      </c>
      <c r="E1137">
        <f>IF(G1136&gt;0,MAX(0,G1136*(1+$G$51)-$H$51),0)</f>
        <v/>
      </c>
      <c r="F1137">
        <f>$B$6+IF($D1137=$B$8,$B$7,0)</f>
        <v/>
      </c>
      <c r="G1137">
        <f>IF(E1137-F1137&gt;1E-9,E1137-F1137,0)</f>
        <v/>
      </c>
      <c r="H1137">
        <f>G1136*$G$51</f>
        <v/>
      </c>
      <c r="I1137">
        <f>IF(K1136&gt;0,MAX(0,K1136*(1+$G$52)-$H$52),0)</f>
        <v/>
      </c>
      <c r="J1137">
        <f>MAX(0,F1137-E1137)</f>
        <v/>
      </c>
      <c r="K1137">
        <f>IF(I1137-J1137&gt;1E-9,I1137-J1137,0)</f>
        <v/>
      </c>
      <c r="L1137">
        <f>K1136*$G$52</f>
        <v/>
      </c>
      <c r="M1137">
        <f>IF(O1136&gt;0,MAX(0,O1136*(1+$G$53)-$H$53),0)</f>
        <v/>
      </c>
      <c r="N1137">
        <f>MAX(0,J1137-I1137)</f>
        <v/>
      </c>
      <c r="O1137">
        <f>IF(M1137-N1137&gt;1E-9,M1137-N1137,0)</f>
        <v/>
      </c>
      <c r="P1137">
        <f>O1136*$G$53</f>
        <v/>
      </c>
      <c r="Q1137">
        <f>IF(S1136&gt;0,MAX(0,S1136*(1+$G$54)-$H$54),0)</f>
        <v/>
      </c>
      <c r="R1137">
        <f>MAX(0,N1137-M1137)</f>
        <v/>
      </c>
      <c r="S1137">
        <f>IF(Q1137-R1137&gt;1E-9,Q1137-R1137,0)</f>
        <v/>
      </c>
      <c r="T1137">
        <f>S1136*$G$54</f>
        <v/>
      </c>
      <c r="U1137">
        <f>IF(W1136&gt;0,MAX(0,W1136*(1+$G$55)-$H$55),0)</f>
        <v/>
      </c>
      <c r="V1137">
        <f>MAX(0,R1137-Q1137)</f>
        <v/>
      </c>
      <c r="W1137">
        <f>IF(U1137-V1137&gt;1E-9,U1137-V1137,0)</f>
        <v/>
      </c>
      <c r="X1137">
        <f>W1136*$G$55</f>
        <v/>
      </c>
      <c r="Y1137">
        <f>IF(Y1136&gt;1E-9,IF(Y1136*(1+$G$51)-MAX($B$9,0.01*Y1136+Y1136*$G$51)&gt;1E-9,Y1136*(1+$G$51)-MAX($B$9,0.01*Y1136+Y1136*$G$51),0),0)</f>
        <v/>
      </c>
      <c r="Z1137">
        <f>Y1136*$G$51</f>
        <v/>
      </c>
      <c r="AA1137">
        <f>IF(AA1136&gt;1E-9,IF(AA1136*(1+$G$52)-MAX($B$9,0.01*AA1136+AA1136*$G$52)&gt;1E-9,AA1136*(1+$G$52)-MAX($B$9,0.01*AA1136+AA1136*$G$52),0),0)</f>
        <v/>
      </c>
      <c r="AB1137">
        <f>AA1136*$G$52</f>
        <v/>
      </c>
      <c r="AC1137">
        <f>IF(AC1136&gt;1E-9,IF(AC1136*(1+$G$53)-MAX($B$9,0.01*AC1136+AC1136*$G$53)&gt;1E-9,AC1136*(1+$G$53)-MAX($B$9,0.01*AC1136+AC1136*$G$53),0),0)</f>
        <v/>
      </c>
      <c r="AD1137">
        <f>AC1136*$G$53</f>
        <v/>
      </c>
      <c r="AE1137">
        <f>IF(AE1136&gt;1E-9,IF(AE1136*(1+$G$54)-MAX($B$9,0.01*AE1136+AE1136*$G$54)&gt;1E-9,AE1136*(1+$G$54)-MAX($B$9,0.01*AE1136+AE1136*$G$54),0),0)</f>
        <v/>
      </c>
      <c r="AF1137">
        <f>AE1136*$G$54</f>
        <v/>
      </c>
      <c r="AG1137">
        <f>IF(AG1136&gt;1E-9,IF(AG1136*(1+$G$55)-MAX($B$9,0.01*AG1136+AG1136*$G$55)&gt;1E-9,AG1136*(1+$G$55)-MAX($B$9,0.01*AG1136+AG1136*$G$55),0),0)</f>
        <v/>
      </c>
      <c r="AH1137">
        <f>AG1136*$G$55</f>
        <v/>
      </c>
      <c r="AI1137">
        <f>G1137+K1137+O1137+S1137+W1137</f>
        <v/>
      </c>
      <c r="AJ1137">
        <f>AI1136+AK1137-AI1137</f>
        <v/>
      </c>
      <c r="AK1137">
        <f>H1137+L1137+P1137+T1137+X1137</f>
        <v/>
      </c>
      <c r="AL1137">
        <f>TEXT(EDATE($B$5,D1137-1),"mmm yyyy")</f>
        <v/>
      </c>
      <c r="AM1137">
        <f>AI1137</f>
        <v/>
      </c>
    </row>
    <row r="1138">
      <c r="D1138" t="n">
        <v>1077</v>
      </c>
      <c r="E1138">
        <f>IF(G1137&gt;0,MAX(0,G1137*(1+$G$51)-$H$51),0)</f>
        <v/>
      </c>
      <c r="F1138">
        <f>$B$6+IF($D1138=$B$8,$B$7,0)</f>
        <v/>
      </c>
      <c r="G1138">
        <f>IF(E1138-F1138&gt;1E-9,E1138-F1138,0)</f>
        <v/>
      </c>
      <c r="H1138">
        <f>G1137*$G$51</f>
        <v/>
      </c>
      <c r="I1138">
        <f>IF(K1137&gt;0,MAX(0,K1137*(1+$G$52)-$H$52),0)</f>
        <v/>
      </c>
      <c r="J1138">
        <f>MAX(0,F1138-E1138)</f>
        <v/>
      </c>
      <c r="K1138">
        <f>IF(I1138-J1138&gt;1E-9,I1138-J1138,0)</f>
        <v/>
      </c>
      <c r="L1138">
        <f>K1137*$G$52</f>
        <v/>
      </c>
      <c r="M1138">
        <f>IF(O1137&gt;0,MAX(0,O1137*(1+$G$53)-$H$53),0)</f>
        <v/>
      </c>
      <c r="N1138">
        <f>MAX(0,J1138-I1138)</f>
        <v/>
      </c>
      <c r="O1138">
        <f>IF(M1138-N1138&gt;1E-9,M1138-N1138,0)</f>
        <v/>
      </c>
      <c r="P1138">
        <f>O1137*$G$53</f>
        <v/>
      </c>
      <c r="Q1138">
        <f>IF(S1137&gt;0,MAX(0,S1137*(1+$G$54)-$H$54),0)</f>
        <v/>
      </c>
      <c r="R1138">
        <f>MAX(0,N1138-M1138)</f>
        <v/>
      </c>
      <c r="S1138">
        <f>IF(Q1138-R1138&gt;1E-9,Q1138-R1138,0)</f>
        <v/>
      </c>
      <c r="T1138">
        <f>S1137*$G$54</f>
        <v/>
      </c>
      <c r="U1138">
        <f>IF(W1137&gt;0,MAX(0,W1137*(1+$G$55)-$H$55),0)</f>
        <v/>
      </c>
      <c r="V1138">
        <f>MAX(0,R1138-Q1138)</f>
        <v/>
      </c>
      <c r="W1138">
        <f>IF(U1138-V1138&gt;1E-9,U1138-V1138,0)</f>
        <v/>
      </c>
      <c r="X1138">
        <f>W1137*$G$55</f>
        <v/>
      </c>
      <c r="Y1138">
        <f>IF(Y1137&gt;1E-9,IF(Y1137*(1+$G$51)-MAX($B$9,0.01*Y1137+Y1137*$G$51)&gt;1E-9,Y1137*(1+$G$51)-MAX($B$9,0.01*Y1137+Y1137*$G$51),0),0)</f>
        <v/>
      </c>
      <c r="Z1138">
        <f>Y1137*$G$51</f>
        <v/>
      </c>
      <c r="AA1138">
        <f>IF(AA1137&gt;1E-9,IF(AA1137*(1+$G$52)-MAX($B$9,0.01*AA1137+AA1137*$G$52)&gt;1E-9,AA1137*(1+$G$52)-MAX($B$9,0.01*AA1137+AA1137*$G$52),0),0)</f>
        <v/>
      </c>
      <c r="AB1138">
        <f>AA1137*$G$52</f>
        <v/>
      </c>
      <c r="AC1138">
        <f>IF(AC1137&gt;1E-9,IF(AC1137*(1+$G$53)-MAX($B$9,0.01*AC1137+AC1137*$G$53)&gt;1E-9,AC1137*(1+$G$53)-MAX($B$9,0.01*AC1137+AC1137*$G$53),0),0)</f>
        <v/>
      </c>
      <c r="AD1138">
        <f>AC1137*$G$53</f>
        <v/>
      </c>
      <c r="AE1138">
        <f>IF(AE1137&gt;1E-9,IF(AE1137*(1+$G$54)-MAX($B$9,0.01*AE1137+AE1137*$G$54)&gt;1E-9,AE1137*(1+$G$54)-MAX($B$9,0.01*AE1137+AE1137*$G$54),0),0)</f>
        <v/>
      </c>
      <c r="AF1138">
        <f>AE1137*$G$54</f>
        <v/>
      </c>
      <c r="AG1138">
        <f>IF(AG1137&gt;1E-9,IF(AG1137*(1+$G$55)-MAX($B$9,0.01*AG1137+AG1137*$G$55)&gt;1E-9,AG1137*(1+$G$55)-MAX($B$9,0.01*AG1137+AG1137*$G$55),0),0)</f>
        <v/>
      </c>
      <c r="AH1138">
        <f>AG1137*$G$55</f>
        <v/>
      </c>
      <c r="AI1138">
        <f>G1138+K1138+O1138+S1138+W1138</f>
        <v/>
      </c>
      <c r="AJ1138">
        <f>AI1137+AK1138-AI1138</f>
        <v/>
      </c>
      <c r="AK1138">
        <f>H1138+L1138+P1138+T1138+X1138</f>
        <v/>
      </c>
      <c r="AL1138">
        <f>TEXT(EDATE($B$5,D1138-1),"mmm yyyy")</f>
        <v/>
      </c>
      <c r="AM1138">
        <f>AI1138</f>
        <v/>
      </c>
    </row>
    <row r="1139">
      <c r="D1139" t="n">
        <v>1078</v>
      </c>
      <c r="E1139">
        <f>IF(G1138&gt;0,MAX(0,G1138*(1+$G$51)-$H$51),0)</f>
        <v/>
      </c>
      <c r="F1139">
        <f>$B$6+IF($D1139=$B$8,$B$7,0)</f>
        <v/>
      </c>
      <c r="G1139">
        <f>IF(E1139-F1139&gt;1E-9,E1139-F1139,0)</f>
        <v/>
      </c>
      <c r="H1139">
        <f>G1138*$G$51</f>
        <v/>
      </c>
      <c r="I1139">
        <f>IF(K1138&gt;0,MAX(0,K1138*(1+$G$52)-$H$52),0)</f>
        <v/>
      </c>
      <c r="J1139">
        <f>MAX(0,F1139-E1139)</f>
        <v/>
      </c>
      <c r="K1139">
        <f>IF(I1139-J1139&gt;1E-9,I1139-J1139,0)</f>
        <v/>
      </c>
      <c r="L1139">
        <f>K1138*$G$52</f>
        <v/>
      </c>
      <c r="M1139">
        <f>IF(O1138&gt;0,MAX(0,O1138*(1+$G$53)-$H$53),0)</f>
        <v/>
      </c>
      <c r="N1139">
        <f>MAX(0,J1139-I1139)</f>
        <v/>
      </c>
      <c r="O1139">
        <f>IF(M1139-N1139&gt;1E-9,M1139-N1139,0)</f>
        <v/>
      </c>
      <c r="P1139">
        <f>O1138*$G$53</f>
        <v/>
      </c>
      <c r="Q1139">
        <f>IF(S1138&gt;0,MAX(0,S1138*(1+$G$54)-$H$54),0)</f>
        <v/>
      </c>
      <c r="R1139">
        <f>MAX(0,N1139-M1139)</f>
        <v/>
      </c>
      <c r="S1139">
        <f>IF(Q1139-R1139&gt;1E-9,Q1139-R1139,0)</f>
        <v/>
      </c>
      <c r="T1139">
        <f>S1138*$G$54</f>
        <v/>
      </c>
      <c r="U1139">
        <f>IF(W1138&gt;0,MAX(0,W1138*(1+$G$55)-$H$55),0)</f>
        <v/>
      </c>
      <c r="V1139">
        <f>MAX(0,R1139-Q1139)</f>
        <v/>
      </c>
      <c r="W1139">
        <f>IF(U1139-V1139&gt;1E-9,U1139-V1139,0)</f>
        <v/>
      </c>
      <c r="X1139">
        <f>W1138*$G$55</f>
        <v/>
      </c>
      <c r="Y1139">
        <f>IF(Y1138&gt;1E-9,IF(Y1138*(1+$G$51)-MAX($B$9,0.01*Y1138+Y1138*$G$51)&gt;1E-9,Y1138*(1+$G$51)-MAX($B$9,0.01*Y1138+Y1138*$G$51),0),0)</f>
        <v/>
      </c>
      <c r="Z1139">
        <f>Y1138*$G$51</f>
        <v/>
      </c>
      <c r="AA1139">
        <f>IF(AA1138&gt;1E-9,IF(AA1138*(1+$G$52)-MAX($B$9,0.01*AA1138+AA1138*$G$52)&gt;1E-9,AA1138*(1+$G$52)-MAX($B$9,0.01*AA1138+AA1138*$G$52),0),0)</f>
        <v/>
      </c>
      <c r="AB1139">
        <f>AA1138*$G$52</f>
        <v/>
      </c>
      <c r="AC1139">
        <f>IF(AC1138&gt;1E-9,IF(AC1138*(1+$G$53)-MAX($B$9,0.01*AC1138+AC1138*$G$53)&gt;1E-9,AC1138*(1+$G$53)-MAX($B$9,0.01*AC1138+AC1138*$G$53),0),0)</f>
        <v/>
      </c>
      <c r="AD1139">
        <f>AC1138*$G$53</f>
        <v/>
      </c>
      <c r="AE1139">
        <f>IF(AE1138&gt;1E-9,IF(AE1138*(1+$G$54)-MAX($B$9,0.01*AE1138+AE1138*$G$54)&gt;1E-9,AE1138*(1+$G$54)-MAX($B$9,0.01*AE1138+AE1138*$G$54),0),0)</f>
        <v/>
      </c>
      <c r="AF1139">
        <f>AE1138*$G$54</f>
        <v/>
      </c>
      <c r="AG1139">
        <f>IF(AG1138&gt;1E-9,IF(AG1138*(1+$G$55)-MAX($B$9,0.01*AG1138+AG1138*$G$55)&gt;1E-9,AG1138*(1+$G$55)-MAX($B$9,0.01*AG1138+AG1138*$G$55),0),0)</f>
        <v/>
      </c>
      <c r="AH1139">
        <f>AG1138*$G$55</f>
        <v/>
      </c>
      <c r="AI1139">
        <f>G1139+K1139+O1139+S1139+W1139</f>
        <v/>
      </c>
      <c r="AJ1139">
        <f>AI1138+AK1139-AI1139</f>
        <v/>
      </c>
      <c r="AK1139">
        <f>H1139+L1139+P1139+T1139+X1139</f>
        <v/>
      </c>
      <c r="AL1139">
        <f>TEXT(EDATE($B$5,D1139-1),"mmm yyyy")</f>
        <v/>
      </c>
      <c r="AM1139">
        <f>AI1139</f>
        <v/>
      </c>
    </row>
    <row r="1140">
      <c r="D1140" t="n">
        <v>1079</v>
      </c>
      <c r="E1140">
        <f>IF(G1139&gt;0,MAX(0,G1139*(1+$G$51)-$H$51),0)</f>
        <v/>
      </c>
      <c r="F1140">
        <f>$B$6+IF($D1140=$B$8,$B$7,0)</f>
        <v/>
      </c>
      <c r="G1140">
        <f>IF(E1140-F1140&gt;1E-9,E1140-F1140,0)</f>
        <v/>
      </c>
      <c r="H1140">
        <f>G1139*$G$51</f>
        <v/>
      </c>
      <c r="I1140">
        <f>IF(K1139&gt;0,MAX(0,K1139*(1+$G$52)-$H$52),0)</f>
        <v/>
      </c>
      <c r="J1140">
        <f>MAX(0,F1140-E1140)</f>
        <v/>
      </c>
      <c r="K1140">
        <f>IF(I1140-J1140&gt;1E-9,I1140-J1140,0)</f>
        <v/>
      </c>
      <c r="L1140">
        <f>K1139*$G$52</f>
        <v/>
      </c>
      <c r="M1140">
        <f>IF(O1139&gt;0,MAX(0,O1139*(1+$G$53)-$H$53),0)</f>
        <v/>
      </c>
      <c r="N1140">
        <f>MAX(0,J1140-I1140)</f>
        <v/>
      </c>
      <c r="O1140">
        <f>IF(M1140-N1140&gt;1E-9,M1140-N1140,0)</f>
        <v/>
      </c>
      <c r="P1140">
        <f>O1139*$G$53</f>
        <v/>
      </c>
      <c r="Q1140">
        <f>IF(S1139&gt;0,MAX(0,S1139*(1+$G$54)-$H$54),0)</f>
        <v/>
      </c>
      <c r="R1140">
        <f>MAX(0,N1140-M1140)</f>
        <v/>
      </c>
      <c r="S1140">
        <f>IF(Q1140-R1140&gt;1E-9,Q1140-R1140,0)</f>
        <v/>
      </c>
      <c r="T1140">
        <f>S1139*$G$54</f>
        <v/>
      </c>
      <c r="U1140">
        <f>IF(W1139&gt;0,MAX(0,W1139*(1+$G$55)-$H$55),0)</f>
        <v/>
      </c>
      <c r="V1140">
        <f>MAX(0,R1140-Q1140)</f>
        <v/>
      </c>
      <c r="W1140">
        <f>IF(U1140-V1140&gt;1E-9,U1140-V1140,0)</f>
        <v/>
      </c>
      <c r="X1140">
        <f>W1139*$G$55</f>
        <v/>
      </c>
      <c r="Y1140">
        <f>IF(Y1139&gt;1E-9,IF(Y1139*(1+$G$51)-MAX($B$9,0.01*Y1139+Y1139*$G$51)&gt;1E-9,Y1139*(1+$G$51)-MAX($B$9,0.01*Y1139+Y1139*$G$51),0),0)</f>
        <v/>
      </c>
      <c r="Z1140">
        <f>Y1139*$G$51</f>
        <v/>
      </c>
      <c r="AA1140">
        <f>IF(AA1139&gt;1E-9,IF(AA1139*(1+$G$52)-MAX($B$9,0.01*AA1139+AA1139*$G$52)&gt;1E-9,AA1139*(1+$G$52)-MAX($B$9,0.01*AA1139+AA1139*$G$52),0),0)</f>
        <v/>
      </c>
      <c r="AB1140">
        <f>AA1139*$G$52</f>
        <v/>
      </c>
      <c r="AC1140">
        <f>IF(AC1139&gt;1E-9,IF(AC1139*(1+$G$53)-MAX($B$9,0.01*AC1139+AC1139*$G$53)&gt;1E-9,AC1139*(1+$G$53)-MAX($B$9,0.01*AC1139+AC1139*$G$53),0),0)</f>
        <v/>
      </c>
      <c r="AD1140">
        <f>AC1139*$G$53</f>
        <v/>
      </c>
      <c r="AE1140">
        <f>IF(AE1139&gt;1E-9,IF(AE1139*(1+$G$54)-MAX($B$9,0.01*AE1139+AE1139*$G$54)&gt;1E-9,AE1139*(1+$G$54)-MAX($B$9,0.01*AE1139+AE1139*$G$54),0),0)</f>
        <v/>
      </c>
      <c r="AF1140">
        <f>AE1139*$G$54</f>
        <v/>
      </c>
      <c r="AG1140">
        <f>IF(AG1139&gt;1E-9,IF(AG1139*(1+$G$55)-MAX($B$9,0.01*AG1139+AG1139*$G$55)&gt;1E-9,AG1139*(1+$G$55)-MAX($B$9,0.01*AG1139+AG1139*$G$55),0),0)</f>
        <v/>
      </c>
      <c r="AH1140">
        <f>AG1139*$G$55</f>
        <v/>
      </c>
      <c r="AI1140">
        <f>G1140+K1140+O1140+S1140+W1140</f>
        <v/>
      </c>
      <c r="AJ1140">
        <f>AI1139+AK1140-AI1140</f>
        <v/>
      </c>
      <c r="AK1140">
        <f>H1140+L1140+P1140+T1140+X1140</f>
        <v/>
      </c>
      <c r="AL1140">
        <f>TEXT(EDATE($B$5,D1140-1),"mmm yyyy")</f>
        <v/>
      </c>
      <c r="AM1140">
        <f>AI1140</f>
        <v/>
      </c>
    </row>
    <row r="1141">
      <c r="D1141" t="n">
        <v>1080</v>
      </c>
      <c r="E1141">
        <f>IF(G1140&gt;0,MAX(0,G1140*(1+$G$51)-$H$51),0)</f>
        <v/>
      </c>
      <c r="F1141">
        <f>$B$6+IF($D1141=$B$8,$B$7,0)</f>
        <v/>
      </c>
      <c r="G1141">
        <f>IF(E1141-F1141&gt;1E-9,E1141-F1141,0)</f>
        <v/>
      </c>
      <c r="H1141">
        <f>G1140*$G$51</f>
        <v/>
      </c>
      <c r="I1141">
        <f>IF(K1140&gt;0,MAX(0,K1140*(1+$G$52)-$H$52),0)</f>
        <v/>
      </c>
      <c r="J1141">
        <f>MAX(0,F1141-E1141)</f>
        <v/>
      </c>
      <c r="K1141">
        <f>IF(I1141-J1141&gt;1E-9,I1141-J1141,0)</f>
        <v/>
      </c>
      <c r="L1141">
        <f>K1140*$G$52</f>
        <v/>
      </c>
      <c r="M1141">
        <f>IF(O1140&gt;0,MAX(0,O1140*(1+$G$53)-$H$53),0)</f>
        <v/>
      </c>
      <c r="N1141">
        <f>MAX(0,J1141-I1141)</f>
        <v/>
      </c>
      <c r="O1141">
        <f>IF(M1141-N1141&gt;1E-9,M1141-N1141,0)</f>
        <v/>
      </c>
      <c r="P1141">
        <f>O1140*$G$53</f>
        <v/>
      </c>
      <c r="Q1141">
        <f>IF(S1140&gt;0,MAX(0,S1140*(1+$G$54)-$H$54),0)</f>
        <v/>
      </c>
      <c r="R1141">
        <f>MAX(0,N1141-M1141)</f>
        <v/>
      </c>
      <c r="S1141">
        <f>IF(Q1141-R1141&gt;1E-9,Q1141-R1141,0)</f>
        <v/>
      </c>
      <c r="T1141">
        <f>S1140*$G$54</f>
        <v/>
      </c>
      <c r="U1141">
        <f>IF(W1140&gt;0,MAX(0,W1140*(1+$G$55)-$H$55),0)</f>
        <v/>
      </c>
      <c r="V1141">
        <f>MAX(0,R1141-Q1141)</f>
        <v/>
      </c>
      <c r="W1141">
        <f>IF(U1141-V1141&gt;1E-9,U1141-V1141,0)</f>
        <v/>
      </c>
      <c r="X1141">
        <f>W1140*$G$55</f>
        <v/>
      </c>
      <c r="Y1141">
        <f>IF(Y1140&gt;1E-9,IF(Y1140*(1+$G$51)-MAX($B$9,0.01*Y1140+Y1140*$G$51)&gt;1E-9,Y1140*(1+$G$51)-MAX($B$9,0.01*Y1140+Y1140*$G$51),0),0)</f>
        <v/>
      </c>
      <c r="Z1141">
        <f>Y1140*$G$51</f>
        <v/>
      </c>
      <c r="AA1141">
        <f>IF(AA1140&gt;1E-9,IF(AA1140*(1+$G$52)-MAX($B$9,0.01*AA1140+AA1140*$G$52)&gt;1E-9,AA1140*(1+$G$52)-MAX($B$9,0.01*AA1140+AA1140*$G$52),0),0)</f>
        <v/>
      </c>
      <c r="AB1141">
        <f>AA1140*$G$52</f>
        <v/>
      </c>
      <c r="AC1141">
        <f>IF(AC1140&gt;1E-9,IF(AC1140*(1+$G$53)-MAX($B$9,0.01*AC1140+AC1140*$G$53)&gt;1E-9,AC1140*(1+$G$53)-MAX($B$9,0.01*AC1140+AC1140*$G$53),0),0)</f>
        <v/>
      </c>
      <c r="AD1141">
        <f>AC1140*$G$53</f>
        <v/>
      </c>
      <c r="AE1141">
        <f>IF(AE1140&gt;1E-9,IF(AE1140*(1+$G$54)-MAX($B$9,0.01*AE1140+AE1140*$G$54)&gt;1E-9,AE1140*(1+$G$54)-MAX($B$9,0.01*AE1140+AE1140*$G$54),0),0)</f>
        <v/>
      </c>
      <c r="AF1141">
        <f>AE1140*$G$54</f>
        <v/>
      </c>
      <c r="AG1141">
        <f>IF(AG1140&gt;1E-9,IF(AG1140*(1+$G$55)-MAX($B$9,0.01*AG1140+AG1140*$G$55)&gt;1E-9,AG1140*(1+$G$55)-MAX($B$9,0.01*AG1140+AG1140*$G$55),0),0)</f>
        <v/>
      </c>
      <c r="AH1141">
        <f>AG1140*$G$55</f>
        <v/>
      </c>
      <c r="AI1141">
        <f>G1141+K1141+O1141+S1141+W1141</f>
        <v/>
      </c>
      <c r="AJ1141">
        <f>AI1140+AK1141-AI1141</f>
        <v/>
      </c>
      <c r="AK1141">
        <f>H1141+L1141+P1141+T1141+X1141</f>
        <v/>
      </c>
      <c r="AL1141">
        <f>TEXT(EDATE($B$5,D1141-1),"mmm yyyy")</f>
        <v/>
      </c>
      <c r="AM1141">
        <f>AI1141</f>
        <v/>
      </c>
    </row>
    <row r="1142">
      <c r="D1142" t="n">
        <v>1081</v>
      </c>
      <c r="E1142">
        <f>IF(G1141&gt;0,MAX(0,G1141*(1+$G$51)-$H$51),0)</f>
        <v/>
      </c>
      <c r="F1142">
        <f>$B$6+IF($D1142=$B$8,$B$7,0)</f>
        <v/>
      </c>
      <c r="G1142">
        <f>IF(E1142-F1142&gt;1E-9,E1142-F1142,0)</f>
        <v/>
      </c>
      <c r="H1142">
        <f>G1141*$G$51</f>
        <v/>
      </c>
      <c r="I1142">
        <f>IF(K1141&gt;0,MAX(0,K1141*(1+$G$52)-$H$52),0)</f>
        <v/>
      </c>
      <c r="J1142">
        <f>MAX(0,F1142-E1142)</f>
        <v/>
      </c>
      <c r="K1142">
        <f>IF(I1142-J1142&gt;1E-9,I1142-J1142,0)</f>
        <v/>
      </c>
      <c r="L1142">
        <f>K1141*$G$52</f>
        <v/>
      </c>
      <c r="M1142">
        <f>IF(O1141&gt;0,MAX(0,O1141*(1+$G$53)-$H$53),0)</f>
        <v/>
      </c>
      <c r="N1142">
        <f>MAX(0,J1142-I1142)</f>
        <v/>
      </c>
      <c r="O1142">
        <f>IF(M1142-N1142&gt;1E-9,M1142-N1142,0)</f>
        <v/>
      </c>
      <c r="P1142">
        <f>O1141*$G$53</f>
        <v/>
      </c>
      <c r="Q1142">
        <f>IF(S1141&gt;0,MAX(0,S1141*(1+$G$54)-$H$54),0)</f>
        <v/>
      </c>
      <c r="R1142">
        <f>MAX(0,N1142-M1142)</f>
        <v/>
      </c>
      <c r="S1142">
        <f>IF(Q1142-R1142&gt;1E-9,Q1142-R1142,0)</f>
        <v/>
      </c>
      <c r="T1142">
        <f>S1141*$G$54</f>
        <v/>
      </c>
      <c r="U1142">
        <f>IF(W1141&gt;0,MAX(0,W1141*(1+$G$55)-$H$55),0)</f>
        <v/>
      </c>
      <c r="V1142">
        <f>MAX(0,R1142-Q1142)</f>
        <v/>
      </c>
      <c r="W1142">
        <f>IF(U1142-V1142&gt;1E-9,U1142-V1142,0)</f>
        <v/>
      </c>
      <c r="X1142">
        <f>W1141*$G$55</f>
        <v/>
      </c>
      <c r="Y1142">
        <f>IF(Y1141&gt;1E-9,IF(Y1141*(1+$G$51)-MAX($B$9,0.01*Y1141+Y1141*$G$51)&gt;1E-9,Y1141*(1+$G$51)-MAX($B$9,0.01*Y1141+Y1141*$G$51),0),0)</f>
        <v/>
      </c>
      <c r="Z1142">
        <f>Y1141*$G$51</f>
        <v/>
      </c>
      <c r="AA1142">
        <f>IF(AA1141&gt;1E-9,IF(AA1141*(1+$G$52)-MAX($B$9,0.01*AA1141+AA1141*$G$52)&gt;1E-9,AA1141*(1+$G$52)-MAX($B$9,0.01*AA1141+AA1141*$G$52),0),0)</f>
        <v/>
      </c>
      <c r="AB1142">
        <f>AA1141*$G$52</f>
        <v/>
      </c>
      <c r="AC1142">
        <f>IF(AC1141&gt;1E-9,IF(AC1141*(1+$G$53)-MAX($B$9,0.01*AC1141+AC1141*$G$53)&gt;1E-9,AC1141*(1+$G$53)-MAX($B$9,0.01*AC1141+AC1141*$G$53),0),0)</f>
        <v/>
      </c>
      <c r="AD1142">
        <f>AC1141*$G$53</f>
        <v/>
      </c>
      <c r="AE1142">
        <f>IF(AE1141&gt;1E-9,IF(AE1141*(1+$G$54)-MAX($B$9,0.01*AE1141+AE1141*$G$54)&gt;1E-9,AE1141*(1+$G$54)-MAX($B$9,0.01*AE1141+AE1141*$G$54),0),0)</f>
        <v/>
      </c>
      <c r="AF1142">
        <f>AE1141*$G$54</f>
        <v/>
      </c>
      <c r="AG1142">
        <f>IF(AG1141&gt;1E-9,IF(AG1141*(1+$G$55)-MAX($B$9,0.01*AG1141+AG1141*$G$55)&gt;1E-9,AG1141*(1+$G$55)-MAX($B$9,0.01*AG1141+AG1141*$G$55),0),0)</f>
        <v/>
      </c>
      <c r="AH1142">
        <f>AG1141*$G$55</f>
        <v/>
      </c>
      <c r="AI1142">
        <f>G1142+K1142+O1142+S1142+W1142</f>
        <v/>
      </c>
      <c r="AJ1142">
        <f>AI1141+AK1142-AI1142</f>
        <v/>
      </c>
      <c r="AK1142">
        <f>H1142+L1142+P1142+T1142+X1142</f>
        <v/>
      </c>
      <c r="AL1142">
        <f>TEXT(EDATE($B$5,D1142-1),"mmm yyyy")</f>
        <v/>
      </c>
      <c r="AM1142">
        <f>AI1142</f>
        <v/>
      </c>
    </row>
    <row r="1143">
      <c r="D1143" t="n">
        <v>1082</v>
      </c>
      <c r="E1143">
        <f>IF(G1142&gt;0,MAX(0,G1142*(1+$G$51)-$H$51),0)</f>
        <v/>
      </c>
      <c r="F1143">
        <f>$B$6+IF($D1143=$B$8,$B$7,0)</f>
        <v/>
      </c>
      <c r="G1143">
        <f>IF(E1143-F1143&gt;1E-9,E1143-F1143,0)</f>
        <v/>
      </c>
      <c r="H1143">
        <f>G1142*$G$51</f>
        <v/>
      </c>
      <c r="I1143">
        <f>IF(K1142&gt;0,MAX(0,K1142*(1+$G$52)-$H$52),0)</f>
        <v/>
      </c>
      <c r="J1143">
        <f>MAX(0,F1143-E1143)</f>
        <v/>
      </c>
      <c r="K1143">
        <f>IF(I1143-J1143&gt;1E-9,I1143-J1143,0)</f>
        <v/>
      </c>
      <c r="L1143">
        <f>K1142*$G$52</f>
        <v/>
      </c>
      <c r="M1143">
        <f>IF(O1142&gt;0,MAX(0,O1142*(1+$G$53)-$H$53),0)</f>
        <v/>
      </c>
      <c r="N1143">
        <f>MAX(0,J1143-I1143)</f>
        <v/>
      </c>
      <c r="O1143">
        <f>IF(M1143-N1143&gt;1E-9,M1143-N1143,0)</f>
        <v/>
      </c>
      <c r="P1143">
        <f>O1142*$G$53</f>
        <v/>
      </c>
      <c r="Q1143">
        <f>IF(S1142&gt;0,MAX(0,S1142*(1+$G$54)-$H$54),0)</f>
        <v/>
      </c>
      <c r="R1143">
        <f>MAX(0,N1143-M1143)</f>
        <v/>
      </c>
      <c r="S1143">
        <f>IF(Q1143-R1143&gt;1E-9,Q1143-R1143,0)</f>
        <v/>
      </c>
      <c r="T1143">
        <f>S1142*$G$54</f>
        <v/>
      </c>
      <c r="U1143">
        <f>IF(W1142&gt;0,MAX(0,W1142*(1+$G$55)-$H$55),0)</f>
        <v/>
      </c>
      <c r="V1143">
        <f>MAX(0,R1143-Q1143)</f>
        <v/>
      </c>
      <c r="W1143">
        <f>IF(U1143-V1143&gt;1E-9,U1143-V1143,0)</f>
        <v/>
      </c>
      <c r="X1143">
        <f>W1142*$G$55</f>
        <v/>
      </c>
      <c r="Y1143">
        <f>IF(Y1142&gt;1E-9,IF(Y1142*(1+$G$51)-MAX($B$9,0.01*Y1142+Y1142*$G$51)&gt;1E-9,Y1142*(1+$G$51)-MAX($B$9,0.01*Y1142+Y1142*$G$51),0),0)</f>
        <v/>
      </c>
      <c r="Z1143">
        <f>Y1142*$G$51</f>
        <v/>
      </c>
      <c r="AA1143">
        <f>IF(AA1142&gt;1E-9,IF(AA1142*(1+$G$52)-MAX($B$9,0.01*AA1142+AA1142*$G$52)&gt;1E-9,AA1142*(1+$G$52)-MAX($B$9,0.01*AA1142+AA1142*$G$52),0),0)</f>
        <v/>
      </c>
      <c r="AB1143">
        <f>AA1142*$G$52</f>
        <v/>
      </c>
      <c r="AC1143">
        <f>IF(AC1142&gt;1E-9,IF(AC1142*(1+$G$53)-MAX($B$9,0.01*AC1142+AC1142*$G$53)&gt;1E-9,AC1142*(1+$G$53)-MAX($B$9,0.01*AC1142+AC1142*$G$53),0),0)</f>
        <v/>
      </c>
      <c r="AD1143">
        <f>AC1142*$G$53</f>
        <v/>
      </c>
      <c r="AE1143">
        <f>IF(AE1142&gt;1E-9,IF(AE1142*(1+$G$54)-MAX($B$9,0.01*AE1142+AE1142*$G$54)&gt;1E-9,AE1142*(1+$G$54)-MAX($B$9,0.01*AE1142+AE1142*$G$54),0),0)</f>
        <v/>
      </c>
      <c r="AF1143">
        <f>AE1142*$G$54</f>
        <v/>
      </c>
      <c r="AG1143">
        <f>IF(AG1142&gt;1E-9,IF(AG1142*(1+$G$55)-MAX($B$9,0.01*AG1142+AG1142*$G$55)&gt;1E-9,AG1142*(1+$G$55)-MAX($B$9,0.01*AG1142+AG1142*$G$55),0),0)</f>
        <v/>
      </c>
      <c r="AH1143">
        <f>AG1142*$G$55</f>
        <v/>
      </c>
      <c r="AI1143">
        <f>G1143+K1143+O1143+S1143+W1143</f>
        <v/>
      </c>
      <c r="AJ1143">
        <f>AI1142+AK1143-AI1143</f>
        <v/>
      </c>
      <c r="AK1143">
        <f>H1143+L1143+P1143+T1143+X1143</f>
        <v/>
      </c>
      <c r="AL1143">
        <f>TEXT(EDATE($B$5,D1143-1),"mmm yyyy")</f>
        <v/>
      </c>
      <c r="AM1143">
        <f>AI1143</f>
        <v/>
      </c>
    </row>
    <row r="1144">
      <c r="D1144" t="n">
        <v>1083</v>
      </c>
      <c r="E1144">
        <f>IF(G1143&gt;0,MAX(0,G1143*(1+$G$51)-$H$51),0)</f>
        <v/>
      </c>
      <c r="F1144">
        <f>$B$6+IF($D1144=$B$8,$B$7,0)</f>
        <v/>
      </c>
      <c r="G1144">
        <f>IF(E1144-F1144&gt;1E-9,E1144-F1144,0)</f>
        <v/>
      </c>
      <c r="H1144">
        <f>G1143*$G$51</f>
        <v/>
      </c>
      <c r="I1144">
        <f>IF(K1143&gt;0,MAX(0,K1143*(1+$G$52)-$H$52),0)</f>
        <v/>
      </c>
      <c r="J1144">
        <f>MAX(0,F1144-E1144)</f>
        <v/>
      </c>
      <c r="K1144">
        <f>IF(I1144-J1144&gt;1E-9,I1144-J1144,0)</f>
        <v/>
      </c>
      <c r="L1144">
        <f>K1143*$G$52</f>
        <v/>
      </c>
      <c r="M1144">
        <f>IF(O1143&gt;0,MAX(0,O1143*(1+$G$53)-$H$53),0)</f>
        <v/>
      </c>
      <c r="N1144">
        <f>MAX(0,J1144-I1144)</f>
        <v/>
      </c>
      <c r="O1144">
        <f>IF(M1144-N1144&gt;1E-9,M1144-N1144,0)</f>
        <v/>
      </c>
      <c r="P1144">
        <f>O1143*$G$53</f>
        <v/>
      </c>
      <c r="Q1144">
        <f>IF(S1143&gt;0,MAX(0,S1143*(1+$G$54)-$H$54),0)</f>
        <v/>
      </c>
      <c r="R1144">
        <f>MAX(0,N1144-M1144)</f>
        <v/>
      </c>
      <c r="S1144">
        <f>IF(Q1144-R1144&gt;1E-9,Q1144-R1144,0)</f>
        <v/>
      </c>
      <c r="T1144">
        <f>S1143*$G$54</f>
        <v/>
      </c>
      <c r="U1144">
        <f>IF(W1143&gt;0,MAX(0,W1143*(1+$G$55)-$H$55),0)</f>
        <v/>
      </c>
      <c r="V1144">
        <f>MAX(0,R1144-Q1144)</f>
        <v/>
      </c>
      <c r="W1144">
        <f>IF(U1144-V1144&gt;1E-9,U1144-V1144,0)</f>
        <v/>
      </c>
      <c r="X1144">
        <f>W1143*$G$55</f>
        <v/>
      </c>
      <c r="Y1144">
        <f>IF(Y1143&gt;1E-9,IF(Y1143*(1+$G$51)-MAX($B$9,0.01*Y1143+Y1143*$G$51)&gt;1E-9,Y1143*(1+$G$51)-MAX($B$9,0.01*Y1143+Y1143*$G$51),0),0)</f>
        <v/>
      </c>
      <c r="Z1144">
        <f>Y1143*$G$51</f>
        <v/>
      </c>
      <c r="AA1144">
        <f>IF(AA1143&gt;1E-9,IF(AA1143*(1+$G$52)-MAX($B$9,0.01*AA1143+AA1143*$G$52)&gt;1E-9,AA1143*(1+$G$52)-MAX($B$9,0.01*AA1143+AA1143*$G$52),0),0)</f>
        <v/>
      </c>
      <c r="AB1144">
        <f>AA1143*$G$52</f>
        <v/>
      </c>
      <c r="AC1144">
        <f>IF(AC1143&gt;1E-9,IF(AC1143*(1+$G$53)-MAX($B$9,0.01*AC1143+AC1143*$G$53)&gt;1E-9,AC1143*(1+$G$53)-MAX($B$9,0.01*AC1143+AC1143*$G$53),0),0)</f>
        <v/>
      </c>
      <c r="AD1144">
        <f>AC1143*$G$53</f>
        <v/>
      </c>
      <c r="AE1144">
        <f>IF(AE1143&gt;1E-9,IF(AE1143*(1+$G$54)-MAX($B$9,0.01*AE1143+AE1143*$G$54)&gt;1E-9,AE1143*(1+$G$54)-MAX($B$9,0.01*AE1143+AE1143*$G$54),0),0)</f>
        <v/>
      </c>
      <c r="AF1144">
        <f>AE1143*$G$54</f>
        <v/>
      </c>
      <c r="AG1144">
        <f>IF(AG1143&gt;1E-9,IF(AG1143*(1+$G$55)-MAX($B$9,0.01*AG1143+AG1143*$G$55)&gt;1E-9,AG1143*(1+$G$55)-MAX($B$9,0.01*AG1143+AG1143*$G$55),0),0)</f>
        <v/>
      </c>
      <c r="AH1144">
        <f>AG1143*$G$55</f>
        <v/>
      </c>
      <c r="AI1144">
        <f>G1144+K1144+O1144+S1144+W1144</f>
        <v/>
      </c>
      <c r="AJ1144">
        <f>AI1143+AK1144-AI1144</f>
        <v/>
      </c>
      <c r="AK1144">
        <f>H1144+L1144+P1144+T1144+X1144</f>
        <v/>
      </c>
      <c r="AL1144">
        <f>TEXT(EDATE($B$5,D1144-1),"mmm yyyy")</f>
        <v/>
      </c>
      <c r="AM1144">
        <f>AI1144</f>
        <v/>
      </c>
    </row>
    <row r="1145">
      <c r="D1145" t="n">
        <v>1084</v>
      </c>
      <c r="E1145">
        <f>IF(G1144&gt;0,MAX(0,G1144*(1+$G$51)-$H$51),0)</f>
        <v/>
      </c>
      <c r="F1145">
        <f>$B$6+IF($D1145=$B$8,$B$7,0)</f>
        <v/>
      </c>
      <c r="G1145">
        <f>IF(E1145-F1145&gt;1E-9,E1145-F1145,0)</f>
        <v/>
      </c>
      <c r="H1145">
        <f>G1144*$G$51</f>
        <v/>
      </c>
      <c r="I1145">
        <f>IF(K1144&gt;0,MAX(0,K1144*(1+$G$52)-$H$52),0)</f>
        <v/>
      </c>
      <c r="J1145">
        <f>MAX(0,F1145-E1145)</f>
        <v/>
      </c>
      <c r="K1145">
        <f>IF(I1145-J1145&gt;1E-9,I1145-J1145,0)</f>
        <v/>
      </c>
      <c r="L1145">
        <f>K1144*$G$52</f>
        <v/>
      </c>
      <c r="M1145">
        <f>IF(O1144&gt;0,MAX(0,O1144*(1+$G$53)-$H$53),0)</f>
        <v/>
      </c>
      <c r="N1145">
        <f>MAX(0,J1145-I1145)</f>
        <v/>
      </c>
      <c r="O1145">
        <f>IF(M1145-N1145&gt;1E-9,M1145-N1145,0)</f>
        <v/>
      </c>
      <c r="P1145">
        <f>O1144*$G$53</f>
        <v/>
      </c>
      <c r="Q1145">
        <f>IF(S1144&gt;0,MAX(0,S1144*(1+$G$54)-$H$54),0)</f>
        <v/>
      </c>
      <c r="R1145">
        <f>MAX(0,N1145-M1145)</f>
        <v/>
      </c>
      <c r="S1145">
        <f>IF(Q1145-R1145&gt;1E-9,Q1145-R1145,0)</f>
        <v/>
      </c>
      <c r="T1145">
        <f>S1144*$G$54</f>
        <v/>
      </c>
      <c r="U1145">
        <f>IF(W1144&gt;0,MAX(0,W1144*(1+$G$55)-$H$55),0)</f>
        <v/>
      </c>
      <c r="V1145">
        <f>MAX(0,R1145-Q1145)</f>
        <v/>
      </c>
      <c r="W1145">
        <f>IF(U1145-V1145&gt;1E-9,U1145-V1145,0)</f>
        <v/>
      </c>
      <c r="X1145">
        <f>W1144*$G$55</f>
        <v/>
      </c>
      <c r="Y1145">
        <f>IF(Y1144&gt;1E-9,IF(Y1144*(1+$G$51)-MAX($B$9,0.01*Y1144+Y1144*$G$51)&gt;1E-9,Y1144*(1+$G$51)-MAX($B$9,0.01*Y1144+Y1144*$G$51),0),0)</f>
        <v/>
      </c>
      <c r="Z1145">
        <f>Y1144*$G$51</f>
        <v/>
      </c>
      <c r="AA1145">
        <f>IF(AA1144&gt;1E-9,IF(AA1144*(1+$G$52)-MAX($B$9,0.01*AA1144+AA1144*$G$52)&gt;1E-9,AA1144*(1+$G$52)-MAX($B$9,0.01*AA1144+AA1144*$G$52),0),0)</f>
        <v/>
      </c>
      <c r="AB1145">
        <f>AA1144*$G$52</f>
        <v/>
      </c>
      <c r="AC1145">
        <f>IF(AC1144&gt;1E-9,IF(AC1144*(1+$G$53)-MAX($B$9,0.01*AC1144+AC1144*$G$53)&gt;1E-9,AC1144*(1+$G$53)-MAX($B$9,0.01*AC1144+AC1144*$G$53),0),0)</f>
        <v/>
      </c>
      <c r="AD1145">
        <f>AC1144*$G$53</f>
        <v/>
      </c>
      <c r="AE1145">
        <f>IF(AE1144&gt;1E-9,IF(AE1144*(1+$G$54)-MAX($B$9,0.01*AE1144+AE1144*$G$54)&gt;1E-9,AE1144*(1+$G$54)-MAX($B$9,0.01*AE1144+AE1144*$G$54),0),0)</f>
        <v/>
      </c>
      <c r="AF1145">
        <f>AE1144*$G$54</f>
        <v/>
      </c>
      <c r="AG1145">
        <f>IF(AG1144&gt;1E-9,IF(AG1144*(1+$G$55)-MAX($B$9,0.01*AG1144+AG1144*$G$55)&gt;1E-9,AG1144*(1+$G$55)-MAX($B$9,0.01*AG1144+AG1144*$G$55),0),0)</f>
        <v/>
      </c>
      <c r="AH1145">
        <f>AG1144*$G$55</f>
        <v/>
      </c>
      <c r="AI1145">
        <f>G1145+K1145+O1145+S1145+W1145</f>
        <v/>
      </c>
      <c r="AJ1145">
        <f>AI1144+AK1145-AI1145</f>
        <v/>
      </c>
      <c r="AK1145">
        <f>H1145+L1145+P1145+T1145+X1145</f>
        <v/>
      </c>
      <c r="AL1145">
        <f>TEXT(EDATE($B$5,D1145-1),"mmm yyyy")</f>
        <v/>
      </c>
      <c r="AM1145">
        <f>AI1145</f>
        <v/>
      </c>
    </row>
    <row r="1146">
      <c r="D1146" t="n">
        <v>1085</v>
      </c>
      <c r="E1146">
        <f>IF(G1145&gt;0,MAX(0,G1145*(1+$G$51)-$H$51),0)</f>
        <v/>
      </c>
      <c r="F1146">
        <f>$B$6+IF($D1146=$B$8,$B$7,0)</f>
        <v/>
      </c>
      <c r="G1146">
        <f>IF(E1146-F1146&gt;1E-9,E1146-F1146,0)</f>
        <v/>
      </c>
      <c r="H1146">
        <f>G1145*$G$51</f>
        <v/>
      </c>
      <c r="I1146">
        <f>IF(K1145&gt;0,MAX(0,K1145*(1+$G$52)-$H$52),0)</f>
        <v/>
      </c>
      <c r="J1146">
        <f>MAX(0,F1146-E1146)</f>
        <v/>
      </c>
      <c r="K1146">
        <f>IF(I1146-J1146&gt;1E-9,I1146-J1146,0)</f>
        <v/>
      </c>
      <c r="L1146">
        <f>K1145*$G$52</f>
        <v/>
      </c>
      <c r="M1146">
        <f>IF(O1145&gt;0,MAX(0,O1145*(1+$G$53)-$H$53),0)</f>
        <v/>
      </c>
      <c r="N1146">
        <f>MAX(0,J1146-I1146)</f>
        <v/>
      </c>
      <c r="O1146">
        <f>IF(M1146-N1146&gt;1E-9,M1146-N1146,0)</f>
        <v/>
      </c>
      <c r="P1146">
        <f>O1145*$G$53</f>
        <v/>
      </c>
      <c r="Q1146">
        <f>IF(S1145&gt;0,MAX(0,S1145*(1+$G$54)-$H$54),0)</f>
        <v/>
      </c>
      <c r="R1146">
        <f>MAX(0,N1146-M1146)</f>
        <v/>
      </c>
      <c r="S1146">
        <f>IF(Q1146-R1146&gt;1E-9,Q1146-R1146,0)</f>
        <v/>
      </c>
      <c r="T1146">
        <f>S1145*$G$54</f>
        <v/>
      </c>
      <c r="U1146">
        <f>IF(W1145&gt;0,MAX(0,W1145*(1+$G$55)-$H$55),0)</f>
        <v/>
      </c>
      <c r="V1146">
        <f>MAX(0,R1146-Q1146)</f>
        <v/>
      </c>
      <c r="W1146">
        <f>IF(U1146-V1146&gt;1E-9,U1146-V1146,0)</f>
        <v/>
      </c>
      <c r="X1146">
        <f>W1145*$G$55</f>
        <v/>
      </c>
      <c r="Y1146">
        <f>IF(Y1145&gt;1E-9,IF(Y1145*(1+$G$51)-MAX($B$9,0.01*Y1145+Y1145*$G$51)&gt;1E-9,Y1145*(1+$G$51)-MAX($B$9,0.01*Y1145+Y1145*$G$51),0),0)</f>
        <v/>
      </c>
      <c r="Z1146">
        <f>Y1145*$G$51</f>
        <v/>
      </c>
      <c r="AA1146">
        <f>IF(AA1145&gt;1E-9,IF(AA1145*(1+$G$52)-MAX($B$9,0.01*AA1145+AA1145*$G$52)&gt;1E-9,AA1145*(1+$G$52)-MAX($B$9,0.01*AA1145+AA1145*$G$52),0),0)</f>
        <v/>
      </c>
      <c r="AB1146">
        <f>AA1145*$G$52</f>
        <v/>
      </c>
      <c r="AC1146">
        <f>IF(AC1145&gt;1E-9,IF(AC1145*(1+$G$53)-MAX($B$9,0.01*AC1145+AC1145*$G$53)&gt;1E-9,AC1145*(1+$G$53)-MAX($B$9,0.01*AC1145+AC1145*$G$53),0),0)</f>
        <v/>
      </c>
      <c r="AD1146">
        <f>AC1145*$G$53</f>
        <v/>
      </c>
      <c r="AE1146">
        <f>IF(AE1145&gt;1E-9,IF(AE1145*(1+$G$54)-MAX($B$9,0.01*AE1145+AE1145*$G$54)&gt;1E-9,AE1145*(1+$G$54)-MAX($B$9,0.01*AE1145+AE1145*$G$54),0),0)</f>
        <v/>
      </c>
      <c r="AF1146">
        <f>AE1145*$G$54</f>
        <v/>
      </c>
      <c r="AG1146">
        <f>IF(AG1145&gt;1E-9,IF(AG1145*(1+$G$55)-MAX($B$9,0.01*AG1145+AG1145*$G$55)&gt;1E-9,AG1145*(1+$G$55)-MAX($B$9,0.01*AG1145+AG1145*$G$55),0),0)</f>
        <v/>
      </c>
      <c r="AH1146">
        <f>AG1145*$G$55</f>
        <v/>
      </c>
      <c r="AI1146">
        <f>G1146+K1146+O1146+S1146+W1146</f>
        <v/>
      </c>
      <c r="AJ1146">
        <f>AI1145+AK1146-AI1146</f>
        <v/>
      </c>
      <c r="AK1146">
        <f>H1146+L1146+P1146+T1146+X1146</f>
        <v/>
      </c>
      <c r="AL1146">
        <f>TEXT(EDATE($B$5,D1146-1),"mmm yyyy")</f>
        <v/>
      </c>
      <c r="AM1146">
        <f>AI1146</f>
        <v/>
      </c>
    </row>
    <row r="1147">
      <c r="D1147" t="n">
        <v>1086</v>
      </c>
      <c r="E1147">
        <f>IF(G1146&gt;0,MAX(0,G1146*(1+$G$51)-$H$51),0)</f>
        <v/>
      </c>
      <c r="F1147">
        <f>$B$6+IF($D1147=$B$8,$B$7,0)</f>
        <v/>
      </c>
      <c r="G1147">
        <f>IF(E1147-F1147&gt;1E-9,E1147-F1147,0)</f>
        <v/>
      </c>
      <c r="H1147">
        <f>G1146*$G$51</f>
        <v/>
      </c>
      <c r="I1147">
        <f>IF(K1146&gt;0,MAX(0,K1146*(1+$G$52)-$H$52),0)</f>
        <v/>
      </c>
      <c r="J1147">
        <f>MAX(0,F1147-E1147)</f>
        <v/>
      </c>
      <c r="K1147">
        <f>IF(I1147-J1147&gt;1E-9,I1147-J1147,0)</f>
        <v/>
      </c>
      <c r="L1147">
        <f>K1146*$G$52</f>
        <v/>
      </c>
      <c r="M1147">
        <f>IF(O1146&gt;0,MAX(0,O1146*(1+$G$53)-$H$53),0)</f>
        <v/>
      </c>
      <c r="N1147">
        <f>MAX(0,J1147-I1147)</f>
        <v/>
      </c>
      <c r="O1147">
        <f>IF(M1147-N1147&gt;1E-9,M1147-N1147,0)</f>
        <v/>
      </c>
      <c r="P1147">
        <f>O1146*$G$53</f>
        <v/>
      </c>
      <c r="Q1147">
        <f>IF(S1146&gt;0,MAX(0,S1146*(1+$G$54)-$H$54),0)</f>
        <v/>
      </c>
      <c r="R1147">
        <f>MAX(0,N1147-M1147)</f>
        <v/>
      </c>
      <c r="S1147">
        <f>IF(Q1147-R1147&gt;1E-9,Q1147-R1147,0)</f>
        <v/>
      </c>
      <c r="T1147">
        <f>S1146*$G$54</f>
        <v/>
      </c>
      <c r="U1147">
        <f>IF(W1146&gt;0,MAX(0,W1146*(1+$G$55)-$H$55),0)</f>
        <v/>
      </c>
      <c r="V1147">
        <f>MAX(0,R1147-Q1147)</f>
        <v/>
      </c>
      <c r="W1147">
        <f>IF(U1147-V1147&gt;1E-9,U1147-V1147,0)</f>
        <v/>
      </c>
      <c r="X1147">
        <f>W1146*$G$55</f>
        <v/>
      </c>
      <c r="Y1147">
        <f>IF(Y1146&gt;1E-9,IF(Y1146*(1+$G$51)-MAX($B$9,0.01*Y1146+Y1146*$G$51)&gt;1E-9,Y1146*(1+$G$51)-MAX($B$9,0.01*Y1146+Y1146*$G$51),0),0)</f>
        <v/>
      </c>
      <c r="Z1147">
        <f>Y1146*$G$51</f>
        <v/>
      </c>
      <c r="AA1147">
        <f>IF(AA1146&gt;1E-9,IF(AA1146*(1+$G$52)-MAX($B$9,0.01*AA1146+AA1146*$G$52)&gt;1E-9,AA1146*(1+$G$52)-MAX($B$9,0.01*AA1146+AA1146*$G$52),0),0)</f>
        <v/>
      </c>
      <c r="AB1147">
        <f>AA1146*$G$52</f>
        <v/>
      </c>
      <c r="AC1147">
        <f>IF(AC1146&gt;1E-9,IF(AC1146*(1+$G$53)-MAX($B$9,0.01*AC1146+AC1146*$G$53)&gt;1E-9,AC1146*(1+$G$53)-MAX($B$9,0.01*AC1146+AC1146*$G$53),0),0)</f>
        <v/>
      </c>
      <c r="AD1147">
        <f>AC1146*$G$53</f>
        <v/>
      </c>
      <c r="AE1147">
        <f>IF(AE1146&gt;1E-9,IF(AE1146*(1+$G$54)-MAX($B$9,0.01*AE1146+AE1146*$G$54)&gt;1E-9,AE1146*(1+$G$54)-MAX($B$9,0.01*AE1146+AE1146*$G$54),0),0)</f>
        <v/>
      </c>
      <c r="AF1147">
        <f>AE1146*$G$54</f>
        <v/>
      </c>
      <c r="AG1147">
        <f>IF(AG1146&gt;1E-9,IF(AG1146*(1+$G$55)-MAX($B$9,0.01*AG1146+AG1146*$G$55)&gt;1E-9,AG1146*(1+$G$55)-MAX($B$9,0.01*AG1146+AG1146*$G$55),0),0)</f>
        <v/>
      </c>
      <c r="AH1147">
        <f>AG1146*$G$55</f>
        <v/>
      </c>
      <c r="AI1147">
        <f>G1147+K1147+O1147+S1147+W1147</f>
        <v/>
      </c>
      <c r="AJ1147">
        <f>AI1146+AK1147-AI1147</f>
        <v/>
      </c>
      <c r="AK1147">
        <f>H1147+L1147+P1147+T1147+X1147</f>
        <v/>
      </c>
      <c r="AL1147">
        <f>TEXT(EDATE($B$5,D1147-1),"mmm yyyy")</f>
        <v/>
      </c>
      <c r="AM1147">
        <f>AI1147</f>
        <v/>
      </c>
    </row>
    <row r="1148">
      <c r="D1148" t="n">
        <v>1087</v>
      </c>
      <c r="E1148">
        <f>IF(G1147&gt;0,MAX(0,G1147*(1+$G$51)-$H$51),0)</f>
        <v/>
      </c>
      <c r="F1148">
        <f>$B$6+IF($D1148=$B$8,$B$7,0)</f>
        <v/>
      </c>
      <c r="G1148">
        <f>IF(E1148-F1148&gt;1E-9,E1148-F1148,0)</f>
        <v/>
      </c>
      <c r="H1148">
        <f>G1147*$G$51</f>
        <v/>
      </c>
      <c r="I1148">
        <f>IF(K1147&gt;0,MAX(0,K1147*(1+$G$52)-$H$52),0)</f>
        <v/>
      </c>
      <c r="J1148">
        <f>MAX(0,F1148-E1148)</f>
        <v/>
      </c>
      <c r="K1148">
        <f>IF(I1148-J1148&gt;1E-9,I1148-J1148,0)</f>
        <v/>
      </c>
      <c r="L1148">
        <f>K1147*$G$52</f>
        <v/>
      </c>
      <c r="M1148">
        <f>IF(O1147&gt;0,MAX(0,O1147*(1+$G$53)-$H$53),0)</f>
        <v/>
      </c>
      <c r="N1148">
        <f>MAX(0,J1148-I1148)</f>
        <v/>
      </c>
      <c r="O1148">
        <f>IF(M1148-N1148&gt;1E-9,M1148-N1148,0)</f>
        <v/>
      </c>
      <c r="P1148">
        <f>O1147*$G$53</f>
        <v/>
      </c>
      <c r="Q1148">
        <f>IF(S1147&gt;0,MAX(0,S1147*(1+$G$54)-$H$54),0)</f>
        <v/>
      </c>
      <c r="R1148">
        <f>MAX(0,N1148-M1148)</f>
        <v/>
      </c>
      <c r="S1148">
        <f>IF(Q1148-R1148&gt;1E-9,Q1148-R1148,0)</f>
        <v/>
      </c>
      <c r="T1148">
        <f>S1147*$G$54</f>
        <v/>
      </c>
      <c r="U1148">
        <f>IF(W1147&gt;0,MAX(0,W1147*(1+$G$55)-$H$55),0)</f>
        <v/>
      </c>
      <c r="V1148">
        <f>MAX(0,R1148-Q1148)</f>
        <v/>
      </c>
      <c r="W1148">
        <f>IF(U1148-V1148&gt;1E-9,U1148-V1148,0)</f>
        <v/>
      </c>
      <c r="X1148">
        <f>W1147*$G$55</f>
        <v/>
      </c>
      <c r="Y1148">
        <f>IF(Y1147&gt;1E-9,IF(Y1147*(1+$G$51)-MAX($B$9,0.01*Y1147+Y1147*$G$51)&gt;1E-9,Y1147*(1+$G$51)-MAX($B$9,0.01*Y1147+Y1147*$G$51),0),0)</f>
        <v/>
      </c>
      <c r="Z1148">
        <f>Y1147*$G$51</f>
        <v/>
      </c>
      <c r="AA1148">
        <f>IF(AA1147&gt;1E-9,IF(AA1147*(1+$G$52)-MAX($B$9,0.01*AA1147+AA1147*$G$52)&gt;1E-9,AA1147*(1+$G$52)-MAX($B$9,0.01*AA1147+AA1147*$G$52),0),0)</f>
        <v/>
      </c>
      <c r="AB1148">
        <f>AA1147*$G$52</f>
        <v/>
      </c>
      <c r="AC1148">
        <f>IF(AC1147&gt;1E-9,IF(AC1147*(1+$G$53)-MAX($B$9,0.01*AC1147+AC1147*$G$53)&gt;1E-9,AC1147*(1+$G$53)-MAX($B$9,0.01*AC1147+AC1147*$G$53),0),0)</f>
        <v/>
      </c>
      <c r="AD1148">
        <f>AC1147*$G$53</f>
        <v/>
      </c>
      <c r="AE1148">
        <f>IF(AE1147&gt;1E-9,IF(AE1147*(1+$G$54)-MAX($B$9,0.01*AE1147+AE1147*$G$54)&gt;1E-9,AE1147*(1+$G$54)-MAX($B$9,0.01*AE1147+AE1147*$G$54),0),0)</f>
        <v/>
      </c>
      <c r="AF1148">
        <f>AE1147*$G$54</f>
        <v/>
      </c>
      <c r="AG1148">
        <f>IF(AG1147&gt;1E-9,IF(AG1147*(1+$G$55)-MAX($B$9,0.01*AG1147+AG1147*$G$55)&gt;1E-9,AG1147*(1+$G$55)-MAX($B$9,0.01*AG1147+AG1147*$G$55),0),0)</f>
        <v/>
      </c>
      <c r="AH1148">
        <f>AG1147*$G$55</f>
        <v/>
      </c>
      <c r="AI1148">
        <f>G1148+K1148+O1148+S1148+W1148</f>
        <v/>
      </c>
      <c r="AJ1148">
        <f>AI1147+AK1148-AI1148</f>
        <v/>
      </c>
      <c r="AK1148">
        <f>H1148+L1148+P1148+T1148+X1148</f>
        <v/>
      </c>
      <c r="AL1148">
        <f>TEXT(EDATE($B$5,D1148-1),"mmm yyyy")</f>
        <v/>
      </c>
      <c r="AM1148">
        <f>AI1148</f>
        <v/>
      </c>
    </row>
    <row r="1149">
      <c r="D1149" t="n">
        <v>1088</v>
      </c>
      <c r="E1149">
        <f>IF(G1148&gt;0,MAX(0,G1148*(1+$G$51)-$H$51),0)</f>
        <v/>
      </c>
      <c r="F1149">
        <f>$B$6+IF($D1149=$B$8,$B$7,0)</f>
        <v/>
      </c>
      <c r="G1149">
        <f>IF(E1149-F1149&gt;1E-9,E1149-F1149,0)</f>
        <v/>
      </c>
      <c r="H1149">
        <f>G1148*$G$51</f>
        <v/>
      </c>
      <c r="I1149">
        <f>IF(K1148&gt;0,MAX(0,K1148*(1+$G$52)-$H$52),0)</f>
        <v/>
      </c>
      <c r="J1149">
        <f>MAX(0,F1149-E1149)</f>
        <v/>
      </c>
      <c r="K1149">
        <f>IF(I1149-J1149&gt;1E-9,I1149-J1149,0)</f>
        <v/>
      </c>
      <c r="L1149">
        <f>K1148*$G$52</f>
        <v/>
      </c>
      <c r="M1149">
        <f>IF(O1148&gt;0,MAX(0,O1148*(1+$G$53)-$H$53),0)</f>
        <v/>
      </c>
      <c r="N1149">
        <f>MAX(0,J1149-I1149)</f>
        <v/>
      </c>
      <c r="O1149">
        <f>IF(M1149-N1149&gt;1E-9,M1149-N1149,0)</f>
        <v/>
      </c>
      <c r="P1149">
        <f>O1148*$G$53</f>
        <v/>
      </c>
      <c r="Q1149">
        <f>IF(S1148&gt;0,MAX(0,S1148*(1+$G$54)-$H$54),0)</f>
        <v/>
      </c>
      <c r="R1149">
        <f>MAX(0,N1149-M1149)</f>
        <v/>
      </c>
      <c r="S1149">
        <f>IF(Q1149-R1149&gt;1E-9,Q1149-R1149,0)</f>
        <v/>
      </c>
      <c r="T1149">
        <f>S1148*$G$54</f>
        <v/>
      </c>
      <c r="U1149">
        <f>IF(W1148&gt;0,MAX(0,W1148*(1+$G$55)-$H$55),0)</f>
        <v/>
      </c>
      <c r="V1149">
        <f>MAX(0,R1149-Q1149)</f>
        <v/>
      </c>
      <c r="W1149">
        <f>IF(U1149-V1149&gt;1E-9,U1149-V1149,0)</f>
        <v/>
      </c>
      <c r="X1149">
        <f>W1148*$G$55</f>
        <v/>
      </c>
      <c r="Y1149">
        <f>IF(Y1148&gt;1E-9,IF(Y1148*(1+$G$51)-MAX($B$9,0.01*Y1148+Y1148*$G$51)&gt;1E-9,Y1148*(1+$G$51)-MAX($B$9,0.01*Y1148+Y1148*$G$51),0),0)</f>
        <v/>
      </c>
      <c r="Z1149">
        <f>Y1148*$G$51</f>
        <v/>
      </c>
      <c r="AA1149">
        <f>IF(AA1148&gt;1E-9,IF(AA1148*(1+$G$52)-MAX($B$9,0.01*AA1148+AA1148*$G$52)&gt;1E-9,AA1148*(1+$G$52)-MAX($B$9,0.01*AA1148+AA1148*$G$52),0),0)</f>
        <v/>
      </c>
      <c r="AB1149">
        <f>AA1148*$G$52</f>
        <v/>
      </c>
      <c r="AC1149">
        <f>IF(AC1148&gt;1E-9,IF(AC1148*(1+$G$53)-MAX($B$9,0.01*AC1148+AC1148*$G$53)&gt;1E-9,AC1148*(1+$G$53)-MAX($B$9,0.01*AC1148+AC1148*$G$53),0),0)</f>
        <v/>
      </c>
      <c r="AD1149">
        <f>AC1148*$G$53</f>
        <v/>
      </c>
      <c r="AE1149">
        <f>IF(AE1148&gt;1E-9,IF(AE1148*(1+$G$54)-MAX($B$9,0.01*AE1148+AE1148*$G$54)&gt;1E-9,AE1148*(1+$G$54)-MAX($B$9,0.01*AE1148+AE1148*$G$54),0),0)</f>
        <v/>
      </c>
      <c r="AF1149">
        <f>AE1148*$G$54</f>
        <v/>
      </c>
      <c r="AG1149">
        <f>IF(AG1148&gt;1E-9,IF(AG1148*(1+$G$55)-MAX($B$9,0.01*AG1148+AG1148*$G$55)&gt;1E-9,AG1148*(1+$G$55)-MAX($B$9,0.01*AG1148+AG1148*$G$55),0),0)</f>
        <v/>
      </c>
      <c r="AH1149">
        <f>AG1148*$G$55</f>
        <v/>
      </c>
      <c r="AI1149">
        <f>G1149+K1149+O1149+S1149+W1149</f>
        <v/>
      </c>
      <c r="AJ1149">
        <f>AI1148+AK1149-AI1149</f>
        <v/>
      </c>
      <c r="AK1149">
        <f>H1149+L1149+P1149+T1149+X1149</f>
        <v/>
      </c>
      <c r="AL1149">
        <f>TEXT(EDATE($B$5,D1149-1),"mmm yyyy")</f>
        <v/>
      </c>
      <c r="AM1149">
        <f>AI1149</f>
        <v/>
      </c>
    </row>
    <row r="1150">
      <c r="D1150" t="n">
        <v>1089</v>
      </c>
      <c r="E1150">
        <f>IF(G1149&gt;0,MAX(0,G1149*(1+$G$51)-$H$51),0)</f>
        <v/>
      </c>
      <c r="F1150">
        <f>$B$6+IF($D1150=$B$8,$B$7,0)</f>
        <v/>
      </c>
      <c r="G1150">
        <f>IF(E1150-F1150&gt;1E-9,E1150-F1150,0)</f>
        <v/>
      </c>
      <c r="H1150">
        <f>G1149*$G$51</f>
        <v/>
      </c>
      <c r="I1150">
        <f>IF(K1149&gt;0,MAX(0,K1149*(1+$G$52)-$H$52),0)</f>
        <v/>
      </c>
      <c r="J1150">
        <f>MAX(0,F1150-E1150)</f>
        <v/>
      </c>
      <c r="K1150">
        <f>IF(I1150-J1150&gt;1E-9,I1150-J1150,0)</f>
        <v/>
      </c>
      <c r="L1150">
        <f>K1149*$G$52</f>
        <v/>
      </c>
      <c r="M1150">
        <f>IF(O1149&gt;0,MAX(0,O1149*(1+$G$53)-$H$53),0)</f>
        <v/>
      </c>
      <c r="N1150">
        <f>MAX(0,J1150-I1150)</f>
        <v/>
      </c>
      <c r="O1150">
        <f>IF(M1150-N1150&gt;1E-9,M1150-N1150,0)</f>
        <v/>
      </c>
      <c r="P1150">
        <f>O1149*$G$53</f>
        <v/>
      </c>
      <c r="Q1150">
        <f>IF(S1149&gt;0,MAX(0,S1149*(1+$G$54)-$H$54),0)</f>
        <v/>
      </c>
      <c r="R1150">
        <f>MAX(0,N1150-M1150)</f>
        <v/>
      </c>
      <c r="S1150">
        <f>IF(Q1150-R1150&gt;1E-9,Q1150-R1150,0)</f>
        <v/>
      </c>
      <c r="T1150">
        <f>S1149*$G$54</f>
        <v/>
      </c>
      <c r="U1150">
        <f>IF(W1149&gt;0,MAX(0,W1149*(1+$G$55)-$H$55),0)</f>
        <v/>
      </c>
      <c r="V1150">
        <f>MAX(0,R1150-Q1150)</f>
        <v/>
      </c>
      <c r="W1150">
        <f>IF(U1150-V1150&gt;1E-9,U1150-V1150,0)</f>
        <v/>
      </c>
      <c r="X1150">
        <f>W1149*$G$55</f>
        <v/>
      </c>
      <c r="Y1150">
        <f>IF(Y1149&gt;1E-9,IF(Y1149*(1+$G$51)-MAX($B$9,0.01*Y1149+Y1149*$G$51)&gt;1E-9,Y1149*(1+$G$51)-MAX($B$9,0.01*Y1149+Y1149*$G$51),0),0)</f>
        <v/>
      </c>
      <c r="Z1150">
        <f>Y1149*$G$51</f>
        <v/>
      </c>
      <c r="AA1150">
        <f>IF(AA1149&gt;1E-9,IF(AA1149*(1+$G$52)-MAX($B$9,0.01*AA1149+AA1149*$G$52)&gt;1E-9,AA1149*(1+$G$52)-MAX($B$9,0.01*AA1149+AA1149*$G$52),0),0)</f>
        <v/>
      </c>
      <c r="AB1150">
        <f>AA1149*$G$52</f>
        <v/>
      </c>
      <c r="AC1150">
        <f>IF(AC1149&gt;1E-9,IF(AC1149*(1+$G$53)-MAX($B$9,0.01*AC1149+AC1149*$G$53)&gt;1E-9,AC1149*(1+$G$53)-MAX($B$9,0.01*AC1149+AC1149*$G$53),0),0)</f>
        <v/>
      </c>
      <c r="AD1150">
        <f>AC1149*$G$53</f>
        <v/>
      </c>
      <c r="AE1150">
        <f>IF(AE1149&gt;1E-9,IF(AE1149*(1+$G$54)-MAX($B$9,0.01*AE1149+AE1149*$G$54)&gt;1E-9,AE1149*(1+$G$54)-MAX($B$9,0.01*AE1149+AE1149*$G$54),0),0)</f>
        <v/>
      </c>
      <c r="AF1150">
        <f>AE1149*$G$54</f>
        <v/>
      </c>
      <c r="AG1150">
        <f>IF(AG1149&gt;1E-9,IF(AG1149*(1+$G$55)-MAX($B$9,0.01*AG1149+AG1149*$G$55)&gt;1E-9,AG1149*(1+$G$55)-MAX($B$9,0.01*AG1149+AG1149*$G$55),0),0)</f>
        <v/>
      </c>
      <c r="AH1150">
        <f>AG1149*$G$55</f>
        <v/>
      </c>
      <c r="AI1150">
        <f>G1150+K1150+O1150+S1150+W1150</f>
        <v/>
      </c>
      <c r="AJ1150">
        <f>AI1149+AK1150-AI1150</f>
        <v/>
      </c>
      <c r="AK1150">
        <f>H1150+L1150+P1150+T1150+X1150</f>
        <v/>
      </c>
      <c r="AL1150">
        <f>TEXT(EDATE($B$5,D1150-1),"mmm yyyy")</f>
        <v/>
      </c>
      <c r="AM1150">
        <f>AI1150</f>
        <v/>
      </c>
    </row>
    <row r="1151">
      <c r="D1151" t="n">
        <v>1090</v>
      </c>
      <c r="E1151">
        <f>IF(G1150&gt;0,MAX(0,G1150*(1+$G$51)-$H$51),0)</f>
        <v/>
      </c>
      <c r="F1151">
        <f>$B$6+IF($D1151=$B$8,$B$7,0)</f>
        <v/>
      </c>
      <c r="G1151">
        <f>IF(E1151-F1151&gt;1E-9,E1151-F1151,0)</f>
        <v/>
      </c>
      <c r="H1151">
        <f>G1150*$G$51</f>
        <v/>
      </c>
      <c r="I1151">
        <f>IF(K1150&gt;0,MAX(0,K1150*(1+$G$52)-$H$52),0)</f>
        <v/>
      </c>
      <c r="J1151">
        <f>MAX(0,F1151-E1151)</f>
        <v/>
      </c>
      <c r="K1151">
        <f>IF(I1151-J1151&gt;1E-9,I1151-J1151,0)</f>
        <v/>
      </c>
      <c r="L1151">
        <f>K1150*$G$52</f>
        <v/>
      </c>
      <c r="M1151">
        <f>IF(O1150&gt;0,MAX(0,O1150*(1+$G$53)-$H$53),0)</f>
        <v/>
      </c>
      <c r="N1151">
        <f>MAX(0,J1151-I1151)</f>
        <v/>
      </c>
      <c r="O1151">
        <f>IF(M1151-N1151&gt;1E-9,M1151-N1151,0)</f>
        <v/>
      </c>
      <c r="P1151">
        <f>O1150*$G$53</f>
        <v/>
      </c>
      <c r="Q1151">
        <f>IF(S1150&gt;0,MAX(0,S1150*(1+$G$54)-$H$54),0)</f>
        <v/>
      </c>
      <c r="R1151">
        <f>MAX(0,N1151-M1151)</f>
        <v/>
      </c>
      <c r="S1151">
        <f>IF(Q1151-R1151&gt;1E-9,Q1151-R1151,0)</f>
        <v/>
      </c>
      <c r="T1151">
        <f>S1150*$G$54</f>
        <v/>
      </c>
      <c r="U1151">
        <f>IF(W1150&gt;0,MAX(0,W1150*(1+$G$55)-$H$55),0)</f>
        <v/>
      </c>
      <c r="V1151">
        <f>MAX(0,R1151-Q1151)</f>
        <v/>
      </c>
      <c r="W1151">
        <f>IF(U1151-V1151&gt;1E-9,U1151-V1151,0)</f>
        <v/>
      </c>
      <c r="X1151">
        <f>W1150*$G$55</f>
        <v/>
      </c>
      <c r="Y1151">
        <f>IF(Y1150&gt;1E-9,IF(Y1150*(1+$G$51)-MAX($B$9,0.01*Y1150+Y1150*$G$51)&gt;1E-9,Y1150*(1+$G$51)-MAX($B$9,0.01*Y1150+Y1150*$G$51),0),0)</f>
        <v/>
      </c>
      <c r="Z1151">
        <f>Y1150*$G$51</f>
        <v/>
      </c>
      <c r="AA1151">
        <f>IF(AA1150&gt;1E-9,IF(AA1150*(1+$G$52)-MAX($B$9,0.01*AA1150+AA1150*$G$52)&gt;1E-9,AA1150*(1+$G$52)-MAX($B$9,0.01*AA1150+AA1150*$G$52),0),0)</f>
        <v/>
      </c>
      <c r="AB1151">
        <f>AA1150*$G$52</f>
        <v/>
      </c>
      <c r="AC1151">
        <f>IF(AC1150&gt;1E-9,IF(AC1150*(1+$G$53)-MAX($B$9,0.01*AC1150+AC1150*$G$53)&gt;1E-9,AC1150*(1+$G$53)-MAX($B$9,0.01*AC1150+AC1150*$G$53),0),0)</f>
        <v/>
      </c>
      <c r="AD1151">
        <f>AC1150*$G$53</f>
        <v/>
      </c>
      <c r="AE1151">
        <f>IF(AE1150&gt;1E-9,IF(AE1150*(1+$G$54)-MAX($B$9,0.01*AE1150+AE1150*$G$54)&gt;1E-9,AE1150*(1+$G$54)-MAX($B$9,0.01*AE1150+AE1150*$G$54),0),0)</f>
        <v/>
      </c>
      <c r="AF1151">
        <f>AE1150*$G$54</f>
        <v/>
      </c>
      <c r="AG1151">
        <f>IF(AG1150&gt;1E-9,IF(AG1150*(1+$G$55)-MAX($B$9,0.01*AG1150+AG1150*$G$55)&gt;1E-9,AG1150*(1+$G$55)-MAX($B$9,0.01*AG1150+AG1150*$G$55),0),0)</f>
        <v/>
      </c>
      <c r="AH1151">
        <f>AG1150*$G$55</f>
        <v/>
      </c>
      <c r="AI1151">
        <f>G1151+K1151+O1151+S1151+W1151</f>
        <v/>
      </c>
      <c r="AJ1151">
        <f>AI1150+AK1151-AI1151</f>
        <v/>
      </c>
      <c r="AK1151">
        <f>H1151+L1151+P1151+T1151+X1151</f>
        <v/>
      </c>
      <c r="AL1151">
        <f>TEXT(EDATE($B$5,D1151-1),"mmm yyyy")</f>
        <v/>
      </c>
      <c r="AM1151">
        <f>AI1151</f>
        <v/>
      </c>
    </row>
    <row r="1152">
      <c r="D1152" t="n">
        <v>1091</v>
      </c>
      <c r="E1152">
        <f>IF(G1151&gt;0,MAX(0,G1151*(1+$G$51)-$H$51),0)</f>
        <v/>
      </c>
      <c r="F1152">
        <f>$B$6+IF($D1152=$B$8,$B$7,0)</f>
        <v/>
      </c>
      <c r="G1152">
        <f>IF(E1152-F1152&gt;1E-9,E1152-F1152,0)</f>
        <v/>
      </c>
      <c r="H1152">
        <f>G1151*$G$51</f>
        <v/>
      </c>
      <c r="I1152">
        <f>IF(K1151&gt;0,MAX(0,K1151*(1+$G$52)-$H$52),0)</f>
        <v/>
      </c>
      <c r="J1152">
        <f>MAX(0,F1152-E1152)</f>
        <v/>
      </c>
      <c r="K1152">
        <f>IF(I1152-J1152&gt;1E-9,I1152-J1152,0)</f>
        <v/>
      </c>
      <c r="L1152">
        <f>K1151*$G$52</f>
        <v/>
      </c>
      <c r="M1152">
        <f>IF(O1151&gt;0,MAX(0,O1151*(1+$G$53)-$H$53),0)</f>
        <v/>
      </c>
      <c r="N1152">
        <f>MAX(0,J1152-I1152)</f>
        <v/>
      </c>
      <c r="O1152">
        <f>IF(M1152-N1152&gt;1E-9,M1152-N1152,0)</f>
        <v/>
      </c>
      <c r="P1152">
        <f>O1151*$G$53</f>
        <v/>
      </c>
      <c r="Q1152">
        <f>IF(S1151&gt;0,MAX(0,S1151*(1+$G$54)-$H$54),0)</f>
        <v/>
      </c>
      <c r="R1152">
        <f>MAX(0,N1152-M1152)</f>
        <v/>
      </c>
      <c r="S1152">
        <f>IF(Q1152-R1152&gt;1E-9,Q1152-R1152,0)</f>
        <v/>
      </c>
      <c r="T1152">
        <f>S1151*$G$54</f>
        <v/>
      </c>
      <c r="U1152">
        <f>IF(W1151&gt;0,MAX(0,W1151*(1+$G$55)-$H$55),0)</f>
        <v/>
      </c>
      <c r="V1152">
        <f>MAX(0,R1152-Q1152)</f>
        <v/>
      </c>
      <c r="W1152">
        <f>IF(U1152-V1152&gt;1E-9,U1152-V1152,0)</f>
        <v/>
      </c>
      <c r="X1152">
        <f>W1151*$G$55</f>
        <v/>
      </c>
      <c r="Y1152">
        <f>IF(Y1151&gt;1E-9,IF(Y1151*(1+$G$51)-MAX($B$9,0.01*Y1151+Y1151*$G$51)&gt;1E-9,Y1151*(1+$G$51)-MAX($B$9,0.01*Y1151+Y1151*$G$51),0),0)</f>
        <v/>
      </c>
      <c r="Z1152">
        <f>Y1151*$G$51</f>
        <v/>
      </c>
      <c r="AA1152">
        <f>IF(AA1151&gt;1E-9,IF(AA1151*(1+$G$52)-MAX($B$9,0.01*AA1151+AA1151*$G$52)&gt;1E-9,AA1151*(1+$G$52)-MAX($B$9,0.01*AA1151+AA1151*$G$52),0),0)</f>
        <v/>
      </c>
      <c r="AB1152">
        <f>AA1151*$G$52</f>
        <v/>
      </c>
      <c r="AC1152">
        <f>IF(AC1151&gt;1E-9,IF(AC1151*(1+$G$53)-MAX($B$9,0.01*AC1151+AC1151*$G$53)&gt;1E-9,AC1151*(1+$G$53)-MAX($B$9,0.01*AC1151+AC1151*$G$53),0),0)</f>
        <v/>
      </c>
      <c r="AD1152">
        <f>AC1151*$G$53</f>
        <v/>
      </c>
      <c r="AE1152">
        <f>IF(AE1151&gt;1E-9,IF(AE1151*(1+$G$54)-MAX($B$9,0.01*AE1151+AE1151*$G$54)&gt;1E-9,AE1151*(1+$G$54)-MAX($B$9,0.01*AE1151+AE1151*$G$54),0),0)</f>
        <v/>
      </c>
      <c r="AF1152">
        <f>AE1151*$G$54</f>
        <v/>
      </c>
      <c r="AG1152">
        <f>IF(AG1151&gt;1E-9,IF(AG1151*(1+$G$55)-MAX($B$9,0.01*AG1151+AG1151*$G$55)&gt;1E-9,AG1151*(1+$G$55)-MAX($B$9,0.01*AG1151+AG1151*$G$55),0),0)</f>
        <v/>
      </c>
      <c r="AH1152">
        <f>AG1151*$G$55</f>
        <v/>
      </c>
      <c r="AI1152">
        <f>G1152+K1152+O1152+S1152+W1152</f>
        <v/>
      </c>
      <c r="AJ1152">
        <f>AI1151+AK1152-AI1152</f>
        <v/>
      </c>
      <c r="AK1152">
        <f>H1152+L1152+P1152+T1152+X1152</f>
        <v/>
      </c>
      <c r="AL1152">
        <f>TEXT(EDATE($B$5,D1152-1),"mmm yyyy")</f>
        <v/>
      </c>
      <c r="AM1152">
        <f>AI1152</f>
        <v/>
      </c>
    </row>
    <row r="1153">
      <c r="D1153" t="n">
        <v>1092</v>
      </c>
      <c r="E1153">
        <f>IF(G1152&gt;0,MAX(0,G1152*(1+$G$51)-$H$51),0)</f>
        <v/>
      </c>
      <c r="F1153">
        <f>$B$6+IF($D1153=$B$8,$B$7,0)</f>
        <v/>
      </c>
      <c r="G1153">
        <f>IF(E1153-F1153&gt;1E-9,E1153-F1153,0)</f>
        <v/>
      </c>
      <c r="H1153">
        <f>G1152*$G$51</f>
        <v/>
      </c>
      <c r="I1153">
        <f>IF(K1152&gt;0,MAX(0,K1152*(1+$G$52)-$H$52),0)</f>
        <v/>
      </c>
      <c r="J1153">
        <f>MAX(0,F1153-E1153)</f>
        <v/>
      </c>
      <c r="K1153">
        <f>IF(I1153-J1153&gt;1E-9,I1153-J1153,0)</f>
        <v/>
      </c>
      <c r="L1153">
        <f>K1152*$G$52</f>
        <v/>
      </c>
      <c r="M1153">
        <f>IF(O1152&gt;0,MAX(0,O1152*(1+$G$53)-$H$53),0)</f>
        <v/>
      </c>
      <c r="N1153">
        <f>MAX(0,J1153-I1153)</f>
        <v/>
      </c>
      <c r="O1153">
        <f>IF(M1153-N1153&gt;1E-9,M1153-N1153,0)</f>
        <v/>
      </c>
      <c r="P1153">
        <f>O1152*$G$53</f>
        <v/>
      </c>
      <c r="Q1153">
        <f>IF(S1152&gt;0,MAX(0,S1152*(1+$G$54)-$H$54),0)</f>
        <v/>
      </c>
      <c r="R1153">
        <f>MAX(0,N1153-M1153)</f>
        <v/>
      </c>
      <c r="S1153">
        <f>IF(Q1153-R1153&gt;1E-9,Q1153-R1153,0)</f>
        <v/>
      </c>
      <c r="T1153">
        <f>S1152*$G$54</f>
        <v/>
      </c>
      <c r="U1153">
        <f>IF(W1152&gt;0,MAX(0,W1152*(1+$G$55)-$H$55),0)</f>
        <v/>
      </c>
      <c r="V1153">
        <f>MAX(0,R1153-Q1153)</f>
        <v/>
      </c>
      <c r="W1153">
        <f>IF(U1153-V1153&gt;1E-9,U1153-V1153,0)</f>
        <v/>
      </c>
      <c r="X1153">
        <f>W1152*$G$55</f>
        <v/>
      </c>
      <c r="Y1153">
        <f>IF(Y1152&gt;1E-9,IF(Y1152*(1+$G$51)-MAX($B$9,0.01*Y1152+Y1152*$G$51)&gt;1E-9,Y1152*(1+$G$51)-MAX($B$9,0.01*Y1152+Y1152*$G$51),0),0)</f>
        <v/>
      </c>
      <c r="Z1153">
        <f>Y1152*$G$51</f>
        <v/>
      </c>
      <c r="AA1153">
        <f>IF(AA1152&gt;1E-9,IF(AA1152*(1+$G$52)-MAX($B$9,0.01*AA1152+AA1152*$G$52)&gt;1E-9,AA1152*(1+$G$52)-MAX($B$9,0.01*AA1152+AA1152*$G$52),0),0)</f>
        <v/>
      </c>
      <c r="AB1153">
        <f>AA1152*$G$52</f>
        <v/>
      </c>
      <c r="AC1153">
        <f>IF(AC1152&gt;1E-9,IF(AC1152*(1+$G$53)-MAX($B$9,0.01*AC1152+AC1152*$G$53)&gt;1E-9,AC1152*(1+$G$53)-MAX($B$9,0.01*AC1152+AC1152*$G$53),0),0)</f>
        <v/>
      </c>
      <c r="AD1153">
        <f>AC1152*$G$53</f>
        <v/>
      </c>
      <c r="AE1153">
        <f>IF(AE1152&gt;1E-9,IF(AE1152*(1+$G$54)-MAX($B$9,0.01*AE1152+AE1152*$G$54)&gt;1E-9,AE1152*(1+$G$54)-MAX($B$9,0.01*AE1152+AE1152*$G$54),0),0)</f>
        <v/>
      </c>
      <c r="AF1153">
        <f>AE1152*$G$54</f>
        <v/>
      </c>
      <c r="AG1153">
        <f>IF(AG1152&gt;1E-9,IF(AG1152*(1+$G$55)-MAX($B$9,0.01*AG1152+AG1152*$G$55)&gt;1E-9,AG1152*(1+$G$55)-MAX($B$9,0.01*AG1152+AG1152*$G$55),0),0)</f>
        <v/>
      </c>
      <c r="AH1153">
        <f>AG1152*$G$55</f>
        <v/>
      </c>
      <c r="AI1153">
        <f>G1153+K1153+O1153+S1153+W1153</f>
        <v/>
      </c>
      <c r="AJ1153">
        <f>AI1152+AK1153-AI1153</f>
        <v/>
      </c>
      <c r="AK1153">
        <f>H1153+L1153+P1153+T1153+X1153</f>
        <v/>
      </c>
      <c r="AL1153">
        <f>TEXT(EDATE($B$5,D1153-1),"mmm yyyy")</f>
        <v/>
      </c>
      <c r="AM1153">
        <f>AI1153</f>
        <v/>
      </c>
    </row>
    <row r="1154">
      <c r="D1154" t="n">
        <v>1093</v>
      </c>
      <c r="E1154">
        <f>IF(G1153&gt;0,MAX(0,G1153*(1+$G$51)-$H$51),0)</f>
        <v/>
      </c>
      <c r="F1154">
        <f>$B$6+IF($D1154=$B$8,$B$7,0)</f>
        <v/>
      </c>
      <c r="G1154">
        <f>IF(E1154-F1154&gt;1E-9,E1154-F1154,0)</f>
        <v/>
      </c>
      <c r="H1154">
        <f>G1153*$G$51</f>
        <v/>
      </c>
      <c r="I1154">
        <f>IF(K1153&gt;0,MAX(0,K1153*(1+$G$52)-$H$52),0)</f>
        <v/>
      </c>
      <c r="J1154">
        <f>MAX(0,F1154-E1154)</f>
        <v/>
      </c>
      <c r="K1154">
        <f>IF(I1154-J1154&gt;1E-9,I1154-J1154,0)</f>
        <v/>
      </c>
      <c r="L1154">
        <f>K1153*$G$52</f>
        <v/>
      </c>
      <c r="M1154">
        <f>IF(O1153&gt;0,MAX(0,O1153*(1+$G$53)-$H$53),0)</f>
        <v/>
      </c>
      <c r="N1154">
        <f>MAX(0,J1154-I1154)</f>
        <v/>
      </c>
      <c r="O1154">
        <f>IF(M1154-N1154&gt;1E-9,M1154-N1154,0)</f>
        <v/>
      </c>
      <c r="P1154">
        <f>O1153*$G$53</f>
        <v/>
      </c>
      <c r="Q1154">
        <f>IF(S1153&gt;0,MAX(0,S1153*(1+$G$54)-$H$54),0)</f>
        <v/>
      </c>
      <c r="R1154">
        <f>MAX(0,N1154-M1154)</f>
        <v/>
      </c>
      <c r="S1154">
        <f>IF(Q1154-R1154&gt;1E-9,Q1154-R1154,0)</f>
        <v/>
      </c>
      <c r="T1154">
        <f>S1153*$G$54</f>
        <v/>
      </c>
      <c r="U1154">
        <f>IF(W1153&gt;0,MAX(0,W1153*(1+$G$55)-$H$55),0)</f>
        <v/>
      </c>
      <c r="V1154">
        <f>MAX(0,R1154-Q1154)</f>
        <v/>
      </c>
      <c r="W1154">
        <f>IF(U1154-V1154&gt;1E-9,U1154-V1154,0)</f>
        <v/>
      </c>
      <c r="X1154">
        <f>W1153*$G$55</f>
        <v/>
      </c>
      <c r="Y1154">
        <f>IF(Y1153&gt;1E-9,IF(Y1153*(1+$G$51)-MAX($B$9,0.01*Y1153+Y1153*$G$51)&gt;1E-9,Y1153*(1+$G$51)-MAX($B$9,0.01*Y1153+Y1153*$G$51),0),0)</f>
        <v/>
      </c>
      <c r="Z1154">
        <f>Y1153*$G$51</f>
        <v/>
      </c>
      <c r="AA1154">
        <f>IF(AA1153&gt;1E-9,IF(AA1153*(1+$G$52)-MAX($B$9,0.01*AA1153+AA1153*$G$52)&gt;1E-9,AA1153*(1+$G$52)-MAX($B$9,0.01*AA1153+AA1153*$G$52),0),0)</f>
        <v/>
      </c>
      <c r="AB1154">
        <f>AA1153*$G$52</f>
        <v/>
      </c>
      <c r="AC1154">
        <f>IF(AC1153&gt;1E-9,IF(AC1153*(1+$G$53)-MAX($B$9,0.01*AC1153+AC1153*$G$53)&gt;1E-9,AC1153*(1+$G$53)-MAX($B$9,0.01*AC1153+AC1153*$G$53),0),0)</f>
        <v/>
      </c>
      <c r="AD1154">
        <f>AC1153*$G$53</f>
        <v/>
      </c>
      <c r="AE1154">
        <f>IF(AE1153&gt;1E-9,IF(AE1153*(1+$G$54)-MAX($B$9,0.01*AE1153+AE1153*$G$54)&gt;1E-9,AE1153*(1+$G$54)-MAX($B$9,0.01*AE1153+AE1153*$G$54),0),0)</f>
        <v/>
      </c>
      <c r="AF1154">
        <f>AE1153*$G$54</f>
        <v/>
      </c>
      <c r="AG1154">
        <f>IF(AG1153&gt;1E-9,IF(AG1153*(1+$G$55)-MAX($B$9,0.01*AG1153+AG1153*$G$55)&gt;1E-9,AG1153*(1+$G$55)-MAX($B$9,0.01*AG1153+AG1153*$G$55),0),0)</f>
        <v/>
      </c>
      <c r="AH1154">
        <f>AG1153*$G$55</f>
        <v/>
      </c>
      <c r="AI1154">
        <f>G1154+K1154+O1154+S1154+W1154</f>
        <v/>
      </c>
      <c r="AJ1154">
        <f>AI1153+AK1154-AI1154</f>
        <v/>
      </c>
      <c r="AK1154">
        <f>H1154+L1154+P1154+T1154+X1154</f>
        <v/>
      </c>
      <c r="AL1154">
        <f>TEXT(EDATE($B$5,D1154-1),"mmm yyyy")</f>
        <v/>
      </c>
      <c r="AM1154">
        <f>AI1154</f>
        <v/>
      </c>
    </row>
    <row r="1155">
      <c r="D1155" t="n">
        <v>1094</v>
      </c>
      <c r="E1155">
        <f>IF(G1154&gt;0,MAX(0,G1154*(1+$G$51)-$H$51),0)</f>
        <v/>
      </c>
      <c r="F1155">
        <f>$B$6+IF($D1155=$B$8,$B$7,0)</f>
        <v/>
      </c>
      <c r="G1155">
        <f>IF(E1155-F1155&gt;1E-9,E1155-F1155,0)</f>
        <v/>
      </c>
      <c r="H1155">
        <f>G1154*$G$51</f>
        <v/>
      </c>
      <c r="I1155">
        <f>IF(K1154&gt;0,MAX(0,K1154*(1+$G$52)-$H$52),0)</f>
        <v/>
      </c>
      <c r="J1155">
        <f>MAX(0,F1155-E1155)</f>
        <v/>
      </c>
      <c r="K1155">
        <f>IF(I1155-J1155&gt;1E-9,I1155-J1155,0)</f>
        <v/>
      </c>
      <c r="L1155">
        <f>K1154*$G$52</f>
        <v/>
      </c>
      <c r="M1155">
        <f>IF(O1154&gt;0,MAX(0,O1154*(1+$G$53)-$H$53),0)</f>
        <v/>
      </c>
      <c r="N1155">
        <f>MAX(0,J1155-I1155)</f>
        <v/>
      </c>
      <c r="O1155">
        <f>IF(M1155-N1155&gt;1E-9,M1155-N1155,0)</f>
        <v/>
      </c>
      <c r="P1155">
        <f>O1154*$G$53</f>
        <v/>
      </c>
      <c r="Q1155">
        <f>IF(S1154&gt;0,MAX(0,S1154*(1+$G$54)-$H$54),0)</f>
        <v/>
      </c>
      <c r="R1155">
        <f>MAX(0,N1155-M1155)</f>
        <v/>
      </c>
      <c r="S1155">
        <f>IF(Q1155-R1155&gt;1E-9,Q1155-R1155,0)</f>
        <v/>
      </c>
      <c r="T1155">
        <f>S1154*$G$54</f>
        <v/>
      </c>
      <c r="U1155">
        <f>IF(W1154&gt;0,MAX(0,W1154*(1+$G$55)-$H$55),0)</f>
        <v/>
      </c>
      <c r="V1155">
        <f>MAX(0,R1155-Q1155)</f>
        <v/>
      </c>
      <c r="W1155">
        <f>IF(U1155-V1155&gt;1E-9,U1155-V1155,0)</f>
        <v/>
      </c>
      <c r="X1155">
        <f>W1154*$G$55</f>
        <v/>
      </c>
      <c r="Y1155">
        <f>IF(Y1154&gt;1E-9,IF(Y1154*(1+$G$51)-MAX($B$9,0.01*Y1154+Y1154*$G$51)&gt;1E-9,Y1154*(1+$G$51)-MAX($B$9,0.01*Y1154+Y1154*$G$51),0),0)</f>
        <v/>
      </c>
      <c r="Z1155">
        <f>Y1154*$G$51</f>
        <v/>
      </c>
      <c r="AA1155">
        <f>IF(AA1154&gt;1E-9,IF(AA1154*(1+$G$52)-MAX($B$9,0.01*AA1154+AA1154*$G$52)&gt;1E-9,AA1154*(1+$G$52)-MAX($B$9,0.01*AA1154+AA1154*$G$52),0),0)</f>
        <v/>
      </c>
      <c r="AB1155">
        <f>AA1154*$G$52</f>
        <v/>
      </c>
      <c r="AC1155">
        <f>IF(AC1154&gt;1E-9,IF(AC1154*(1+$G$53)-MAX($B$9,0.01*AC1154+AC1154*$G$53)&gt;1E-9,AC1154*(1+$G$53)-MAX($B$9,0.01*AC1154+AC1154*$G$53),0),0)</f>
        <v/>
      </c>
      <c r="AD1155">
        <f>AC1154*$G$53</f>
        <v/>
      </c>
      <c r="AE1155">
        <f>IF(AE1154&gt;1E-9,IF(AE1154*(1+$G$54)-MAX($B$9,0.01*AE1154+AE1154*$G$54)&gt;1E-9,AE1154*(1+$G$54)-MAX($B$9,0.01*AE1154+AE1154*$G$54),0),0)</f>
        <v/>
      </c>
      <c r="AF1155">
        <f>AE1154*$G$54</f>
        <v/>
      </c>
      <c r="AG1155">
        <f>IF(AG1154&gt;1E-9,IF(AG1154*(1+$G$55)-MAX($B$9,0.01*AG1154+AG1154*$G$55)&gt;1E-9,AG1154*(1+$G$55)-MAX($B$9,0.01*AG1154+AG1154*$G$55),0),0)</f>
        <v/>
      </c>
      <c r="AH1155">
        <f>AG1154*$G$55</f>
        <v/>
      </c>
      <c r="AI1155">
        <f>G1155+K1155+O1155+S1155+W1155</f>
        <v/>
      </c>
      <c r="AJ1155">
        <f>AI1154+AK1155-AI1155</f>
        <v/>
      </c>
      <c r="AK1155">
        <f>H1155+L1155+P1155+T1155+X1155</f>
        <v/>
      </c>
      <c r="AL1155">
        <f>TEXT(EDATE($B$5,D1155-1),"mmm yyyy")</f>
        <v/>
      </c>
      <c r="AM1155">
        <f>AI1155</f>
        <v/>
      </c>
    </row>
    <row r="1156">
      <c r="D1156" t="n">
        <v>1095</v>
      </c>
      <c r="E1156">
        <f>IF(G1155&gt;0,MAX(0,G1155*(1+$G$51)-$H$51),0)</f>
        <v/>
      </c>
      <c r="F1156">
        <f>$B$6+IF($D1156=$B$8,$B$7,0)</f>
        <v/>
      </c>
      <c r="G1156">
        <f>IF(E1156-F1156&gt;1E-9,E1156-F1156,0)</f>
        <v/>
      </c>
      <c r="H1156">
        <f>G1155*$G$51</f>
        <v/>
      </c>
      <c r="I1156">
        <f>IF(K1155&gt;0,MAX(0,K1155*(1+$G$52)-$H$52),0)</f>
        <v/>
      </c>
      <c r="J1156">
        <f>MAX(0,F1156-E1156)</f>
        <v/>
      </c>
      <c r="K1156">
        <f>IF(I1156-J1156&gt;1E-9,I1156-J1156,0)</f>
        <v/>
      </c>
      <c r="L1156">
        <f>K1155*$G$52</f>
        <v/>
      </c>
      <c r="M1156">
        <f>IF(O1155&gt;0,MAX(0,O1155*(1+$G$53)-$H$53),0)</f>
        <v/>
      </c>
      <c r="N1156">
        <f>MAX(0,J1156-I1156)</f>
        <v/>
      </c>
      <c r="O1156">
        <f>IF(M1156-N1156&gt;1E-9,M1156-N1156,0)</f>
        <v/>
      </c>
      <c r="P1156">
        <f>O1155*$G$53</f>
        <v/>
      </c>
      <c r="Q1156">
        <f>IF(S1155&gt;0,MAX(0,S1155*(1+$G$54)-$H$54),0)</f>
        <v/>
      </c>
      <c r="R1156">
        <f>MAX(0,N1156-M1156)</f>
        <v/>
      </c>
      <c r="S1156">
        <f>IF(Q1156-R1156&gt;1E-9,Q1156-R1156,0)</f>
        <v/>
      </c>
      <c r="T1156">
        <f>S1155*$G$54</f>
        <v/>
      </c>
      <c r="U1156">
        <f>IF(W1155&gt;0,MAX(0,W1155*(1+$G$55)-$H$55),0)</f>
        <v/>
      </c>
      <c r="V1156">
        <f>MAX(0,R1156-Q1156)</f>
        <v/>
      </c>
      <c r="W1156">
        <f>IF(U1156-V1156&gt;1E-9,U1156-V1156,0)</f>
        <v/>
      </c>
      <c r="X1156">
        <f>W1155*$G$55</f>
        <v/>
      </c>
      <c r="Y1156">
        <f>IF(Y1155&gt;1E-9,IF(Y1155*(1+$G$51)-MAX($B$9,0.01*Y1155+Y1155*$G$51)&gt;1E-9,Y1155*(1+$G$51)-MAX($B$9,0.01*Y1155+Y1155*$G$51),0),0)</f>
        <v/>
      </c>
      <c r="Z1156">
        <f>Y1155*$G$51</f>
        <v/>
      </c>
      <c r="AA1156">
        <f>IF(AA1155&gt;1E-9,IF(AA1155*(1+$G$52)-MAX($B$9,0.01*AA1155+AA1155*$G$52)&gt;1E-9,AA1155*(1+$G$52)-MAX($B$9,0.01*AA1155+AA1155*$G$52),0),0)</f>
        <v/>
      </c>
      <c r="AB1156">
        <f>AA1155*$G$52</f>
        <v/>
      </c>
      <c r="AC1156">
        <f>IF(AC1155&gt;1E-9,IF(AC1155*(1+$G$53)-MAX($B$9,0.01*AC1155+AC1155*$G$53)&gt;1E-9,AC1155*(1+$G$53)-MAX($B$9,0.01*AC1155+AC1155*$G$53),0),0)</f>
        <v/>
      </c>
      <c r="AD1156">
        <f>AC1155*$G$53</f>
        <v/>
      </c>
      <c r="AE1156">
        <f>IF(AE1155&gt;1E-9,IF(AE1155*(1+$G$54)-MAX($B$9,0.01*AE1155+AE1155*$G$54)&gt;1E-9,AE1155*(1+$G$54)-MAX($B$9,0.01*AE1155+AE1155*$G$54),0),0)</f>
        <v/>
      </c>
      <c r="AF1156">
        <f>AE1155*$G$54</f>
        <v/>
      </c>
      <c r="AG1156">
        <f>IF(AG1155&gt;1E-9,IF(AG1155*(1+$G$55)-MAX($B$9,0.01*AG1155+AG1155*$G$55)&gt;1E-9,AG1155*(1+$G$55)-MAX($B$9,0.01*AG1155+AG1155*$G$55),0),0)</f>
        <v/>
      </c>
      <c r="AH1156">
        <f>AG1155*$G$55</f>
        <v/>
      </c>
      <c r="AI1156">
        <f>G1156+K1156+O1156+S1156+W1156</f>
        <v/>
      </c>
      <c r="AJ1156">
        <f>AI1155+AK1156-AI1156</f>
        <v/>
      </c>
      <c r="AK1156">
        <f>H1156+L1156+P1156+T1156+X1156</f>
        <v/>
      </c>
      <c r="AL1156">
        <f>TEXT(EDATE($B$5,D1156-1),"mmm yyyy")</f>
        <v/>
      </c>
      <c r="AM1156">
        <f>AI1156</f>
        <v/>
      </c>
    </row>
    <row r="1157">
      <c r="D1157" t="n">
        <v>1096</v>
      </c>
      <c r="E1157">
        <f>IF(G1156&gt;0,MAX(0,G1156*(1+$G$51)-$H$51),0)</f>
        <v/>
      </c>
      <c r="F1157">
        <f>$B$6+IF($D1157=$B$8,$B$7,0)</f>
        <v/>
      </c>
      <c r="G1157">
        <f>IF(E1157-F1157&gt;1E-9,E1157-F1157,0)</f>
        <v/>
      </c>
      <c r="H1157">
        <f>G1156*$G$51</f>
        <v/>
      </c>
      <c r="I1157">
        <f>IF(K1156&gt;0,MAX(0,K1156*(1+$G$52)-$H$52),0)</f>
        <v/>
      </c>
      <c r="J1157">
        <f>MAX(0,F1157-E1157)</f>
        <v/>
      </c>
      <c r="K1157">
        <f>IF(I1157-J1157&gt;1E-9,I1157-J1157,0)</f>
        <v/>
      </c>
      <c r="L1157">
        <f>K1156*$G$52</f>
        <v/>
      </c>
      <c r="M1157">
        <f>IF(O1156&gt;0,MAX(0,O1156*(1+$G$53)-$H$53),0)</f>
        <v/>
      </c>
      <c r="N1157">
        <f>MAX(0,J1157-I1157)</f>
        <v/>
      </c>
      <c r="O1157">
        <f>IF(M1157-N1157&gt;1E-9,M1157-N1157,0)</f>
        <v/>
      </c>
      <c r="P1157">
        <f>O1156*$G$53</f>
        <v/>
      </c>
      <c r="Q1157">
        <f>IF(S1156&gt;0,MAX(0,S1156*(1+$G$54)-$H$54),0)</f>
        <v/>
      </c>
      <c r="R1157">
        <f>MAX(0,N1157-M1157)</f>
        <v/>
      </c>
      <c r="S1157">
        <f>IF(Q1157-R1157&gt;1E-9,Q1157-R1157,0)</f>
        <v/>
      </c>
      <c r="T1157">
        <f>S1156*$G$54</f>
        <v/>
      </c>
      <c r="U1157">
        <f>IF(W1156&gt;0,MAX(0,W1156*(1+$G$55)-$H$55),0)</f>
        <v/>
      </c>
      <c r="V1157">
        <f>MAX(0,R1157-Q1157)</f>
        <v/>
      </c>
      <c r="W1157">
        <f>IF(U1157-V1157&gt;1E-9,U1157-V1157,0)</f>
        <v/>
      </c>
      <c r="X1157">
        <f>W1156*$G$55</f>
        <v/>
      </c>
      <c r="Y1157">
        <f>IF(Y1156&gt;1E-9,IF(Y1156*(1+$G$51)-MAX($B$9,0.01*Y1156+Y1156*$G$51)&gt;1E-9,Y1156*(1+$G$51)-MAX($B$9,0.01*Y1156+Y1156*$G$51),0),0)</f>
        <v/>
      </c>
      <c r="Z1157">
        <f>Y1156*$G$51</f>
        <v/>
      </c>
      <c r="AA1157">
        <f>IF(AA1156&gt;1E-9,IF(AA1156*(1+$G$52)-MAX($B$9,0.01*AA1156+AA1156*$G$52)&gt;1E-9,AA1156*(1+$G$52)-MAX($B$9,0.01*AA1156+AA1156*$G$52),0),0)</f>
        <v/>
      </c>
      <c r="AB1157">
        <f>AA1156*$G$52</f>
        <v/>
      </c>
      <c r="AC1157">
        <f>IF(AC1156&gt;1E-9,IF(AC1156*(1+$G$53)-MAX($B$9,0.01*AC1156+AC1156*$G$53)&gt;1E-9,AC1156*(1+$G$53)-MAX($B$9,0.01*AC1156+AC1156*$G$53),0),0)</f>
        <v/>
      </c>
      <c r="AD1157">
        <f>AC1156*$G$53</f>
        <v/>
      </c>
      <c r="AE1157">
        <f>IF(AE1156&gt;1E-9,IF(AE1156*(1+$G$54)-MAX($B$9,0.01*AE1156+AE1156*$G$54)&gt;1E-9,AE1156*(1+$G$54)-MAX($B$9,0.01*AE1156+AE1156*$G$54),0),0)</f>
        <v/>
      </c>
      <c r="AF1157">
        <f>AE1156*$G$54</f>
        <v/>
      </c>
      <c r="AG1157">
        <f>IF(AG1156&gt;1E-9,IF(AG1156*(1+$G$55)-MAX($B$9,0.01*AG1156+AG1156*$G$55)&gt;1E-9,AG1156*(1+$G$55)-MAX($B$9,0.01*AG1156+AG1156*$G$55),0),0)</f>
        <v/>
      </c>
      <c r="AH1157">
        <f>AG1156*$G$55</f>
        <v/>
      </c>
      <c r="AI1157">
        <f>G1157+K1157+O1157+S1157+W1157</f>
        <v/>
      </c>
      <c r="AJ1157">
        <f>AI1156+AK1157-AI1157</f>
        <v/>
      </c>
      <c r="AK1157">
        <f>H1157+L1157+P1157+T1157+X1157</f>
        <v/>
      </c>
      <c r="AL1157">
        <f>TEXT(EDATE($B$5,D1157-1),"mmm yyyy")</f>
        <v/>
      </c>
      <c r="AM1157">
        <f>AI1157</f>
        <v/>
      </c>
    </row>
    <row r="1158">
      <c r="D1158" t="n">
        <v>1097</v>
      </c>
      <c r="E1158">
        <f>IF(G1157&gt;0,MAX(0,G1157*(1+$G$51)-$H$51),0)</f>
        <v/>
      </c>
      <c r="F1158">
        <f>$B$6+IF($D1158=$B$8,$B$7,0)</f>
        <v/>
      </c>
      <c r="G1158">
        <f>IF(E1158-F1158&gt;1E-9,E1158-F1158,0)</f>
        <v/>
      </c>
      <c r="H1158">
        <f>G1157*$G$51</f>
        <v/>
      </c>
      <c r="I1158">
        <f>IF(K1157&gt;0,MAX(0,K1157*(1+$G$52)-$H$52),0)</f>
        <v/>
      </c>
      <c r="J1158">
        <f>MAX(0,F1158-E1158)</f>
        <v/>
      </c>
      <c r="K1158">
        <f>IF(I1158-J1158&gt;1E-9,I1158-J1158,0)</f>
        <v/>
      </c>
      <c r="L1158">
        <f>K1157*$G$52</f>
        <v/>
      </c>
      <c r="M1158">
        <f>IF(O1157&gt;0,MAX(0,O1157*(1+$G$53)-$H$53),0)</f>
        <v/>
      </c>
      <c r="N1158">
        <f>MAX(0,J1158-I1158)</f>
        <v/>
      </c>
      <c r="O1158">
        <f>IF(M1158-N1158&gt;1E-9,M1158-N1158,0)</f>
        <v/>
      </c>
      <c r="P1158">
        <f>O1157*$G$53</f>
        <v/>
      </c>
      <c r="Q1158">
        <f>IF(S1157&gt;0,MAX(0,S1157*(1+$G$54)-$H$54),0)</f>
        <v/>
      </c>
      <c r="R1158">
        <f>MAX(0,N1158-M1158)</f>
        <v/>
      </c>
      <c r="S1158">
        <f>IF(Q1158-R1158&gt;1E-9,Q1158-R1158,0)</f>
        <v/>
      </c>
      <c r="T1158">
        <f>S1157*$G$54</f>
        <v/>
      </c>
      <c r="U1158">
        <f>IF(W1157&gt;0,MAX(0,W1157*(1+$G$55)-$H$55),0)</f>
        <v/>
      </c>
      <c r="V1158">
        <f>MAX(0,R1158-Q1158)</f>
        <v/>
      </c>
      <c r="W1158">
        <f>IF(U1158-V1158&gt;1E-9,U1158-V1158,0)</f>
        <v/>
      </c>
      <c r="X1158">
        <f>W1157*$G$55</f>
        <v/>
      </c>
      <c r="Y1158">
        <f>IF(Y1157&gt;1E-9,IF(Y1157*(1+$G$51)-MAX($B$9,0.01*Y1157+Y1157*$G$51)&gt;1E-9,Y1157*(1+$G$51)-MAX($B$9,0.01*Y1157+Y1157*$G$51),0),0)</f>
        <v/>
      </c>
      <c r="Z1158">
        <f>Y1157*$G$51</f>
        <v/>
      </c>
      <c r="AA1158">
        <f>IF(AA1157&gt;1E-9,IF(AA1157*(1+$G$52)-MAX($B$9,0.01*AA1157+AA1157*$G$52)&gt;1E-9,AA1157*(1+$G$52)-MAX($B$9,0.01*AA1157+AA1157*$G$52),0),0)</f>
        <v/>
      </c>
      <c r="AB1158">
        <f>AA1157*$G$52</f>
        <v/>
      </c>
      <c r="AC1158">
        <f>IF(AC1157&gt;1E-9,IF(AC1157*(1+$G$53)-MAX($B$9,0.01*AC1157+AC1157*$G$53)&gt;1E-9,AC1157*(1+$G$53)-MAX($B$9,0.01*AC1157+AC1157*$G$53),0),0)</f>
        <v/>
      </c>
      <c r="AD1158">
        <f>AC1157*$G$53</f>
        <v/>
      </c>
      <c r="AE1158">
        <f>IF(AE1157&gt;1E-9,IF(AE1157*(1+$G$54)-MAX($B$9,0.01*AE1157+AE1157*$G$54)&gt;1E-9,AE1157*(1+$G$54)-MAX($B$9,0.01*AE1157+AE1157*$G$54),0),0)</f>
        <v/>
      </c>
      <c r="AF1158">
        <f>AE1157*$G$54</f>
        <v/>
      </c>
      <c r="AG1158">
        <f>IF(AG1157&gt;1E-9,IF(AG1157*(1+$G$55)-MAX($B$9,0.01*AG1157+AG1157*$G$55)&gt;1E-9,AG1157*(1+$G$55)-MAX($B$9,0.01*AG1157+AG1157*$G$55),0),0)</f>
        <v/>
      </c>
      <c r="AH1158">
        <f>AG1157*$G$55</f>
        <v/>
      </c>
      <c r="AI1158">
        <f>G1158+K1158+O1158+S1158+W1158</f>
        <v/>
      </c>
      <c r="AJ1158">
        <f>AI1157+AK1158-AI1158</f>
        <v/>
      </c>
      <c r="AK1158">
        <f>H1158+L1158+P1158+T1158+X1158</f>
        <v/>
      </c>
      <c r="AL1158">
        <f>TEXT(EDATE($B$5,D1158-1),"mmm yyyy")</f>
        <v/>
      </c>
      <c r="AM1158">
        <f>AI1158</f>
        <v/>
      </c>
    </row>
    <row r="1159">
      <c r="D1159" t="n">
        <v>1098</v>
      </c>
      <c r="E1159">
        <f>IF(G1158&gt;0,MAX(0,G1158*(1+$G$51)-$H$51),0)</f>
        <v/>
      </c>
      <c r="F1159">
        <f>$B$6+IF($D1159=$B$8,$B$7,0)</f>
        <v/>
      </c>
      <c r="G1159">
        <f>IF(E1159-F1159&gt;1E-9,E1159-F1159,0)</f>
        <v/>
      </c>
      <c r="H1159">
        <f>G1158*$G$51</f>
        <v/>
      </c>
      <c r="I1159">
        <f>IF(K1158&gt;0,MAX(0,K1158*(1+$G$52)-$H$52),0)</f>
        <v/>
      </c>
      <c r="J1159">
        <f>MAX(0,F1159-E1159)</f>
        <v/>
      </c>
      <c r="K1159">
        <f>IF(I1159-J1159&gt;1E-9,I1159-J1159,0)</f>
        <v/>
      </c>
      <c r="L1159">
        <f>K1158*$G$52</f>
        <v/>
      </c>
      <c r="M1159">
        <f>IF(O1158&gt;0,MAX(0,O1158*(1+$G$53)-$H$53),0)</f>
        <v/>
      </c>
      <c r="N1159">
        <f>MAX(0,J1159-I1159)</f>
        <v/>
      </c>
      <c r="O1159">
        <f>IF(M1159-N1159&gt;1E-9,M1159-N1159,0)</f>
        <v/>
      </c>
      <c r="P1159">
        <f>O1158*$G$53</f>
        <v/>
      </c>
      <c r="Q1159">
        <f>IF(S1158&gt;0,MAX(0,S1158*(1+$G$54)-$H$54),0)</f>
        <v/>
      </c>
      <c r="R1159">
        <f>MAX(0,N1159-M1159)</f>
        <v/>
      </c>
      <c r="S1159">
        <f>IF(Q1159-R1159&gt;1E-9,Q1159-R1159,0)</f>
        <v/>
      </c>
      <c r="T1159">
        <f>S1158*$G$54</f>
        <v/>
      </c>
      <c r="U1159">
        <f>IF(W1158&gt;0,MAX(0,W1158*(1+$G$55)-$H$55),0)</f>
        <v/>
      </c>
      <c r="V1159">
        <f>MAX(0,R1159-Q1159)</f>
        <v/>
      </c>
      <c r="W1159">
        <f>IF(U1159-V1159&gt;1E-9,U1159-V1159,0)</f>
        <v/>
      </c>
      <c r="X1159">
        <f>W1158*$G$55</f>
        <v/>
      </c>
      <c r="Y1159">
        <f>IF(Y1158&gt;1E-9,IF(Y1158*(1+$G$51)-MAX($B$9,0.01*Y1158+Y1158*$G$51)&gt;1E-9,Y1158*(1+$G$51)-MAX($B$9,0.01*Y1158+Y1158*$G$51),0),0)</f>
        <v/>
      </c>
      <c r="Z1159">
        <f>Y1158*$G$51</f>
        <v/>
      </c>
      <c r="AA1159">
        <f>IF(AA1158&gt;1E-9,IF(AA1158*(1+$G$52)-MAX($B$9,0.01*AA1158+AA1158*$G$52)&gt;1E-9,AA1158*(1+$G$52)-MAX($B$9,0.01*AA1158+AA1158*$G$52),0),0)</f>
        <v/>
      </c>
      <c r="AB1159">
        <f>AA1158*$G$52</f>
        <v/>
      </c>
      <c r="AC1159">
        <f>IF(AC1158&gt;1E-9,IF(AC1158*(1+$G$53)-MAX($B$9,0.01*AC1158+AC1158*$G$53)&gt;1E-9,AC1158*(1+$G$53)-MAX($B$9,0.01*AC1158+AC1158*$G$53),0),0)</f>
        <v/>
      </c>
      <c r="AD1159">
        <f>AC1158*$G$53</f>
        <v/>
      </c>
      <c r="AE1159">
        <f>IF(AE1158&gt;1E-9,IF(AE1158*(1+$G$54)-MAX($B$9,0.01*AE1158+AE1158*$G$54)&gt;1E-9,AE1158*(1+$G$54)-MAX($B$9,0.01*AE1158+AE1158*$G$54),0),0)</f>
        <v/>
      </c>
      <c r="AF1159">
        <f>AE1158*$G$54</f>
        <v/>
      </c>
      <c r="AG1159">
        <f>IF(AG1158&gt;1E-9,IF(AG1158*(1+$G$55)-MAX($B$9,0.01*AG1158+AG1158*$G$55)&gt;1E-9,AG1158*(1+$G$55)-MAX($B$9,0.01*AG1158+AG1158*$G$55),0),0)</f>
        <v/>
      </c>
      <c r="AH1159">
        <f>AG1158*$G$55</f>
        <v/>
      </c>
      <c r="AI1159">
        <f>G1159+K1159+O1159+S1159+W1159</f>
        <v/>
      </c>
      <c r="AJ1159">
        <f>AI1158+AK1159-AI1159</f>
        <v/>
      </c>
      <c r="AK1159">
        <f>H1159+L1159+P1159+T1159+X1159</f>
        <v/>
      </c>
      <c r="AL1159">
        <f>TEXT(EDATE($B$5,D1159-1),"mmm yyyy")</f>
        <v/>
      </c>
      <c r="AM1159">
        <f>AI1159</f>
        <v/>
      </c>
    </row>
    <row r="1160">
      <c r="D1160" t="n">
        <v>1099</v>
      </c>
      <c r="E1160">
        <f>IF(G1159&gt;0,MAX(0,G1159*(1+$G$51)-$H$51),0)</f>
        <v/>
      </c>
      <c r="F1160">
        <f>$B$6+IF($D1160=$B$8,$B$7,0)</f>
        <v/>
      </c>
      <c r="G1160">
        <f>IF(E1160-F1160&gt;1E-9,E1160-F1160,0)</f>
        <v/>
      </c>
      <c r="H1160">
        <f>G1159*$G$51</f>
        <v/>
      </c>
      <c r="I1160">
        <f>IF(K1159&gt;0,MAX(0,K1159*(1+$G$52)-$H$52),0)</f>
        <v/>
      </c>
      <c r="J1160">
        <f>MAX(0,F1160-E1160)</f>
        <v/>
      </c>
      <c r="K1160">
        <f>IF(I1160-J1160&gt;1E-9,I1160-J1160,0)</f>
        <v/>
      </c>
      <c r="L1160">
        <f>K1159*$G$52</f>
        <v/>
      </c>
      <c r="M1160">
        <f>IF(O1159&gt;0,MAX(0,O1159*(1+$G$53)-$H$53),0)</f>
        <v/>
      </c>
      <c r="N1160">
        <f>MAX(0,J1160-I1160)</f>
        <v/>
      </c>
      <c r="O1160">
        <f>IF(M1160-N1160&gt;1E-9,M1160-N1160,0)</f>
        <v/>
      </c>
      <c r="P1160">
        <f>O1159*$G$53</f>
        <v/>
      </c>
      <c r="Q1160">
        <f>IF(S1159&gt;0,MAX(0,S1159*(1+$G$54)-$H$54),0)</f>
        <v/>
      </c>
      <c r="R1160">
        <f>MAX(0,N1160-M1160)</f>
        <v/>
      </c>
      <c r="S1160">
        <f>IF(Q1160-R1160&gt;1E-9,Q1160-R1160,0)</f>
        <v/>
      </c>
      <c r="T1160">
        <f>S1159*$G$54</f>
        <v/>
      </c>
      <c r="U1160">
        <f>IF(W1159&gt;0,MAX(0,W1159*(1+$G$55)-$H$55),0)</f>
        <v/>
      </c>
      <c r="V1160">
        <f>MAX(0,R1160-Q1160)</f>
        <v/>
      </c>
      <c r="W1160">
        <f>IF(U1160-V1160&gt;1E-9,U1160-V1160,0)</f>
        <v/>
      </c>
      <c r="X1160">
        <f>W1159*$G$55</f>
        <v/>
      </c>
      <c r="Y1160">
        <f>IF(Y1159&gt;1E-9,IF(Y1159*(1+$G$51)-MAX($B$9,0.01*Y1159+Y1159*$G$51)&gt;1E-9,Y1159*(1+$G$51)-MAX($B$9,0.01*Y1159+Y1159*$G$51),0),0)</f>
        <v/>
      </c>
      <c r="Z1160">
        <f>Y1159*$G$51</f>
        <v/>
      </c>
      <c r="AA1160">
        <f>IF(AA1159&gt;1E-9,IF(AA1159*(1+$G$52)-MAX($B$9,0.01*AA1159+AA1159*$G$52)&gt;1E-9,AA1159*(1+$G$52)-MAX($B$9,0.01*AA1159+AA1159*$G$52),0),0)</f>
        <v/>
      </c>
      <c r="AB1160">
        <f>AA1159*$G$52</f>
        <v/>
      </c>
      <c r="AC1160">
        <f>IF(AC1159&gt;1E-9,IF(AC1159*(1+$G$53)-MAX($B$9,0.01*AC1159+AC1159*$G$53)&gt;1E-9,AC1159*(1+$G$53)-MAX($B$9,0.01*AC1159+AC1159*$G$53),0),0)</f>
        <v/>
      </c>
      <c r="AD1160">
        <f>AC1159*$G$53</f>
        <v/>
      </c>
      <c r="AE1160">
        <f>IF(AE1159&gt;1E-9,IF(AE1159*(1+$G$54)-MAX($B$9,0.01*AE1159+AE1159*$G$54)&gt;1E-9,AE1159*(1+$G$54)-MAX($B$9,0.01*AE1159+AE1159*$G$54),0),0)</f>
        <v/>
      </c>
      <c r="AF1160">
        <f>AE1159*$G$54</f>
        <v/>
      </c>
      <c r="AG1160">
        <f>IF(AG1159&gt;1E-9,IF(AG1159*(1+$G$55)-MAX($B$9,0.01*AG1159+AG1159*$G$55)&gt;1E-9,AG1159*(1+$G$55)-MAX($B$9,0.01*AG1159+AG1159*$G$55),0),0)</f>
        <v/>
      </c>
      <c r="AH1160">
        <f>AG1159*$G$55</f>
        <v/>
      </c>
      <c r="AI1160">
        <f>G1160+K1160+O1160+S1160+W1160</f>
        <v/>
      </c>
      <c r="AJ1160">
        <f>AI1159+AK1160-AI1160</f>
        <v/>
      </c>
      <c r="AK1160">
        <f>H1160+L1160+P1160+T1160+X1160</f>
        <v/>
      </c>
      <c r="AL1160">
        <f>TEXT(EDATE($B$5,D1160-1),"mmm yyyy")</f>
        <v/>
      </c>
      <c r="AM1160">
        <f>AI1160</f>
        <v/>
      </c>
    </row>
    <row r="1161">
      <c r="D1161" t="n">
        <v>1100</v>
      </c>
      <c r="E1161">
        <f>IF(G1160&gt;0,MAX(0,G1160*(1+$G$51)-$H$51),0)</f>
        <v/>
      </c>
      <c r="F1161">
        <f>$B$6+IF($D1161=$B$8,$B$7,0)</f>
        <v/>
      </c>
      <c r="G1161">
        <f>IF(E1161-F1161&gt;1E-9,E1161-F1161,0)</f>
        <v/>
      </c>
      <c r="H1161">
        <f>G1160*$G$51</f>
        <v/>
      </c>
      <c r="I1161">
        <f>IF(K1160&gt;0,MAX(0,K1160*(1+$G$52)-$H$52),0)</f>
        <v/>
      </c>
      <c r="J1161">
        <f>MAX(0,F1161-E1161)</f>
        <v/>
      </c>
      <c r="K1161">
        <f>IF(I1161-J1161&gt;1E-9,I1161-J1161,0)</f>
        <v/>
      </c>
      <c r="L1161">
        <f>K1160*$G$52</f>
        <v/>
      </c>
      <c r="M1161">
        <f>IF(O1160&gt;0,MAX(0,O1160*(1+$G$53)-$H$53),0)</f>
        <v/>
      </c>
      <c r="N1161">
        <f>MAX(0,J1161-I1161)</f>
        <v/>
      </c>
      <c r="O1161">
        <f>IF(M1161-N1161&gt;1E-9,M1161-N1161,0)</f>
        <v/>
      </c>
      <c r="P1161">
        <f>O1160*$G$53</f>
        <v/>
      </c>
      <c r="Q1161">
        <f>IF(S1160&gt;0,MAX(0,S1160*(1+$G$54)-$H$54),0)</f>
        <v/>
      </c>
      <c r="R1161">
        <f>MAX(0,N1161-M1161)</f>
        <v/>
      </c>
      <c r="S1161">
        <f>IF(Q1161-R1161&gt;1E-9,Q1161-R1161,0)</f>
        <v/>
      </c>
      <c r="T1161">
        <f>S1160*$G$54</f>
        <v/>
      </c>
      <c r="U1161">
        <f>IF(W1160&gt;0,MAX(0,W1160*(1+$G$55)-$H$55),0)</f>
        <v/>
      </c>
      <c r="V1161">
        <f>MAX(0,R1161-Q1161)</f>
        <v/>
      </c>
      <c r="W1161">
        <f>IF(U1161-V1161&gt;1E-9,U1161-V1161,0)</f>
        <v/>
      </c>
      <c r="X1161">
        <f>W1160*$G$55</f>
        <v/>
      </c>
      <c r="Y1161">
        <f>IF(Y1160&gt;1E-9,IF(Y1160*(1+$G$51)-MAX($B$9,0.01*Y1160+Y1160*$G$51)&gt;1E-9,Y1160*(1+$G$51)-MAX($B$9,0.01*Y1160+Y1160*$G$51),0),0)</f>
        <v/>
      </c>
      <c r="Z1161">
        <f>Y1160*$G$51</f>
        <v/>
      </c>
      <c r="AA1161">
        <f>IF(AA1160&gt;1E-9,IF(AA1160*(1+$G$52)-MAX($B$9,0.01*AA1160+AA1160*$G$52)&gt;1E-9,AA1160*(1+$G$52)-MAX($B$9,0.01*AA1160+AA1160*$G$52),0),0)</f>
        <v/>
      </c>
      <c r="AB1161">
        <f>AA1160*$G$52</f>
        <v/>
      </c>
      <c r="AC1161">
        <f>IF(AC1160&gt;1E-9,IF(AC1160*(1+$G$53)-MAX($B$9,0.01*AC1160+AC1160*$G$53)&gt;1E-9,AC1160*(1+$G$53)-MAX($B$9,0.01*AC1160+AC1160*$G$53),0),0)</f>
        <v/>
      </c>
      <c r="AD1161">
        <f>AC1160*$G$53</f>
        <v/>
      </c>
      <c r="AE1161">
        <f>IF(AE1160&gt;1E-9,IF(AE1160*(1+$G$54)-MAX($B$9,0.01*AE1160+AE1160*$G$54)&gt;1E-9,AE1160*(1+$G$54)-MAX($B$9,0.01*AE1160+AE1160*$G$54),0),0)</f>
        <v/>
      </c>
      <c r="AF1161">
        <f>AE1160*$G$54</f>
        <v/>
      </c>
      <c r="AG1161">
        <f>IF(AG1160&gt;1E-9,IF(AG1160*(1+$G$55)-MAX($B$9,0.01*AG1160+AG1160*$G$55)&gt;1E-9,AG1160*(1+$G$55)-MAX($B$9,0.01*AG1160+AG1160*$G$55),0),0)</f>
        <v/>
      </c>
      <c r="AH1161">
        <f>AG1160*$G$55</f>
        <v/>
      </c>
      <c r="AI1161">
        <f>G1161+K1161+O1161+S1161+W1161</f>
        <v/>
      </c>
      <c r="AJ1161">
        <f>AI1160+AK1161-AI1161</f>
        <v/>
      </c>
      <c r="AK1161">
        <f>H1161+L1161+P1161+T1161+X1161</f>
        <v/>
      </c>
      <c r="AL1161">
        <f>TEXT(EDATE($B$5,D1161-1),"mmm yyyy")</f>
        <v/>
      </c>
      <c r="AM1161">
        <f>AI1161</f>
        <v/>
      </c>
    </row>
    <row r="1162">
      <c r="D1162" t="n">
        <v>1101</v>
      </c>
      <c r="E1162">
        <f>IF(G1161&gt;0,MAX(0,G1161*(1+$G$51)-$H$51),0)</f>
        <v/>
      </c>
      <c r="F1162">
        <f>$B$6+IF($D1162=$B$8,$B$7,0)</f>
        <v/>
      </c>
      <c r="G1162">
        <f>IF(E1162-F1162&gt;1E-9,E1162-F1162,0)</f>
        <v/>
      </c>
      <c r="H1162">
        <f>G1161*$G$51</f>
        <v/>
      </c>
      <c r="I1162">
        <f>IF(K1161&gt;0,MAX(0,K1161*(1+$G$52)-$H$52),0)</f>
        <v/>
      </c>
      <c r="J1162">
        <f>MAX(0,F1162-E1162)</f>
        <v/>
      </c>
      <c r="K1162">
        <f>IF(I1162-J1162&gt;1E-9,I1162-J1162,0)</f>
        <v/>
      </c>
      <c r="L1162">
        <f>K1161*$G$52</f>
        <v/>
      </c>
      <c r="M1162">
        <f>IF(O1161&gt;0,MAX(0,O1161*(1+$G$53)-$H$53),0)</f>
        <v/>
      </c>
      <c r="N1162">
        <f>MAX(0,J1162-I1162)</f>
        <v/>
      </c>
      <c r="O1162">
        <f>IF(M1162-N1162&gt;1E-9,M1162-N1162,0)</f>
        <v/>
      </c>
      <c r="P1162">
        <f>O1161*$G$53</f>
        <v/>
      </c>
      <c r="Q1162">
        <f>IF(S1161&gt;0,MAX(0,S1161*(1+$G$54)-$H$54),0)</f>
        <v/>
      </c>
      <c r="R1162">
        <f>MAX(0,N1162-M1162)</f>
        <v/>
      </c>
      <c r="S1162">
        <f>IF(Q1162-R1162&gt;1E-9,Q1162-R1162,0)</f>
        <v/>
      </c>
      <c r="T1162">
        <f>S1161*$G$54</f>
        <v/>
      </c>
      <c r="U1162">
        <f>IF(W1161&gt;0,MAX(0,W1161*(1+$G$55)-$H$55),0)</f>
        <v/>
      </c>
      <c r="V1162">
        <f>MAX(0,R1162-Q1162)</f>
        <v/>
      </c>
      <c r="W1162">
        <f>IF(U1162-V1162&gt;1E-9,U1162-V1162,0)</f>
        <v/>
      </c>
      <c r="X1162">
        <f>W1161*$G$55</f>
        <v/>
      </c>
      <c r="Y1162">
        <f>IF(Y1161&gt;1E-9,IF(Y1161*(1+$G$51)-MAX($B$9,0.01*Y1161+Y1161*$G$51)&gt;1E-9,Y1161*(1+$G$51)-MAX($B$9,0.01*Y1161+Y1161*$G$51),0),0)</f>
        <v/>
      </c>
      <c r="Z1162">
        <f>Y1161*$G$51</f>
        <v/>
      </c>
      <c r="AA1162">
        <f>IF(AA1161&gt;1E-9,IF(AA1161*(1+$G$52)-MAX($B$9,0.01*AA1161+AA1161*$G$52)&gt;1E-9,AA1161*(1+$G$52)-MAX($B$9,0.01*AA1161+AA1161*$G$52),0),0)</f>
        <v/>
      </c>
      <c r="AB1162">
        <f>AA1161*$G$52</f>
        <v/>
      </c>
      <c r="AC1162">
        <f>IF(AC1161&gt;1E-9,IF(AC1161*(1+$G$53)-MAX($B$9,0.01*AC1161+AC1161*$G$53)&gt;1E-9,AC1161*(1+$G$53)-MAX($B$9,0.01*AC1161+AC1161*$G$53),0),0)</f>
        <v/>
      </c>
      <c r="AD1162">
        <f>AC1161*$G$53</f>
        <v/>
      </c>
      <c r="AE1162">
        <f>IF(AE1161&gt;1E-9,IF(AE1161*(1+$G$54)-MAX($B$9,0.01*AE1161+AE1161*$G$54)&gt;1E-9,AE1161*(1+$G$54)-MAX($B$9,0.01*AE1161+AE1161*$G$54),0),0)</f>
        <v/>
      </c>
      <c r="AF1162">
        <f>AE1161*$G$54</f>
        <v/>
      </c>
      <c r="AG1162">
        <f>IF(AG1161&gt;1E-9,IF(AG1161*(1+$G$55)-MAX($B$9,0.01*AG1161+AG1161*$G$55)&gt;1E-9,AG1161*(1+$G$55)-MAX($B$9,0.01*AG1161+AG1161*$G$55),0),0)</f>
        <v/>
      </c>
      <c r="AH1162">
        <f>AG1161*$G$55</f>
        <v/>
      </c>
      <c r="AI1162">
        <f>G1162+K1162+O1162+S1162+W1162</f>
        <v/>
      </c>
      <c r="AJ1162">
        <f>AI1161+AK1162-AI1162</f>
        <v/>
      </c>
      <c r="AK1162">
        <f>H1162+L1162+P1162+T1162+X1162</f>
        <v/>
      </c>
      <c r="AL1162">
        <f>TEXT(EDATE($B$5,D1162-1),"mmm yyyy")</f>
        <v/>
      </c>
      <c r="AM1162">
        <f>AI1162</f>
        <v/>
      </c>
    </row>
    <row r="1163">
      <c r="D1163" t="n">
        <v>1102</v>
      </c>
      <c r="E1163">
        <f>IF(G1162&gt;0,MAX(0,G1162*(1+$G$51)-$H$51),0)</f>
        <v/>
      </c>
      <c r="F1163">
        <f>$B$6+IF($D1163=$B$8,$B$7,0)</f>
        <v/>
      </c>
      <c r="G1163">
        <f>IF(E1163-F1163&gt;1E-9,E1163-F1163,0)</f>
        <v/>
      </c>
      <c r="H1163">
        <f>G1162*$G$51</f>
        <v/>
      </c>
      <c r="I1163">
        <f>IF(K1162&gt;0,MAX(0,K1162*(1+$G$52)-$H$52),0)</f>
        <v/>
      </c>
      <c r="J1163">
        <f>MAX(0,F1163-E1163)</f>
        <v/>
      </c>
      <c r="K1163">
        <f>IF(I1163-J1163&gt;1E-9,I1163-J1163,0)</f>
        <v/>
      </c>
      <c r="L1163">
        <f>K1162*$G$52</f>
        <v/>
      </c>
      <c r="M1163">
        <f>IF(O1162&gt;0,MAX(0,O1162*(1+$G$53)-$H$53),0)</f>
        <v/>
      </c>
      <c r="N1163">
        <f>MAX(0,J1163-I1163)</f>
        <v/>
      </c>
      <c r="O1163">
        <f>IF(M1163-N1163&gt;1E-9,M1163-N1163,0)</f>
        <v/>
      </c>
      <c r="P1163">
        <f>O1162*$G$53</f>
        <v/>
      </c>
      <c r="Q1163">
        <f>IF(S1162&gt;0,MAX(0,S1162*(1+$G$54)-$H$54),0)</f>
        <v/>
      </c>
      <c r="R1163">
        <f>MAX(0,N1163-M1163)</f>
        <v/>
      </c>
      <c r="S1163">
        <f>IF(Q1163-R1163&gt;1E-9,Q1163-R1163,0)</f>
        <v/>
      </c>
      <c r="T1163">
        <f>S1162*$G$54</f>
        <v/>
      </c>
      <c r="U1163">
        <f>IF(W1162&gt;0,MAX(0,W1162*(1+$G$55)-$H$55),0)</f>
        <v/>
      </c>
      <c r="V1163">
        <f>MAX(0,R1163-Q1163)</f>
        <v/>
      </c>
      <c r="W1163">
        <f>IF(U1163-V1163&gt;1E-9,U1163-V1163,0)</f>
        <v/>
      </c>
      <c r="X1163">
        <f>W1162*$G$55</f>
        <v/>
      </c>
      <c r="Y1163">
        <f>IF(Y1162&gt;1E-9,IF(Y1162*(1+$G$51)-MAX($B$9,0.01*Y1162+Y1162*$G$51)&gt;1E-9,Y1162*(1+$G$51)-MAX($B$9,0.01*Y1162+Y1162*$G$51),0),0)</f>
        <v/>
      </c>
      <c r="Z1163">
        <f>Y1162*$G$51</f>
        <v/>
      </c>
      <c r="AA1163">
        <f>IF(AA1162&gt;1E-9,IF(AA1162*(1+$G$52)-MAX($B$9,0.01*AA1162+AA1162*$G$52)&gt;1E-9,AA1162*(1+$G$52)-MAX($B$9,0.01*AA1162+AA1162*$G$52),0),0)</f>
        <v/>
      </c>
      <c r="AB1163">
        <f>AA1162*$G$52</f>
        <v/>
      </c>
      <c r="AC1163">
        <f>IF(AC1162&gt;1E-9,IF(AC1162*(1+$G$53)-MAX($B$9,0.01*AC1162+AC1162*$G$53)&gt;1E-9,AC1162*(1+$G$53)-MAX($B$9,0.01*AC1162+AC1162*$G$53),0),0)</f>
        <v/>
      </c>
      <c r="AD1163">
        <f>AC1162*$G$53</f>
        <v/>
      </c>
      <c r="AE1163">
        <f>IF(AE1162&gt;1E-9,IF(AE1162*(1+$G$54)-MAX($B$9,0.01*AE1162+AE1162*$G$54)&gt;1E-9,AE1162*(1+$G$54)-MAX($B$9,0.01*AE1162+AE1162*$G$54),0),0)</f>
        <v/>
      </c>
      <c r="AF1163">
        <f>AE1162*$G$54</f>
        <v/>
      </c>
      <c r="AG1163">
        <f>IF(AG1162&gt;1E-9,IF(AG1162*(1+$G$55)-MAX($B$9,0.01*AG1162+AG1162*$G$55)&gt;1E-9,AG1162*(1+$G$55)-MAX($B$9,0.01*AG1162+AG1162*$G$55),0),0)</f>
        <v/>
      </c>
      <c r="AH1163">
        <f>AG1162*$G$55</f>
        <v/>
      </c>
      <c r="AI1163">
        <f>G1163+K1163+O1163+S1163+W1163</f>
        <v/>
      </c>
      <c r="AJ1163">
        <f>AI1162+AK1163-AI1163</f>
        <v/>
      </c>
      <c r="AK1163">
        <f>H1163+L1163+P1163+T1163+X1163</f>
        <v/>
      </c>
      <c r="AL1163">
        <f>TEXT(EDATE($B$5,D1163-1),"mmm yyyy")</f>
        <v/>
      </c>
      <c r="AM1163">
        <f>AI1163</f>
        <v/>
      </c>
    </row>
    <row r="1164">
      <c r="D1164" t="n">
        <v>1103</v>
      </c>
      <c r="E1164">
        <f>IF(G1163&gt;0,MAX(0,G1163*(1+$G$51)-$H$51),0)</f>
        <v/>
      </c>
      <c r="F1164">
        <f>$B$6+IF($D1164=$B$8,$B$7,0)</f>
        <v/>
      </c>
      <c r="G1164">
        <f>IF(E1164-F1164&gt;1E-9,E1164-F1164,0)</f>
        <v/>
      </c>
      <c r="H1164">
        <f>G1163*$G$51</f>
        <v/>
      </c>
      <c r="I1164">
        <f>IF(K1163&gt;0,MAX(0,K1163*(1+$G$52)-$H$52),0)</f>
        <v/>
      </c>
      <c r="J1164">
        <f>MAX(0,F1164-E1164)</f>
        <v/>
      </c>
      <c r="K1164">
        <f>IF(I1164-J1164&gt;1E-9,I1164-J1164,0)</f>
        <v/>
      </c>
      <c r="L1164">
        <f>K1163*$G$52</f>
        <v/>
      </c>
      <c r="M1164">
        <f>IF(O1163&gt;0,MAX(0,O1163*(1+$G$53)-$H$53),0)</f>
        <v/>
      </c>
      <c r="N1164">
        <f>MAX(0,J1164-I1164)</f>
        <v/>
      </c>
      <c r="O1164">
        <f>IF(M1164-N1164&gt;1E-9,M1164-N1164,0)</f>
        <v/>
      </c>
      <c r="P1164">
        <f>O1163*$G$53</f>
        <v/>
      </c>
      <c r="Q1164">
        <f>IF(S1163&gt;0,MAX(0,S1163*(1+$G$54)-$H$54),0)</f>
        <v/>
      </c>
      <c r="R1164">
        <f>MAX(0,N1164-M1164)</f>
        <v/>
      </c>
      <c r="S1164">
        <f>IF(Q1164-R1164&gt;1E-9,Q1164-R1164,0)</f>
        <v/>
      </c>
      <c r="T1164">
        <f>S1163*$G$54</f>
        <v/>
      </c>
      <c r="U1164">
        <f>IF(W1163&gt;0,MAX(0,W1163*(1+$G$55)-$H$55),0)</f>
        <v/>
      </c>
      <c r="V1164">
        <f>MAX(0,R1164-Q1164)</f>
        <v/>
      </c>
      <c r="W1164">
        <f>IF(U1164-V1164&gt;1E-9,U1164-V1164,0)</f>
        <v/>
      </c>
      <c r="X1164">
        <f>W1163*$G$55</f>
        <v/>
      </c>
      <c r="Y1164">
        <f>IF(Y1163&gt;1E-9,IF(Y1163*(1+$G$51)-MAX($B$9,0.01*Y1163+Y1163*$G$51)&gt;1E-9,Y1163*(1+$G$51)-MAX($B$9,0.01*Y1163+Y1163*$G$51),0),0)</f>
        <v/>
      </c>
      <c r="Z1164">
        <f>Y1163*$G$51</f>
        <v/>
      </c>
      <c r="AA1164">
        <f>IF(AA1163&gt;1E-9,IF(AA1163*(1+$G$52)-MAX($B$9,0.01*AA1163+AA1163*$G$52)&gt;1E-9,AA1163*(1+$G$52)-MAX($B$9,0.01*AA1163+AA1163*$G$52),0),0)</f>
        <v/>
      </c>
      <c r="AB1164">
        <f>AA1163*$G$52</f>
        <v/>
      </c>
      <c r="AC1164">
        <f>IF(AC1163&gt;1E-9,IF(AC1163*(1+$G$53)-MAX($B$9,0.01*AC1163+AC1163*$G$53)&gt;1E-9,AC1163*(1+$G$53)-MAX($B$9,0.01*AC1163+AC1163*$G$53),0),0)</f>
        <v/>
      </c>
      <c r="AD1164">
        <f>AC1163*$G$53</f>
        <v/>
      </c>
      <c r="AE1164">
        <f>IF(AE1163&gt;1E-9,IF(AE1163*(1+$G$54)-MAX($B$9,0.01*AE1163+AE1163*$G$54)&gt;1E-9,AE1163*(1+$G$54)-MAX($B$9,0.01*AE1163+AE1163*$G$54),0),0)</f>
        <v/>
      </c>
      <c r="AF1164">
        <f>AE1163*$G$54</f>
        <v/>
      </c>
      <c r="AG1164">
        <f>IF(AG1163&gt;1E-9,IF(AG1163*(1+$G$55)-MAX($B$9,0.01*AG1163+AG1163*$G$55)&gt;1E-9,AG1163*(1+$G$55)-MAX($B$9,0.01*AG1163+AG1163*$G$55),0),0)</f>
        <v/>
      </c>
      <c r="AH1164">
        <f>AG1163*$G$55</f>
        <v/>
      </c>
      <c r="AI1164">
        <f>G1164+K1164+O1164+S1164+W1164</f>
        <v/>
      </c>
      <c r="AJ1164">
        <f>AI1163+AK1164-AI1164</f>
        <v/>
      </c>
      <c r="AK1164">
        <f>H1164+L1164+P1164+T1164+X1164</f>
        <v/>
      </c>
      <c r="AL1164">
        <f>TEXT(EDATE($B$5,D1164-1),"mmm yyyy")</f>
        <v/>
      </c>
      <c r="AM1164">
        <f>AI1164</f>
        <v/>
      </c>
    </row>
    <row r="1165">
      <c r="D1165" t="n">
        <v>1104</v>
      </c>
      <c r="E1165">
        <f>IF(G1164&gt;0,MAX(0,G1164*(1+$G$51)-$H$51),0)</f>
        <v/>
      </c>
      <c r="F1165">
        <f>$B$6+IF($D1165=$B$8,$B$7,0)</f>
        <v/>
      </c>
      <c r="G1165">
        <f>IF(E1165-F1165&gt;1E-9,E1165-F1165,0)</f>
        <v/>
      </c>
      <c r="H1165">
        <f>G1164*$G$51</f>
        <v/>
      </c>
      <c r="I1165">
        <f>IF(K1164&gt;0,MAX(0,K1164*(1+$G$52)-$H$52),0)</f>
        <v/>
      </c>
      <c r="J1165">
        <f>MAX(0,F1165-E1165)</f>
        <v/>
      </c>
      <c r="K1165">
        <f>IF(I1165-J1165&gt;1E-9,I1165-J1165,0)</f>
        <v/>
      </c>
      <c r="L1165">
        <f>K1164*$G$52</f>
        <v/>
      </c>
      <c r="M1165">
        <f>IF(O1164&gt;0,MAX(0,O1164*(1+$G$53)-$H$53),0)</f>
        <v/>
      </c>
      <c r="N1165">
        <f>MAX(0,J1165-I1165)</f>
        <v/>
      </c>
      <c r="O1165">
        <f>IF(M1165-N1165&gt;1E-9,M1165-N1165,0)</f>
        <v/>
      </c>
      <c r="P1165">
        <f>O1164*$G$53</f>
        <v/>
      </c>
      <c r="Q1165">
        <f>IF(S1164&gt;0,MAX(0,S1164*(1+$G$54)-$H$54),0)</f>
        <v/>
      </c>
      <c r="R1165">
        <f>MAX(0,N1165-M1165)</f>
        <v/>
      </c>
      <c r="S1165">
        <f>IF(Q1165-R1165&gt;1E-9,Q1165-R1165,0)</f>
        <v/>
      </c>
      <c r="T1165">
        <f>S1164*$G$54</f>
        <v/>
      </c>
      <c r="U1165">
        <f>IF(W1164&gt;0,MAX(0,W1164*(1+$G$55)-$H$55),0)</f>
        <v/>
      </c>
      <c r="V1165">
        <f>MAX(0,R1165-Q1165)</f>
        <v/>
      </c>
      <c r="W1165">
        <f>IF(U1165-V1165&gt;1E-9,U1165-V1165,0)</f>
        <v/>
      </c>
      <c r="X1165">
        <f>W1164*$G$55</f>
        <v/>
      </c>
      <c r="Y1165">
        <f>IF(Y1164&gt;1E-9,IF(Y1164*(1+$G$51)-MAX($B$9,0.01*Y1164+Y1164*$G$51)&gt;1E-9,Y1164*(1+$G$51)-MAX($B$9,0.01*Y1164+Y1164*$G$51),0),0)</f>
        <v/>
      </c>
      <c r="Z1165">
        <f>Y1164*$G$51</f>
        <v/>
      </c>
      <c r="AA1165">
        <f>IF(AA1164&gt;1E-9,IF(AA1164*(1+$G$52)-MAX($B$9,0.01*AA1164+AA1164*$G$52)&gt;1E-9,AA1164*(1+$G$52)-MAX($B$9,0.01*AA1164+AA1164*$G$52),0),0)</f>
        <v/>
      </c>
      <c r="AB1165">
        <f>AA1164*$G$52</f>
        <v/>
      </c>
      <c r="AC1165">
        <f>IF(AC1164&gt;1E-9,IF(AC1164*(1+$G$53)-MAX($B$9,0.01*AC1164+AC1164*$G$53)&gt;1E-9,AC1164*(1+$G$53)-MAX($B$9,0.01*AC1164+AC1164*$G$53),0),0)</f>
        <v/>
      </c>
      <c r="AD1165">
        <f>AC1164*$G$53</f>
        <v/>
      </c>
      <c r="AE1165">
        <f>IF(AE1164&gt;1E-9,IF(AE1164*(1+$G$54)-MAX($B$9,0.01*AE1164+AE1164*$G$54)&gt;1E-9,AE1164*(1+$G$54)-MAX($B$9,0.01*AE1164+AE1164*$G$54),0),0)</f>
        <v/>
      </c>
      <c r="AF1165">
        <f>AE1164*$G$54</f>
        <v/>
      </c>
      <c r="AG1165">
        <f>IF(AG1164&gt;1E-9,IF(AG1164*(1+$G$55)-MAX($B$9,0.01*AG1164+AG1164*$G$55)&gt;1E-9,AG1164*(1+$G$55)-MAX($B$9,0.01*AG1164+AG1164*$G$55),0),0)</f>
        <v/>
      </c>
      <c r="AH1165">
        <f>AG1164*$G$55</f>
        <v/>
      </c>
      <c r="AI1165">
        <f>G1165+K1165+O1165+S1165+W1165</f>
        <v/>
      </c>
      <c r="AJ1165">
        <f>AI1164+AK1165-AI1165</f>
        <v/>
      </c>
      <c r="AK1165">
        <f>H1165+L1165+P1165+T1165+X1165</f>
        <v/>
      </c>
      <c r="AL1165">
        <f>TEXT(EDATE($B$5,D1165-1),"mmm yyyy")</f>
        <v/>
      </c>
      <c r="AM1165">
        <f>AI1165</f>
        <v/>
      </c>
    </row>
    <row r="1166">
      <c r="D1166" t="n">
        <v>1105</v>
      </c>
      <c r="E1166">
        <f>IF(G1165&gt;0,MAX(0,G1165*(1+$G$51)-$H$51),0)</f>
        <v/>
      </c>
      <c r="F1166">
        <f>$B$6+IF($D1166=$B$8,$B$7,0)</f>
        <v/>
      </c>
      <c r="G1166">
        <f>IF(E1166-F1166&gt;1E-9,E1166-F1166,0)</f>
        <v/>
      </c>
      <c r="H1166">
        <f>G1165*$G$51</f>
        <v/>
      </c>
      <c r="I1166">
        <f>IF(K1165&gt;0,MAX(0,K1165*(1+$G$52)-$H$52),0)</f>
        <v/>
      </c>
      <c r="J1166">
        <f>MAX(0,F1166-E1166)</f>
        <v/>
      </c>
      <c r="K1166">
        <f>IF(I1166-J1166&gt;1E-9,I1166-J1166,0)</f>
        <v/>
      </c>
      <c r="L1166">
        <f>K1165*$G$52</f>
        <v/>
      </c>
      <c r="M1166">
        <f>IF(O1165&gt;0,MAX(0,O1165*(1+$G$53)-$H$53),0)</f>
        <v/>
      </c>
      <c r="N1166">
        <f>MAX(0,J1166-I1166)</f>
        <v/>
      </c>
      <c r="O1166">
        <f>IF(M1166-N1166&gt;1E-9,M1166-N1166,0)</f>
        <v/>
      </c>
      <c r="P1166">
        <f>O1165*$G$53</f>
        <v/>
      </c>
      <c r="Q1166">
        <f>IF(S1165&gt;0,MAX(0,S1165*(1+$G$54)-$H$54),0)</f>
        <v/>
      </c>
      <c r="R1166">
        <f>MAX(0,N1166-M1166)</f>
        <v/>
      </c>
      <c r="S1166">
        <f>IF(Q1166-R1166&gt;1E-9,Q1166-R1166,0)</f>
        <v/>
      </c>
      <c r="T1166">
        <f>S1165*$G$54</f>
        <v/>
      </c>
      <c r="U1166">
        <f>IF(W1165&gt;0,MAX(0,W1165*(1+$G$55)-$H$55),0)</f>
        <v/>
      </c>
      <c r="V1166">
        <f>MAX(0,R1166-Q1166)</f>
        <v/>
      </c>
      <c r="W1166">
        <f>IF(U1166-V1166&gt;1E-9,U1166-V1166,0)</f>
        <v/>
      </c>
      <c r="X1166">
        <f>W1165*$G$55</f>
        <v/>
      </c>
      <c r="Y1166">
        <f>IF(Y1165&gt;1E-9,IF(Y1165*(1+$G$51)-MAX($B$9,0.01*Y1165+Y1165*$G$51)&gt;1E-9,Y1165*(1+$G$51)-MAX($B$9,0.01*Y1165+Y1165*$G$51),0),0)</f>
        <v/>
      </c>
      <c r="Z1166">
        <f>Y1165*$G$51</f>
        <v/>
      </c>
      <c r="AA1166">
        <f>IF(AA1165&gt;1E-9,IF(AA1165*(1+$G$52)-MAX($B$9,0.01*AA1165+AA1165*$G$52)&gt;1E-9,AA1165*(1+$G$52)-MAX($B$9,0.01*AA1165+AA1165*$G$52),0),0)</f>
        <v/>
      </c>
      <c r="AB1166">
        <f>AA1165*$G$52</f>
        <v/>
      </c>
      <c r="AC1166">
        <f>IF(AC1165&gt;1E-9,IF(AC1165*(1+$G$53)-MAX($B$9,0.01*AC1165+AC1165*$G$53)&gt;1E-9,AC1165*(1+$G$53)-MAX($B$9,0.01*AC1165+AC1165*$G$53),0),0)</f>
        <v/>
      </c>
      <c r="AD1166">
        <f>AC1165*$G$53</f>
        <v/>
      </c>
      <c r="AE1166">
        <f>IF(AE1165&gt;1E-9,IF(AE1165*(1+$G$54)-MAX($B$9,0.01*AE1165+AE1165*$G$54)&gt;1E-9,AE1165*(1+$G$54)-MAX($B$9,0.01*AE1165+AE1165*$G$54),0),0)</f>
        <v/>
      </c>
      <c r="AF1166">
        <f>AE1165*$G$54</f>
        <v/>
      </c>
      <c r="AG1166">
        <f>IF(AG1165&gt;1E-9,IF(AG1165*(1+$G$55)-MAX($B$9,0.01*AG1165+AG1165*$G$55)&gt;1E-9,AG1165*(1+$G$55)-MAX($B$9,0.01*AG1165+AG1165*$G$55),0),0)</f>
        <v/>
      </c>
      <c r="AH1166">
        <f>AG1165*$G$55</f>
        <v/>
      </c>
      <c r="AI1166">
        <f>G1166+K1166+O1166+S1166+W1166</f>
        <v/>
      </c>
      <c r="AJ1166">
        <f>AI1165+AK1166-AI1166</f>
        <v/>
      </c>
      <c r="AK1166">
        <f>H1166+L1166+P1166+T1166+X1166</f>
        <v/>
      </c>
      <c r="AL1166">
        <f>TEXT(EDATE($B$5,D1166-1),"mmm yyyy")</f>
        <v/>
      </c>
      <c r="AM1166">
        <f>AI1166</f>
        <v/>
      </c>
    </row>
    <row r="1167">
      <c r="D1167" t="n">
        <v>1106</v>
      </c>
      <c r="E1167">
        <f>IF(G1166&gt;0,MAX(0,G1166*(1+$G$51)-$H$51),0)</f>
        <v/>
      </c>
      <c r="F1167">
        <f>$B$6+IF($D1167=$B$8,$B$7,0)</f>
        <v/>
      </c>
      <c r="G1167">
        <f>IF(E1167-F1167&gt;1E-9,E1167-F1167,0)</f>
        <v/>
      </c>
      <c r="H1167">
        <f>G1166*$G$51</f>
        <v/>
      </c>
      <c r="I1167">
        <f>IF(K1166&gt;0,MAX(0,K1166*(1+$G$52)-$H$52),0)</f>
        <v/>
      </c>
      <c r="J1167">
        <f>MAX(0,F1167-E1167)</f>
        <v/>
      </c>
      <c r="K1167">
        <f>IF(I1167-J1167&gt;1E-9,I1167-J1167,0)</f>
        <v/>
      </c>
      <c r="L1167">
        <f>K1166*$G$52</f>
        <v/>
      </c>
      <c r="M1167">
        <f>IF(O1166&gt;0,MAX(0,O1166*(1+$G$53)-$H$53),0)</f>
        <v/>
      </c>
      <c r="N1167">
        <f>MAX(0,J1167-I1167)</f>
        <v/>
      </c>
      <c r="O1167">
        <f>IF(M1167-N1167&gt;1E-9,M1167-N1167,0)</f>
        <v/>
      </c>
      <c r="P1167">
        <f>O1166*$G$53</f>
        <v/>
      </c>
      <c r="Q1167">
        <f>IF(S1166&gt;0,MAX(0,S1166*(1+$G$54)-$H$54),0)</f>
        <v/>
      </c>
      <c r="R1167">
        <f>MAX(0,N1167-M1167)</f>
        <v/>
      </c>
      <c r="S1167">
        <f>IF(Q1167-R1167&gt;1E-9,Q1167-R1167,0)</f>
        <v/>
      </c>
      <c r="T1167">
        <f>S1166*$G$54</f>
        <v/>
      </c>
      <c r="U1167">
        <f>IF(W1166&gt;0,MAX(0,W1166*(1+$G$55)-$H$55),0)</f>
        <v/>
      </c>
      <c r="V1167">
        <f>MAX(0,R1167-Q1167)</f>
        <v/>
      </c>
      <c r="W1167">
        <f>IF(U1167-V1167&gt;1E-9,U1167-V1167,0)</f>
        <v/>
      </c>
      <c r="X1167">
        <f>W1166*$G$55</f>
        <v/>
      </c>
      <c r="Y1167">
        <f>IF(Y1166&gt;1E-9,IF(Y1166*(1+$G$51)-MAX($B$9,0.01*Y1166+Y1166*$G$51)&gt;1E-9,Y1166*(1+$G$51)-MAX($B$9,0.01*Y1166+Y1166*$G$51),0),0)</f>
        <v/>
      </c>
      <c r="Z1167">
        <f>Y1166*$G$51</f>
        <v/>
      </c>
      <c r="AA1167">
        <f>IF(AA1166&gt;1E-9,IF(AA1166*(1+$G$52)-MAX($B$9,0.01*AA1166+AA1166*$G$52)&gt;1E-9,AA1166*(1+$G$52)-MAX($B$9,0.01*AA1166+AA1166*$G$52),0),0)</f>
        <v/>
      </c>
      <c r="AB1167">
        <f>AA1166*$G$52</f>
        <v/>
      </c>
      <c r="AC1167">
        <f>IF(AC1166&gt;1E-9,IF(AC1166*(1+$G$53)-MAX($B$9,0.01*AC1166+AC1166*$G$53)&gt;1E-9,AC1166*(1+$G$53)-MAX($B$9,0.01*AC1166+AC1166*$G$53),0),0)</f>
        <v/>
      </c>
      <c r="AD1167">
        <f>AC1166*$G$53</f>
        <v/>
      </c>
      <c r="AE1167">
        <f>IF(AE1166&gt;1E-9,IF(AE1166*(1+$G$54)-MAX($B$9,0.01*AE1166+AE1166*$G$54)&gt;1E-9,AE1166*(1+$G$54)-MAX($B$9,0.01*AE1166+AE1166*$G$54),0),0)</f>
        <v/>
      </c>
      <c r="AF1167">
        <f>AE1166*$G$54</f>
        <v/>
      </c>
      <c r="AG1167">
        <f>IF(AG1166&gt;1E-9,IF(AG1166*(1+$G$55)-MAX($B$9,0.01*AG1166+AG1166*$G$55)&gt;1E-9,AG1166*(1+$G$55)-MAX($B$9,0.01*AG1166+AG1166*$G$55),0),0)</f>
        <v/>
      </c>
      <c r="AH1167">
        <f>AG1166*$G$55</f>
        <v/>
      </c>
      <c r="AI1167">
        <f>G1167+K1167+O1167+S1167+W1167</f>
        <v/>
      </c>
      <c r="AJ1167">
        <f>AI1166+AK1167-AI1167</f>
        <v/>
      </c>
      <c r="AK1167">
        <f>H1167+L1167+P1167+T1167+X1167</f>
        <v/>
      </c>
      <c r="AL1167">
        <f>TEXT(EDATE($B$5,D1167-1),"mmm yyyy")</f>
        <v/>
      </c>
      <c r="AM1167">
        <f>AI1167</f>
        <v/>
      </c>
    </row>
    <row r="1168">
      <c r="D1168" t="n">
        <v>1107</v>
      </c>
      <c r="E1168">
        <f>IF(G1167&gt;0,MAX(0,G1167*(1+$G$51)-$H$51),0)</f>
        <v/>
      </c>
      <c r="F1168">
        <f>$B$6+IF($D1168=$B$8,$B$7,0)</f>
        <v/>
      </c>
      <c r="G1168">
        <f>IF(E1168-F1168&gt;1E-9,E1168-F1168,0)</f>
        <v/>
      </c>
      <c r="H1168">
        <f>G1167*$G$51</f>
        <v/>
      </c>
      <c r="I1168">
        <f>IF(K1167&gt;0,MAX(0,K1167*(1+$G$52)-$H$52),0)</f>
        <v/>
      </c>
      <c r="J1168">
        <f>MAX(0,F1168-E1168)</f>
        <v/>
      </c>
      <c r="K1168">
        <f>IF(I1168-J1168&gt;1E-9,I1168-J1168,0)</f>
        <v/>
      </c>
      <c r="L1168">
        <f>K1167*$G$52</f>
        <v/>
      </c>
      <c r="M1168">
        <f>IF(O1167&gt;0,MAX(0,O1167*(1+$G$53)-$H$53),0)</f>
        <v/>
      </c>
      <c r="N1168">
        <f>MAX(0,J1168-I1168)</f>
        <v/>
      </c>
      <c r="O1168">
        <f>IF(M1168-N1168&gt;1E-9,M1168-N1168,0)</f>
        <v/>
      </c>
      <c r="P1168">
        <f>O1167*$G$53</f>
        <v/>
      </c>
      <c r="Q1168">
        <f>IF(S1167&gt;0,MAX(0,S1167*(1+$G$54)-$H$54),0)</f>
        <v/>
      </c>
      <c r="R1168">
        <f>MAX(0,N1168-M1168)</f>
        <v/>
      </c>
      <c r="S1168">
        <f>IF(Q1168-R1168&gt;1E-9,Q1168-R1168,0)</f>
        <v/>
      </c>
      <c r="T1168">
        <f>S1167*$G$54</f>
        <v/>
      </c>
      <c r="U1168">
        <f>IF(W1167&gt;0,MAX(0,W1167*(1+$G$55)-$H$55),0)</f>
        <v/>
      </c>
      <c r="V1168">
        <f>MAX(0,R1168-Q1168)</f>
        <v/>
      </c>
      <c r="W1168">
        <f>IF(U1168-V1168&gt;1E-9,U1168-V1168,0)</f>
        <v/>
      </c>
      <c r="X1168">
        <f>W1167*$G$55</f>
        <v/>
      </c>
      <c r="Y1168">
        <f>IF(Y1167&gt;1E-9,IF(Y1167*(1+$G$51)-MAX($B$9,0.01*Y1167+Y1167*$G$51)&gt;1E-9,Y1167*(1+$G$51)-MAX($B$9,0.01*Y1167+Y1167*$G$51),0),0)</f>
        <v/>
      </c>
      <c r="Z1168">
        <f>Y1167*$G$51</f>
        <v/>
      </c>
      <c r="AA1168">
        <f>IF(AA1167&gt;1E-9,IF(AA1167*(1+$G$52)-MAX($B$9,0.01*AA1167+AA1167*$G$52)&gt;1E-9,AA1167*(1+$G$52)-MAX($B$9,0.01*AA1167+AA1167*$G$52),0),0)</f>
        <v/>
      </c>
      <c r="AB1168">
        <f>AA1167*$G$52</f>
        <v/>
      </c>
      <c r="AC1168">
        <f>IF(AC1167&gt;1E-9,IF(AC1167*(1+$G$53)-MAX($B$9,0.01*AC1167+AC1167*$G$53)&gt;1E-9,AC1167*(1+$G$53)-MAX($B$9,0.01*AC1167+AC1167*$G$53),0),0)</f>
        <v/>
      </c>
      <c r="AD1168">
        <f>AC1167*$G$53</f>
        <v/>
      </c>
      <c r="AE1168">
        <f>IF(AE1167&gt;1E-9,IF(AE1167*(1+$G$54)-MAX($B$9,0.01*AE1167+AE1167*$G$54)&gt;1E-9,AE1167*(1+$G$54)-MAX($B$9,0.01*AE1167+AE1167*$G$54),0),0)</f>
        <v/>
      </c>
      <c r="AF1168">
        <f>AE1167*$G$54</f>
        <v/>
      </c>
      <c r="AG1168">
        <f>IF(AG1167&gt;1E-9,IF(AG1167*(1+$G$55)-MAX($B$9,0.01*AG1167+AG1167*$G$55)&gt;1E-9,AG1167*(1+$G$55)-MAX($B$9,0.01*AG1167+AG1167*$G$55),0),0)</f>
        <v/>
      </c>
      <c r="AH1168">
        <f>AG1167*$G$55</f>
        <v/>
      </c>
      <c r="AI1168">
        <f>G1168+K1168+O1168+S1168+W1168</f>
        <v/>
      </c>
      <c r="AJ1168">
        <f>AI1167+AK1168-AI1168</f>
        <v/>
      </c>
      <c r="AK1168">
        <f>H1168+L1168+P1168+T1168+X1168</f>
        <v/>
      </c>
      <c r="AL1168">
        <f>TEXT(EDATE($B$5,D1168-1),"mmm yyyy")</f>
        <v/>
      </c>
      <c r="AM1168">
        <f>AI1168</f>
        <v/>
      </c>
    </row>
    <row r="1169">
      <c r="D1169" t="n">
        <v>1108</v>
      </c>
      <c r="E1169">
        <f>IF(G1168&gt;0,MAX(0,G1168*(1+$G$51)-$H$51),0)</f>
        <v/>
      </c>
      <c r="F1169">
        <f>$B$6+IF($D1169=$B$8,$B$7,0)</f>
        <v/>
      </c>
      <c r="G1169">
        <f>IF(E1169-F1169&gt;1E-9,E1169-F1169,0)</f>
        <v/>
      </c>
      <c r="H1169">
        <f>G1168*$G$51</f>
        <v/>
      </c>
      <c r="I1169">
        <f>IF(K1168&gt;0,MAX(0,K1168*(1+$G$52)-$H$52),0)</f>
        <v/>
      </c>
      <c r="J1169">
        <f>MAX(0,F1169-E1169)</f>
        <v/>
      </c>
      <c r="K1169">
        <f>IF(I1169-J1169&gt;1E-9,I1169-J1169,0)</f>
        <v/>
      </c>
      <c r="L1169">
        <f>K1168*$G$52</f>
        <v/>
      </c>
      <c r="M1169">
        <f>IF(O1168&gt;0,MAX(0,O1168*(1+$G$53)-$H$53),0)</f>
        <v/>
      </c>
      <c r="N1169">
        <f>MAX(0,J1169-I1169)</f>
        <v/>
      </c>
      <c r="O1169">
        <f>IF(M1169-N1169&gt;1E-9,M1169-N1169,0)</f>
        <v/>
      </c>
      <c r="P1169">
        <f>O1168*$G$53</f>
        <v/>
      </c>
      <c r="Q1169">
        <f>IF(S1168&gt;0,MAX(0,S1168*(1+$G$54)-$H$54),0)</f>
        <v/>
      </c>
      <c r="R1169">
        <f>MAX(0,N1169-M1169)</f>
        <v/>
      </c>
      <c r="S1169">
        <f>IF(Q1169-R1169&gt;1E-9,Q1169-R1169,0)</f>
        <v/>
      </c>
      <c r="T1169">
        <f>S1168*$G$54</f>
        <v/>
      </c>
      <c r="U1169">
        <f>IF(W1168&gt;0,MAX(0,W1168*(1+$G$55)-$H$55),0)</f>
        <v/>
      </c>
      <c r="V1169">
        <f>MAX(0,R1169-Q1169)</f>
        <v/>
      </c>
      <c r="W1169">
        <f>IF(U1169-V1169&gt;1E-9,U1169-V1169,0)</f>
        <v/>
      </c>
      <c r="X1169">
        <f>W1168*$G$55</f>
        <v/>
      </c>
      <c r="Y1169">
        <f>IF(Y1168&gt;1E-9,IF(Y1168*(1+$G$51)-MAX($B$9,0.01*Y1168+Y1168*$G$51)&gt;1E-9,Y1168*(1+$G$51)-MAX($B$9,0.01*Y1168+Y1168*$G$51),0),0)</f>
        <v/>
      </c>
      <c r="Z1169">
        <f>Y1168*$G$51</f>
        <v/>
      </c>
      <c r="AA1169">
        <f>IF(AA1168&gt;1E-9,IF(AA1168*(1+$G$52)-MAX($B$9,0.01*AA1168+AA1168*$G$52)&gt;1E-9,AA1168*(1+$G$52)-MAX($B$9,0.01*AA1168+AA1168*$G$52),0),0)</f>
        <v/>
      </c>
      <c r="AB1169">
        <f>AA1168*$G$52</f>
        <v/>
      </c>
      <c r="AC1169">
        <f>IF(AC1168&gt;1E-9,IF(AC1168*(1+$G$53)-MAX($B$9,0.01*AC1168+AC1168*$G$53)&gt;1E-9,AC1168*(1+$G$53)-MAX($B$9,0.01*AC1168+AC1168*$G$53),0),0)</f>
        <v/>
      </c>
      <c r="AD1169">
        <f>AC1168*$G$53</f>
        <v/>
      </c>
      <c r="AE1169">
        <f>IF(AE1168&gt;1E-9,IF(AE1168*(1+$G$54)-MAX($B$9,0.01*AE1168+AE1168*$G$54)&gt;1E-9,AE1168*(1+$G$54)-MAX($B$9,0.01*AE1168+AE1168*$G$54),0),0)</f>
        <v/>
      </c>
      <c r="AF1169">
        <f>AE1168*$G$54</f>
        <v/>
      </c>
      <c r="AG1169">
        <f>IF(AG1168&gt;1E-9,IF(AG1168*(1+$G$55)-MAX($B$9,0.01*AG1168+AG1168*$G$55)&gt;1E-9,AG1168*(1+$G$55)-MAX($B$9,0.01*AG1168+AG1168*$G$55),0),0)</f>
        <v/>
      </c>
      <c r="AH1169">
        <f>AG1168*$G$55</f>
        <v/>
      </c>
      <c r="AI1169">
        <f>G1169+K1169+O1169+S1169+W1169</f>
        <v/>
      </c>
      <c r="AJ1169">
        <f>AI1168+AK1169-AI1169</f>
        <v/>
      </c>
      <c r="AK1169">
        <f>H1169+L1169+P1169+T1169+X1169</f>
        <v/>
      </c>
      <c r="AL1169">
        <f>TEXT(EDATE($B$5,D1169-1),"mmm yyyy")</f>
        <v/>
      </c>
      <c r="AM1169">
        <f>AI1169</f>
        <v/>
      </c>
    </row>
    <row r="1170">
      <c r="D1170" t="n">
        <v>1109</v>
      </c>
      <c r="E1170">
        <f>IF(G1169&gt;0,MAX(0,G1169*(1+$G$51)-$H$51),0)</f>
        <v/>
      </c>
      <c r="F1170">
        <f>$B$6+IF($D1170=$B$8,$B$7,0)</f>
        <v/>
      </c>
      <c r="G1170">
        <f>IF(E1170-F1170&gt;1E-9,E1170-F1170,0)</f>
        <v/>
      </c>
      <c r="H1170">
        <f>G1169*$G$51</f>
        <v/>
      </c>
      <c r="I1170">
        <f>IF(K1169&gt;0,MAX(0,K1169*(1+$G$52)-$H$52),0)</f>
        <v/>
      </c>
      <c r="J1170">
        <f>MAX(0,F1170-E1170)</f>
        <v/>
      </c>
      <c r="K1170">
        <f>IF(I1170-J1170&gt;1E-9,I1170-J1170,0)</f>
        <v/>
      </c>
      <c r="L1170">
        <f>K1169*$G$52</f>
        <v/>
      </c>
      <c r="M1170">
        <f>IF(O1169&gt;0,MAX(0,O1169*(1+$G$53)-$H$53),0)</f>
        <v/>
      </c>
      <c r="N1170">
        <f>MAX(0,J1170-I1170)</f>
        <v/>
      </c>
      <c r="O1170">
        <f>IF(M1170-N1170&gt;1E-9,M1170-N1170,0)</f>
        <v/>
      </c>
      <c r="P1170">
        <f>O1169*$G$53</f>
        <v/>
      </c>
      <c r="Q1170">
        <f>IF(S1169&gt;0,MAX(0,S1169*(1+$G$54)-$H$54),0)</f>
        <v/>
      </c>
      <c r="R1170">
        <f>MAX(0,N1170-M1170)</f>
        <v/>
      </c>
      <c r="S1170">
        <f>IF(Q1170-R1170&gt;1E-9,Q1170-R1170,0)</f>
        <v/>
      </c>
      <c r="T1170">
        <f>S1169*$G$54</f>
        <v/>
      </c>
      <c r="U1170">
        <f>IF(W1169&gt;0,MAX(0,W1169*(1+$G$55)-$H$55),0)</f>
        <v/>
      </c>
      <c r="V1170">
        <f>MAX(0,R1170-Q1170)</f>
        <v/>
      </c>
      <c r="W1170">
        <f>IF(U1170-V1170&gt;1E-9,U1170-V1170,0)</f>
        <v/>
      </c>
      <c r="X1170">
        <f>W1169*$G$55</f>
        <v/>
      </c>
      <c r="Y1170">
        <f>IF(Y1169&gt;1E-9,IF(Y1169*(1+$G$51)-MAX($B$9,0.01*Y1169+Y1169*$G$51)&gt;1E-9,Y1169*(1+$G$51)-MAX($B$9,0.01*Y1169+Y1169*$G$51),0),0)</f>
        <v/>
      </c>
      <c r="Z1170">
        <f>Y1169*$G$51</f>
        <v/>
      </c>
      <c r="AA1170">
        <f>IF(AA1169&gt;1E-9,IF(AA1169*(1+$G$52)-MAX($B$9,0.01*AA1169+AA1169*$G$52)&gt;1E-9,AA1169*(1+$G$52)-MAX($B$9,0.01*AA1169+AA1169*$G$52),0),0)</f>
        <v/>
      </c>
      <c r="AB1170">
        <f>AA1169*$G$52</f>
        <v/>
      </c>
      <c r="AC1170">
        <f>IF(AC1169&gt;1E-9,IF(AC1169*(1+$G$53)-MAX($B$9,0.01*AC1169+AC1169*$G$53)&gt;1E-9,AC1169*(1+$G$53)-MAX($B$9,0.01*AC1169+AC1169*$G$53),0),0)</f>
        <v/>
      </c>
      <c r="AD1170">
        <f>AC1169*$G$53</f>
        <v/>
      </c>
      <c r="AE1170">
        <f>IF(AE1169&gt;1E-9,IF(AE1169*(1+$G$54)-MAX($B$9,0.01*AE1169+AE1169*$G$54)&gt;1E-9,AE1169*(1+$G$54)-MAX($B$9,0.01*AE1169+AE1169*$G$54),0),0)</f>
        <v/>
      </c>
      <c r="AF1170">
        <f>AE1169*$G$54</f>
        <v/>
      </c>
      <c r="AG1170">
        <f>IF(AG1169&gt;1E-9,IF(AG1169*(1+$G$55)-MAX($B$9,0.01*AG1169+AG1169*$G$55)&gt;1E-9,AG1169*(1+$G$55)-MAX($B$9,0.01*AG1169+AG1169*$G$55),0),0)</f>
        <v/>
      </c>
      <c r="AH1170">
        <f>AG1169*$G$55</f>
        <v/>
      </c>
      <c r="AI1170">
        <f>G1170+K1170+O1170+S1170+W1170</f>
        <v/>
      </c>
      <c r="AJ1170">
        <f>AI1169+AK1170-AI1170</f>
        <v/>
      </c>
      <c r="AK1170">
        <f>H1170+L1170+P1170+T1170+X1170</f>
        <v/>
      </c>
      <c r="AL1170">
        <f>TEXT(EDATE($B$5,D1170-1),"mmm yyyy")</f>
        <v/>
      </c>
      <c r="AM1170">
        <f>AI1170</f>
        <v/>
      </c>
    </row>
    <row r="1171">
      <c r="D1171" t="n">
        <v>1110</v>
      </c>
      <c r="E1171">
        <f>IF(G1170&gt;0,MAX(0,G1170*(1+$G$51)-$H$51),0)</f>
        <v/>
      </c>
      <c r="F1171">
        <f>$B$6+IF($D1171=$B$8,$B$7,0)</f>
        <v/>
      </c>
      <c r="G1171">
        <f>IF(E1171-F1171&gt;1E-9,E1171-F1171,0)</f>
        <v/>
      </c>
      <c r="H1171">
        <f>G1170*$G$51</f>
        <v/>
      </c>
      <c r="I1171">
        <f>IF(K1170&gt;0,MAX(0,K1170*(1+$G$52)-$H$52),0)</f>
        <v/>
      </c>
      <c r="J1171">
        <f>MAX(0,F1171-E1171)</f>
        <v/>
      </c>
      <c r="K1171">
        <f>IF(I1171-J1171&gt;1E-9,I1171-J1171,0)</f>
        <v/>
      </c>
      <c r="L1171">
        <f>K1170*$G$52</f>
        <v/>
      </c>
      <c r="M1171">
        <f>IF(O1170&gt;0,MAX(0,O1170*(1+$G$53)-$H$53),0)</f>
        <v/>
      </c>
      <c r="N1171">
        <f>MAX(0,J1171-I1171)</f>
        <v/>
      </c>
      <c r="O1171">
        <f>IF(M1171-N1171&gt;1E-9,M1171-N1171,0)</f>
        <v/>
      </c>
      <c r="P1171">
        <f>O1170*$G$53</f>
        <v/>
      </c>
      <c r="Q1171">
        <f>IF(S1170&gt;0,MAX(0,S1170*(1+$G$54)-$H$54),0)</f>
        <v/>
      </c>
      <c r="R1171">
        <f>MAX(0,N1171-M1171)</f>
        <v/>
      </c>
      <c r="S1171">
        <f>IF(Q1171-R1171&gt;1E-9,Q1171-R1171,0)</f>
        <v/>
      </c>
      <c r="T1171">
        <f>S1170*$G$54</f>
        <v/>
      </c>
      <c r="U1171">
        <f>IF(W1170&gt;0,MAX(0,W1170*(1+$G$55)-$H$55),0)</f>
        <v/>
      </c>
      <c r="V1171">
        <f>MAX(0,R1171-Q1171)</f>
        <v/>
      </c>
      <c r="W1171">
        <f>IF(U1171-V1171&gt;1E-9,U1171-V1171,0)</f>
        <v/>
      </c>
      <c r="X1171">
        <f>W1170*$G$55</f>
        <v/>
      </c>
      <c r="Y1171">
        <f>IF(Y1170&gt;1E-9,IF(Y1170*(1+$G$51)-MAX($B$9,0.01*Y1170+Y1170*$G$51)&gt;1E-9,Y1170*(1+$G$51)-MAX($B$9,0.01*Y1170+Y1170*$G$51),0),0)</f>
        <v/>
      </c>
      <c r="Z1171">
        <f>Y1170*$G$51</f>
        <v/>
      </c>
      <c r="AA1171">
        <f>IF(AA1170&gt;1E-9,IF(AA1170*(1+$G$52)-MAX($B$9,0.01*AA1170+AA1170*$G$52)&gt;1E-9,AA1170*(1+$G$52)-MAX($B$9,0.01*AA1170+AA1170*$G$52),0),0)</f>
        <v/>
      </c>
      <c r="AB1171">
        <f>AA1170*$G$52</f>
        <v/>
      </c>
      <c r="AC1171">
        <f>IF(AC1170&gt;1E-9,IF(AC1170*(1+$G$53)-MAX($B$9,0.01*AC1170+AC1170*$G$53)&gt;1E-9,AC1170*(1+$G$53)-MAX($B$9,0.01*AC1170+AC1170*$G$53),0),0)</f>
        <v/>
      </c>
      <c r="AD1171">
        <f>AC1170*$G$53</f>
        <v/>
      </c>
      <c r="AE1171">
        <f>IF(AE1170&gt;1E-9,IF(AE1170*(1+$G$54)-MAX($B$9,0.01*AE1170+AE1170*$G$54)&gt;1E-9,AE1170*(1+$G$54)-MAX($B$9,0.01*AE1170+AE1170*$G$54),0),0)</f>
        <v/>
      </c>
      <c r="AF1171">
        <f>AE1170*$G$54</f>
        <v/>
      </c>
      <c r="AG1171">
        <f>IF(AG1170&gt;1E-9,IF(AG1170*(1+$G$55)-MAX($B$9,0.01*AG1170+AG1170*$G$55)&gt;1E-9,AG1170*(1+$G$55)-MAX($B$9,0.01*AG1170+AG1170*$G$55),0),0)</f>
        <v/>
      </c>
      <c r="AH1171">
        <f>AG1170*$G$55</f>
        <v/>
      </c>
      <c r="AI1171">
        <f>G1171+K1171+O1171+S1171+W1171</f>
        <v/>
      </c>
      <c r="AJ1171">
        <f>AI1170+AK1171-AI1171</f>
        <v/>
      </c>
      <c r="AK1171">
        <f>H1171+L1171+P1171+T1171+X1171</f>
        <v/>
      </c>
      <c r="AL1171">
        <f>TEXT(EDATE($B$5,D1171-1),"mmm yyyy")</f>
        <v/>
      </c>
      <c r="AM1171">
        <f>AI1171</f>
        <v/>
      </c>
    </row>
    <row r="1172">
      <c r="D1172" t="n">
        <v>1111</v>
      </c>
      <c r="E1172">
        <f>IF(G1171&gt;0,MAX(0,G1171*(1+$G$51)-$H$51),0)</f>
        <v/>
      </c>
      <c r="F1172">
        <f>$B$6+IF($D1172=$B$8,$B$7,0)</f>
        <v/>
      </c>
      <c r="G1172">
        <f>IF(E1172-F1172&gt;1E-9,E1172-F1172,0)</f>
        <v/>
      </c>
      <c r="H1172">
        <f>G1171*$G$51</f>
        <v/>
      </c>
      <c r="I1172">
        <f>IF(K1171&gt;0,MAX(0,K1171*(1+$G$52)-$H$52),0)</f>
        <v/>
      </c>
      <c r="J1172">
        <f>MAX(0,F1172-E1172)</f>
        <v/>
      </c>
      <c r="K1172">
        <f>IF(I1172-J1172&gt;1E-9,I1172-J1172,0)</f>
        <v/>
      </c>
      <c r="L1172">
        <f>K1171*$G$52</f>
        <v/>
      </c>
      <c r="M1172">
        <f>IF(O1171&gt;0,MAX(0,O1171*(1+$G$53)-$H$53),0)</f>
        <v/>
      </c>
      <c r="N1172">
        <f>MAX(0,J1172-I1172)</f>
        <v/>
      </c>
      <c r="O1172">
        <f>IF(M1172-N1172&gt;1E-9,M1172-N1172,0)</f>
        <v/>
      </c>
      <c r="P1172">
        <f>O1171*$G$53</f>
        <v/>
      </c>
      <c r="Q1172">
        <f>IF(S1171&gt;0,MAX(0,S1171*(1+$G$54)-$H$54),0)</f>
        <v/>
      </c>
      <c r="R1172">
        <f>MAX(0,N1172-M1172)</f>
        <v/>
      </c>
      <c r="S1172">
        <f>IF(Q1172-R1172&gt;1E-9,Q1172-R1172,0)</f>
        <v/>
      </c>
      <c r="T1172">
        <f>S1171*$G$54</f>
        <v/>
      </c>
      <c r="U1172">
        <f>IF(W1171&gt;0,MAX(0,W1171*(1+$G$55)-$H$55),0)</f>
        <v/>
      </c>
      <c r="V1172">
        <f>MAX(0,R1172-Q1172)</f>
        <v/>
      </c>
      <c r="W1172">
        <f>IF(U1172-V1172&gt;1E-9,U1172-V1172,0)</f>
        <v/>
      </c>
      <c r="X1172">
        <f>W1171*$G$55</f>
        <v/>
      </c>
      <c r="Y1172">
        <f>IF(Y1171&gt;1E-9,IF(Y1171*(1+$G$51)-MAX($B$9,0.01*Y1171+Y1171*$G$51)&gt;1E-9,Y1171*(1+$G$51)-MAX($B$9,0.01*Y1171+Y1171*$G$51),0),0)</f>
        <v/>
      </c>
      <c r="Z1172">
        <f>Y1171*$G$51</f>
        <v/>
      </c>
      <c r="AA1172">
        <f>IF(AA1171&gt;1E-9,IF(AA1171*(1+$G$52)-MAX($B$9,0.01*AA1171+AA1171*$G$52)&gt;1E-9,AA1171*(1+$G$52)-MAX($B$9,0.01*AA1171+AA1171*$G$52),0),0)</f>
        <v/>
      </c>
      <c r="AB1172">
        <f>AA1171*$G$52</f>
        <v/>
      </c>
      <c r="AC1172">
        <f>IF(AC1171&gt;1E-9,IF(AC1171*(1+$G$53)-MAX($B$9,0.01*AC1171+AC1171*$G$53)&gt;1E-9,AC1171*(1+$G$53)-MAX($B$9,0.01*AC1171+AC1171*$G$53),0),0)</f>
        <v/>
      </c>
      <c r="AD1172">
        <f>AC1171*$G$53</f>
        <v/>
      </c>
      <c r="AE1172">
        <f>IF(AE1171&gt;1E-9,IF(AE1171*(1+$G$54)-MAX($B$9,0.01*AE1171+AE1171*$G$54)&gt;1E-9,AE1171*(1+$G$54)-MAX($B$9,0.01*AE1171+AE1171*$G$54),0),0)</f>
        <v/>
      </c>
      <c r="AF1172">
        <f>AE1171*$G$54</f>
        <v/>
      </c>
      <c r="AG1172">
        <f>IF(AG1171&gt;1E-9,IF(AG1171*(1+$G$55)-MAX($B$9,0.01*AG1171+AG1171*$G$55)&gt;1E-9,AG1171*(1+$G$55)-MAX($B$9,0.01*AG1171+AG1171*$G$55),0),0)</f>
        <v/>
      </c>
      <c r="AH1172">
        <f>AG1171*$G$55</f>
        <v/>
      </c>
      <c r="AI1172">
        <f>G1172+K1172+O1172+S1172+W1172</f>
        <v/>
      </c>
      <c r="AJ1172">
        <f>AI1171+AK1172-AI1172</f>
        <v/>
      </c>
      <c r="AK1172">
        <f>H1172+L1172+P1172+T1172+X1172</f>
        <v/>
      </c>
      <c r="AL1172">
        <f>TEXT(EDATE($B$5,D1172-1),"mmm yyyy")</f>
        <v/>
      </c>
      <c r="AM1172">
        <f>AI1172</f>
        <v/>
      </c>
    </row>
    <row r="1173">
      <c r="D1173" t="n">
        <v>1112</v>
      </c>
      <c r="E1173">
        <f>IF(G1172&gt;0,MAX(0,G1172*(1+$G$51)-$H$51),0)</f>
        <v/>
      </c>
      <c r="F1173">
        <f>$B$6+IF($D1173=$B$8,$B$7,0)</f>
        <v/>
      </c>
      <c r="G1173">
        <f>IF(E1173-F1173&gt;1E-9,E1173-F1173,0)</f>
        <v/>
      </c>
      <c r="H1173">
        <f>G1172*$G$51</f>
        <v/>
      </c>
      <c r="I1173">
        <f>IF(K1172&gt;0,MAX(0,K1172*(1+$G$52)-$H$52),0)</f>
        <v/>
      </c>
      <c r="J1173">
        <f>MAX(0,F1173-E1173)</f>
        <v/>
      </c>
      <c r="K1173">
        <f>IF(I1173-J1173&gt;1E-9,I1173-J1173,0)</f>
        <v/>
      </c>
      <c r="L1173">
        <f>K1172*$G$52</f>
        <v/>
      </c>
      <c r="M1173">
        <f>IF(O1172&gt;0,MAX(0,O1172*(1+$G$53)-$H$53),0)</f>
        <v/>
      </c>
      <c r="N1173">
        <f>MAX(0,J1173-I1173)</f>
        <v/>
      </c>
      <c r="O1173">
        <f>IF(M1173-N1173&gt;1E-9,M1173-N1173,0)</f>
        <v/>
      </c>
      <c r="P1173">
        <f>O1172*$G$53</f>
        <v/>
      </c>
      <c r="Q1173">
        <f>IF(S1172&gt;0,MAX(0,S1172*(1+$G$54)-$H$54),0)</f>
        <v/>
      </c>
      <c r="R1173">
        <f>MAX(0,N1173-M1173)</f>
        <v/>
      </c>
      <c r="S1173">
        <f>IF(Q1173-R1173&gt;1E-9,Q1173-R1173,0)</f>
        <v/>
      </c>
      <c r="T1173">
        <f>S1172*$G$54</f>
        <v/>
      </c>
      <c r="U1173">
        <f>IF(W1172&gt;0,MAX(0,W1172*(1+$G$55)-$H$55),0)</f>
        <v/>
      </c>
      <c r="V1173">
        <f>MAX(0,R1173-Q1173)</f>
        <v/>
      </c>
      <c r="W1173">
        <f>IF(U1173-V1173&gt;1E-9,U1173-V1173,0)</f>
        <v/>
      </c>
      <c r="X1173">
        <f>W1172*$G$55</f>
        <v/>
      </c>
      <c r="Y1173">
        <f>IF(Y1172&gt;1E-9,IF(Y1172*(1+$G$51)-MAX($B$9,0.01*Y1172+Y1172*$G$51)&gt;1E-9,Y1172*(1+$G$51)-MAX($B$9,0.01*Y1172+Y1172*$G$51),0),0)</f>
        <v/>
      </c>
      <c r="Z1173">
        <f>Y1172*$G$51</f>
        <v/>
      </c>
      <c r="AA1173">
        <f>IF(AA1172&gt;1E-9,IF(AA1172*(1+$G$52)-MAX($B$9,0.01*AA1172+AA1172*$G$52)&gt;1E-9,AA1172*(1+$G$52)-MAX($B$9,0.01*AA1172+AA1172*$G$52),0),0)</f>
        <v/>
      </c>
      <c r="AB1173">
        <f>AA1172*$G$52</f>
        <v/>
      </c>
      <c r="AC1173">
        <f>IF(AC1172&gt;1E-9,IF(AC1172*(1+$G$53)-MAX($B$9,0.01*AC1172+AC1172*$G$53)&gt;1E-9,AC1172*(1+$G$53)-MAX($B$9,0.01*AC1172+AC1172*$G$53),0),0)</f>
        <v/>
      </c>
      <c r="AD1173">
        <f>AC1172*$G$53</f>
        <v/>
      </c>
      <c r="AE1173">
        <f>IF(AE1172&gt;1E-9,IF(AE1172*(1+$G$54)-MAX($B$9,0.01*AE1172+AE1172*$G$54)&gt;1E-9,AE1172*(1+$G$54)-MAX($B$9,0.01*AE1172+AE1172*$G$54),0),0)</f>
        <v/>
      </c>
      <c r="AF1173">
        <f>AE1172*$G$54</f>
        <v/>
      </c>
      <c r="AG1173">
        <f>IF(AG1172&gt;1E-9,IF(AG1172*(1+$G$55)-MAX($B$9,0.01*AG1172+AG1172*$G$55)&gt;1E-9,AG1172*(1+$G$55)-MAX($B$9,0.01*AG1172+AG1172*$G$55),0),0)</f>
        <v/>
      </c>
      <c r="AH1173">
        <f>AG1172*$G$55</f>
        <v/>
      </c>
      <c r="AI1173">
        <f>G1173+K1173+O1173+S1173+W1173</f>
        <v/>
      </c>
      <c r="AJ1173">
        <f>AI1172+AK1173-AI1173</f>
        <v/>
      </c>
      <c r="AK1173">
        <f>H1173+L1173+P1173+T1173+X1173</f>
        <v/>
      </c>
      <c r="AL1173">
        <f>TEXT(EDATE($B$5,D1173-1),"mmm yyyy")</f>
        <v/>
      </c>
      <c r="AM1173">
        <f>AI1173</f>
        <v/>
      </c>
    </row>
    <row r="1174">
      <c r="D1174" t="n">
        <v>1113</v>
      </c>
      <c r="E1174">
        <f>IF(G1173&gt;0,MAX(0,G1173*(1+$G$51)-$H$51),0)</f>
        <v/>
      </c>
      <c r="F1174">
        <f>$B$6+IF($D1174=$B$8,$B$7,0)</f>
        <v/>
      </c>
      <c r="G1174">
        <f>IF(E1174-F1174&gt;1E-9,E1174-F1174,0)</f>
        <v/>
      </c>
      <c r="H1174">
        <f>G1173*$G$51</f>
        <v/>
      </c>
      <c r="I1174">
        <f>IF(K1173&gt;0,MAX(0,K1173*(1+$G$52)-$H$52),0)</f>
        <v/>
      </c>
      <c r="J1174">
        <f>MAX(0,F1174-E1174)</f>
        <v/>
      </c>
      <c r="K1174">
        <f>IF(I1174-J1174&gt;1E-9,I1174-J1174,0)</f>
        <v/>
      </c>
      <c r="L1174">
        <f>K1173*$G$52</f>
        <v/>
      </c>
      <c r="M1174">
        <f>IF(O1173&gt;0,MAX(0,O1173*(1+$G$53)-$H$53),0)</f>
        <v/>
      </c>
      <c r="N1174">
        <f>MAX(0,J1174-I1174)</f>
        <v/>
      </c>
      <c r="O1174">
        <f>IF(M1174-N1174&gt;1E-9,M1174-N1174,0)</f>
        <v/>
      </c>
      <c r="P1174">
        <f>O1173*$G$53</f>
        <v/>
      </c>
      <c r="Q1174">
        <f>IF(S1173&gt;0,MAX(0,S1173*(1+$G$54)-$H$54),0)</f>
        <v/>
      </c>
      <c r="R1174">
        <f>MAX(0,N1174-M1174)</f>
        <v/>
      </c>
      <c r="S1174">
        <f>IF(Q1174-R1174&gt;1E-9,Q1174-R1174,0)</f>
        <v/>
      </c>
      <c r="T1174">
        <f>S1173*$G$54</f>
        <v/>
      </c>
      <c r="U1174">
        <f>IF(W1173&gt;0,MAX(0,W1173*(1+$G$55)-$H$55),0)</f>
        <v/>
      </c>
      <c r="V1174">
        <f>MAX(0,R1174-Q1174)</f>
        <v/>
      </c>
      <c r="W1174">
        <f>IF(U1174-V1174&gt;1E-9,U1174-V1174,0)</f>
        <v/>
      </c>
      <c r="X1174">
        <f>W1173*$G$55</f>
        <v/>
      </c>
      <c r="Y1174">
        <f>IF(Y1173&gt;1E-9,IF(Y1173*(1+$G$51)-MAX($B$9,0.01*Y1173+Y1173*$G$51)&gt;1E-9,Y1173*(1+$G$51)-MAX($B$9,0.01*Y1173+Y1173*$G$51),0),0)</f>
        <v/>
      </c>
      <c r="Z1174">
        <f>Y1173*$G$51</f>
        <v/>
      </c>
      <c r="AA1174">
        <f>IF(AA1173&gt;1E-9,IF(AA1173*(1+$G$52)-MAX($B$9,0.01*AA1173+AA1173*$G$52)&gt;1E-9,AA1173*(1+$G$52)-MAX($B$9,0.01*AA1173+AA1173*$G$52),0),0)</f>
        <v/>
      </c>
      <c r="AB1174">
        <f>AA1173*$G$52</f>
        <v/>
      </c>
      <c r="AC1174">
        <f>IF(AC1173&gt;1E-9,IF(AC1173*(1+$G$53)-MAX($B$9,0.01*AC1173+AC1173*$G$53)&gt;1E-9,AC1173*(1+$G$53)-MAX($B$9,0.01*AC1173+AC1173*$G$53),0),0)</f>
        <v/>
      </c>
      <c r="AD1174">
        <f>AC1173*$G$53</f>
        <v/>
      </c>
      <c r="AE1174">
        <f>IF(AE1173&gt;1E-9,IF(AE1173*(1+$G$54)-MAX($B$9,0.01*AE1173+AE1173*$G$54)&gt;1E-9,AE1173*(1+$G$54)-MAX($B$9,0.01*AE1173+AE1173*$G$54),0),0)</f>
        <v/>
      </c>
      <c r="AF1174">
        <f>AE1173*$G$54</f>
        <v/>
      </c>
      <c r="AG1174">
        <f>IF(AG1173&gt;1E-9,IF(AG1173*(1+$G$55)-MAX($B$9,0.01*AG1173+AG1173*$G$55)&gt;1E-9,AG1173*(1+$G$55)-MAX($B$9,0.01*AG1173+AG1173*$G$55),0),0)</f>
        <v/>
      </c>
      <c r="AH1174">
        <f>AG1173*$G$55</f>
        <v/>
      </c>
      <c r="AI1174">
        <f>G1174+K1174+O1174+S1174+W1174</f>
        <v/>
      </c>
      <c r="AJ1174">
        <f>AI1173+AK1174-AI1174</f>
        <v/>
      </c>
      <c r="AK1174">
        <f>H1174+L1174+P1174+T1174+X1174</f>
        <v/>
      </c>
      <c r="AL1174">
        <f>TEXT(EDATE($B$5,D1174-1),"mmm yyyy")</f>
        <v/>
      </c>
      <c r="AM1174">
        <f>AI1174</f>
        <v/>
      </c>
    </row>
    <row r="1175">
      <c r="D1175" t="n">
        <v>1114</v>
      </c>
      <c r="E1175">
        <f>IF(G1174&gt;0,MAX(0,G1174*(1+$G$51)-$H$51),0)</f>
        <v/>
      </c>
      <c r="F1175">
        <f>$B$6+IF($D1175=$B$8,$B$7,0)</f>
        <v/>
      </c>
      <c r="G1175">
        <f>IF(E1175-F1175&gt;1E-9,E1175-F1175,0)</f>
        <v/>
      </c>
      <c r="H1175">
        <f>G1174*$G$51</f>
        <v/>
      </c>
      <c r="I1175">
        <f>IF(K1174&gt;0,MAX(0,K1174*(1+$G$52)-$H$52),0)</f>
        <v/>
      </c>
      <c r="J1175">
        <f>MAX(0,F1175-E1175)</f>
        <v/>
      </c>
      <c r="K1175">
        <f>IF(I1175-J1175&gt;1E-9,I1175-J1175,0)</f>
        <v/>
      </c>
      <c r="L1175">
        <f>K1174*$G$52</f>
        <v/>
      </c>
      <c r="M1175">
        <f>IF(O1174&gt;0,MAX(0,O1174*(1+$G$53)-$H$53),0)</f>
        <v/>
      </c>
      <c r="N1175">
        <f>MAX(0,J1175-I1175)</f>
        <v/>
      </c>
      <c r="O1175">
        <f>IF(M1175-N1175&gt;1E-9,M1175-N1175,0)</f>
        <v/>
      </c>
      <c r="P1175">
        <f>O1174*$G$53</f>
        <v/>
      </c>
      <c r="Q1175">
        <f>IF(S1174&gt;0,MAX(0,S1174*(1+$G$54)-$H$54),0)</f>
        <v/>
      </c>
      <c r="R1175">
        <f>MAX(0,N1175-M1175)</f>
        <v/>
      </c>
      <c r="S1175">
        <f>IF(Q1175-R1175&gt;1E-9,Q1175-R1175,0)</f>
        <v/>
      </c>
      <c r="T1175">
        <f>S1174*$G$54</f>
        <v/>
      </c>
      <c r="U1175">
        <f>IF(W1174&gt;0,MAX(0,W1174*(1+$G$55)-$H$55),0)</f>
        <v/>
      </c>
      <c r="V1175">
        <f>MAX(0,R1175-Q1175)</f>
        <v/>
      </c>
      <c r="W1175">
        <f>IF(U1175-V1175&gt;1E-9,U1175-V1175,0)</f>
        <v/>
      </c>
      <c r="X1175">
        <f>W1174*$G$55</f>
        <v/>
      </c>
      <c r="Y1175">
        <f>IF(Y1174&gt;1E-9,IF(Y1174*(1+$G$51)-MAX($B$9,0.01*Y1174+Y1174*$G$51)&gt;1E-9,Y1174*(1+$G$51)-MAX($B$9,0.01*Y1174+Y1174*$G$51),0),0)</f>
        <v/>
      </c>
      <c r="Z1175">
        <f>Y1174*$G$51</f>
        <v/>
      </c>
      <c r="AA1175">
        <f>IF(AA1174&gt;1E-9,IF(AA1174*(1+$G$52)-MAX($B$9,0.01*AA1174+AA1174*$G$52)&gt;1E-9,AA1174*(1+$G$52)-MAX($B$9,0.01*AA1174+AA1174*$G$52),0),0)</f>
        <v/>
      </c>
      <c r="AB1175">
        <f>AA1174*$G$52</f>
        <v/>
      </c>
      <c r="AC1175">
        <f>IF(AC1174&gt;1E-9,IF(AC1174*(1+$G$53)-MAX($B$9,0.01*AC1174+AC1174*$G$53)&gt;1E-9,AC1174*(1+$G$53)-MAX($B$9,0.01*AC1174+AC1174*$G$53),0),0)</f>
        <v/>
      </c>
      <c r="AD1175">
        <f>AC1174*$G$53</f>
        <v/>
      </c>
      <c r="AE1175">
        <f>IF(AE1174&gt;1E-9,IF(AE1174*(1+$G$54)-MAX($B$9,0.01*AE1174+AE1174*$G$54)&gt;1E-9,AE1174*(1+$G$54)-MAX($B$9,0.01*AE1174+AE1174*$G$54),0),0)</f>
        <v/>
      </c>
      <c r="AF1175">
        <f>AE1174*$G$54</f>
        <v/>
      </c>
      <c r="AG1175">
        <f>IF(AG1174&gt;1E-9,IF(AG1174*(1+$G$55)-MAX($B$9,0.01*AG1174+AG1174*$G$55)&gt;1E-9,AG1174*(1+$G$55)-MAX($B$9,0.01*AG1174+AG1174*$G$55),0),0)</f>
        <v/>
      </c>
      <c r="AH1175">
        <f>AG1174*$G$55</f>
        <v/>
      </c>
      <c r="AI1175">
        <f>G1175+K1175+O1175+S1175+W1175</f>
        <v/>
      </c>
      <c r="AJ1175">
        <f>AI1174+AK1175-AI1175</f>
        <v/>
      </c>
      <c r="AK1175">
        <f>H1175+L1175+P1175+T1175+X1175</f>
        <v/>
      </c>
      <c r="AL1175">
        <f>TEXT(EDATE($B$5,D1175-1),"mmm yyyy")</f>
        <v/>
      </c>
      <c r="AM1175">
        <f>AI1175</f>
        <v/>
      </c>
    </row>
    <row r="1176">
      <c r="D1176" t="n">
        <v>1115</v>
      </c>
      <c r="E1176">
        <f>IF(G1175&gt;0,MAX(0,G1175*(1+$G$51)-$H$51),0)</f>
        <v/>
      </c>
      <c r="F1176">
        <f>$B$6+IF($D1176=$B$8,$B$7,0)</f>
        <v/>
      </c>
      <c r="G1176">
        <f>IF(E1176-F1176&gt;1E-9,E1176-F1176,0)</f>
        <v/>
      </c>
      <c r="H1176">
        <f>G1175*$G$51</f>
        <v/>
      </c>
      <c r="I1176">
        <f>IF(K1175&gt;0,MAX(0,K1175*(1+$G$52)-$H$52),0)</f>
        <v/>
      </c>
      <c r="J1176">
        <f>MAX(0,F1176-E1176)</f>
        <v/>
      </c>
      <c r="K1176">
        <f>IF(I1176-J1176&gt;1E-9,I1176-J1176,0)</f>
        <v/>
      </c>
      <c r="L1176">
        <f>K1175*$G$52</f>
        <v/>
      </c>
      <c r="M1176">
        <f>IF(O1175&gt;0,MAX(0,O1175*(1+$G$53)-$H$53),0)</f>
        <v/>
      </c>
      <c r="N1176">
        <f>MAX(0,J1176-I1176)</f>
        <v/>
      </c>
      <c r="O1176">
        <f>IF(M1176-N1176&gt;1E-9,M1176-N1176,0)</f>
        <v/>
      </c>
      <c r="P1176">
        <f>O1175*$G$53</f>
        <v/>
      </c>
      <c r="Q1176">
        <f>IF(S1175&gt;0,MAX(0,S1175*(1+$G$54)-$H$54),0)</f>
        <v/>
      </c>
      <c r="R1176">
        <f>MAX(0,N1176-M1176)</f>
        <v/>
      </c>
      <c r="S1176">
        <f>IF(Q1176-R1176&gt;1E-9,Q1176-R1176,0)</f>
        <v/>
      </c>
      <c r="T1176">
        <f>S1175*$G$54</f>
        <v/>
      </c>
      <c r="U1176">
        <f>IF(W1175&gt;0,MAX(0,W1175*(1+$G$55)-$H$55),0)</f>
        <v/>
      </c>
      <c r="V1176">
        <f>MAX(0,R1176-Q1176)</f>
        <v/>
      </c>
      <c r="W1176">
        <f>IF(U1176-V1176&gt;1E-9,U1176-V1176,0)</f>
        <v/>
      </c>
      <c r="X1176">
        <f>W1175*$G$55</f>
        <v/>
      </c>
      <c r="Y1176">
        <f>IF(Y1175&gt;1E-9,IF(Y1175*(1+$G$51)-MAX($B$9,0.01*Y1175+Y1175*$G$51)&gt;1E-9,Y1175*(1+$G$51)-MAX($B$9,0.01*Y1175+Y1175*$G$51),0),0)</f>
        <v/>
      </c>
      <c r="Z1176">
        <f>Y1175*$G$51</f>
        <v/>
      </c>
      <c r="AA1176">
        <f>IF(AA1175&gt;1E-9,IF(AA1175*(1+$G$52)-MAX($B$9,0.01*AA1175+AA1175*$G$52)&gt;1E-9,AA1175*(1+$G$52)-MAX($B$9,0.01*AA1175+AA1175*$G$52),0),0)</f>
        <v/>
      </c>
      <c r="AB1176">
        <f>AA1175*$G$52</f>
        <v/>
      </c>
      <c r="AC1176">
        <f>IF(AC1175&gt;1E-9,IF(AC1175*(1+$G$53)-MAX($B$9,0.01*AC1175+AC1175*$G$53)&gt;1E-9,AC1175*(1+$G$53)-MAX($B$9,0.01*AC1175+AC1175*$G$53),0),0)</f>
        <v/>
      </c>
      <c r="AD1176">
        <f>AC1175*$G$53</f>
        <v/>
      </c>
      <c r="AE1176">
        <f>IF(AE1175&gt;1E-9,IF(AE1175*(1+$G$54)-MAX($B$9,0.01*AE1175+AE1175*$G$54)&gt;1E-9,AE1175*(1+$G$54)-MAX($B$9,0.01*AE1175+AE1175*$G$54),0),0)</f>
        <v/>
      </c>
      <c r="AF1176">
        <f>AE1175*$G$54</f>
        <v/>
      </c>
      <c r="AG1176">
        <f>IF(AG1175&gt;1E-9,IF(AG1175*(1+$G$55)-MAX($B$9,0.01*AG1175+AG1175*$G$55)&gt;1E-9,AG1175*(1+$G$55)-MAX($B$9,0.01*AG1175+AG1175*$G$55),0),0)</f>
        <v/>
      </c>
      <c r="AH1176">
        <f>AG1175*$G$55</f>
        <v/>
      </c>
      <c r="AI1176">
        <f>G1176+K1176+O1176+S1176+W1176</f>
        <v/>
      </c>
      <c r="AJ1176">
        <f>AI1175+AK1176-AI1176</f>
        <v/>
      </c>
      <c r="AK1176">
        <f>H1176+L1176+P1176+T1176+X1176</f>
        <v/>
      </c>
      <c r="AL1176">
        <f>TEXT(EDATE($B$5,D1176-1),"mmm yyyy")</f>
        <v/>
      </c>
      <c r="AM1176">
        <f>AI1176</f>
        <v/>
      </c>
    </row>
    <row r="1177">
      <c r="D1177" t="n">
        <v>1116</v>
      </c>
      <c r="E1177">
        <f>IF(G1176&gt;0,MAX(0,G1176*(1+$G$51)-$H$51),0)</f>
        <v/>
      </c>
      <c r="F1177">
        <f>$B$6+IF($D1177=$B$8,$B$7,0)</f>
        <v/>
      </c>
      <c r="G1177">
        <f>IF(E1177-F1177&gt;1E-9,E1177-F1177,0)</f>
        <v/>
      </c>
      <c r="H1177">
        <f>G1176*$G$51</f>
        <v/>
      </c>
      <c r="I1177">
        <f>IF(K1176&gt;0,MAX(0,K1176*(1+$G$52)-$H$52),0)</f>
        <v/>
      </c>
      <c r="J1177">
        <f>MAX(0,F1177-E1177)</f>
        <v/>
      </c>
      <c r="K1177">
        <f>IF(I1177-J1177&gt;1E-9,I1177-J1177,0)</f>
        <v/>
      </c>
      <c r="L1177">
        <f>K1176*$G$52</f>
        <v/>
      </c>
      <c r="M1177">
        <f>IF(O1176&gt;0,MAX(0,O1176*(1+$G$53)-$H$53),0)</f>
        <v/>
      </c>
      <c r="N1177">
        <f>MAX(0,J1177-I1177)</f>
        <v/>
      </c>
      <c r="O1177">
        <f>IF(M1177-N1177&gt;1E-9,M1177-N1177,0)</f>
        <v/>
      </c>
      <c r="P1177">
        <f>O1176*$G$53</f>
        <v/>
      </c>
      <c r="Q1177">
        <f>IF(S1176&gt;0,MAX(0,S1176*(1+$G$54)-$H$54),0)</f>
        <v/>
      </c>
      <c r="R1177">
        <f>MAX(0,N1177-M1177)</f>
        <v/>
      </c>
      <c r="S1177">
        <f>IF(Q1177-R1177&gt;1E-9,Q1177-R1177,0)</f>
        <v/>
      </c>
      <c r="T1177">
        <f>S1176*$G$54</f>
        <v/>
      </c>
      <c r="U1177">
        <f>IF(W1176&gt;0,MAX(0,W1176*(1+$G$55)-$H$55),0)</f>
        <v/>
      </c>
      <c r="V1177">
        <f>MAX(0,R1177-Q1177)</f>
        <v/>
      </c>
      <c r="W1177">
        <f>IF(U1177-V1177&gt;1E-9,U1177-V1177,0)</f>
        <v/>
      </c>
      <c r="X1177">
        <f>W1176*$G$55</f>
        <v/>
      </c>
      <c r="Y1177">
        <f>IF(Y1176&gt;1E-9,IF(Y1176*(1+$G$51)-MAX($B$9,0.01*Y1176+Y1176*$G$51)&gt;1E-9,Y1176*(1+$G$51)-MAX($B$9,0.01*Y1176+Y1176*$G$51),0),0)</f>
        <v/>
      </c>
      <c r="Z1177">
        <f>Y1176*$G$51</f>
        <v/>
      </c>
      <c r="AA1177">
        <f>IF(AA1176&gt;1E-9,IF(AA1176*(1+$G$52)-MAX($B$9,0.01*AA1176+AA1176*$G$52)&gt;1E-9,AA1176*(1+$G$52)-MAX($B$9,0.01*AA1176+AA1176*$G$52),0),0)</f>
        <v/>
      </c>
      <c r="AB1177">
        <f>AA1176*$G$52</f>
        <v/>
      </c>
      <c r="AC1177">
        <f>IF(AC1176&gt;1E-9,IF(AC1176*(1+$G$53)-MAX($B$9,0.01*AC1176+AC1176*$G$53)&gt;1E-9,AC1176*(1+$G$53)-MAX($B$9,0.01*AC1176+AC1176*$G$53),0),0)</f>
        <v/>
      </c>
      <c r="AD1177">
        <f>AC1176*$G$53</f>
        <v/>
      </c>
      <c r="AE1177">
        <f>IF(AE1176&gt;1E-9,IF(AE1176*(1+$G$54)-MAX($B$9,0.01*AE1176+AE1176*$G$54)&gt;1E-9,AE1176*(1+$G$54)-MAX($B$9,0.01*AE1176+AE1176*$G$54),0),0)</f>
        <v/>
      </c>
      <c r="AF1177">
        <f>AE1176*$G$54</f>
        <v/>
      </c>
      <c r="AG1177">
        <f>IF(AG1176&gt;1E-9,IF(AG1176*(1+$G$55)-MAX($B$9,0.01*AG1176+AG1176*$G$55)&gt;1E-9,AG1176*(1+$G$55)-MAX($B$9,0.01*AG1176+AG1176*$G$55),0),0)</f>
        <v/>
      </c>
      <c r="AH1177">
        <f>AG1176*$G$55</f>
        <v/>
      </c>
      <c r="AI1177">
        <f>G1177+K1177+O1177+S1177+W1177</f>
        <v/>
      </c>
      <c r="AJ1177">
        <f>AI1176+AK1177-AI1177</f>
        <v/>
      </c>
      <c r="AK1177">
        <f>H1177+L1177+P1177+T1177+X1177</f>
        <v/>
      </c>
      <c r="AL1177">
        <f>TEXT(EDATE($B$5,D1177-1),"mmm yyyy")</f>
        <v/>
      </c>
      <c r="AM1177">
        <f>AI1177</f>
        <v/>
      </c>
    </row>
    <row r="1178">
      <c r="D1178" t="n">
        <v>1117</v>
      </c>
      <c r="E1178">
        <f>IF(G1177&gt;0,MAX(0,G1177*(1+$G$51)-$H$51),0)</f>
        <v/>
      </c>
      <c r="F1178">
        <f>$B$6+IF($D1178=$B$8,$B$7,0)</f>
        <v/>
      </c>
      <c r="G1178">
        <f>IF(E1178-F1178&gt;1E-9,E1178-F1178,0)</f>
        <v/>
      </c>
      <c r="H1178">
        <f>G1177*$G$51</f>
        <v/>
      </c>
      <c r="I1178">
        <f>IF(K1177&gt;0,MAX(0,K1177*(1+$G$52)-$H$52),0)</f>
        <v/>
      </c>
      <c r="J1178">
        <f>MAX(0,F1178-E1178)</f>
        <v/>
      </c>
      <c r="K1178">
        <f>IF(I1178-J1178&gt;1E-9,I1178-J1178,0)</f>
        <v/>
      </c>
      <c r="L1178">
        <f>K1177*$G$52</f>
        <v/>
      </c>
      <c r="M1178">
        <f>IF(O1177&gt;0,MAX(0,O1177*(1+$G$53)-$H$53),0)</f>
        <v/>
      </c>
      <c r="N1178">
        <f>MAX(0,J1178-I1178)</f>
        <v/>
      </c>
      <c r="O1178">
        <f>IF(M1178-N1178&gt;1E-9,M1178-N1178,0)</f>
        <v/>
      </c>
      <c r="P1178">
        <f>O1177*$G$53</f>
        <v/>
      </c>
      <c r="Q1178">
        <f>IF(S1177&gt;0,MAX(0,S1177*(1+$G$54)-$H$54),0)</f>
        <v/>
      </c>
      <c r="R1178">
        <f>MAX(0,N1178-M1178)</f>
        <v/>
      </c>
      <c r="S1178">
        <f>IF(Q1178-R1178&gt;1E-9,Q1178-R1178,0)</f>
        <v/>
      </c>
      <c r="T1178">
        <f>S1177*$G$54</f>
        <v/>
      </c>
      <c r="U1178">
        <f>IF(W1177&gt;0,MAX(0,W1177*(1+$G$55)-$H$55),0)</f>
        <v/>
      </c>
      <c r="V1178">
        <f>MAX(0,R1178-Q1178)</f>
        <v/>
      </c>
      <c r="W1178">
        <f>IF(U1178-V1178&gt;1E-9,U1178-V1178,0)</f>
        <v/>
      </c>
      <c r="X1178">
        <f>W1177*$G$55</f>
        <v/>
      </c>
      <c r="Y1178">
        <f>IF(Y1177&gt;1E-9,IF(Y1177*(1+$G$51)-MAX($B$9,0.01*Y1177+Y1177*$G$51)&gt;1E-9,Y1177*(1+$G$51)-MAX($B$9,0.01*Y1177+Y1177*$G$51),0),0)</f>
        <v/>
      </c>
      <c r="Z1178">
        <f>Y1177*$G$51</f>
        <v/>
      </c>
      <c r="AA1178">
        <f>IF(AA1177&gt;1E-9,IF(AA1177*(1+$G$52)-MAX($B$9,0.01*AA1177+AA1177*$G$52)&gt;1E-9,AA1177*(1+$G$52)-MAX($B$9,0.01*AA1177+AA1177*$G$52),0),0)</f>
        <v/>
      </c>
      <c r="AB1178">
        <f>AA1177*$G$52</f>
        <v/>
      </c>
      <c r="AC1178">
        <f>IF(AC1177&gt;1E-9,IF(AC1177*(1+$G$53)-MAX($B$9,0.01*AC1177+AC1177*$G$53)&gt;1E-9,AC1177*(1+$G$53)-MAX($B$9,0.01*AC1177+AC1177*$G$53),0),0)</f>
        <v/>
      </c>
      <c r="AD1178">
        <f>AC1177*$G$53</f>
        <v/>
      </c>
      <c r="AE1178">
        <f>IF(AE1177&gt;1E-9,IF(AE1177*(1+$G$54)-MAX($B$9,0.01*AE1177+AE1177*$G$54)&gt;1E-9,AE1177*(1+$G$54)-MAX($B$9,0.01*AE1177+AE1177*$G$54),0),0)</f>
        <v/>
      </c>
      <c r="AF1178">
        <f>AE1177*$G$54</f>
        <v/>
      </c>
      <c r="AG1178">
        <f>IF(AG1177&gt;1E-9,IF(AG1177*(1+$G$55)-MAX($B$9,0.01*AG1177+AG1177*$G$55)&gt;1E-9,AG1177*(1+$G$55)-MAX($B$9,0.01*AG1177+AG1177*$G$55),0),0)</f>
        <v/>
      </c>
      <c r="AH1178">
        <f>AG1177*$G$55</f>
        <v/>
      </c>
      <c r="AI1178">
        <f>G1178+K1178+O1178+S1178+W1178</f>
        <v/>
      </c>
      <c r="AJ1178">
        <f>AI1177+AK1178-AI1178</f>
        <v/>
      </c>
      <c r="AK1178">
        <f>H1178+L1178+P1178+T1178+X1178</f>
        <v/>
      </c>
      <c r="AL1178">
        <f>TEXT(EDATE($B$5,D1178-1),"mmm yyyy")</f>
        <v/>
      </c>
      <c r="AM1178">
        <f>AI1178</f>
        <v/>
      </c>
    </row>
    <row r="1179">
      <c r="D1179" t="n">
        <v>1118</v>
      </c>
      <c r="E1179">
        <f>IF(G1178&gt;0,MAX(0,G1178*(1+$G$51)-$H$51),0)</f>
        <v/>
      </c>
      <c r="F1179">
        <f>$B$6+IF($D1179=$B$8,$B$7,0)</f>
        <v/>
      </c>
      <c r="G1179">
        <f>IF(E1179-F1179&gt;1E-9,E1179-F1179,0)</f>
        <v/>
      </c>
      <c r="H1179">
        <f>G1178*$G$51</f>
        <v/>
      </c>
      <c r="I1179">
        <f>IF(K1178&gt;0,MAX(0,K1178*(1+$G$52)-$H$52),0)</f>
        <v/>
      </c>
      <c r="J1179">
        <f>MAX(0,F1179-E1179)</f>
        <v/>
      </c>
      <c r="K1179">
        <f>IF(I1179-J1179&gt;1E-9,I1179-J1179,0)</f>
        <v/>
      </c>
      <c r="L1179">
        <f>K1178*$G$52</f>
        <v/>
      </c>
      <c r="M1179">
        <f>IF(O1178&gt;0,MAX(0,O1178*(1+$G$53)-$H$53),0)</f>
        <v/>
      </c>
      <c r="N1179">
        <f>MAX(0,J1179-I1179)</f>
        <v/>
      </c>
      <c r="O1179">
        <f>IF(M1179-N1179&gt;1E-9,M1179-N1179,0)</f>
        <v/>
      </c>
      <c r="P1179">
        <f>O1178*$G$53</f>
        <v/>
      </c>
      <c r="Q1179">
        <f>IF(S1178&gt;0,MAX(0,S1178*(1+$G$54)-$H$54),0)</f>
        <v/>
      </c>
      <c r="R1179">
        <f>MAX(0,N1179-M1179)</f>
        <v/>
      </c>
      <c r="S1179">
        <f>IF(Q1179-R1179&gt;1E-9,Q1179-R1179,0)</f>
        <v/>
      </c>
      <c r="T1179">
        <f>S1178*$G$54</f>
        <v/>
      </c>
      <c r="U1179">
        <f>IF(W1178&gt;0,MAX(0,W1178*(1+$G$55)-$H$55),0)</f>
        <v/>
      </c>
      <c r="V1179">
        <f>MAX(0,R1179-Q1179)</f>
        <v/>
      </c>
      <c r="W1179">
        <f>IF(U1179-V1179&gt;1E-9,U1179-V1179,0)</f>
        <v/>
      </c>
      <c r="X1179">
        <f>W1178*$G$55</f>
        <v/>
      </c>
      <c r="Y1179">
        <f>IF(Y1178&gt;1E-9,IF(Y1178*(1+$G$51)-MAX($B$9,0.01*Y1178+Y1178*$G$51)&gt;1E-9,Y1178*(1+$G$51)-MAX($B$9,0.01*Y1178+Y1178*$G$51),0),0)</f>
        <v/>
      </c>
      <c r="Z1179">
        <f>Y1178*$G$51</f>
        <v/>
      </c>
      <c r="AA1179">
        <f>IF(AA1178&gt;1E-9,IF(AA1178*(1+$G$52)-MAX($B$9,0.01*AA1178+AA1178*$G$52)&gt;1E-9,AA1178*(1+$G$52)-MAX($B$9,0.01*AA1178+AA1178*$G$52),0),0)</f>
        <v/>
      </c>
      <c r="AB1179">
        <f>AA1178*$G$52</f>
        <v/>
      </c>
      <c r="AC1179">
        <f>IF(AC1178&gt;1E-9,IF(AC1178*(1+$G$53)-MAX($B$9,0.01*AC1178+AC1178*$G$53)&gt;1E-9,AC1178*(1+$G$53)-MAX($B$9,0.01*AC1178+AC1178*$G$53),0),0)</f>
        <v/>
      </c>
      <c r="AD1179">
        <f>AC1178*$G$53</f>
        <v/>
      </c>
      <c r="AE1179">
        <f>IF(AE1178&gt;1E-9,IF(AE1178*(1+$G$54)-MAX($B$9,0.01*AE1178+AE1178*$G$54)&gt;1E-9,AE1178*(1+$G$54)-MAX($B$9,0.01*AE1178+AE1178*$G$54),0),0)</f>
        <v/>
      </c>
      <c r="AF1179">
        <f>AE1178*$G$54</f>
        <v/>
      </c>
      <c r="AG1179">
        <f>IF(AG1178&gt;1E-9,IF(AG1178*(1+$G$55)-MAX($B$9,0.01*AG1178+AG1178*$G$55)&gt;1E-9,AG1178*(1+$G$55)-MAX($B$9,0.01*AG1178+AG1178*$G$55),0),0)</f>
        <v/>
      </c>
      <c r="AH1179">
        <f>AG1178*$G$55</f>
        <v/>
      </c>
      <c r="AI1179">
        <f>G1179+K1179+O1179+S1179+W1179</f>
        <v/>
      </c>
      <c r="AJ1179">
        <f>AI1178+AK1179-AI1179</f>
        <v/>
      </c>
      <c r="AK1179">
        <f>H1179+L1179+P1179+T1179+X1179</f>
        <v/>
      </c>
      <c r="AL1179">
        <f>TEXT(EDATE($B$5,D1179-1),"mmm yyyy")</f>
        <v/>
      </c>
      <c r="AM1179">
        <f>AI1179</f>
        <v/>
      </c>
    </row>
    <row r="1180">
      <c r="D1180" t="n">
        <v>1119</v>
      </c>
      <c r="E1180">
        <f>IF(G1179&gt;0,MAX(0,G1179*(1+$G$51)-$H$51),0)</f>
        <v/>
      </c>
      <c r="F1180">
        <f>$B$6+IF($D1180=$B$8,$B$7,0)</f>
        <v/>
      </c>
      <c r="G1180">
        <f>IF(E1180-F1180&gt;1E-9,E1180-F1180,0)</f>
        <v/>
      </c>
      <c r="H1180">
        <f>G1179*$G$51</f>
        <v/>
      </c>
      <c r="I1180">
        <f>IF(K1179&gt;0,MAX(0,K1179*(1+$G$52)-$H$52),0)</f>
        <v/>
      </c>
      <c r="J1180">
        <f>MAX(0,F1180-E1180)</f>
        <v/>
      </c>
      <c r="K1180">
        <f>IF(I1180-J1180&gt;1E-9,I1180-J1180,0)</f>
        <v/>
      </c>
      <c r="L1180">
        <f>K1179*$G$52</f>
        <v/>
      </c>
      <c r="M1180">
        <f>IF(O1179&gt;0,MAX(0,O1179*(1+$G$53)-$H$53),0)</f>
        <v/>
      </c>
      <c r="N1180">
        <f>MAX(0,J1180-I1180)</f>
        <v/>
      </c>
      <c r="O1180">
        <f>IF(M1180-N1180&gt;1E-9,M1180-N1180,0)</f>
        <v/>
      </c>
      <c r="P1180">
        <f>O1179*$G$53</f>
        <v/>
      </c>
      <c r="Q1180">
        <f>IF(S1179&gt;0,MAX(0,S1179*(1+$G$54)-$H$54),0)</f>
        <v/>
      </c>
      <c r="R1180">
        <f>MAX(0,N1180-M1180)</f>
        <v/>
      </c>
      <c r="S1180">
        <f>IF(Q1180-R1180&gt;1E-9,Q1180-R1180,0)</f>
        <v/>
      </c>
      <c r="T1180">
        <f>S1179*$G$54</f>
        <v/>
      </c>
      <c r="U1180">
        <f>IF(W1179&gt;0,MAX(0,W1179*(1+$G$55)-$H$55),0)</f>
        <v/>
      </c>
      <c r="V1180">
        <f>MAX(0,R1180-Q1180)</f>
        <v/>
      </c>
      <c r="W1180">
        <f>IF(U1180-V1180&gt;1E-9,U1180-V1180,0)</f>
        <v/>
      </c>
      <c r="X1180">
        <f>W1179*$G$55</f>
        <v/>
      </c>
      <c r="Y1180">
        <f>IF(Y1179&gt;1E-9,IF(Y1179*(1+$G$51)-MAX($B$9,0.01*Y1179+Y1179*$G$51)&gt;1E-9,Y1179*(1+$G$51)-MAX($B$9,0.01*Y1179+Y1179*$G$51),0),0)</f>
        <v/>
      </c>
      <c r="Z1180">
        <f>Y1179*$G$51</f>
        <v/>
      </c>
      <c r="AA1180">
        <f>IF(AA1179&gt;1E-9,IF(AA1179*(1+$G$52)-MAX($B$9,0.01*AA1179+AA1179*$G$52)&gt;1E-9,AA1179*(1+$G$52)-MAX($B$9,0.01*AA1179+AA1179*$G$52),0),0)</f>
        <v/>
      </c>
      <c r="AB1180">
        <f>AA1179*$G$52</f>
        <v/>
      </c>
      <c r="AC1180">
        <f>IF(AC1179&gt;1E-9,IF(AC1179*(1+$G$53)-MAX($B$9,0.01*AC1179+AC1179*$G$53)&gt;1E-9,AC1179*(1+$G$53)-MAX($B$9,0.01*AC1179+AC1179*$G$53),0),0)</f>
        <v/>
      </c>
      <c r="AD1180">
        <f>AC1179*$G$53</f>
        <v/>
      </c>
      <c r="AE1180">
        <f>IF(AE1179&gt;1E-9,IF(AE1179*(1+$G$54)-MAX($B$9,0.01*AE1179+AE1179*$G$54)&gt;1E-9,AE1179*(1+$G$54)-MAX($B$9,0.01*AE1179+AE1179*$G$54),0),0)</f>
        <v/>
      </c>
      <c r="AF1180">
        <f>AE1179*$G$54</f>
        <v/>
      </c>
      <c r="AG1180">
        <f>IF(AG1179&gt;1E-9,IF(AG1179*(1+$G$55)-MAX($B$9,0.01*AG1179+AG1179*$G$55)&gt;1E-9,AG1179*(1+$G$55)-MAX($B$9,0.01*AG1179+AG1179*$G$55),0),0)</f>
        <v/>
      </c>
      <c r="AH1180">
        <f>AG1179*$G$55</f>
        <v/>
      </c>
      <c r="AI1180">
        <f>G1180+K1180+O1180+S1180+W1180</f>
        <v/>
      </c>
      <c r="AJ1180">
        <f>AI1179+AK1180-AI1180</f>
        <v/>
      </c>
      <c r="AK1180">
        <f>H1180+L1180+P1180+T1180+X1180</f>
        <v/>
      </c>
      <c r="AL1180">
        <f>TEXT(EDATE($B$5,D1180-1),"mmm yyyy")</f>
        <v/>
      </c>
      <c r="AM1180">
        <f>AI1180</f>
        <v/>
      </c>
    </row>
    <row r="1181">
      <c r="D1181" t="n">
        <v>1120</v>
      </c>
      <c r="E1181">
        <f>IF(G1180&gt;0,MAX(0,G1180*(1+$G$51)-$H$51),0)</f>
        <v/>
      </c>
      <c r="F1181">
        <f>$B$6+IF($D1181=$B$8,$B$7,0)</f>
        <v/>
      </c>
      <c r="G1181">
        <f>IF(E1181-F1181&gt;1E-9,E1181-F1181,0)</f>
        <v/>
      </c>
      <c r="H1181">
        <f>G1180*$G$51</f>
        <v/>
      </c>
      <c r="I1181">
        <f>IF(K1180&gt;0,MAX(0,K1180*(1+$G$52)-$H$52),0)</f>
        <v/>
      </c>
      <c r="J1181">
        <f>MAX(0,F1181-E1181)</f>
        <v/>
      </c>
      <c r="K1181">
        <f>IF(I1181-J1181&gt;1E-9,I1181-J1181,0)</f>
        <v/>
      </c>
      <c r="L1181">
        <f>K1180*$G$52</f>
        <v/>
      </c>
      <c r="M1181">
        <f>IF(O1180&gt;0,MAX(0,O1180*(1+$G$53)-$H$53),0)</f>
        <v/>
      </c>
      <c r="N1181">
        <f>MAX(0,J1181-I1181)</f>
        <v/>
      </c>
      <c r="O1181">
        <f>IF(M1181-N1181&gt;1E-9,M1181-N1181,0)</f>
        <v/>
      </c>
      <c r="P1181">
        <f>O1180*$G$53</f>
        <v/>
      </c>
      <c r="Q1181">
        <f>IF(S1180&gt;0,MAX(0,S1180*(1+$G$54)-$H$54),0)</f>
        <v/>
      </c>
      <c r="R1181">
        <f>MAX(0,N1181-M1181)</f>
        <v/>
      </c>
      <c r="S1181">
        <f>IF(Q1181-R1181&gt;1E-9,Q1181-R1181,0)</f>
        <v/>
      </c>
      <c r="T1181">
        <f>S1180*$G$54</f>
        <v/>
      </c>
      <c r="U1181">
        <f>IF(W1180&gt;0,MAX(0,W1180*(1+$G$55)-$H$55),0)</f>
        <v/>
      </c>
      <c r="V1181">
        <f>MAX(0,R1181-Q1181)</f>
        <v/>
      </c>
      <c r="W1181">
        <f>IF(U1181-V1181&gt;1E-9,U1181-V1181,0)</f>
        <v/>
      </c>
      <c r="X1181">
        <f>W1180*$G$55</f>
        <v/>
      </c>
      <c r="Y1181">
        <f>IF(Y1180&gt;1E-9,IF(Y1180*(1+$G$51)-MAX($B$9,0.01*Y1180+Y1180*$G$51)&gt;1E-9,Y1180*(1+$G$51)-MAX($B$9,0.01*Y1180+Y1180*$G$51),0),0)</f>
        <v/>
      </c>
      <c r="Z1181">
        <f>Y1180*$G$51</f>
        <v/>
      </c>
      <c r="AA1181">
        <f>IF(AA1180&gt;1E-9,IF(AA1180*(1+$G$52)-MAX($B$9,0.01*AA1180+AA1180*$G$52)&gt;1E-9,AA1180*(1+$G$52)-MAX($B$9,0.01*AA1180+AA1180*$G$52),0),0)</f>
        <v/>
      </c>
      <c r="AB1181">
        <f>AA1180*$G$52</f>
        <v/>
      </c>
      <c r="AC1181">
        <f>IF(AC1180&gt;1E-9,IF(AC1180*(1+$G$53)-MAX($B$9,0.01*AC1180+AC1180*$G$53)&gt;1E-9,AC1180*(1+$G$53)-MAX($B$9,0.01*AC1180+AC1180*$G$53),0),0)</f>
        <v/>
      </c>
      <c r="AD1181">
        <f>AC1180*$G$53</f>
        <v/>
      </c>
      <c r="AE1181">
        <f>IF(AE1180&gt;1E-9,IF(AE1180*(1+$G$54)-MAX($B$9,0.01*AE1180+AE1180*$G$54)&gt;1E-9,AE1180*(1+$G$54)-MAX($B$9,0.01*AE1180+AE1180*$G$54),0),0)</f>
        <v/>
      </c>
      <c r="AF1181">
        <f>AE1180*$G$54</f>
        <v/>
      </c>
      <c r="AG1181">
        <f>IF(AG1180&gt;1E-9,IF(AG1180*(1+$G$55)-MAX($B$9,0.01*AG1180+AG1180*$G$55)&gt;1E-9,AG1180*(1+$G$55)-MAX($B$9,0.01*AG1180+AG1180*$G$55),0),0)</f>
        <v/>
      </c>
      <c r="AH1181">
        <f>AG1180*$G$55</f>
        <v/>
      </c>
      <c r="AI1181">
        <f>G1181+K1181+O1181+S1181+W1181</f>
        <v/>
      </c>
      <c r="AJ1181">
        <f>AI1180+AK1181-AI1181</f>
        <v/>
      </c>
      <c r="AK1181">
        <f>H1181+L1181+P1181+T1181+X1181</f>
        <v/>
      </c>
      <c r="AL1181">
        <f>TEXT(EDATE($B$5,D1181-1),"mmm yyyy")</f>
        <v/>
      </c>
      <c r="AM1181">
        <f>AI1181</f>
        <v/>
      </c>
    </row>
    <row r="1182">
      <c r="D1182" t="n">
        <v>1121</v>
      </c>
      <c r="E1182">
        <f>IF(G1181&gt;0,MAX(0,G1181*(1+$G$51)-$H$51),0)</f>
        <v/>
      </c>
      <c r="F1182">
        <f>$B$6+IF($D1182=$B$8,$B$7,0)</f>
        <v/>
      </c>
      <c r="G1182">
        <f>IF(E1182-F1182&gt;1E-9,E1182-F1182,0)</f>
        <v/>
      </c>
      <c r="H1182">
        <f>G1181*$G$51</f>
        <v/>
      </c>
      <c r="I1182">
        <f>IF(K1181&gt;0,MAX(0,K1181*(1+$G$52)-$H$52),0)</f>
        <v/>
      </c>
      <c r="J1182">
        <f>MAX(0,F1182-E1182)</f>
        <v/>
      </c>
      <c r="K1182">
        <f>IF(I1182-J1182&gt;1E-9,I1182-J1182,0)</f>
        <v/>
      </c>
      <c r="L1182">
        <f>K1181*$G$52</f>
        <v/>
      </c>
      <c r="M1182">
        <f>IF(O1181&gt;0,MAX(0,O1181*(1+$G$53)-$H$53),0)</f>
        <v/>
      </c>
      <c r="N1182">
        <f>MAX(0,J1182-I1182)</f>
        <v/>
      </c>
      <c r="O1182">
        <f>IF(M1182-N1182&gt;1E-9,M1182-N1182,0)</f>
        <v/>
      </c>
      <c r="P1182">
        <f>O1181*$G$53</f>
        <v/>
      </c>
      <c r="Q1182">
        <f>IF(S1181&gt;0,MAX(0,S1181*(1+$G$54)-$H$54),0)</f>
        <v/>
      </c>
      <c r="R1182">
        <f>MAX(0,N1182-M1182)</f>
        <v/>
      </c>
      <c r="S1182">
        <f>IF(Q1182-R1182&gt;1E-9,Q1182-R1182,0)</f>
        <v/>
      </c>
      <c r="T1182">
        <f>S1181*$G$54</f>
        <v/>
      </c>
      <c r="U1182">
        <f>IF(W1181&gt;0,MAX(0,W1181*(1+$G$55)-$H$55),0)</f>
        <v/>
      </c>
      <c r="V1182">
        <f>MAX(0,R1182-Q1182)</f>
        <v/>
      </c>
      <c r="W1182">
        <f>IF(U1182-V1182&gt;1E-9,U1182-V1182,0)</f>
        <v/>
      </c>
      <c r="X1182">
        <f>W1181*$G$55</f>
        <v/>
      </c>
      <c r="Y1182">
        <f>IF(Y1181&gt;1E-9,IF(Y1181*(1+$G$51)-MAX($B$9,0.01*Y1181+Y1181*$G$51)&gt;1E-9,Y1181*(1+$G$51)-MAX($B$9,0.01*Y1181+Y1181*$G$51),0),0)</f>
        <v/>
      </c>
      <c r="Z1182">
        <f>Y1181*$G$51</f>
        <v/>
      </c>
      <c r="AA1182">
        <f>IF(AA1181&gt;1E-9,IF(AA1181*(1+$G$52)-MAX($B$9,0.01*AA1181+AA1181*$G$52)&gt;1E-9,AA1181*(1+$G$52)-MAX($B$9,0.01*AA1181+AA1181*$G$52),0),0)</f>
        <v/>
      </c>
      <c r="AB1182">
        <f>AA1181*$G$52</f>
        <v/>
      </c>
      <c r="AC1182">
        <f>IF(AC1181&gt;1E-9,IF(AC1181*(1+$G$53)-MAX($B$9,0.01*AC1181+AC1181*$G$53)&gt;1E-9,AC1181*(1+$G$53)-MAX($B$9,0.01*AC1181+AC1181*$G$53),0),0)</f>
        <v/>
      </c>
      <c r="AD1182">
        <f>AC1181*$G$53</f>
        <v/>
      </c>
      <c r="AE1182">
        <f>IF(AE1181&gt;1E-9,IF(AE1181*(1+$G$54)-MAX($B$9,0.01*AE1181+AE1181*$G$54)&gt;1E-9,AE1181*(1+$G$54)-MAX($B$9,0.01*AE1181+AE1181*$G$54),0),0)</f>
        <v/>
      </c>
      <c r="AF1182">
        <f>AE1181*$G$54</f>
        <v/>
      </c>
      <c r="AG1182">
        <f>IF(AG1181&gt;1E-9,IF(AG1181*(1+$G$55)-MAX($B$9,0.01*AG1181+AG1181*$G$55)&gt;1E-9,AG1181*(1+$G$55)-MAX($B$9,0.01*AG1181+AG1181*$G$55),0),0)</f>
        <v/>
      </c>
      <c r="AH1182">
        <f>AG1181*$G$55</f>
        <v/>
      </c>
      <c r="AI1182">
        <f>G1182+K1182+O1182+S1182+W1182</f>
        <v/>
      </c>
      <c r="AJ1182">
        <f>AI1181+AK1182-AI1182</f>
        <v/>
      </c>
      <c r="AK1182">
        <f>H1182+L1182+P1182+T1182+X1182</f>
        <v/>
      </c>
      <c r="AL1182">
        <f>TEXT(EDATE($B$5,D1182-1),"mmm yyyy")</f>
        <v/>
      </c>
      <c r="AM1182">
        <f>AI1182</f>
        <v/>
      </c>
    </row>
    <row r="1183">
      <c r="D1183" t="n">
        <v>1122</v>
      </c>
      <c r="E1183">
        <f>IF(G1182&gt;0,MAX(0,G1182*(1+$G$51)-$H$51),0)</f>
        <v/>
      </c>
      <c r="F1183">
        <f>$B$6+IF($D1183=$B$8,$B$7,0)</f>
        <v/>
      </c>
      <c r="G1183">
        <f>IF(E1183-F1183&gt;1E-9,E1183-F1183,0)</f>
        <v/>
      </c>
      <c r="H1183">
        <f>G1182*$G$51</f>
        <v/>
      </c>
      <c r="I1183">
        <f>IF(K1182&gt;0,MAX(0,K1182*(1+$G$52)-$H$52),0)</f>
        <v/>
      </c>
      <c r="J1183">
        <f>MAX(0,F1183-E1183)</f>
        <v/>
      </c>
      <c r="K1183">
        <f>IF(I1183-J1183&gt;1E-9,I1183-J1183,0)</f>
        <v/>
      </c>
      <c r="L1183">
        <f>K1182*$G$52</f>
        <v/>
      </c>
      <c r="M1183">
        <f>IF(O1182&gt;0,MAX(0,O1182*(1+$G$53)-$H$53),0)</f>
        <v/>
      </c>
      <c r="N1183">
        <f>MAX(0,J1183-I1183)</f>
        <v/>
      </c>
      <c r="O1183">
        <f>IF(M1183-N1183&gt;1E-9,M1183-N1183,0)</f>
        <v/>
      </c>
      <c r="P1183">
        <f>O1182*$G$53</f>
        <v/>
      </c>
      <c r="Q1183">
        <f>IF(S1182&gt;0,MAX(0,S1182*(1+$G$54)-$H$54),0)</f>
        <v/>
      </c>
      <c r="R1183">
        <f>MAX(0,N1183-M1183)</f>
        <v/>
      </c>
      <c r="S1183">
        <f>IF(Q1183-R1183&gt;1E-9,Q1183-R1183,0)</f>
        <v/>
      </c>
      <c r="T1183">
        <f>S1182*$G$54</f>
        <v/>
      </c>
      <c r="U1183">
        <f>IF(W1182&gt;0,MAX(0,W1182*(1+$G$55)-$H$55),0)</f>
        <v/>
      </c>
      <c r="V1183">
        <f>MAX(0,R1183-Q1183)</f>
        <v/>
      </c>
      <c r="W1183">
        <f>IF(U1183-V1183&gt;1E-9,U1183-V1183,0)</f>
        <v/>
      </c>
      <c r="X1183">
        <f>W1182*$G$55</f>
        <v/>
      </c>
      <c r="Y1183">
        <f>IF(Y1182&gt;1E-9,IF(Y1182*(1+$G$51)-MAX($B$9,0.01*Y1182+Y1182*$G$51)&gt;1E-9,Y1182*(1+$G$51)-MAX($B$9,0.01*Y1182+Y1182*$G$51),0),0)</f>
        <v/>
      </c>
      <c r="Z1183">
        <f>Y1182*$G$51</f>
        <v/>
      </c>
      <c r="AA1183">
        <f>IF(AA1182&gt;1E-9,IF(AA1182*(1+$G$52)-MAX($B$9,0.01*AA1182+AA1182*$G$52)&gt;1E-9,AA1182*(1+$G$52)-MAX($B$9,0.01*AA1182+AA1182*$G$52),0),0)</f>
        <v/>
      </c>
      <c r="AB1183">
        <f>AA1182*$G$52</f>
        <v/>
      </c>
      <c r="AC1183">
        <f>IF(AC1182&gt;1E-9,IF(AC1182*(1+$G$53)-MAX($B$9,0.01*AC1182+AC1182*$G$53)&gt;1E-9,AC1182*(1+$G$53)-MAX($B$9,0.01*AC1182+AC1182*$G$53),0),0)</f>
        <v/>
      </c>
      <c r="AD1183">
        <f>AC1182*$G$53</f>
        <v/>
      </c>
      <c r="AE1183">
        <f>IF(AE1182&gt;1E-9,IF(AE1182*(1+$G$54)-MAX($B$9,0.01*AE1182+AE1182*$G$54)&gt;1E-9,AE1182*(1+$G$54)-MAX($B$9,0.01*AE1182+AE1182*$G$54),0),0)</f>
        <v/>
      </c>
      <c r="AF1183">
        <f>AE1182*$G$54</f>
        <v/>
      </c>
      <c r="AG1183">
        <f>IF(AG1182&gt;1E-9,IF(AG1182*(1+$G$55)-MAX($B$9,0.01*AG1182+AG1182*$G$55)&gt;1E-9,AG1182*(1+$G$55)-MAX($B$9,0.01*AG1182+AG1182*$G$55),0),0)</f>
        <v/>
      </c>
      <c r="AH1183">
        <f>AG1182*$G$55</f>
        <v/>
      </c>
      <c r="AI1183">
        <f>G1183+K1183+O1183+S1183+W1183</f>
        <v/>
      </c>
      <c r="AJ1183">
        <f>AI1182+AK1183-AI1183</f>
        <v/>
      </c>
      <c r="AK1183">
        <f>H1183+L1183+P1183+T1183+X1183</f>
        <v/>
      </c>
      <c r="AL1183">
        <f>TEXT(EDATE($B$5,D1183-1),"mmm yyyy")</f>
        <v/>
      </c>
      <c r="AM1183">
        <f>AI1183</f>
        <v/>
      </c>
    </row>
    <row r="1184">
      <c r="D1184" t="n">
        <v>1123</v>
      </c>
      <c r="E1184">
        <f>IF(G1183&gt;0,MAX(0,G1183*(1+$G$51)-$H$51),0)</f>
        <v/>
      </c>
      <c r="F1184">
        <f>$B$6+IF($D1184=$B$8,$B$7,0)</f>
        <v/>
      </c>
      <c r="G1184">
        <f>IF(E1184-F1184&gt;1E-9,E1184-F1184,0)</f>
        <v/>
      </c>
      <c r="H1184">
        <f>G1183*$G$51</f>
        <v/>
      </c>
      <c r="I1184">
        <f>IF(K1183&gt;0,MAX(0,K1183*(1+$G$52)-$H$52),0)</f>
        <v/>
      </c>
      <c r="J1184">
        <f>MAX(0,F1184-E1184)</f>
        <v/>
      </c>
      <c r="K1184">
        <f>IF(I1184-J1184&gt;1E-9,I1184-J1184,0)</f>
        <v/>
      </c>
      <c r="L1184">
        <f>K1183*$G$52</f>
        <v/>
      </c>
      <c r="M1184">
        <f>IF(O1183&gt;0,MAX(0,O1183*(1+$G$53)-$H$53),0)</f>
        <v/>
      </c>
      <c r="N1184">
        <f>MAX(0,J1184-I1184)</f>
        <v/>
      </c>
      <c r="O1184">
        <f>IF(M1184-N1184&gt;1E-9,M1184-N1184,0)</f>
        <v/>
      </c>
      <c r="P1184">
        <f>O1183*$G$53</f>
        <v/>
      </c>
      <c r="Q1184">
        <f>IF(S1183&gt;0,MAX(0,S1183*(1+$G$54)-$H$54),0)</f>
        <v/>
      </c>
      <c r="R1184">
        <f>MAX(0,N1184-M1184)</f>
        <v/>
      </c>
      <c r="S1184">
        <f>IF(Q1184-R1184&gt;1E-9,Q1184-R1184,0)</f>
        <v/>
      </c>
      <c r="T1184">
        <f>S1183*$G$54</f>
        <v/>
      </c>
      <c r="U1184">
        <f>IF(W1183&gt;0,MAX(0,W1183*(1+$G$55)-$H$55),0)</f>
        <v/>
      </c>
      <c r="V1184">
        <f>MAX(0,R1184-Q1184)</f>
        <v/>
      </c>
      <c r="W1184">
        <f>IF(U1184-V1184&gt;1E-9,U1184-V1184,0)</f>
        <v/>
      </c>
      <c r="X1184">
        <f>W1183*$G$55</f>
        <v/>
      </c>
      <c r="Y1184">
        <f>IF(Y1183&gt;1E-9,IF(Y1183*(1+$G$51)-MAX($B$9,0.01*Y1183+Y1183*$G$51)&gt;1E-9,Y1183*(1+$G$51)-MAX($B$9,0.01*Y1183+Y1183*$G$51),0),0)</f>
        <v/>
      </c>
      <c r="Z1184">
        <f>Y1183*$G$51</f>
        <v/>
      </c>
      <c r="AA1184">
        <f>IF(AA1183&gt;1E-9,IF(AA1183*(1+$G$52)-MAX($B$9,0.01*AA1183+AA1183*$G$52)&gt;1E-9,AA1183*(1+$G$52)-MAX($B$9,0.01*AA1183+AA1183*$G$52),0),0)</f>
        <v/>
      </c>
      <c r="AB1184">
        <f>AA1183*$G$52</f>
        <v/>
      </c>
      <c r="AC1184">
        <f>IF(AC1183&gt;1E-9,IF(AC1183*(1+$G$53)-MAX($B$9,0.01*AC1183+AC1183*$G$53)&gt;1E-9,AC1183*(1+$G$53)-MAX($B$9,0.01*AC1183+AC1183*$G$53),0),0)</f>
        <v/>
      </c>
      <c r="AD1184">
        <f>AC1183*$G$53</f>
        <v/>
      </c>
      <c r="AE1184">
        <f>IF(AE1183&gt;1E-9,IF(AE1183*(1+$G$54)-MAX($B$9,0.01*AE1183+AE1183*$G$54)&gt;1E-9,AE1183*(1+$G$54)-MAX($B$9,0.01*AE1183+AE1183*$G$54),0),0)</f>
        <v/>
      </c>
      <c r="AF1184">
        <f>AE1183*$G$54</f>
        <v/>
      </c>
      <c r="AG1184">
        <f>IF(AG1183&gt;1E-9,IF(AG1183*(1+$G$55)-MAX($B$9,0.01*AG1183+AG1183*$G$55)&gt;1E-9,AG1183*(1+$G$55)-MAX($B$9,0.01*AG1183+AG1183*$G$55),0),0)</f>
        <v/>
      </c>
      <c r="AH1184">
        <f>AG1183*$G$55</f>
        <v/>
      </c>
      <c r="AI1184">
        <f>G1184+K1184+O1184+S1184+W1184</f>
        <v/>
      </c>
      <c r="AJ1184">
        <f>AI1183+AK1184-AI1184</f>
        <v/>
      </c>
      <c r="AK1184">
        <f>H1184+L1184+P1184+T1184+X1184</f>
        <v/>
      </c>
      <c r="AL1184">
        <f>TEXT(EDATE($B$5,D1184-1),"mmm yyyy")</f>
        <v/>
      </c>
      <c r="AM1184">
        <f>AI1184</f>
        <v/>
      </c>
    </row>
    <row r="1185">
      <c r="D1185" t="n">
        <v>1124</v>
      </c>
      <c r="E1185">
        <f>IF(G1184&gt;0,MAX(0,G1184*(1+$G$51)-$H$51),0)</f>
        <v/>
      </c>
      <c r="F1185">
        <f>$B$6+IF($D1185=$B$8,$B$7,0)</f>
        <v/>
      </c>
      <c r="G1185">
        <f>IF(E1185-F1185&gt;1E-9,E1185-F1185,0)</f>
        <v/>
      </c>
      <c r="H1185">
        <f>G1184*$G$51</f>
        <v/>
      </c>
      <c r="I1185">
        <f>IF(K1184&gt;0,MAX(0,K1184*(1+$G$52)-$H$52),0)</f>
        <v/>
      </c>
      <c r="J1185">
        <f>MAX(0,F1185-E1185)</f>
        <v/>
      </c>
      <c r="K1185">
        <f>IF(I1185-J1185&gt;1E-9,I1185-J1185,0)</f>
        <v/>
      </c>
      <c r="L1185">
        <f>K1184*$G$52</f>
        <v/>
      </c>
      <c r="M1185">
        <f>IF(O1184&gt;0,MAX(0,O1184*(1+$G$53)-$H$53),0)</f>
        <v/>
      </c>
      <c r="N1185">
        <f>MAX(0,J1185-I1185)</f>
        <v/>
      </c>
      <c r="O1185">
        <f>IF(M1185-N1185&gt;1E-9,M1185-N1185,0)</f>
        <v/>
      </c>
      <c r="P1185">
        <f>O1184*$G$53</f>
        <v/>
      </c>
      <c r="Q1185">
        <f>IF(S1184&gt;0,MAX(0,S1184*(1+$G$54)-$H$54),0)</f>
        <v/>
      </c>
      <c r="R1185">
        <f>MAX(0,N1185-M1185)</f>
        <v/>
      </c>
      <c r="S1185">
        <f>IF(Q1185-R1185&gt;1E-9,Q1185-R1185,0)</f>
        <v/>
      </c>
      <c r="T1185">
        <f>S1184*$G$54</f>
        <v/>
      </c>
      <c r="U1185">
        <f>IF(W1184&gt;0,MAX(0,W1184*(1+$G$55)-$H$55),0)</f>
        <v/>
      </c>
      <c r="V1185">
        <f>MAX(0,R1185-Q1185)</f>
        <v/>
      </c>
      <c r="W1185">
        <f>IF(U1185-V1185&gt;1E-9,U1185-V1185,0)</f>
        <v/>
      </c>
      <c r="X1185">
        <f>W1184*$G$55</f>
        <v/>
      </c>
      <c r="Y1185">
        <f>IF(Y1184&gt;1E-9,IF(Y1184*(1+$G$51)-MAX($B$9,0.01*Y1184+Y1184*$G$51)&gt;1E-9,Y1184*(1+$G$51)-MAX($B$9,0.01*Y1184+Y1184*$G$51),0),0)</f>
        <v/>
      </c>
      <c r="Z1185">
        <f>Y1184*$G$51</f>
        <v/>
      </c>
      <c r="AA1185">
        <f>IF(AA1184&gt;1E-9,IF(AA1184*(1+$G$52)-MAX($B$9,0.01*AA1184+AA1184*$G$52)&gt;1E-9,AA1184*(1+$G$52)-MAX($B$9,0.01*AA1184+AA1184*$G$52),0),0)</f>
        <v/>
      </c>
      <c r="AB1185">
        <f>AA1184*$G$52</f>
        <v/>
      </c>
      <c r="AC1185">
        <f>IF(AC1184&gt;1E-9,IF(AC1184*(1+$G$53)-MAX($B$9,0.01*AC1184+AC1184*$G$53)&gt;1E-9,AC1184*(1+$G$53)-MAX($B$9,0.01*AC1184+AC1184*$G$53),0),0)</f>
        <v/>
      </c>
      <c r="AD1185">
        <f>AC1184*$G$53</f>
        <v/>
      </c>
      <c r="AE1185">
        <f>IF(AE1184&gt;1E-9,IF(AE1184*(1+$G$54)-MAX($B$9,0.01*AE1184+AE1184*$G$54)&gt;1E-9,AE1184*(1+$G$54)-MAX($B$9,0.01*AE1184+AE1184*$G$54),0),0)</f>
        <v/>
      </c>
      <c r="AF1185">
        <f>AE1184*$G$54</f>
        <v/>
      </c>
      <c r="AG1185">
        <f>IF(AG1184&gt;1E-9,IF(AG1184*(1+$G$55)-MAX($B$9,0.01*AG1184+AG1184*$G$55)&gt;1E-9,AG1184*(1+$G$55)-MAX($B$9,0.01*AG1184+AG1184*$G$55),0),0)</f>
        <v/>
      </c>
      <c r="AH1185">
        <f>AG1184*$G$55</f>
        <v/>
      </c>
      <c r="AI1185">
        <f>G1185+K1185+O1185+S1185+W1185</f>
        <v/>
      </c>
      <c r="AJ1185">
        <f>AI1184+AK1185-AI1185</f>
        <v/>
      </c>
      <c r="AK1185">
        <f>H1185+L1185+P1185+T1185+X1185</f>
        <v/>
      </c>
      <c r="AL1185">
        <f>TEXT(EDATE($B$5,D1185-1),"mmm yyyy")</f>
        <v/>
      </c>
      <c r="AM1185">
        <f>AI1185</f>
        <v/>
      </c>
    </row>
    <row r="1186">
      <c r="D1186" t="n">
        <v>1125</v>
      </c>
      <c r="E1186">
        <f>IF(G1185&gt;0,MAX(0,G1185*(1+$G$51)-$H$51),0)</f>
        <v/>
      </c>
      <c r="F1186">
        <f>$B$6+IF($D1186=$B$8,$B$7,0)</f>
        <v/>
      </c>
      <c r="G1186">
        <f>IF(E1186-F1186&gt;1E-9,E1186-F1186,0)</f>
        <v/>
      </c>
      <c r="H1186">
        <f>G1185*$G$51</f>
        <v/>
      </c>
      <c r="I1186">
        <f>IF(K1185&gt;0,MAX(0,K1185*(1+$G$52)-$H$52),0)</f>
        <v/>
      </c>
      <c r="J1186">
        <f>MAX(0,F1186-E1186)</f>
        <v/>
      </c>
      <c r="K1186">
        <f>IF(I1186-J1186&gt;1E-9,I1186-J1186,0)</f>
        <v/>
      </c>
      <c r="L1186">
        <f>K1185*$G$52</f>
        <v/>
      </c>
      <c r="M1186">
        <f>IF(O1185&gt;0,MAX(0,O1185*(1+$G$53)-$H$53),0)</f>
        <v/>
      </c>
      <c r="N1186">
        <f>MAX(0,J1186-I1186)</f>
        <v/>
      </c>
      <c r="O1186">
        <f>IF(M1186-N1186&gt;1E-9,M1186-N1186,0)</f>
        <v/>
      </c>
      <c r="P1186">
        <f>O1185*$G$53</f>
        <v/>
      </c>
      <c r="Q1186">
        <f>IF(S1185&gt;0,MAX(0,S1185*(1+$G$54)-$H$54),0)</f>
        <v/>
      </c>
      <c r="R1186">
        <f>MAX(0,N1186-M1186)</f>
        <v/>
      </c>
      <c r="S1186">
        <f>IF(Q1186-R1186&gt;1E-9,Q1186-R1186,0)</f>
        <v/>
      </c>
      <c r="T1186">
        <f>S1185*$G$54</f>
        <v/>
      </c>
      <c r="U1186">
        <f>IF(W1185&gt;0,MAX(0,W1185*(1+$G$55)-$H$55),0)</f>
        <v/>
      </c>
      <c r="V1186">
        <f>MAX(0,R1186-Q1186)</f>
        <v/>
      </c>
      <c r="W1186">
        <f>IF(U1186-V1186&gt;1E-9,U1186-V1186,0)</f>
        <v/>
      </c>
      <c r="X1186">
        <f>W1185*$G$55</f>
        <v/>
      </c>
      <c r="Y1186">
        <f>IF(Y1185&gt;1E-9,IF(Y1185*(1+$G$51)-MAX($B$9,0.01*Y1185+Y1185*$G$51)&gt;1E-9,Y1185*(1+$G$51)-MAX($B$9,0.01*Y1185+Y1185*$G$51),0),0)</f>
        <v/>
      </c>
      <c r="Z1186">
        <f>Y1185*$G$51</f>
        <v/>
      </c>
      <c r="AA1186">
        <f>IF(AA1185&gt;1E-9,IF(AA1185*(1+$G$52)-MAX($B$9,0.01*AA1185+AA1185*$G$52)&gt;1E-9,AA1185*(1+$G$52)-MAX($B$9,0.01*AA1185+AA1185*$G$52),0),0)</f>
        <v/>
      </c>
      <c r="AB1186">
        <f>AA1185*$G$52</f>
        <v/>
      </c>
      <c r="AC1186">
        <f>IF(AC1185&gt;1E-9,IF(AC1185*(1+$G$53)-MAX($B$9,0.01*AC1185+AC1185*$G$53)&gt;1E-9,AC1185*(1+$G$53)-MAX($B$9,0.01*AC1185+AC1185*$G$53),0),0)</f>
        <v/>
      </c>
      <c r="AD1186">
        <f>AC1185*$G$53</f>
        <v/>
      </c>
      <c r="AE1186">
        <f>IF(AE1185&gt;1E-9,IF(AE1185*(1+$G$54)-MAX($B$9,0.01*AE1185+AE1185*$G$54)&gt;1E-9,AE1185*(1+$G$54)-MAX($B$9,0.01*AE1185+AE1185*$G$54),0),0)</f>
        <v/>
      </c>
      <c r="AF1186">
        <f>AE1185*$G$54</f>
        <v/>
      </c>
      <c r="AG1186">
        <f>IF(AG1185&gt;1E-9,IF(AG1185*(1+$G$55)-MAX($B$9,0.01*AG1185+AG1185*$G$55)&gt;1E-9,AG1185*(1+$G$55)-MAX($B$9,0.01*AG1185+AG1185*$G$55),0),0)</f>
        <v/>
      </c>
      <c r="AH1186">
        <f>AG1185*$G$55</f>
        <v/>
      </c>
      <c r="AI1186">
        <f>G1186+K1186+O1186+S1186+W1186</f>
        <v/>
      </c>
      <c r="AJ1186">
        <f>AI1185+AK1186-AI1186</f>
        <v/>
      </c>
      <c r="AK1186">
        <f>H1186+L1186+P1186+T1186+X1186</f>
        <v/>
      </c>
      <c r="AL1186">
        <f>TEXT(EDATE($B$5,D1186-1),"mmm yyyy")</f>
        <v/>
      </c>
      <c r="AM1186">
        <f>AI1186</f>
        <v/>
      </c>
    </row>
    <row r="1187">
      <c r="D1187" t="n">
        <v>1126</v>
      </c>
      <c r="E1187">
        <f>IF(G1186&gt;0,MAX(0,G1186*(1+$G$51)-$H$51),0)</f>
        <v/>
      </c>
      <c r="F1187">
        <f>$B$6+IF($D1187=$B$8,$B$7,0)</f>
        <v/>
      </c>
      <c r="G1187">
        <f>IF(E1187-F1187&gt;1E-9,E1187-F1187,0)</f>
        <v/>
      </c>
      <c r="H1187">
        <f>G1186*$G$51</f>
        <v/>
      </c>
      <c r="I1187">
        <f>IF(K1186&gt;0,MAX(0,K1186*(1+$G$52)-$H$52),0)</f>
        <v/>
      </c>
      <c r="J1187">
        <f>MAX(0,F1187-E1187)</f>
        <v/>
      </c>
      <c r="K1187">
        <f>IF(I1187-J1187&gt;1E-9,I1187-J1187,0)</f>
        <v/>
      </c>
      <c r="L1187">
        <f>K1186*$G$52</f>
        <v/>
      </c>
      <c r="M1187">
        <f>IF(O1186&gt;0,MAX(0,O1186*(1+$G$53)-$H$53),0)</f>
        <v/>
      </c>
      <c r="N1187">
        <f>MAX(0,J1187-I1187)</f>
        <v/>
      </c>
      <c r="O1187">
        <f>IF(M1187-N1187&gt;1E-9,M1187-N1187,0)</f>
        <v/>
      </c>
      <c r="P1187">
        <f>O1186*$G$53</f>
        <v/>
      </c>
      <c r="Q1187">
        <f>IF(S1186&gt;0,MAX(0,S1186*(1+$G$54)-$H$54),0)</f>
        <v/>
      </c>
      <c r="R1187">
        <f>MAX(0,N1187-M1187)</f>
        <v/>
      </c>
      <c r="S1187">
        <f>IF(Q1187-R1187&gt;1E-9,Q1187-R1187,0)</f>
        <v/>
      </c>
      <c r="T1187">
        <f>S1186*$G$54</f>
        <v/>
      </c>
      <c r="U1187">
        <f>IF(W1186&gt;0,MAX(0,W1186*(1+$G$55)-$H$55),0)</f>
        <v/>
      </c>
      <c r="V1187">
        <f>MAX(0,R1187-Q1187)</f>
        <v/>
      </c>
      <c r="W1187">
        <f>IF(U1187-V1187&gt;1E-9,U1187-V1187,0)</f>
        <v/>
      </c>
      <c r="X1187">
        <f>W1186*$G$55</f>
        <v/>
      </c>
      <c r="Y1187">
        <f>IF(Y1186&gt;1E-9,IF(Y1186*(1+$G$51)-MAX($B$9,0.01*Y1186+Y1186*$G$51)&gt;1E-9,Y1186*(1+$G$51)-MAX($B$9,0.01*Y1186+Y1186*$G$51),0),0)</f>
        <v/>
      </c>
      <c r="Z1187">
        <f>Y1186*$G$51</f>
        <v/>
      </c>
      <c r="AA1187">
        <f>IF(AA1186&gt;1E-9,IF(AA1186*(1+$G$52)-MAX($B$9,0.01*AA1186+AA1186*$G$52)&gt;1E-9,AA1186*(1+$G$52)-MAX($B$9,0.01*AA1186+AA1186*$G$52),0),0)</f>
        <v/>
      </c>
      <c r="AB1187">
        <f>AA1186*$G$52</f>
        <v/>
      </c>
      <c r="AC1187">
        <f>IF(AC1186&gt;1E-9,IF(AC1186*(1+$G$53)-MAX($B$9,0.01*AC1186+AC1186*$G$53)&gt;1E-9,AC1186*(1+$G$53)-MAX($B$9,0.01*AC1186+AC1186*$G$53),0),0)</f>
        <v/>
      </c>
      <c r="AD1187">
        <f>AC1186*$G$53</f>
        <v/>
      </c>
      <c r="AE1187">
        <f>IF(AE1186&gt;1E-9,IF(AE1186*(1+$G$54)-MAX($B$9,0.01*AE1186+AE1186*$G$54)&gt;1E-9,AE1186*(1+$G$54)-MAX($B$9,0.01*AE1186+AE1186*$G$54),0),0)</f>
        <v/>
      </c>
      <c r="AF1187">
        <f>AE1186*$G$54</f>
        <v/>
      </c>
      <c r="AG1187">
        <f>IF(AG1186&gt;1E-9,IF(AG1186*(1+$G$55)-MAX($B$9,0.01*AG1186+AG1186*$G$55)&gt;1E-9,AG1186*(1+$G$55)-MAX($B$9,0.01*AG1186+AG1186*$G$55),0),0)</f>
        <v/>
      </c>
      <c r="AH1187">
        <f>AG1186*$G$55</f>
        <v/>
      </c>
      <c r="AI1187">
        <f>G1187+K1187+O1187+S1187+W1187</f>
        <v/>
      </c>
      <c r="AJ1187">
        <f>AI1186+AK1187-AI1187</f>
        <v/>
      </c>
      <c r="AK1187">
        <f>H1187+L1187+P1187+T1187+X1187</f>
        <v/>
      </c>
      <c r="AL1187">
        <f>TEXT(EDATE($B$5,D1187-1),"mmm yyyy")</f>
        <v/>
      </c>
      <c r="AM1187">
        <f>AI1187</f>
        <v/>
      </c>
    </row>
    <row r="1188">
      <c r="D1188" t="n">
        <v>1127</v>
      </c>
      <c r="E1188">
        <f>IF(G1187&gt;0,MAX(0,G1187*(1+$G$51)-$H$51),0)</f>
        <v/>
      </c>
      <c r="F1188">
        <f>$B$6+IF($D1188=$B$8,$B$7,0)</f>
        <v/>
      </c>
      <c r="G1188">
        <f>IF(E1188-F1188&gt;1E-9,E1188-F1188,0)</f>
        <v/>
      </c>
      <c r="H1188">
        <f>G1187*$G$51</f>
        <v/>
      </c>
      <c r="I1188">
        <f>IF(K1187&gt;0,MAX(0,K1187*(1+$G$52)-$H$52),0)</f>
        <v/>
      </c>
      <c r="J1188">
        <f>MAX(0,F1188-E1188)</f>
        <v/>
      </c>
      <c r="K1188">
        <f>IF(I1188-J1188&gt;1E-9,I1188-J1188,0)</f>
        <v/>
      </c>
      <c r="L1188">
        <f>K1187*$G$52</f>
        <v/>
      </c>
      <c r="M1188">
        <f>IF(O1187&gt;0,MAX(0,O1187*(1+$G$53)-$H$53),0)</f>
        <v/>
      </c>
      <c r="N1188">
        <f>MAX(0,J1188-I1188)</f>
        <v/>
      </c>
      <c r="O1188">
        <f>IF(M1188-N1188&gt;1E-9,M1188-N1188,0)</f>
        <v/>
      </c>
      <c r="P1188">
        <f>O1187*$G$53</f>
        <v/>
      </c>
      <c r="Q1188">
        <f>IF(S1187&gt;0,MAX(0,S1187*(1+$G$54)-$H$54),0)</f>
        <v/>
      </c>
      <c r="R1188">
        <f>MAX(0,N1188-M1188)</f>
        <v/>
      </c>
      <c r="S1188">
        <f>IF(Q1188-R1188&gt;1E-9,Q1188-R1188,0)</f>
        <v/>
      </c>
      <c r="T1188">
        <f>S1187*$G$54</f>
        <v/>
      </c>
      <c r="U1188">
        <f>IF(W1187&gt;0,MAX(0,W1187*(1+$G$55)-$H$55),0)</f>
        <v/>
      </c>
      <c r="V1188">
        <f>MAX(0,R1188-Q1188)</f>
        <v/>
      </c>
      <c r="W1188">
        <f>IF(U1188-V1188&gt;1E-9,U1188-V1188,0)</f>
        <v/>
      </c>
      <c r="X1188">
        <f>W1187*$G$55</f>
        <v/>
      </c>
      <c r="Y1188">
        <f>IF(Y1187&gt;1E-9,IF(Y1187*(1+$G$51)-MAX($B$9,0.01*Y1187+Y1187*$G$51)&gt;1E-9,Y1187*(1+$G$51)-MAX($B$9,0.01*Y1187+Y1187*$G$51),0),0)</f>
        <v/>
      </c>
      <c r="Z1188">
        <f>Y1187*$G$51</f>
        <v/>
      </c>
      <c r="AA1188">
        <f>IF(AA1187&gt;1E-9,IF(AA1187*(1+$G$52)-MAX($B$9,0.01*AA1187+AA1187*$G$52)&gt;1E-9,AA1187*(1+$G$52)-MAX($B$9,0.01*AA1187+AA1187*$G$52),0),0)</f>
        <v/>
      </c>
      <c r="AB1188">
        <f>AA1187*$G$52</f>
        <v/>
      </c>
      <c r="AC1188">
        <f>IF(AC1187&gt;1E-9,IF(AC1187*(1+$G$53)-MAX($B$9,0.01*AC1187+AC1187*$G$53)&gt;1E-9,AC1187*(1+$G$53)-MAX($B$9,0.01*AC1187+AC1187*$G$53),0),0)</f>
        <v/>
      </c>
      <c r="AD1188">
        <f>AC1187*$G$53</f>
        <v/>
      </c>
      <c r="AE1188">
        <f>IF(AE1187&gt;1E-9,IF(AE1187*(1+$G$54)-MAX($B$9,0.01*AE1187+AE1187*$G$54)&gt;1E-9,AE1187*(1+$G$54)-MAX($B$9,0.01*AE1187+AE1187*$G$54),0),0)</f>
        <v/>
      </c>
      <c r="AF1188">
        <f>AE1187*$G$54</f>
        <v/>
      </c>
      <c r="AG1188">
        <f>IF(AG1187&gt;1E-9,IF(AG1187*(1+$G$55)-MAX($B$9,0.01*AG1187+AG1187*$G$55)&gt;1E-9,AG1187*(1+$G$55)-MAX($B$9,0.01*AG1187+AG1187*$G$55),0),0)</f>
        <v/>
      </c>
      <c r="AH1188">
        <f>AG1187*$G$55</f>
        <v/>
      </c>
      <c r="AI1188">
        <f>G1188+K1188+O1188+S1188+W1188</f>
        <v/>
      </c>
      <c r="AJ1188">
        <f>AI1187+AK1188-AI1188</f>
        <v/>
      </c>
      <c r="AK1188">
        <f>H1188+L1188+P1188+T1188+X1188</f>
        <v/>
      </c>
      <c r="AL1188">
        <f>TEXT(EDATE($B$5,D1188-1),"mmm yyyy")</f>
        <v/>
      </c>
      <c r="AM1188">
        <f>AI1188</f>
        <v/>
      </c>
    </row>
    <row r="1189">
      <c r="D1189" t="n">
        <v>1128</v>
      </c>
      <c r="E1189">
        <f>IF(G1188&gt;0,MAX(0,G1188*(1+$G$51)-$H$51),0)</f>
        <v/>
      </c>
      <c r="F1189">
        <f>$B$6+IF($D1189=$B$8,$B$7,0)</f>
        <v/>
      </c>
      <c r="G1189">
        <f>IF(E1189-F1189&gt;1E-9,E1189-F1189,0)</f>
        <v/>
      </c>
      <c r="H1189">
        <f>G1188*$G$51</f>
        <v/>
      </c>
      <c r="I1189">
        <f>IF(K1188&gt;0,MAX(0,K1188*(1+$G$52)-$H$52),0)</f>
        <v/>
      </c>
      <c r="J1189">
        <f>MAX(0,F1189-E1189)</f>
        <v/>
      </c>
      <c r="K1189">
        <f>IF(I1189-J1189&gt;1E-9,I1189-J1189,0)</f>
        <v/>
      </c>
      <c r="L1189">
        <f>K1188*$G$52</f>
        <v/>
      </c>
      <c r="M1189">
        <f>IF(O1188&gt;0,MAX(0,O1188*(1+$G$53)-$H$53),0)</f>
        <v/>
      </c>
      <c r="N1189">
        <f>MAX(0,J1189-I1189)</f>
        <v/>
      </c>
      <c r="O1189">
        <f>IF(M1189-N1189&gt;1E-9,M1189-N1189,0)</f>
        <v/>
      </c>
      <c r="P1189">
        <f>O1188*$G$53</f>
        <v/>
      </c>
      <c r="Q1189">
        <f>IF(S1188&gt;0,MAX(0,S1188*(1+$G$54)-$H$54),0)</f>
        <v/>
      </c>
      <c r="R1189">
        <f>MAX(0,N1189-M1189)</f>
        <v/>
      </c>
      <c r="S1189">
        <f>IF(Q1189-R1189&gt;1E-9,Q1189-R1189,0)</f>
        <v/>
      </c>
      <c r="T1189">
        <f>S1188*$G$54</f>
        <v/>
      </c>
      <c r="U1189">
        <f>IF(W1188&gt;0,MAX(0,W1188*(1+$G$55)-$H$55),0)</f>
        <v/>
      </c>
      <c r="V1189">
        <f>MAX(0,R1189-Q1189)</f>
        <v/>
      </c>
      <c r="W1189">
        <f>IF(U1189-V1189&gt;1E-9,U1189-V1189,0)</f>
        <v/>
      </c>
      <c r="X1189">
        <f>W1188*$G$55</f>
        <v/>
      </c>
      <c r="Y1189">
        <f>IF(Y1188&gt;1E-9,IF(Y1188*(1+$G$51)-MAX($B$9,0.01*Y1188+Y1188*$G$51)&gt;1E-9,Y1188*(1+$G$51)-MAX($B$9,0.01*Y1188+Y1188*$G$51),0),0)</f>
        <v/>
      </c>
      <c r="Z1189">
        <f>Y1188*$G$51</f>
        <v/>
      </c>
      <c r="AA1189">
        <f>IF(AA1188&gt;1E-9,IF(AA1188*(1+$G$52)-MAX($B$9,0.01*AA1188+AA1188*$G$52)&gt;1E-9,AA1188*(1+$G$52)-MAX($B$9,0.01*AA1188+AA1188*$G$52),0),0)</f>
        <v/>
      </c>
      <c r="AB1189">
        <f>AA1188*$G$52</f>
        <v/>
      </c>
      <c r="AC1189">
        <f>IF(AC1188&gt;1E-9,IF(AC1188*(1+$G$53)-MAX($B$9,0.01*AC1188+AC1188*$G$53)&gt;1E-9,AC1188*(1+$G$53)-MAX($B$9,0.01*AC1188+AC1188*$G$53),0),0)</f>
        <v/>
      </c>
      <c r="AD1189">
        <f>AC1188*$G$53</f>
        <v/>
      </c>
      <c r="AE1189">
        <f>IF(AE1188&gt;1E-9,IF(AE1188*(1+$G$54)-MAX($B$9,0.01*AE1188+AE1188*$G$54)&gt;1E-9,AE1188*(1+$G$54)-MAX($B$9,0.01*AE1188+AE1188*$G$54),0),0)</f>
        <v/>
      </c>
      <c r="AF1189">
        <f>AE1188*$G$54</f>
        <v/>
      </c>
      <c r="AG1189">
        <f>IF(AG1188&gt;1E-9,IF(AG1188*(1+$G$55)-MAX($B$9,0.01*AG1188+AG1188*$G$55)&gt;1E-9,AG1188*(1+$G$55)-MAX($B$9,0.01*AG1188+AG1188*$G$55),0),0)</f>
        <v/>
      </c>
      <c r="AH1189">
        <f>AG1188*$G$55</f>
        <v/>
      </c>
      <c r="AI1189">
        <f>G1189+K1189+O1189+S1189+W1189</f>
        <v/>
      </c>
      <c r="AJ1189">
        <f>AI1188+AK1189-AI1189</f>
        <v/>
      </c>
      <c r="AK1189">
        <f>H1189+L1189+P1189+T1189+X1189</f>
        <v/>
      </c>
      <c r="AL1189">
        <f>TEXT(EDATE($B$5,D1189-1),"mmm yyyy")</f>
        <v/>
      </c>
      <c r="AM1189">
        <f>AI1189</f>
        <v/>
      </c>
    </row>
    <row r="1190">
      <c r="D1190" t="n">
        <v>1129</v>
      </c>
      <c r="E1190">
        <f>IF(G1189&gt;0,MAX(0,G1189*(1+$G$51)-$H$51),0)</f>
        <v/>
      </c>
      <c r="F1190">
        <f>$B$6+IF($D1190=$B$8,$B$7,0)</f>
        <v/>
      </c>
      <c r="G1190">
        <f>IF(E1190-F1190&gt;1E-9,E1190-F1190,0)</f>
        <v/>
      </c>
      <c r="H1190">
        <f>G1189*$G$51</f>
        <v/>
      </c>
      <c r="I1190">
        <f>IF(K1189&gt;0,MAX(0,K1189*(1+$G$52)-$H$52),0)</f>
        <v/>
      </c>
      <c r="J1190">
        <f>MAX(0,F1190-E1190)</f>
        <v/>
      </c>
      <c r="K1190">
        <f>IF(I1190-J1190&gt;1E-9,I1190-J1190,0)</f>
        <v/>
      </c>
      <c r="L1190">
        <f>K1189*$G$52</f>
        <v/>
      </c>
      <c r="M1190">
        <f>IF(O1189&gt;0,MAX(0,O1189*(1+$G$53)-$H$53),0)</f>
        <v/>
      </c>
      <c r="N1190">
        <f>MAX(0,J1190-I1190)</f>
        <v/>
      </c>
      <c r="O1190">
        <f>IF(M1190-N1190&gt;1E-9,M1190-N1190,0)</f>
        <v/>
      </c>
      <c r="P1190">
        <f>O1189*$G$53</f>
        <v/>
      </c>
      <c r="Q1190">
        <f>IF(S1189&gt;0,MAX(0,S1189*(1+$G$54)-$H$54),0)</f>
        <v/>
      </c>
      <c r="R1190">
        <f>MAX(0,N1190-M1190)</f>
        <v/>
      </c>
      <c r="S1190">
        <f>IF(Q1190-R1190&gt;1E-9,Q1190-R1190,0)</f>
        <v/>
      </c>
      <c r="T1190">
        <f>S1189*$G$54</f>
        <v/>
      </c>
      <c r="U1190">
        <f>IF(W1189&gt;0,MAX(0,W1189*(1+$G$55)-$H$55),0)</f>
        <v/>
      </c>
      <c r="V1190">
        <f>MAX(0,R1190-Q1190)</f>
        <v/>
      </c>
      <c r="W1190">
        <f>IF(U1190-V1190&gt;1E-9,U1190-V1190,0)</f>
        <v/>
      </c>
      <c r="X1190">
        <f>W1189*$G$55</f>
        <v/>
      </c>
      <c r="Y1190">
        <f>IF(Y1189&gt;1E-9,IF(Y1189*(1+$G$51)-MAX($B$9,0.01*Y1189+Y1189*$G$51)&gt;1E-9,Y1189*(1+$G$51)-MAX($B$9,0.01*Y1189+Y1189*$G$51),0),0)</f>
        <v/>
      </c>
      <c r="Z1190">
        <f>Y1189*$G$51</f>
        <v/>
      </c>
      <c r="AA1190">
        <f>IF(AA1189&gt;1E-9,IF(AA1189*(1+$G$52)-MAX($B$9,0.01*AA1189+AA1189*$G$52)&gt;1E-9,AA1189*(1+$G$52)-MAX($B$9,0.01*AA1189+AA1189*$G$52),0),0)</f>
        <v/>
      </c>
      <c r="AB1190">
        <f>AA1189*$G$52</f>
        <v/>
      </c>
      <c r="AC1190">
        <f>IF(AC1189&gt;1E-9,IF(AC1189*(1+$G$53)-MAX($B$9,0.01*AC1189+AC1189*$G$53)&gt;1E-9,AC1189*(1+$G$53)-MAX($B$9,0.01*AC1189+AC1189*$G$53),0),0)</f>
        <v/>
      </c>
      <c r="AD1190">
        <f>AC1189*$G$53</f>
        <v/>
      </c>
      <c r="AE1190">
        <f>IF(AE1189&gt;1E-9,IF(AE1189*(1+$G$54)-MAX($B$9,0.01*AE1189+AE1189*$G$54)&gt;1E-9,AE1189*(1+$G$54)-MAX($B$9,0.01*AE1189+AE1189*$G$54),0),0)</f>
        <v/>
      </c>
      <c r="AF1190">
        <f>AE1189*$G$54</f>
        <v/>
      </c>
      <c r="AG1190">
        <f>IF(AG1189&gt;1E-9,IF(AG1189*(1+$G$55)-MAX($B$9,0.01*AG1189+AG1189*$G$55)&gt;1E-9,AG1189*(1+$G$55)-MAX($B$9,0.01*AG1189+AG1189*$G$55),0),0)</f>
        <v/>
      </c>
      <c r="AH1190">
        <f>AG1189*$G$55</f>
        <v/>
      </c>
      <c r="AI1190">
        <f>G1190+K1190+O1190+S1190+W1190</f>
        <v/>
      </c>
      <c r="AJ1190">
        <f>AI1189+AK1190-AI1190</f>
        <v/>
      </c>
      <c r="AK1190">
        <f>H1190+L1190+P1190+T1190+X1190</f>
        <v/>
      </c>
      <c r="AL1190">
        <f>TEXT(EDATE($B$5,D1190-1),"mmm yyyy")</f>
        <v/>
      </c>
      <c r="AM1190">
        <f>AI1190</f>
        <v/>
      </c>
    </row>
    <row r="1191">
      <c r="D1191" t="n">
        <v>1130</v>
      </c>
      <c r="E1191">
        <f>IF(G1190&gt;0,MAX(0,G1190*(1+$G$51)-$H$51),0)</f>
        <v/>
      </c>
      <c r="F1191">
        <f>$B$6+IF($D1191=$B$8,$B$7,0)</f>
        <v/>
      </c>
      <c r="G1191">
        <f>IF(E1191-F1191&gt;1E-9,E1191-F1191,0)</f>
        <v/>
      </c>
      <c r="H1191">
        <f>G1190*$G$51</f>
        <v/>
      </c>
      <c r="I1191">
        <f>IF(K1190&gt;0,MAX(0,K1190*(1+$G$52)-$H$52),0)</f>
        <v/>
      </c>
      <c r="J1191">
        <f>MAX(0,F1191-E1191)</f>
        <v/>
      </c>
      <c r="K1191">
        <f>IF(I1191-J1191&gt;1E-9,I1191-J1191,0)</f>
        <v/>
      </c>
      <c r="L1191">
        <f>K1190*$G$52</f>
        <v/>
      </c>
      <c r="M1191">
        <f>IF(O1190&gt;0,MAX(0,O1190*(1+$G$53)-$H$53),0)</f>
        <v/>
      </c>
      <c r="N1191">
        <f>MAX(0,J1191-I1191)</f>
        <v/>
      </c>
      <c r="O1191">
        <f>IF(M1191-N1191&gt;1E-9,M1191-N1191,0)</f>
        <v/>
      </c>
      <c r="P1191">
        <f>O1190*$G$53</f>
        <v/>
      </c>
      <c r="Q1191">
        <f>IF(S1190&gt;0,MAX(0,S1190*(1+$G$54)-$H$54),0)</f>
        <v/>
      </c>
      <c r="R1191">
        <f>MAX(0,N1191-M1191)</f>
        <v/>
      </c>
      <c r="S1191">
        <f>IF(Q1191-R1191&gt;1E-9,Q1191-R1191,0)</f>
        <v/>
      </c>
      <c r="T1191">
        <f>S1190*$G$54</f>
        <v/>
      </c>
      <c r="U1191">
        <f>IF(W1190&gt;0,MAX(0,W1190*(1+$G$55)-$H$55),0)</f>
        <v/>
      </c>
      <c r="V1191">
        <f>MAX(0,R1191-Q1191)</f>
        <v/>
      </c>
      <c r="W1191">
        <f>IF(U1191-V1191&gt;1E-9,U1191-V1191,0)</f>
        <v/>
      </c>
      <c r="X1191">
        <f>W1190*$G$55</f>
        <v/>
      </c>
      <c r="Y1191">
        <f>IF(Y1190&gt;1E-9,IF(Y1190*(1+$G$51)-MAX($B$9,0.01*Y1190+Y1190*$G$51)&gt;1E-9,Y1190*(1+$G$51)-MAX($B$9,0.01*Y1190+Y1190*$G$51),0),0)</f>
        <v/>
      </c>
      <c r="Z1191">
        <f>Y1190*$G$51</f>
        <v/>
      </c>
      <c r="AA1191">
        <f>IF(AA1190&gt;1E-9,IF(AA1190*(1+$G$52)-MAX($B$9,0.01*AA1190+AA1190*$G$52)&gt;1E-9,AA1190*(1+$G$52)-MAX($B$9,0.01*AA1190+AA1190*$G$52),0),0)</f>
        <v/>
      </c>
      <c r="AB1191">
        <f>AA1190*$G$52</f>
        <v/>
      </c>
      <c r="AC1191">
        <f>IF(AC1190&gt;1E-9,IF(AC1190*(1+$G$53)-MAX($B$9,0.01*AC1190+AC1190*$G$53)&gt;1E-9,AC1190*(1+$G$53)-MAX($B$9,0.01*AC1190+AC1190*$G$53),0),0)</f>
        <v/>
      </c>
      <c r="AD1191">
        <f>AC1190*$G$53</f>
        <v/>
      </c>
      <c r="AE1191">
        <f>IF(AE1190&gt;1E-9,IF(AE1190*(1+$G$54)-MAX($B$9,0.01*AE1190+AE1190*$G$54)&gt;1E-9,AE1190*(1+$G$54)-MAX($B$9,0.01*AE1190+AE1190*$G$54),0),0)</f>
        <v/>
      </c>
      <c r="AF1191">
        <f>AE1190*$G$54</f>
        <v/>
      </c>
      <c r="AG1191">
        <f>IF(AG1190&gt;1E-9,IF(AG1190*(1+$G$55)-MAX($B$9,0.01*AG1190+AG1190*$G$55)&gt;1E-9,AG1190*(1+$G$55)-MAX($B$9,0.01*AG1190+AG1190*$G$55),0),0)</f>
        <v/>
      </c>
      <c r="AH1191">
        <f>AG1190*$G$55</f>
        <v/>
      </c>
      <c r="AI1191">
        <f>G1191+K1191+O1191+S1191+W1191</f>
        <v/>
      </c>
      <c r="AJ1191">
        <f>AI1190+AK1191-AI1191</f>
        <v/>
      </c>
      <c r="AK1191">
        <f>H1191+L1191+P1191+T1191+X1191</f>
        <v/>
      </c>
      <c r="AL1191">
        <f>TEXT(EDATE($B$5,D1191-1),"mmm yyyy")</f>
        <v/>
      </c>
      <c r="AM1191">
        <f>AI1191</f>
        <v/>
      </c>
    </row>
    <row r="1192">
      <c r="D1192" t="n">
        <v>1131</v>
      </c>
      <c r="E1192">
        <f>IF(G1191&gt;0,MAX(0,G1191*(1+$G$51)-$H$51),0)</f>
        <v/>
      </c>
      <c r="F1192">
        <f>$B$6+IF($D1192=$B$8,$B$7,0)</f>
        <v/>
      </c>
      <c r="G1192">
        <f>IF(E1192-F1192&gt;1E-9,E1192-F1192,0)</f>
        <v/>
      </c>
      <c r="H1192">
        <f>G1191*$G$51</f>
        <v/>
      </c>
      <c r="I1192">
        <f>IF(K1191&gt;0,MAX(0,K1191*(1+$G$52)-$H$52),0)</f>
        <v/>
      </c>
      <c r="J1192">
        <f>MAX(0,F1192-E1192)</f>
        <v/>
      </c>
      <c r="K1192">
        <f>IF(I1192-J1192&gt;1E-9,I1192-J1192,0)</f>
        <v/>
      </c>
      <c r="L1192">
        <f>K1191*$G$52</f>
        <v/>
      </c>
      <c r="M1192">
        <f>IF(O1191&gt;0,MAX(0,O1191*(1+$G$53)-$H$53),0)</f>
        <v/>
      </c>
      <c r="N1192">
        <f>MAX(0,J1192-I1192)</f>
        <v/>
      </c>
      <c r="O1192">
        <f>IF(M1192-N1192&gt;1E-9,M1192-N1192,0)</f>
        <v/>
      </c>
      <c r="P1192">
        <f>O1191*$G$53</f>
        <v/>
      </c>
      <c r="Q1192">
        <f>IF(S1191&gt;0,MAX(0,S1191*(1+$G$54)-$H$54),0)</f>
        <v/>
      </c>
      <c r="R1192">
        <f>MAX(0,N1192-M1192)</f>
        <v/>
      </c>
      <c r="S1192">
        <f>IF(Q1192-R1192&gt;1E-9,Q1192-R1192,0)</f>
        <v/>
      </c>
      <c r="T1192">
        <f>S1191*$G$54</f>
        <v/>
      </c>
      <c r="U1192">
        <f>IF(W1191&gt;0,MAX(0,W1191*(1+$G$55)-$H$55),0)</f>
        <v/>
      </c>
      <c r="V1192">
        <f>MAX(0,R1192-Q1192)</f>
        <v/>
      </c>
      <c r="W1192">
        <f>IF(U1192-V1192&gt;1E-9,U1192-V1192,0)</f>
        <v/>
      </c>
      <c r="X1192">
        <f>W1191*$G$55</f>
        <v/>
      </c>
      <c r="Y1192">
        <f>IF(Y1191&gt;1E-9,IF(Y1191*(1+$G$51)-MAX($B$9,0.01*Y1191+Y1191*$G$51)&gt;1E-9,Y1191*(1+$G$51)-MAX($B$9,0.01*Y1191+Y1191*$G$51),0),0)</f>
        <v/>
      </c>
      <c r="Z1192">
        <f>Y1191*$G$51</f>
        <v/>
      </c>
      <c r="AA1192">
        <f>IF(AA1191&gt;1E-9,IF(AA1191*(1+$G$52)-MAX($B$9,0.01*AA1191+AA1191*$G$52)&gt;1E-9,AA1191*(1+$G$52)-MAX($B$9,0.01*AA1191+AA1191*$G$52),0),0)</f>
        <v/>
      </c>
      <c r="AB1192">
        <f>AA1191*$G$52</f>
        <v/>
      </c>
      <c r="AC1192">
        <f>IF(AC1191&gt;1E-9,IF(AC1191*(1+$G$53)-MAX($B$9,0.01*AC1191+AC1191*$G$53)&gt;1E-9,AC1191*(1+$G$53)-MAX($B$9,0.01*AC1191+AC1191*$G$53),0),0)</f>
        <v/>
      </c>
      <c r="AD1192">
        <f>AC1191*$G$53</f>
        <v/>
      </c>
      <c r="AE1192">
        <f>IF(AE1191&gt;1E-9,IF(AE1191*(1+$G$54)-MAX($B$9,0.01*AE1191+AE1191*$G$54)&gt;1E-9,AE1191*(1+$G$54)-MAX($B$9,0.01*AE1191+AE1191*$G$54),0),0)</f>
        <v/>
      </c>
      <c r="AF1192">
        <f>AE1191*$G$54</f>
        <v/>
      </c>
      <c r="AG1192">
        <f>IF(AG1191&gt;1E-9,IF(AG1191*(1+$G$55)-MAX($B$9,0.01*AG1191+AG1191*$G$55)&gt;1E-9,AG1191*(1+$G$55)-MAX($B$9,0.01*AG1191+AG1191*$G$55),0),0)</f>
        <v/>
      </c>
      <c r="AH1192">
        <f>AG1191*$G$55</f>
        <v/>
      </c>
      <c r="AI1192">
        <f>G1192+K1192+O1192+S1192+W1192</f>
        <v/>
      </c>
      <c r="AJ1192">
        <f>AI1191+AK1192-AI1192</f>
        <v/>
      </c>
      <c r="AK1192">
        <f>H1192+L1192+P1192+T1192+X1192</f>
        <v/>
      </c>
      <c r="AL1192">
        <f>TEXT(EDATE($B$5,D1192-1),"mmm yyyy")</f>
        <v/>
      </c>
      <c r="AM1192">
        <f>AI1192</f>
        <v/>
      </c>
    </row>
    <row r="1193">
      <c r="D1193" t="n">
        <v>1132</v>
      </c>
      <c r="E1193">
        <f>IF(G1192&gt;0,MAX(0,G1192*(1+$G$51)-$H$51),0)</f>
        <v/>
      </c>
      <c r="F1193">
        <f>$B$6+IF($D1193=$B$8,$B$7,0)</f>
        <v/>
      </c>
      <c r="G1193">
        <f>IF(E1193-F1193&gt;1E-9,E1193-F1193,0)</f>
        <v/>
      </c>
      <c r="H1193">
        <f>G1192*$G$51</f>
        <v/>
      </c>
      <c r="I1193">
        <f>IF(K1192&gt;0,MAX(0,K1192*(1+$G$52)-$H$52),0)</f>
        <v/>
      </c>
      <c r="J1193">
        <f>MAX(0,F1193-E1193)</f>
        <v/>
      </c>
      <c r="K1193">
        <f>IF(I1193-J1193&gt;1E-9,I1193-J1193,0)</f>
        <v/>
      </c>
      <c r="L1193">
        <f>K1192*$G$52</f>
        <v/>
      </c>
      <c r="M1193">
        <f>IF(O1192&gt;0,MAX(0,O1192*(1+$G$53)-$H$53),0)</f>
        <v/>
      </c>
      <c r="N1193">
        <f>MAX(0,J1193-I1193)</f>
        <v/>
      </c>
      <c r="O1193">
        <f>IF(M1193-N1193&gt;1E-9,M1193-N1193,0)</f>
        <v/>
      </c>
      <c r="P1193">
        <f>O1192*$G$53</f>
        <v/>
      </c>
      <c r="Q1193">
        <f>IF(S1192&gt;0,MAX(0,S1192*(1+$G$54)-$H$54),0)</f>
        <v/>
      </c>
      <c r="R1193">
        <f>MAX(0,N1193-M1193)</f>
        <v/>
      </c>
      <c r="S1193">
        <f>IF(Q1193-R1193&gt;1E-9,Q1193-R1193,0)</f>
        <v/>
      </c>
      <c r="T1193">
        <f>S1192*$G$54</f>
        <v/>
      </c>
      <c r="U1193">
        <f>IF(W1192&gt;0,MAX(0,W1192*(1+$G$55)-$H$55),0)</f>
        <v/>
      </c>
      <c r="V1193">
        <f>MAX(0,R1193-Q1193)</f>
        <v/>
      </c>
      <c r="W1193">
        <f>IF(U1193-V1193&gt;1E-9,U1193-V1193,0)</f>
        <v/>
      </c>
      <c r="X1193">
        <f>W1192*$G$55</f>
        <v/>
      </c>
      <c r="Y1193">
        <f>IF(Y1192&gt;1E-9,IF(Y1192*(1+$G$51)-MAX($B$9,0.01*Y1192+Y1192*$G$51)&gt;1E-9,Y1192*(1+$G$51)-MAX($B$9,0.01*Y1192+Y1192*$G$51),0),0)</f>
        <v/>
      </c>
      <c r="Z1193">
        <f>Y1192*$G$51</f>
        <v/>
      </c>
      <c r="AA1193">
        <f>IF(AA1192&gt;1E-9,IF(AA1192*(1+$G$52)-MAX($B$9,0.01*AA1192+AA1192*$G$52)&gt;1E-9,AA1192*(1+$G$52)-MAX($B$9,0.01*AA1192+AA1192*$G$52),0),0)</f>
        <v/>
      </c>
      <c r="AB1193">
        <f>AA1192*$G$52</f>
        <v/>
      </c>
      <c r="AC1193">
        <f>IF(AC1192&gt;1E-9,IF(AC1192*(1+$G$53)-MAX($B$9,0.01*AC1192+AC1192*$G$53)&gt;1E-9,AC1192*(1+$G$53)-MAX($B$9,0.01*AC1192+AC1192*$G$53),0),0)</f>
        <v/>
      </c>
      <c r="AD1193">
        <f>AC1192*$G$53</f>
        <v/>
      </c>
      <c r="AE1193">
        <f>IF(AE1192&gt;1E-9,IF(AE1192*(1+$G$54)-MAX($B$9,0.01*AE1192+AE1192*$G$54)&gt;1E-9,AE1192*(1+$G$54)-MAX($B$9,0.01*AE1192+AE1192*$G$54),0),0)</f>
        <v/>
      </c>
      <c r="AF1193">
        <f>AE1192*$G$54</f>
        <v/>
      </c>
      <c r="AG1193">
        <f>IF(AG1192&gt;1E-9,IF(AG1192*(1+$G$55)-MAX($B$9,0.01*AG1192+AG1192*$G$55)&gt;1E-9,AG1192*(1+$G$55)-MAX($B$9,0.01*AG1192+AG1192*$G$55),0),0)</f>
        <v/>
      </c>
      <c r="AH1193">
        <f>AG1192*$G$55</f>
        <v/>
      </c>
      <c r="AI1193">
        <f>G1193+K1193+O1193+S1193+W1193</f>
        <v/>
      </c>
      <c r="AJ1193">
        <f>AI1192+AK1193-AI1193</f>
        <v/>
      </c>
      <c r="AK1193">
        <f>H1193+L1193+P1193+T1193+X1193</f>
        <v/>
      </c>
      <c r="AL1193">
        <f>TEXT(EDATE($B$5,D1193-1),"mmm yyyy")</f>
        <v/>
      </c>
      <c r="AM1193">
        <f>AI1193</f>
        <v/>
      </c>
    </row>
    <row r="1194">
      <c r="D1194" t="n">
        <v>1133</v>
      </c>
      <c r="E1194">
        <f>IF(G1193&gt;0,MAX(0,G1193*(1+$G$51)-$H$51),0)</f>
        <v/>
      </c>
      <c r="F1194">
        <f>$B$6+IF($D1194=$B$8,$B$7,0)</f>
        <v/>
      </c>
      <c r="G1194">
        <f>IF(E1194-F1194&gt;1E-9,E1194-F1194,0)</f>
        <v/>
      </c>
      <c r="H1194">
        <f>G1193*$G$51</f>
        <v/>
      </c>
      <c r="I1194">
        <f>IF(K1193&gt;0,MAX(0,K1193*(1+$G$52)-$H$52),0)</f>
        <v/>
      </c>
      <c r="J1194">
        <f>MAX(0,F1194-E1194)</f>
        <v/>
      </c>
      <c r="K1194">
        <f>IF(I1194-J1194&gt;1E-9,I1194-J1194,0)</f>
        <v/>
      </c>
      <c r="L1194">
        <f>K1193*$G$52</f>
        <v/>
      </c>
      <c r="M1194">
        <f>IF(O1193&gt;0,MAX(0,O1193*(1+$G$53)-$H$53),0)</f>
        <v/>
      </c>
      <c r="N1194">
        <f>MAX(0,J1194-I1194)</f>
        <v/>
      </c>
      <c r="O1194">
        <f>IF(M1194-N1194&gt;1E-9,M1194-N1194,0)</f>
        <v/>
      </c>
      <c r="P1194">
        <f>O1193*$G$53</f>
        <v/>
      </c>
      <c r="Q1194">
        <f>IF(S1193&gt;0,MAX(0,S1193*(1+$G$54)-$H$54),0)</f>
        <v/>
      </c>
      <c r="R1194">
        <f>MAX(0,N1194-M1194)</f>
        <v/>
      </c>
      <c r="S1194">
        <f>IF(Q1194-R1194&gt;1E-9,Q1194-R1194,0)</f>
        <v/>
      </c>
      <c r="T1194">
        <f>S1193*$G$54</f>
        <v/>
      </c>
      <c r="U1194">
        <f>IF(W1193&gt;0,MAX(0,W1193*(1+$G$55)-$H$55),0)</f>
        <v/>
      </c>
      <c r="V1194">
        <f>MAX(0,R1194-Q1194)</f>
        <v/>
      </c>
      <c r="W1194">
        <f>IF(U1194-V1194&gt;1E-9,U1194-V1194,0)</f>
        <v/>
      </c>
      <c r="X1194">
        <f>W1193*$G$55</f>
        <v/>
      </c>
      <c r="Y1194">
        <f>IF(Y1193&gt;1E-9,IF(Y1193*(1+$G$51)-MAX($B$9,0.01*Y1193+Y1193*$G$51)&gt;1E-9,Y1193*(1+$G$51)-MAX($B$9,0.01*Y1193+Y1193*$G$51),0),0)</f>
        <v/>
      </c>
      <c r="Z1194">
        <f>Y1193*$G$51</f>
        <v/>
      </c>
      <c r="AA1194">
        <f>IF(AA1193&gt;1E-9,IF(AA1193*(1+$G$52)-MAX($B$9,0.01*AA1193+AA1193*$G$52)&gt;1E-9,AA1193*(1+$G$52)-MAX($B$9,0.01*AA1193+AA1193*$G$52),0),0)</f>
        <v/>
      </c>
      <c r="AB1194">
        <f>AA1193*$G$52</f>
        <v/>
      </c>
      <c r="AC1194">
        <f>IF(AC1193&gt;1E-9,IF(AC1193*(1+$G$53)-MAX($B$9,0.01*AC1193+AC1193*$G$53)&gt;1E-9,AC1193*(1+$G$53)-MAX($B$9,0.01*AC1193+AC1193*$G$53),0),0)</f>
        <v/>
      </c>
      <c r="AD1194">
        <f>AC1193*$G$53</f>
        <v/>
      </c>
      <c r="AE1194">
        <f>IF(AE1193&gt;1E-9,IF(AE1193*(1+$G$54)-MAX($B$9,0.01*AE1193+AE1193*$G$54)&gt;1E-9,AE1193*(1+$G$54)-MAX($B$9,0.01*AE1193+AE1193*$G$54),0),0)</f>
        <v/>
      </c>
      <c r="AF1194">
        <f>AE1193*$G$54</f>
        <v/>
      </c>
      <c r="AG1194">
        <f>IF(AG1193&gt;1E-9,IF(AG1193*(1+$G$55)-MAX($B$9,0.01*AG1193+AG1193*$G$55)&gt;1E-9,AG1193*(1+$G$55)-MAX($B$9,0.01*AG1193+AG1193*$G$55),0),0)</f>
        <v/>
      </c>
      <c r="AH1194">
        <f>AG1193*$G$55</f>
        <v/>
      </c>
      <c r="AI1194">
        <f>G1194+K1194+O1194+S1194+W1194</f>
        <v/>
      </c>
      <c r="AJ1194">
        <f>AI1193+AK1194-AI1194</f>
        <v/>
      </c>
      <c r="AK1194">
        <f>H1194+L1194+P1194+T1194+X1194</f>
        <v/>
      </c>
      <c r="AL1194">
        <f>TEXT(EDATE($B$5,D1194-1),"mmm yyyy")</f>
        <v/>
      </c>
      <c r="AM1194">
        <f>AI1194</f>
        <v/>
      </c>
    </row>
    <row r="1195">
      <c r="D1195" t="n">
        <v>1134</v>
      </c>
      <c r="E1195">
        <f>IF(G1194&gt;0,MAX(0,G1194*(1+$G$51)-$H$51),0)</f>
        <v/>
      </c>
      <c r="F1195">
        <f>$B$6+IF($D1195=$B$8,$B$7,0)</f>
        <v/>
      </c>
      <c r="G1195">
        <f>IF(E1195-F1195&gt;1E-9,E1195-F1195,0)</f>
        <v/>
      </c>
      <c r="H1195">
        <f>G1194*$G$51</f>
        <v/>
      </c>
      <c r="I1195">
        <f>IF(K1194&gt;0,MAX(0,K1194*(1+$G$52)-$H$52),0)</f>
        <v/>
      </c>
      <c r="J1195">
        <f>MAX(0,F1195-E1195)</f>
        <v/>
      </c>
      <c r="K1195">
        <f>IF(I1195-J1195&gt;1E-9,I1195-J1195,0)</f>
        <v/>
      </c>
      <c r="L1195">
        <f>K1194*$G$52</f>
        <v/>
      </c>
      <c r="M1195">
        <f>IF(O1194&gt;0,MAX(0,O1194*(1+$G$53)-$H$53),0)</f>
        <v/>
      </c>
      <c r="N1195">
        <f>MAX(0,J1195-I1195)</f>
        <v/>
      </c>
      <c r="O1195">
        <f>IF(M1195-N1195&gt;1E-9,M1195-N1195,0)</f>
        <v/>
      </c>
      <c r="P1195">
        <f>O1194*$G$53</f>
        <v/>
      </c>
      <c r="Q1195">
        <f>IF(S1194&gt;0,MAX(0,S1194*(1+$G$54)-$H$54),0)</f>
        <v/>
      </c>
      <c r="R1195">
        <f>MAX(0,N1195-M1195)</f>
        <v/>
      </c>
      <c r="S1195">
        <f>IF(Q1195-R1195&gt;1E-9,Q1195-R1195,0)</f>
        <v/>
      </c>
      <c r="T1195">
        <f>S1194*$G$54</f>
        <v/>
      </c>
      <c r="U1195">
        <f>IF(W1194&gt;0,MAX(0,W1194*(1+$G$55)-$H$55),0)</f>
        <v/>
      </c>
      <c r="V1195">
        <f>MAX(0,R1195-Q1195)</f>
        <v/>
      </c>
      <c r="W1195">
        <f>IF(U1195-V1195&gt;1E-9,U1195-V1195,0)</f>
        <v/>
      </c>
      <c r="X1195">
        <f>W1194*$G$55</f>
        <v/>
      </c>
      <c r="Y1195">
        <f>IF(Y1194&gt;1E-9,IF(Y1194*(1+$G$51)-MAX($B$9,0.01*Y1194+Y1194*$G$51)&gt;1E-9,Y1194*(1+$G$51)-MAX($B$9,0.01*Y1194+Y1194*$G$51),0),0)</f>
        <v/>
      </c>
      <c r="Z1195">
        <f>Y1194*$G$51</f>
        <v/>
      </c>
      <c r="AA1195">
        <f>IF(AA1194&gt;1E-9,IF(AA1194*(1+$G$52)-MAX($B$9,0.01*AA1194+AA1194*$G$52)&gt;1E-9,AA1194*(1+$G$52)-MAX($B$9,0.01*AA1194+AA1194*$G$52),0),0)</f>
        <v/>
      </c>
      <c r="AB1195">
        <f>AA1194*$G$52</f>
        <v/>
      </c>
      <c r="AC1195">
        <f>IF(AC1194&gt;1E-9,IF(AC1194*(1+$G$53)-MAX($B$9,0.01*AC1194+AC1194*$G$53)&gt;1E-9,AC1194*(1+$G$53)-MAX($B$9,0.01*AC1194+AC1194*$G$53),0),0)</f>
        <v/>
      </c>
      <c r="AD1195">
        <f>AC1194*$G$53</f>
        <v/>
      </c>
      <c r="AE1195">
        <f>IF(AE1194&gt;1E-9,IF(AE1194*(1+$G$54)-MAX($B$9,0.01*AE1194+AE1194*$G$54)&gt;1E-9,AE1194*(1+$G$54)-MAX($B$9,0.01*AE1194+AE1194*$G$54),0),0)</f>
        <v/>
      </c>
      <c r="AF1195">
        <f>AE1194*$G$54</f>
        <v/>
      </c>
      <c r="AG1195">
        <f>IF(AG1194&gt;1E-9,IF(AG1194*(1+$G$55)-MAX($B$9,0.01*AG1194+AG1194*$G$55)&gt;1E-9,AG1194*(1+$G$55)-MAX($B$9,0.01*AG1194+AG1194*$G$55),0),0)</f>
        <v/>
      </c>
      <c r="AH1195">
        <f>AG1194*$G$55</f>
        <v/>
      </c>
      <c r="AI1195">
        <f>G1195+K1195+O1195+S1195+W1195</f>
        <v/>
      </c>
      <c r="AJ1195">
        <f>AI1194+AK1195-AI1195</f>
        <v/>
      </c>
      <c r="AK1195">
        <f>H1195+L1195+P1195+T1195+X1195</f>
        <v/>
      </c>
      <c r="AL1195">
        <f>TEXT(EDATE($B$5,D1195-1),"mmm yyyy")</f>
        <v/>
      </c>
      <c r="AM1195">
        <f>AI1195</f>
        <v/>
      </c>
    </row>
    <row r="1196">
      <c r="D1196" t="n">
        <v>1135</v>
      </c>
      <c r="E1196">
        <f>IF(G1195&gt;0,MAX(0,G1195*(1+$G$51)-$H$51),0)</f>
        <v/>
      </c>
      <c r="F1196">
        <f>$B$6+IF($D1196=$B$8,$B$7,0)</f>
        <v/>
      </c>
      <c r="G1196">
        <f>IF(E1196-F1196&gt;1E-9,E1196-F1196,0)</f>
        <v/>
      </c>
      <c r="H1196">
        <f>G1195*$G$51</f>
        <v/>
      </c>
      <c r="I1196">
        <f>IF(K1195&gt;0,MAX(0,K1195*(1+$G$52)-$H$52),0)</f>
        <v/>
      </c>
      <c r="J1196">
        <f>MAX(0,F1196-E1196)</f>
        <v/>
      </c>
      <c r="K1196">
        <f>IF(I1196-J1196&gt;1E-9,I1196-J1196,0)</f>
        <v/>
      </c>
      <c r="L1196">
        <f>K1195*$G$52</f>
        <v/>
      </c>
      <c r="M1196">
        <f>IF(O1195&gt;0,MAX(0,O1195*(1+$G$53)-$H$53),0)</f>
        <v/>
      </c>
      <c r="N1196">
        <f>MAX(0,J1196-I1196)</f>
        <v/>
      </c>
      <c r="O1196">
        <f>IF(M1196-N1196&gt;1E-9,M1196-N1196,0)</f>
        <v/>
      </c>
      <c r="P1196">
        <f>O1195*$G$53</f>
        <v/>
      </c>
      <c r="Q1196">
        <f>IF(S1195&gt;0,MAX(0,S1195*(1+$G$54)-$H$54),0)</f>
        <v/>
      </c>
      <c r="R1196">
        <f>MAX(0,N1196-M1196)</f>
        <v/>
      </c>
      <c r="S1196">
        <f>IF(Q1196-R1196&gt;1E-9,Q1196-R1196,0)</f>
        <v/>
      </c>
      <c r="T1196">
        <f>S1195*$G$54</f>
        <v/>
      </c>
      <c r="U1196">
        <f>IF(W1195&gt;0,MAX(0,W1195*(1+$G$55)-$H$55),0)</f>
        <v/>
      </c>
      <c r="V1196">
        <f>MAX(0,R1196-Q1196)</f>
        <v/>
      </c>
      <c r="W1196">
        <f>IF(U1196-V1196&gt;1E-9,U1196-V1196,0)</f>
        <v/>
      </c>
      <c r="X1196">
        <f>W1195*$G$55</f>
        <v/>
      </c>
      <c r="Y1196">
        <f>IF(Y1195&gt;1E-9,IF(Y1195*(1+$G$51)-MAX($B$9,0.01*Y1195+Y1195*$G$51)&gt;1E-9,Y1195*(1+$G$51)-MAX($B$9,0.01*Y1195+Y1195*$G$51),0),0)</f>
        <v/>
      </c>
      <c r="Z1196">
        <f>Y1195*$G$51</f>
        <v/>
      </c>
      <c r="AA1196">
        <f>IF(AA1195&gt;1E-9,IF(AA1195*(1+$G$52)-MAX($B$9,0.01*AA1195+AA1195*$G$52)&gt;1E-9,AA1195*(1+$G$52)-MAX($B$9,0.01*AA1195+AA1195*$G$52),0),0)</f>
        <v/>
      </c>
      <c r="AB1196">
        <f>AA1195*$G$52</f>
        <v/>
      </c>
      <c r="AC1196">
        <f>IF(AC1195&gt;1E-9,IF(AC1195*(1+$G$53)-MAX($B$9,0.01*AC1195+AC1195*$G$53)&gt;1E-9,AC1195*(1+$G$53)-MAX($B$9,0.01*AC1195+AC1195*$G$53),0),0)</f>
        <v/>
      </c>
      <c r="AD1196">
        <f>AC1195*$G$53</f>
        <v/>
      </c>
      <c r="AE1196">
        <f>IF(AE1195&gt;1E-9,IF(AE1195*(1+$G$54)-MAX($B$9,0.01*AE1195+AE1195*$G$54)&gt;1E-9,AE1195*(1+$G$54)-MAX($B$9,0.01*AE1195+AE1195*$G$54),0),0)</f>
        <v/>
      </c>
      <c r="AF1196">
        <f>AE1195*$G$54</f>
        <v/>
      </c>
      <c r="AG1196">
        <f>IF(AG1195&gt;1E-9,IF(AG1195*(1+$G$55)-MAX($B$9,0.01*AG1195+AG1195*$G$55)&gt;1E-9,AG1195*(1+$G$55)-MAX($B$9,0.01*AG1195+AG1195*$G$55),0),0)</f>
        <v/>
      </c>
      <c r="AH1196">
        <f>AG1195*$G$55</f>
        <v/>
      </c>
      <c r="AI1196">
        <f>G1196+K1196+O1196+S1196+W1196</f>
        <v/>
      </c>
      <c r="AJ1196">
        <f>AI1195+AK1196-AI1196</f>
        <v/>
      </c>
      <c r="AK1196">
        <f>H1196+L1196+P1196+T1196+X1196</f>
        <v/>
      </c>
      <c r="AL1196">
        <f>TEXT(EDATE($B$5,D1196-1),"mmm yyyy")</f>
        <v/>
      </c>
      <c r="AM1196">
        <f>AI1196</f>
        <v/>
      </c>
    </row>
    <row r="1197">
      <c r="D1197" t="n">
        <v>1136</v>
      </c>
      <c r="E1197">
        <f>IF(G1196&gt;0,MAX(0,G1196*(1+$G$51)-$H$51),0)</f>
        <v/>
      </c>
      <c r="F1197">
        <f>$B$6+IF($D1197=$B$8,$B$7,0)</f>
        <v/>
      </c>
      <c r="G1197">
        <f>IF(E1197-F1197&gt;1E-9,E1197-F1197,0)</f>
        <v/>
      </c>
      <c r="H1197">
        <f>G1196*$G$51</f>
        <v/>
      </c>
      <c r="I1197">
        <f>IF(K1196&gt;0,MAX(0,K1196*(1+$G$52)-$H$52),0)</f>
        <v/>
      </c>
      <c r="J1197">
        <f>MAX(0,F1197-E1197)</f>
        <v/>
      </c>
      <c r="K1197">
        <f>IF(I1197-J1197&gt;1E-9,I1197-J1197,0)</f>
        <v/>
      </c>
      <c r="L1197">
        <f>K1196*$G$52</f>
        <v/>
      </c>
      <c r="M1197">
        <f>IF(O1196&gt;0,MAX(0,O1196*(1+$G$53)-$H$53),0)</f>
        <v/>
      </c>
      <c r="N1197">
        <f>MAX(0,J1197-I1197)</f>
        <v/>
      </c>
      <c r="O1197">
        <f>IF(M1197-N1197&gt;1E-9,M1197-N1197,0)</f>
        <v/>
      </c>
      <c r="P1197">
        <f>O1196*$G$53</f>
        <v/>
      </c>
      <c r="Q1197">
        <f>IF(S1196&gt;0,MAX(0,S1196*(1+$G$54)-$H$54),0)</f>
        <v/>
      </c>
      <c r="R1197">
        <f>MAX(0,N1197-M1197)</f>
        <v/>
      </c>
      <c r="S1197">
        <f>IF(Q1197-R1197&gt;1E-9,Q1197-R1197,0)</f>
        <v/>
      </c>
      <c r="T1197">
        <f>S1196*$G$54</f>
        <v/>
      </c>
      <c r="U1197">
        <f>IF(W1196&gt;0,MAX(0,W1196*(1+$G$55)-$H$55),0)</f>
        <v/>
      </c>
      <c r="V1197">
        <f>MAX(0,R1197-Q1197)</f>
        <v/>
      </c>
      <c r="W1197">
        <f>IF(U1197-V1197&gt;1E-9,U1197-V1197,0)</f>
        <v/>
      </c>
      <c r="X1197">
        <f>W1196*$G$55</f>
        <v/>
      </c>
      <c r="Y1197">
        <f>IF(Y1196&gt;1E-9,IF(Y1196*(1+$G$51)-MAX($B$9,0.01*Y1196+Y1196*$G$51)&gt;1E-9,Y1196*(1+$G$51)-MAX($B$9,0.01*Y1196+Y1196*$G$51),0),0)</f>
        <v/>
      </c>
      <c r="Z1197">
        <f>Y1196*$G$51</f>
        <v/>
      </c>
      <c r="AA1197">
        <f>IF(AA1196&gt;1E-9,IF(AA1196*(1+$G$52)-MAX($B$9,0.01*AA1196+AA1196*$G$52)&gt;1E-9,AA1196*(1+$G$52)-MAX($B$9,0.01*AA1196+AA1196*$G$52),0),0)</f>
        <v/>
      </c>
      <c r="AB1197">
        <f>AA1196*$G$52</f>
        <v/>
      </c>
      <c r="AC1197">
        <f>IF(AC1196&gt;1E-9,IF(AC1196*(1+$G$53)-MAX($B$9,0.01*AC1196+AC1196*$G$53)&gt;1E-9,AC1196*(1+$G$53)-MAX($B$9,0.01*AC1196+AC1196*$G$53),0),0)</f>
        <v/>
      </c>
      <c r="AD1197">
        <f>AC1196*$G$53</f>
        <v/>
      </c>
      <c r="AE1197">
        <f>IF(AE1196&gt;1E-9,IF(AE1196*(1+$G$54)-MAX($B$9,0.01*AE1196+AE1196*$G$54)&gt;1E-9,AE1196*(1+$G$54)-MAX($B$9,0.01*AE1196+AE1196*$G$54),0),0)</f>
        <v/>
      </c>
      <c r="AF1197">
        <f>AE1196*$G$54</f>
        <v/>
      </c>
      <c r="AG1197">
        <f>IF(AG1196&gt;1E-9,IF(AG1196*(1+$G$55)-MAX($B$9,0.01*AG1196+AG1196*$G$55)&gt;1E-9,AG1196*(1+$G$55)-MAX($B$9,0.01*AG1196+AG1196*$G$55),0),0)</f>
        <v/>
      </c>
      <c r="AH1197">
        <f>AG1196*$G$55</f>
        <v/>
      </c>
      <c r="AI1197">
        <f>G1197+K1197+O1197+S1197+W1197</f>
        <v/>
      </c>
      <c r="AJ1197">
        <f>AI1196+AK1197-AI1197</f>
        <v/>
      </c>
      <c r="AK1197">
        <f>H1197+L1197+P1197+T1197+X1197</f>
        <v/>
      </c>
      <c r="AL1197">
        <f>TEXT(EDATE($B$5,D1197-1),"mmm yyyy")</f>
        <v/>
      </c>
      <c r="AM1197">
        <f>AI1197</f>
        <v/>
      </c>
    </row>
    <row r="1198">
      <c r="D1198" t="n">
        <v>1137</v>
      </c>
      <c r="E1198">
        <f>IF(G1197&gt;0,MAX(0,G1197*(1+$G$51)-$H$51),0)</f>
        <v/>
      </c>
      <c r="F1198">
        <f>$B$6+IF($D1198=$B$8,$B$7,0)</f>
        <v/>
      </c>
      <c r="G1198">
        <f>IF(E1198-F1198&gt;1E-9,E1198-F1198,0)</f>
        <v/>
      </c>
      <c r="H1198">
        <f>G1197*$G$51</f>
        <v/>
      </c>
      <c r="I1198">
        <f>IF(K1197&gt;0,MAX(0,K1197*(1+$G$52)-$H$52),0)</f>
        <v/>
      </c>
      <c r="J1198">
        <f>MAX(0,F1198-E1198)</f>
        <v/>
      </c>
      <c r="K1198">
        <f>IF(I1198-J1198&gt;1E-9,I1198-J1198,0)</f>
        <v/>
      </c>
      <c r="L1198">
        <f>K1197*$G$52</f>
        <v/>
      </c>
      <c r="M1198">
        <f>IF(O1197&gt;0,MAX(0,O1197*(1+$G$53)-$H$53),0)</f>
        <v/>
      </c>
      <c r="N1198">
        <f>MAX(0,J1198-I1198)</f>
        <v/>
      </c>
      <c r="O1198">
        <f>IF(M1198-N1198&gt;1E-9,M1198-N1198,0)</f>
        <v/>
      </c>
      <c r="P1198">
        <f>O1197*$G$53</f>
        <v/>
      </c>
      <c r="Q1198">
        <f>IF(S1197&gt;0,MAX(0,S1197*(1+$G$54)-$H$54),0)</f>
        <v/>
      </c>
      <c r="R1198">
        <f>MAX(0,N1198-M1198)</f>
        <v/>
      </c>
      <c r="S1198">
        <f>IF(Q1198-R1198&gt;1E-9,Q1198-R1198,0)</f>
        <v/>
      </c>
      <c r="T1198">
        <f>S1197*$G$54</f>
        <v/>
      </c>
      <c r="U1198">
        <f>IF(W1197&gt;0,MAX(0,W1197*(1+$G$55)-$H$55),0)</f>
        <v/>
      </c>
      <c r="V1198">
        <f>MAX(0,R1198-Q1198)</f>
        <v/>
      </c>
      <c r="W1198">
        <f>IF(U1198-V1198&gt;1E-9,U1198-V1198,0)</f>
        <v/>
      </c>
      <c r="X1198">
        <f>W1197*$G$55</f>
        <v/>
      </c>
      <c r="Y1198">
        <f>IF(Y1197&gt;1E-9,IF(Y1197*(1+$G$51)-MAX($B$9,0.01*Y1197+Y1197*$G$51)&gt;1E-9,Y1197*(1+$G$51)-MAX($B$9,0.01*Y1197+Y1197*$G$51),0),0)</f>
        <v/>
      </c>
      <c r="Z1198">
        <f>Y1197*$G$51</f>
        <v/>
      </c>
      <c r="AA1198">
        <f>IF(AA1197&gt;1E-9,IF(AA1197*(1+$G$52)-MAX($B$9,0.01*AA1197+AA1197*$G$52)&gt;1E-9,AA1197*(1+$G$52)-MAX($B$9,0.01*AA1197+AA1197*$G$52),0),0)</f>
        <v/>
      </c>
      <c r="AB1198">
        <f>AA1197*$G$52</f>
        <v/>
      </c>
      <c r="AC1198">
        <f>IF(AC1197&gt;1E-9,IF(AC1197*(1+$G$53)-MAX($B$9,0.01*AC1197+AC1197*$G$53)&gt;1E-9,AC1197*(1+$G$53)-MAX($B$9,0.01*AC1197+AC1197*$G$53),0),0)</f>
        <v/>
      </c>
      <c r="AD1198">
        <f>AC1197*$G$53</f>
        <v/>
      </c>
      <c r="AE1198">
        <f>IF(AE1197&gt;1E-9,IF(AE1197*(1+$G$54)-MAX($B$9,0.01*AE1197+AE1197*$G$54)&gt;1E-9,AE1197*(1+$G$54)-MAX($B$9,0.01*AE1197+AE1197*$G$54),0),0)</f>
        <v/>
      </c>
      <c r="AF1198">
        <f>AE1197*$G$54</f>
        <v/>
      </c>
      <c r="AG1198">
        <f>IF(AG1197&gt;1E-9,IF(AG1197*(1+$G$55)-MAX($B$9,0.01*AG1197+AG1197*$G$55)&gt;1E-9,AG1197*(1+$G$55)-MAX($B$9,0.01*AG1197+AG1197*$G$55),0),0)</f>
        <v/>
      </c>
      <c r="AH1198">
        <f>AG1197*$G$55</f>
        <v/>
      </c>
      <c r="AI1198">
        <f>G1198+K1198+O1198+S1198+W1198</f>
        <v/>
      </c>
      <c r="AJ1198">
        <f>AI1197+AK1198-AI1198</f>
        <v/>
      </c>
      <c r="AK1198">
        <f>H1198+L1198+P1198+T1198+X1198</f>
        <v/>
      </c>
      <c r="AL1198">
        <f>TEXT(EDATE($B$5,D1198-1),"mmm yyyy")</f>
        <v/>
      </c>
      <c r="AM1198">
        <f>AI1198</f>
        <v/>
      </c>
    </row>
    <row r="1199">
      <c r="D1199" t="n">
        <v>1138</v>
      </c>
      <c r="E1199">
        <f>IF(G1198&gt;0,MAX(0,G1198*(1+$G$51)-$H$51),0)</f>
        <v/>
      </c>
      <c r="F1199">
        <f>$B$6+IF($D1199=$B$8,$B$7,0)</f>
        <v/>
      </c>
      <c r="G1199">
        <f>IF(E1199-F1199&gt;1E-9,E1199-F1199,0)</f>
        <v/>
      </c>
      <c r="H1199">
        <f>G1198*$G$51</f>
        <v/>
      </c>
      <c r="I1199">
        <f>IF(K1198&gt;0,MAX(0,K1198*(1+$G$52)-$H$52),0)</f>
        <v/>
      </c>
      <c r="J1199">
        <f>MAX(0,F1199-E1199)</f>
        <v/>
      </c>
      <c r="K1199">
        <f>IF(I1199-J1199&gt;1E-9,I1199-J1199,0)</f>
        <v/>
      </c>
      <c r="L1199">
        <f>K1198*$G$52</f>
        <v/>
      </c>
      <c r="M1199">
        <f>IF(O1198&gt;0,MAX(0,O1198*(1+$G$53)-$H$53),0)</f>
        <v/>
      </c>
      <c r="N1199">
        <f>MAX(0,J1199-I1199)</f>
        <v/>
      </c>
      <c r="O1199">
        <f>IF(M1199-N1199&gt;1E-9,M1199-N1199,0)</f>
        <v/>
      </c>
      <c r="P1199">
        <f>O1198*$G$53</f>
        <v/>
      </c>
      <c r="Q1199">
        <f>IF(S1198&gt;0,MAX(0,S1198*(1+$G$54)-$H$54),0)</f>
        <v/>
      </c>
      <c r="R1199">
        <f>MAX(0,N1199-M1199)</f>
        <v/>
      </c>
      <c r="S1199">
        <f>IF(Q1199-R1199&gt;1E-9,Q1199-R1199,0)</f>
        <v/>
      </c>
      <c r="T1199">
        <f>S1198*$G$54</f>
        <v/>
      </c>
      <c r="U1199">
        <f>IF(W1198&gt;0,MAX(0,W1198*(1+$G$55)-$H$55),0)</f>
        <v/>
      </c>
      <c r="V1199">
        <f>MAX(0,R1199-Q1199)</f>
        <v/>
      </c>
      <c r="W1199">
        <f>IF(U1199-V1199&gt;1E-9,U1199-V1199,0)</f>
        <v/>
      </c>
      <c r="X1199">
        <f>W1198*$G$55</f>
        <v/>
      </c>
      <c r="Y1199">
        <f>IF(Y1198&gt;1E-9,IF(Y1198*(1+$G$51)-MAX($B$9,0.01*Y1198+Y1198*$G$51)&gt;1E-9,Y1198*(1+$G$51)-MAX($B$9,0.01*Y1198+Y1198*$G$51),0),0)</f>
        <v/>
      </c>
      <c r="Z1199">
        <f>Y1198*$G$51</f>
        <v/>
      </c>
      <c r="AA1199">
        <f>IF(AA1198&gt;1E-9,IF(AA1198*(1+$G$52)-MAX($B$9,0.01*AA1198+AA1198*$G$52)&gt;1E-9,AA1198*(1+$G$52)-MAX($B$9,0.01*AA1198+AA1198*$G$52),0),0)</f>
        <v/>
      </c>
      <c r="AB1199">
        <f>AA1198*$G$52</f>
        <v/>
      </c>
      <c r="AC1199">
        <f>IF(AC1198&gt;1E-9,IF(AC1198*(1+$G$53)-MAX($B$9,0.01*AC1198+AC1198*$G$53)&gt;1E-9,AC1198*(1+$G$53)-MAX($B$9,0.01*AC1198+AC1198*$G$53),0),0)</f>
        <v/>
      </c>
      <c r="AD1199">
        <f>AC1198*$G$53</f>
        <v/>
      </c>
      <c r="AE1199">
        <f>IF(AE1198&gt;1E-9,IF(AE1198*(1+$G$54)-MAX($B$9,0.01*AE1198+AE1198*$G$54)&gt;1E-9,AE1198*(1+$G$54)-MAX($B$9,0.01*AE1198+AE1198*$G$54),0),0)</f>
        <v/>
      </c>
      <c r="AF1199">
        <f>AE1198*$G$54</f>
        <v/>
      </c>
      <c r="AG1199">
        <f>IF(AG1198&gt;1E-9,IF(AG1198*(1+$G$55)-MAX($B$9,0.01*AG1198+AG1198*$G$55)&gt;1E-9,AG1198*(1+$G$55)-MAX($B$9,0.01*AG1198+AG1198*$G$55),0),0)</f>
        <v/>
      </c>
      <c r="AH1199">
        <f>AG1198*$G$55</f>
        <v/>
      </c>
      <c r="AI1199">
        <f>G1199+K1199+O1199+S1199+W1199</f>
        <v/>
      </c>
      <c r="AJ1199">
        <f>AI1198+AK1199-AI1199</f>
        <v/>
      </c>
      <c r="AK1199">
        <f>H1199+L1199+P1199+T1199+X1199</f>
        <v/>
      </c>
      <c r="AL1199">
        <f>TEXT(EDATE($B$5,D1199-1),"mmm yyyy")</f>
        <v/>
      </c>
      <c r="AM1199">
        <f>AI1199</f>
        <v/>
      </c>
    </row>
    <row r="1200">
      <c r="D1200" t="n">
        <v>1139</v>
      </c>
      <c r="E1200">
        <f>IF(G1199&gt;0,MAX(0,G1199*(1+$G$51)-$H$51),0)</f>
        <v/>
      </c>
      <c r="F1200">
        <f>$B$6+IF($D1200=$B$8,$B$7,0)</f>
        <v/>
      </c>
      <c r="G1200">
        <f>IF(E1200-F1200&gt;1E-9,E1200-F1200,0)</f>
        <v/>
      </c>
      <c r="H1200">
        <f>G1199*$G$51</f>
        <v/>
      </c>
      <c r="I1200">
        <f>IF(K1199&gt;0,MAX(0,K1199*(1+$G$52)-$H$52),0)</f>
        <v/>
      </c>
      <c r="J1200">
        <f>MAX(0,F1200-E1200)</f>
        <v/>
      </c>
      <c r="K1200">
        <f>IF(I1200-J1200&gt;1E-9,I1200-J1200,0)</f>
        <v/>
      </c>
      <c r="L1200">
        <f>K1199*$G$52</f>
        <v/>
      </c>
      <c r="M1200">
        <f>IF(O1199&gt;0,MAX(0,O1199*(1+$G$53)-$H$53),0)</f>
        <v/>
      </c>
      <c r="N1200">
        <f>MAX(0,J1200-I1200)</f>
        <v/>
      </c>
      <c r="O1200">
        <f>IF(M1200-N1200&gt;1E-9,M1200-N1200,0)</f>
        <v/>
      </c>
      <c r="P1200">
        <f>O1199*$G$53</f>
        <v/>
      </c>
      <c r="Q1200">
        <f>IF(S1199&gt;0,MAX(0,S1199*(1+$G$54)-$H$54),0)</f>
        <v/>
      </c>
      <c r="R1200">
        <f>MAX(0,N1200-M1200)</f>
        <v/>
      </c>
      <c r="S1200">
        <f>IF(Q1200-R1200&gt;1E-9,Q1200-R1200,0)</f>
        <v/>
      </c>
      <c r="T1200">
        <f>S1199*$G$54</f>
        <v/>
      </c>
      <c r="U1200">
        <f>IF(W1199&gt;0,MAX(0,W1199*(1+$G$55)-$H$55),0)</f>
        <v/>
      </c>
      <c r="V1200">
        <f>MAX(0,R1200-Q1200)</f>
        <v/>
      </c>
      <c r="W1200">
        <f>IF(U1200-V1200&gt;1E-9,U1200-V1200,0)</f>
        <v/>
      </c>
      <c r="X1200">
        <f>W1199*$G$55</f>
        <v/>
      </c>
      <c r="Y1200">
        <f>IF(Y1199&gt;1E-9,IF(Y1199*(1+$G$51)-MAX($B$9,0.01*Y1199+Y1199*$G$51)&gt;1E-9,Y1199*(1+$G$51)-MAX($B$9,0.01*Y1199+Y1199*$G$51),0),0)</f>
        <v/>
      </c>
      <c r="Z1200">
        <f>Y1199*$G$51</f>
        <v/>
      </c>
      <c r="AA1200">
        <f>IF(AA1199&gt;1E-9,IF(AA1199*(1+$G$52)-MAX($B$9,0.01*AA1199+AA1199*$G$52)&gt;1E-9,AA1199*(1+$G$52)-MAX($B$9,0.01*AA1199+AA1199*$G$52),0),0)</f>
        <v/>
      </c>
      <c r="AB1200">
        <f>AA1199*$G$52</f>
        <v/>
      </c>
      <c r="AC1200">
        <f>IF(AC1199&gt;1E-9,IF(AC1199*(1+$G$53)-MAX($B$9,0.01*AC1199+AC1199*$G$53)&gt;1E-9,AC1199*(1+$G$53)-MAX($B$9,0.01*AC1199+AC1199*$G$53),0),0)</f>
        <v/>
      </c>
      <c r="AD1200">
        <f>AC1199*$G$53</f>
        <v/>
      </c>
      <c r="AE1200">
        <f>IF(AE1199&gt;1E-9,IF(AE1199*(1+$G$54)-MAX($B$9,0.01*AE1199+AE1199*$G$54)&gt;1E-9,AE1199*(1+$G$54)-MAX($B$9,0.01*AE1199+AE1199*$G$54),0),0)</f>
        <v/>
      </c>
      <c r="AF1200">
        <f>AE1199*$G$54</f>
        <v/>
      </c>
      <c r="AG1200">
        <f>IF(AG1199&gt;1E-9,IF(AG1199*(1+$G$55)-MAX($B$9,0.01*AG1199+AG1199*$G$55)&gt;1E-9,AG1199*(1+$G$55)-MAX($B$9,0.01*AG1199+AG1199*$G$55),0),0)</f>
        <v/>
      </c>
      <c r="AH1200">
        <f>AG1199*$G$55</f>
        <v/>
      </c>
      <c r="AI1200">
        <f>G1200+K1200+O1200+S1200+W1200</f>
        <v/>
      </c>
      <c r="AJ1200">
        <f>AI1199+AK1200-AI1200</f>
        <v/>
      </c>
      <c r="AK1200">
        <f>H1200+L1200+P1200+T1200+X1200</f>
        <v/>
      </c>
      <c r="AL1200">
        <f>TEXT(EDATE($B$5,D1200-1),"mmm yyyy")</f>
        <v/>
      </c>
      <c r="AM1200">
        <f>AI1200</f>
        <v/>
      </c>
    </row>
    <row r="1201">
      <c r="D1201" t="n">
        <v>1140</v>
      </c>
      <c r="E1201">
        <f>IF(G1200&gt;0,MAX(0,G1200*(1+$G$51)-$H$51),0)</f>
        <v/>
      </c>
      <c r="F1201">
        <f>$B$6+IF($D1201=$B$8,$B$7,0)</f>
        <v/>
      </c>
      <c r="G1201">
        <f>IF(E1201-F1201&gt;1E-9,E1201-F1201,0)</f>
        <v/>
      </c>
      <c r="H1201">
        <f>G1200*$G$51</f>
        <v/>
      </c>
      <c r="I1201">
        <f>IF(K1200&gt;0,MAX(0,K1200*(1+$G$52)-$H$52),0)</f>
        <v/>
      </c>
      <c r="J1201">
        <f>MAX(0,F1201-E1201)</f>
        <v/>
      </c>
      <c r="K1201">
        <f>IF(I1201-J1201&gt;1E-9,I1201-J1201,0)</f>
        <v/>
      </c>
      <c r="L1201">
        <f>K1200*$G$52</f>
        <v/>
      </c>
      <c r="M1201">
        <f>IF(O1200&gt;0,MAX(0,O1200*(1+$G$53)-$H$53),0)</f>
        <v/>
      </c>
      <c r="N1201">
        <f>MAX(0,J1201-I1201)</f>
        <v/>
      </c>
      <c r="O1201">
        <f>IF(M1201-N1201&gt;1E-9,M1201-N1201,0)</f>
        <v/>
      </c>
      <c r="P1201">
        <f>O1200*$G$53</f>
        <v/>
      </c>
      <c r="Q1201">
        <f>IF(S1200&gt;0,MAX(0,S1200*(1+$G$54)-$H$54),0)</f>
        <v/>
      </c>
      <c r="R1201">
        <f>MAX(0,N1201-M1201)</f>
        <v/>
      </c>
      <c r="S1201">
        <f>IF(Q1201-R1201&gt;1E-9,Q1201-R1201,0)</f>
        <v/>
      </c>
      <c r="T1201">
        <f>S1200*$G$54</f>
        <v/>
      </c>
      <c r="U1201">
        <f>IF(W1200&gt;0,MAX(0,W1200*(1+$G$55)-$H$55),0)</f>
        <v/>
      </c>
      <c r="V1201">
        <f>MAX(0,R1201-Q1201)</f>
        <v/>
      </c>
      <c r="W1201">
        <f>IF(U1201-V1201&gt;1E-9,U1201-V1201,0)</f>
        <v/>
      </c>
      <c r="X1201">
        <f>W1200*$G$55</f>
        <v/>
      </c>
      <c r="Y1201">
        <f>IF(Y1200&gt;1E-9,IF(Y1200*(1+$G$51)-MAX($B$9,0.01*Y1200+Y1200*$G$51)&gt;1E-9,Y1200*(1+$G$51)-MAX($B$9,0.01*Y1200+Y1200*$G$51),0),0)</f>
        <v/>
      </c>
      <c r="Z1201">
        <f>Y1200*$G$51</f>
        <v/>
      </c>
      <c r="AA1201">
        <f>IF(AA1200&gt;1E-9,IF(AA1200*(1+$G$52)-MAX($B$9,0.01*AA1200+AA1200*$G$52)&gt;1E-9,AA1200*(1+$G$52)-MAX($B$9,0.01*AA1200+AA1200*$G$52),0),0)</f>
        <v/>
      </c>
      <c r="AB1201">
        <f>AA1200*$G$52</f>
        <v/>
      </c>
      <c r="AC1201">
        <f>IF(AC1200&gt;1E-9,IF(AC1200*(1+$G$53)-MAX($B$9,0.01*AC1200+AC1200*$G$53)&gt;1E-9,AC1200*(1+$G$53)-MAX($B$9,0.01*AC1200+AC1200*$G$53),0),0)</f>
        <v/>
      </c>
      <c r="AD1201">
        <f>AC1200*$G$53</f>
        <v/>
      </c>
      <c r="AE1201">
        <f>IF(AE1200&gt;1E-9,IF(AE1200*(1+$G$54)-MAX($B$9,0.01*AE1200+AE1200*$G$54)&gt;1E-9,AE1200*(1+$G$54)-MAX($B$9,0.01*AE1200+AE1200*$G$54),0),0)</f>
        <v/>
      </c>
      <c r="AF1201">
        <f>AE1200*$G$54</f>
        <v/>
      </c>
      <c r="AG1201">
        <f>IF(AG1200&gt;1E-9,IF(AG1200*(1+$G$55)-MAX($B$9,0.01*AG1200+AG1200*$G$55)&gt;1E-9,AG1200*(1+$G$55)-MAX($B$9,0.01*AG1200+AG1200*$G$55),0),0)</f>
        <v/>
      </c>
      <c r="AH1201">
        <f>AG1200*$G$55</f>
        <v/>
      </c>
      <c r="AI1201">
        <f>G1201+K1201+O1201+S1201+W1201</f>
        <v/>
      </c>
      <c r="AJ1201">
        <f>AI1200+AK1201-AI1201</f>
        <v/>
      </c>
      <c r="AK1201">
        <f>H1201+L1201+P1201+T1201+X1201</f>
        <v/>
      </c>
      <c r="AL1201">
        <f>TEXT(EDATE($B$5,D1201-1),"mmm yyyy")</f>
        <v/>
      </c>
      <c r="AM1201">
        <f>AI1201</f>
        <v/>
      </c>
    </row>
    <row r="1202">
      <c r="D1202" t="n">
        <v>1141</v>
      </c>
      <c r="E1202">
        <f>IF(G1201&gt;0,MAX(0,G1201*(1+$G$51)-$H$51),0)</f>
        <v/>
      </c>
      <c r="F1202">
        <f>$B$6+IF($D1202=$B$8,$B$7,0)</f>
        <v/>
      </c>
      <c r="G1202">
        <f>IF(E1202-F1202&gt;1E-9,E1202-F1202,0)</f>
        <v/>
      </c>
      <c r="H1202">
        <f>G1201*$G$51</f>
        <v/>
      </c>
      <c r="I1202">
        <f>IF(K1201&gt;0,MAX(0,K1201*(1+$G$52)-$H$52),0)</f>
        <v/>
      </c>
      <c r="J1202">
        <f>MAX(0,F1202-E1202)</f>
        <v/>
      </c>
      <c r="K1202">
        <f>IF(I1202-J1202&gt;1E-9,I1202-J1202,0)</f>
        <v/>
      </c>
      <c r="L1202">
        <f>K1201*$G$52</f>
        <v/>
      </c>
      <c r="M1202">
        <f>IF(O1201&gt;0,MAX(0,O1201*(1+$G$53)-$H$53),0)</f>
        <v/>
      </c>
      <c r="N1202">
        <f>MAX(0,J1202-I1202)</f>
        <v/>
      </c>
      <c r="O1202">
        <f>IF(M1202-N1202&gt;1E-9,M1202-N1202,0)</f>
        <v/>
      </c>
      <c r="P1202">
        <f>O1201*$G$53</f>
        <v/>
      </c>
      <c r="Q1202">
        <f>IF(S1201&gt;0,MAX(0,S1201*(1+$G$54)-$H$54),0)</f>
        <v/>
      </c>
      <c r="R1202">
        <f>MAX(0,N1202-M1202)</f>
        <v/>
      </c>
      <c r="S1202">
        <f>IF(Q1202-R1202&gt;1E-9,Q1202-R1202,0)</f>
        <v/>
      </c>
      <c r="T1202">
        <f>S1201*$G$54</f>
        <v/>
      </c>
      <c r="U1202">
        <f>IF(W1201&gt;0,MAX(0,W1201*(1+$G$55)-$H$55),0)</f>
        <v/>
      </c>
      <c r="V1202">
        <f>MAX(0,R1202-Q1202)</f>
        <v/>
      </c>
      <c r="W1202">
        <f>IF(U1202-V1202&gt;1E-9,U1202-V1202,0)</f>
        <v/>
      </c>
      <c r="X1202">
        <f>W1201*$G$55</f>
        <v/>
      </c>
      <c r="Y1202">
        <f>IF(Y1201&gt;1E-9,IF(Y1201*(1+$G$51)-MAX($B$9,0.01*Y1201+Y1201*$G$51)&gt;1E-9,Y1201*(1+$G$51)-MAX($B$9,0.01*Y1201+Y1201*$G$51),0),0)</f>
        <v/>
      </c>
      <c r="Z1202">
        <f>Y1201*$G$51</f>
        <v/>
      </c>
      <c r="AA1202">
        <f>IF(AA1201&gt;1E-9,IF(AA1201*(1+$G$52)-MAX($B$9,0.01*AA1201+AA1201*$G$52)&gt;1E-9,AA1201*(1+$G$52)-MAX($B$9,0.01*AA1201+AA1201*$G$52),0),0)</f>
        <v/>
      </c>
      <c r="AB1202">
        <f>AA1201*$G$52</f>
        <v/>
      </c>
      <c r="AC1202">
        <f>IF(AC1201&gt;1E-9,IF(AC1201*(1+$G$53)-MAX($B$9,0.01*AC1201+AC1201*$G$53)&gt;1E-9,AC1201*(1+$G$53)-MAX($B$9,0.01*AC1201+AC1201*$G$53),0),0)</f>
        <v/>
      </c>
      <c r="AD1202">
        <f>AC1201*$G$53</f>
        <v/>
      </c>
      <c r="AE1202">
        <f>IF(AE1201&gt;1E-9,IF(AE1201*(1+$G$54)-MAX($B$9,0.01*AE1201+AE1201*$G$54)&gt;1E-9,AE1201*(1+$G$54)-MAX($B$9,0.01*AE1201+AE1201*$G$54),0),0)</f>
        <v/>
      </c>
      <c r="AF1202">
        <f>AE1201*$G$54</f>
        <v/>
      </c>
      <c r="AG1202">
        <f>IF(AG1201&gt;1E-9,IF(AG1201*(1+$G$55)-MAX($B$9,0.01*AG1201+AG1201*$G$55)&gt;1E-9,AG1201*(1+$G$55)-MAX($B$9,0.01*AG1201+AG1201*$G$55),0),0)</f>
        <v/>
      </c>
      <c r="AH1202">
        <f>AG1201*$G$55</f>
        <v/>
      </c>
      <c r="AI1202">
        <f>G1202+K1202+O1202+S1202+W1202</f>
        <v/>
      </c>
      <c r="AJ1202">
        <f>AI1201+AK1202-AI1202</f>
        <v/>
      </c>
      <c r="AK1202">
        <f>H1202+L1202+P1202+T1202+X1202</f>
        <v/>
      </c>
      <c r="AL1202">
        <f>TEXT(EDATE($B$5,D1202-1),"mmm yyyy")</f>
        <v/>
      </c>
      <c r="AM1202">
        <f>AI1202</f>
        <v/>
      </c>
    </row>
    <row r="1203">
      <c r="D1203" t="n">
        <v>1142</v>
      </c>
      <c r="E1203">
        <f>IF(G1202&gt;0,MAX(0,G1202*(1+$G$51)-$H$51),0)</f>
        <v/>
      </c>
      <c r="F1203">
        <f>$B$6+IF($D1203=$B$8,$B$7,0)</f>
        <v/>
      </c>
      <c r="G1203">
        <f>IF(E1203-F1203&gt;1E-9,E1203-F1203,0)</f>
        <v/>
      </c>
      <c r="H1203">
        <f>G1202*$G$51</f>
        <v/>
      </c>
      <c r="I1203">
        <f>IF(K1202&gt;0,MAX(0,K1202*(1+$G$52)-$H$52),0)</f>
        <v/>
      </c>
      <c r="J1203">
        <f>MAX(0,F1203-E1203)</f>
        <v/>
      </c>
      <c r="K1203">
        <f>IF(I1203-J1203&gt;1E-9,I1203-J1203,0)</f>
        <v/>
      </c>
      <c r="L1203">
        <f>K1202*$G$52</f>
        <v/>
      </c>
      <c r="M1203">
        <f>IF(O1202&gt;0,MAX(0,O1202*(1+$G$53)-$H$53),0)</f>
        <v/>
      </c>
      <c r="N1203">
        <f>MAX(0,J1203-I1203)</f>
        <v/>
      </c>
      <c r="O1203">
        <f>IF(M1203-N1203&gt;1E-9,M1203-N1203,0)</f>
        <v/>
      </c>
      <c r="P1203">
        <f>O1202*$G$53</f>
        <v/>
      </c>
      <c r="Q1203">
        <f>IF(S1202&gt;0,MAX(0,S1202*(1+$G$54)-$H$54),0)</f>
        <v/>
      </c>
      <c r="R1203">
        <f>MAX(0,N1203-M1203)</f>
        <v/>
      </c>
      <c r="S1203">
        <f>IF(Q1203-R1203&gt;1E-9,Q1203-R1203,0)</f>
        <v/>
      </c>
      <c r="T1203">
        <f>S1202*$G$54</f>
        <v/>
      </c>
      <c r="U1203">
        <f>IF(W1202&gt;0,MAX(0,W1202*(1+$G$55)-$H$55),0)</f>
        <v/>
      </c>
      <c r="V1203">
        <f>MAX(0,R1203-Q1203)</f>
        <v/>
      </c>
      <c r="W1203">
        <f>IF(U1203-V1203&gt;1E-9,U1203-V1203,0)</f>
        <v/>
      </c>
      <c r="X1203">
        <f>W1202*$G$55</f>
        <v/>
      </c>
      <c r="Y1203">
        <f>IF(Y1202&gt;1E-9,IF(Y1202*(1+$G$51)-MAX($B$9,0.01*Y1202+Y1202*$G$51)&gt;1E-9,Y1202*(1+$G$51)-MAX($B$9,0.01*Y1202+Y1202*$G$51),0),0)</f>
        <v/>
      </c>
      <c r="Z1203">
        <f>Y1202*$G$51</f>
        <v/>
      </c>
      <c r="AA1203">
        <f>IF(AA1202&gt;1E-9,IF(AA1202*(1+$G$52)-MAX($B$9,0.01*AA1202+AA1202*$G$52)&gt;1E-9,AA1202*(1+$G$52)-MAX($B$9,0.01*AA1202+AA1202*$G$52),0),0)</f>
        <v/>
      </c>
      <c r="AB1203">
        <f>AA1202*$G$52</f>
        <v/>
      </c>
      <c r="AC1203">
        <f>IF(AC1202&gt;1E-9,IF(AC1202*(1+$G$53)-MAX($B$9,0.01*AC1202+AC1202*$G$53)&gt;1E-9,AC1202*(1+$G$53)-MAX($B$9,0.01*AC1202+AC1202*$G$53),0),0)</f>
        <v/>
      </c>
      <c r="AD1203">
        <f>AC1202*$G$53</f>
        <v/>
      </c>
      <c r="AE1203">
        <f>IF(AE1202&gt;1E-9,IF(AE1202*(1+$G$54)-MAX($B$9,0.01*AE1202+AE1202*$G$54)&gt;1E-9,AE1202*(1+$G$54)-MAX($B$9,0.01*AE1202+AE1202*$G$54),0),0)</f>
        <v/>
      </c>
      <c r="AF1203">
        <f>AE1202*$G$54</f>
        <v/>
      </c>
      <c r="AG1203">
        <f>IF(AG1202&gt;1E-9,IF(AG1202*(1+$G$55)-MAX($B$9,0.01*AG1202+AG1202*$G$55)&gt;1E-9,AG1202*(1+$G$55)-MAX($B$9,0.01*AG1202+AG1202*$G$55),0),0)</f>
        <v/>
      </c>
      <c r="AH1203">
        <f>AG1202*$G$55</f>
        <v/>
      </c>
      <c r="AI1203">
        <f>G1203+K1203+O1203+S1203+W1203</f>
        <v/>
      </c>
      <c r="AJ1203">
        <f>AI1202+AK1203-AI1203</f>
        <v/>
      </c>
      <c r="AK1203">
        <f>H1203+L1203+P1203+T1203+X1203</f>
        <v/>
      </c>
      <c r="AL1203">
        <f>TEXT(EDATE($B$5,D1203-1),"mmm yyyy")</f>
        <v/>
      </c>
      <c r="AM1203">
        <f>AI1203</f>
        <v/>
      </c>
    </row>
    <row r="1204">
      <c r="D1204" t="n">
        <v>1143</v>
      </c>
      <c r="E1204">
        <f>IF(G1203&gt;0,MAX(0,G1203*(1+$G$51)-$H$51),0)</f>
        <v/>
      </c>
      <c r="F1204">
        <f>$B$6+IF($D1204=$B$8,$B$7,0)</f>
        <v/>
      </c>
      <c r="G1204">
        <f>IF(E1204-F1204&gt;1E-9,E1204-F1204,0)</f>
        <v/>
      </c>
      <c r="H1204">
        <f>G1203*$G$51</f>
        <v/>
      </c>
      <c r="I1204">
        <f>IF(K1203&gt;0,MAX(0,K1203*(1+$G$52)-$H$52),0)</f>
        <v/>
      </c>
      <c r="J1204">
        <f>MAX(0,F1204-E1204)</f>
        <v/>
      </c>
      <c r="K1204">
        <f>IF(I1204-J1204&gt;1E-9,I1204-J1204,0)</f>
        <v/>
      </c>
      <c r="L1204">
        <f>K1203*$G$52</f>
        <v/>
      </c>
      <c r="M1204">
        <f>IF(O1203&gt;0,MAX(0,O1203*(1+$G$53)-$H$53),0)</f>
        <v/>
      </c>
      <c r="N1204">
        <f>MAX(0,J1204-I1204)</f>
        <v/>
      </c>
      <c r="O1204">
        <f>IF(M1204-N1204&gt;1E-9,M1204-N1204,0)</f>
        <v/>
      </c>
      <c r="P1204">
        <f>O1203*$G$53</f>
        <v/>
      </c>
      <c r="Q1204">
        <f>IF(S1203&gt;0,MAX(0,S1203*(1+$G$54)-$H$54),0)</f>
        <v/>
      </c>
      <c r="R1204">
        <f>MAX(0,N1204-M1204)</f>
        <v/>
      </c>
      <c r="S1204">
        <f>IF(Q1204-R1204&gt;1E-9,Q1204-R1204,0)</f>
        <v/>
      </c>
      <c r="T1204">
        <f>S1203*$G$54</f>
        <v/>
      </c>
      <c r="U1204">
        <f>IF(W1203&gt;0,MAX(0,W1203*(1+$G$55)-$H$55),0)</f>
        <v/>
      </c>
      <c r="V1204">
        <f>MAX(0,R1204-Q1204)</f>
        <v/>
      </c>
      <c r="W1204">
        <f>IF(U1204-V1204&gt;1E-9,U1204-V1204,0)</f>
        <v/>
      </c>
      <c r="X1204">
        <f>W1203*$G$55</f>
        <v/>
      </c>
      <c r="Y1204">
        <f>IF(Y1203&gt;1E-9,IF(Y1203*(1+$G$51)-MAX($B$9,0.01*Y1203+Y1203*$G$51)&gt;1E-9,Y1203*(1+$G$51)-MAX($B$9,0.01*Y1203+Y1203*$G$51),0),0)</f>
        <v/>
      </c>
      <c r="Z1204">
        <f>Y1203*$G$51</f>
        <v/>
      </c>
      <c r="AA1204">
        <f>IF(AA1203&gt;1E-9,IF(AA1203*(1+$G$52)-MAX($B$9,0.01*AA1203+AA1203*$G$52)&gt;1E-9,AA1203*(1+$G$52)-MAX($B$9,0.01*AA1203+AA1203*$G$52),0),0)</f>
        <v/>
      </c>
      <c r="AB1204">
        <f>AA1203*$G$52</f>
        <v/>
      </c>
      <c r="AC1204">
        <f>IF(AC1203&gt;1E-9,IF(AC1203*(1+$G$53)-MAX($B$9,0.01*AC1203+AC1203*$G$53)&gt;1E-9,AC1203*(1+$G$53)-MAX($B$9,0.01*AC1203+AC1203*$G$53),0),0)</f>
        <v/>
      </c>
      <c r="AD1204">
        <f>AC1203*$G$53</f>
        <v/>
      </c>
      <c r="AE1204">
        <f>IF(AE1203&gt;1E-9,IF(AE1203*(1+$G$54)-MAX($B$9,0.01*AE1203+AE1203*$G$54)&gt;1E-9,AE1203*(1+$G$54)-MAX($B$9,0.01*AE1203+AE1203*$G$54),0),0)</f>
        <v/>
      </c>
      <c r="AF1204">
        <f>AE1203*$G$54</f>
        <v/>
      </c>
      <c r="AG1204">
        <f>IF(AG1203&gt;1E-9,IF(AG1203*(1+$G$55)-MAX($B$9,0.01*AG1203+AG1203*$G$55)&gt;1E-9,AG1203*(1+$G$55)-MAX($B$9,0.01*AG1203+AG1203*$G$55),0),0)</f>
        <v/>
      </c>
      <c r="AH1204">
        <f>AG1203*$G$55</f>
        <v/>
      </c>
      <c r="AI1204">
        <f>G1204+K1204+O1204+S1204+W1204</f>
        <v/>
      </c>
      <c r="AJ1204">
        <f>AI1203+AK1204-AI1204</f>
        <v/>
      </c>
      <c r="AK1204">
        <f>H1204+L1204+P1204+T1204+X1204</f>
        <v/>
      </c>
      <c r="AL1204">
        <f>TEXT(EDATE($B$5,D1204-1),"mmm yyyy")</f>
        <v/>
      </c>
      <c r="AM1204">
        <f>AI1204</f>
        <v/>
      </c>
    </row>
    <row r="1205">
      <c r="D1205" t="n">
        <v>1144</v>
      </c>
      <c r="E1205">
        <f>IF(G1204&gt;0,MAX(0,G1204*(1+$G$51)-$H$51),0)</f>
        <v/>
      </c>
      <c r="F1205">
        <f>$B$6+IF($D1205=$B$8,$B$7,0)</f>
        <v/>
      </c>
      <c r="G1205">
        <f>IF(E1205-F1205&gt;1E-9,E1205-F1205,0)</f>
        <v/>
      </c>
      <c r="H1205">
        <f>G1204*$G$51</f>
        <v/>
      </c>
      <c r="I1205">
        <f>IF(K1204&gt;0,MAX(0,K1204*(1+$G$52)-$H$52),0)</f>
        <v/>
      </c>
      <c r="J1205">
        <f>MAX(0,F1205-E1205)</f>
        <v/>
      </c>
      <c r="K1205">
        <f>IF(I1205-J1205&gt;1E-9,I1205-J1205,0)</f>
        <v/>
      </c>
      <c r="L1205">
        <f>K1204*$G$52</f>
        <v/>
      </c>
      <c r="M1205">
        <f>IF(O1204&gt;0,MAX(0,O1204*(1+$G$53)-$H$53),0)</f>
        <v/>
      </c>
      <c r="N1205">
        <f>MAX(0,J1205-I1205)</f>
        <v/>
      </c>
      <c r="O1205">
        <f>IF(M1205-N1205&gt;1E-9,M1205-N1205,0)</f>
        <v/>
      </c>
      <c r="P1205">
        <f>O1204*$G$53</f>
        <v/>
      </c>
      <c r="Q1205">
        <f>IF(S1204&gt;0,MAX(0,S1204*(1+$G$54)-$H$54),0)</f>
        <v/>
      </c>
      <c r="R1205">
        <f>MAX(0,N1205-M1205)</f>
        <v/>
      </c>
      <c r="S1205">
        <f>IF(Q1205-R1205&gt;1E-9,Q1205-R1205,0)</f>
        <v/>
      </c>
      <c r="T1205">
        <f>S1204*$G$54</f>
        <v/>
      </c>
      <c r="U1205">
        <f>IF(W1204&gt;0,MAX(0,W1204*(1+$G$55)-$H$55),0)</f>
        <v/>
      </c>
      <c r="V1205">
        <f>MAX(0,R1205-Q1205)</f>
        <v/>
      </c>
      <c r="W1205">
        <f>IF(U1205-V1205&gt;1E-9,U1205-V1205,0)</f>
        <v/>
      </c>
      <c r="X1205">
        <f>W1204*$G$55</f>
        <v/>
      </c>
      <c r="Y1205">
        <f>IF(Y1204&gt;1E-9,IF(Y1204*(1+$G$51)-MAX($B$9,0.01*Y1204+Y1204*$G$51)&gt;1E-9,Y1204*(1+$G$51)-MAX($B$9,0.01*Y1204+Y1204*$G$51),0),0)</f>
        <v/>
      </c>
      <c r="Z1205">
        <f>Y1204*$G$51</f>
        <v/>
      </c>
      <c r="AA1205">
        <f>IF(AA1204&gt;1E-9,IF(AA1204*(1+$G$52)-MAX($B$9,0.01*AA1204+AA1204*$G$52)&gt;1E-9,AA1204*(1+$G$52)-MAX($B$9,0.01*AA1204+AA1204*$G$52),0),0)</f>
        <v/>
      </c>
      <c r="AB1205">
        <f>AA1204*$G$52</f>
        <v/>
      </c>
      <c r="AC1205">
        <f>IF(AC1204&gt;1E-9,IF(AC1204*(1+$G$53)-MAX($B$9,0.01*AC1204+AC1204*$G$53)&gt;1E-9,AC1204*(1+$G$53)-MAX($B$9,0.01*AC1204+AC1204*$G$53),0),0)</f>
        <v/>
      </c>
      <c r="AD1205">
        <f>AC1204*$G$53</f>
        <v/>
      </c>
      <c r="AE1205">
        <f>IF(AE1204&gt;1E-9,IF(AE1204*(1+$G$54)-MAX($B$9,0.01*AE1204+AE1204*$G$54)&gt;1E-9,AE1204*(1+$G$54)-MAX($B$9,0.01*AE1204+AE1204*$G$54),0),0)</f>
        <v/>
      </c>
      <c r="AF1205">
        <f>AE1204*$G$54</f>
        <v/>
      </c>
      <c r="AG1205">
        <f>IF(AG1204&gt;1E-9,IF(AG1204*(1+$G$55)-MAX($B$9,0.01*AG1204+AG1204*$G$55)&gt;1E-9,AG1204*(1+$G$55)-MAX($B$9,0.01*AG1204+AG1204*$G$55),0),0)</f>
        <v/>
      </c>
      <c r="AH1205">
        <f>AG1204*$G$55</f>
        <v/>
      </c>
      <c r="AI1205">
        <f>G1205+K1205+O1205+S1205+W1205</f>
        <v/>
      </c>
      <c r="AJ1205">
        <f>AI1204+AK1205-AI1205</f>
        <v/>
      </c>
      <c r="AK1205">
        <f>H1205+L1205+P1205+T1205+X1205</f>
        <v/>
      </c>
      <c r="AL1205">
        <f>TEXT(EDATE($B$5,D1205-1),"mmm yyyy")</f>
        <v/>
      </c>
      <c r="AM1205">
        <f>AI1205</f>
        <v/>
      </c>
    </row>
    <row r="1206">
      <c r="D1206" t="n">
        <v>1145</v>
      </c>
      <c r="E1206">
        <f>IF(G1205&gt;0,MAX(0,G1205*(1+$G$51)-$H$51),0)</f>
        <v/>
      </c>
      <c r="F1206">
        <f>$B$6+IF($D1206=$B$8,$B$7,0)</f>
        <v/>
      </c>
      <c r="G1206">
        <f>IF(E1206-F1206&gt;1E-9,E1206-F1206,0)</f>
        <v/>
      </c>
      <c r="H1206">
        <f>G1205*$G$51</f>
        <v/>
      </c>
      <c r="I1206">
        <f>IF(K1205&gt;0,MAX(0,K1205*(1+$G$52)-$H$52),0)</f>
        <v/>
      </c>
      <c r="J1206">
        <f>MAX(0,F1206-E1206)</f>
        <v/>
      </c>
      <c r="K1206">
        <f>IF(I1206-J1206&gt;1E-9,I1206-J1206,0)</f>
        <v/>
      </c>
      <c r="L1206">
        <f>K1205*$G$52</f>
        <v/>
      </c>
      <c r="M1206">
        <f>IF(O1205&gt;0,MAX(0,O1205*(1+$G$53)-$H$53),0)</f>
        <v/>
      </c>
      <c r="N1206">
        <f>MAX(0,J1206-I1206)</f>
        <v/>
      </c>
      <c r="O1206">
        <f>IF(M1206-N1206&gt;1E-9,M1206-N1206,0)</f>
        <v/>
      </c>
      <c r="P1206">
        <f>O1205*$G$53</f>
        <v/>
      </c>
      <c r="Q1206">
        <f>IF(S1205&gt;0,MAX(0,S1205*(1+$G$54)-$H$54),0)</f>
        <v/>
      </c>
      <c r="R1206">
        <f>MAX(0,N1206-M1206)</f>
        <v/>
      </c>
      <c r="S1206">
        <f>IF(Q1206-R1206&gt;1E-9,Q1206-R1206,0)</f>
        <v/>
      </c>
      <c r="T1206">
        <f>S1205*$G$54</f>
        <v/>
      </c>
      <c r="U1206">
        <f>IF(W1205&gt;0,MAX(0,W1205*(1+$G$55)-$H$55),0)</f>
        <v/>
      </c>
      <c r="V1206">
        <f>MAX(0,R1206-Q1206)</f>
        <v/>
      </c>
      <c r="W1206">
        <f>IF(U1206-V1206&gt;1E-9,U1206-V1206,0)</f>
        <v/>
      </c>
      <c r="X1206">
        <f>W1205*$G$55</f>
        <v/>
      </c>
      <c r="Y1206">
        <f>IF(Y1205&gt;1E-9,IF(Y1205*(1+$G$51)-MAX($B$9,0.01*Y1205+Y1205*$G$51)&gt;1E-9,Y1205*(1+$G$51)-MAX($B$9,0.01*Y1205+Y1205*$G$51),0),0)</f>
        <v/>
      </c>
      <c r="Z1206">
        <f>Y1205*$G$51</f>
        <v/>
      </c>
      <c r="AA1206">
        <f>IF(AA1205&gt;1E-9,IF(AA1205*(1+$G$52)-MAX($B$9,0.01*AA1205+AA1205*$G$52)&gt;1E-9,AA1205*(1+$G$52)-MAX($B$9,0.01*AA1205+AA1205*$G$52),0),0)</f>
        <v/>
      </c>
      <c r="AB1206">
        <f>AA1205*$G$52</f>
        <v/>
      </c>
      <c r="AC1206">
        <f>IF(AC1205&gt;1E-9,IF(AC1205*(1+$G$53)-MAX($B$9,0.01*AC1205+AC1205*$G$53)&gt;1E-9,AC1205*(1+$G$53)-MAX($B$9,0.01*AC1205+AC1205*$G$53),0),0)</f>
        <v/>
      </c>
      <c r="AD1206">
        <f>AC1205*$G$53</f>
        <v/>
      </c>
      <c r="AE1206">
        <f>IF(AE1205&gt;1E-9,IF(AE1205*(1+$G$54)-MAX($B$9,0.01*AE1205+AE1205*$G$54)&gt;1E-9,AE1205*(1+$G$54)-MAX($B$9,0.01*AE1205+AE1205*$G$54),0),0)</f>
        <v/>
      </c>
      <c r="AF1206">
        <f>AE1205*$G$54</f>
        <v/>
      </c>
      <c r="AG1206">
        <f>IF(AG1205&gt;1E-9,IF(AG1205*(1+$G$55)-MAX($B$9,0.01*AG1205+AG1205*$G$55)&gt;1E-9,AG1205*(1+$G$55)-MAX($B$9,0.01*AG1205+AG1205*$G$55),0),0)</f>
        <v/>
      </c>
      <c r="AH1206">
        <f>AG1205*$G$55</f>
        <v/>
      </c>
      <c r="AI1206">
        <f>G1206+K1206+O1206+S1206+W1206</f>
        <v/>
      </c>
      <c r="AJ1206">
        <f>AI1205+AK1206-AI1206</f>
        <v/>
      </c>
      <c r="AK1206">
        <f>H1206+L1206+P1206+T1206+X1206</f>
        <v/>
      </c>
      <c r="AL1206">
        <f>TEXT(EDATE($B$5,D1206-1),"mmm yyyy")</f>
        <v/>
      </c>
      <c r="AM1206">
        <f>AI1206</f>
        <v/>
      </c>
    </row>
    <row r="1207">
      <c r="D1207" t="n">
        <v>1146</v>
      </c>
      <c r="E1207">
        <f>IF(G1206&gt;0,MAX(0,G1206*(1+$G$51)-$H$51),0)</f>
        <v/>
      </c>
      <c r="F1207">
        <f>$B$6+IF($D1207=$B$8,$B$7,0)</f>
        <v/>
      </c>
      <c r="G1207">
        <f>IF(E1207-F1207&gt;1E-9,E1207-F1207,0)</f>
        <v/>
      </c>
      <c r="H1207">
        <f>G1206*$G$51</f>
        <v/>
      </c>
      <c r="I1207">
        <f>IF(K1206&gt;0,MAX(0,K1206*(1+$G$52)-$H$52),0)</f>
        <v/>
      </c>
      <c r="J1207">
        <f>MAX(0,F1207-E1207)</f>
        <v/>
      </c>
      <c r="K1207">
        <f>IF(I1207-J1207&gt;1E-9,I1207-J1207,0)</f>
        <v/>
      </c>
      <c r="L1207">
        <f>K1206*$G$52</f>
        <v/>
      </c>
      <c r="M1207">
        <f>IF(O1206&gt;0,MAX(0,O1206*(1+$G$53)-$H$53),0)</f>
        <v/>
      </c>
      <c r="N1207">
        <f>MAX(0,J1207-I1207)</f>
        <v/>
      </c>
      <c r="O1207">
        <f>IF(M1207-N1207&gt;1E-9,M1207-N1207,0)</f>
        <v/>
      </c>
      <c r="P1207">
        <f>O1206*$G$53</f>
        <v/>
      </c>
      <c r="Q1207">
        <f>IF(S1206&gt;0,MAX(0,S1206*(1+$G$54)-$H$54),0)</f>
        <v/>
      </c>
      <c r="R1207">
        <f>MAX(0,N1207-M1207)</f>
        <v/>
      </c>
      <c r="S1207">
        <f>IF(Q1207-R1207&gt;1E-9,Q1207-R1207,0)</f>
        <v/>
      </c>
      <c r="T1207">
        <f>S1206*$G$54</f>
        <v/>
      </c>
      <c r="U1207">
        <f>IF(W1206&gt;0,MAX(0,W1206*(1+$G$55)-$H$55),0)</f>
        <v/>
      </c>
      <c r="V1207">
        <f>MAX(0,R1207-Q1207)</f>
        <v/>
      </c>
      <c r="W1207">
        <f>IF(U1207-V1207&gt;1E-9,U1207-V1207,0)</f>
        <v/>
      </c>
      <c r="X1207">
        <f>W1206*$G$55</f>
        <v/>
      </c>
      <c r="Y1207">
        <f>IF(Y1206&gt;1E-9,IF(Y1206*(1+$G$51)-MAX($B$9,0.01*Y1206+Y1206*$G$51)&gt;1E-9,Y1206*(1+$G$51)-MAX($B$9,0.01*Y1206+Y1206*$G$51),0),0)</f>
        <v/>
      </c>
      <c r="Z1207">
        <f>Y1206*$G$51</f>
        <v/>
      </c>
      <c r="AA1207">
        <f>IF(AA1206&gt;1E-9,IF(AA1206*(1+$G$52)-MAX($B$9,0.01*AA1206+AA1206*$G$52)&gt;1E-9,AA1206*(1+$G$52)-MAX($B$9,0.01*AA1206+AA1206*$G$52),0),0)</f>
        <v/>
      </c>
      <c r="AB1207">
        <f>AA1206*$G$52</f>
        <v/>
      </c>
      <c r="AC1207">
        <f>IF(AC1206&gt;1E-9,IF(AC1206*(1+$G$53)-MAX($B$9,0.01*AC1206+AC1206*$G$53)&gt;1E-9,AC1206*(1+$G$53)-MAX($B$9,0.01*AC1206+AC1206*$G$53),0),0)</f>
        <v/>
      </c>
      <c r="AD1207">
        <f>AC1206*$G$53</f>
        <v/>
      </c>
      <c r="AE1207">
        <f>IF(AE1206&gt;1E-9,IF(AE1206*(1+$G$54)-MAX($B$9,0.01*AE1206+AE1206*$G$54)&gt;1E-9,AE1206*(1+$G$54)-MAX($B$9,0.01*AE1206+AE1206*$G$54),0),0)</f>
        <v/>
      </c>
      <c r="AF1207">
        <f>AE1206*$G$54</f>
        <v/>
      </c>
      <c r="AG1207">
        <f>IF(AG1206&gt;1E-9,IF(AG1206*(1+$G$55)-MAX($B$9,0.01*AG1206+AG1206*$G$55)&gt;1E-9,AG1206*(1+$G$55)-MAX($B$9,0.01*AG1206+AG1206*$G$55),0),0)</f>
        <v/>
      </c>
      <c r="AH1207">
        <f>AG1206*$G$55</f>
        <v/>
      </c>
      <c r="AI1207">
        <f>G1207+K1207+O1207+S1207+W1207</f>
        <v/>
      </c>
      <c r="AJ1207">
        <f>AI1206+AK1207-AI1207</f>
        <v/>
      </c>
      <c r="AK1207">
        <f>H1207+L1207+P1207+T1207+X1207</f>
        <v/>
      </c>
      <c r="AL1207">
        <f>TEXT(EDATE($B$5,D1207-1),"mmm yyyy")</f>
        <v/>
      </c>
      <c r="AM1207">
        <f>AI1207</f>
        <v/>
      </c>
    </row>
    <row r="1208">
      <c r="D1208" t="n">
        <v>1147</v>
      </c>
      <c r="E1208">
        <f>IF(G1207&gt;0,MAX(0,G1207*(1+$G$51)-$H$51),0)</f>
        <v/>
      </c>
      <c r="F1208">
        <f>$B$6+IF($D1208=$B$8,$B$7,0)</f>
        <v/>
      </c>
      <c r="G1208">
        <f>IF(E1208-F1208&gt;1E-9,E1208-F1208,0)</f>
        <v/>
      </c>
      <c r="H1208">
        <f>G1207*$G$51</f>
        <v/>
      </c>
      <c r="I1208">
        <f>IF(K1207&gt;0,MAX(0,K1207*(1+$G$52)-$H$52),0)</f>
        <v/>
      </c>
      <c r="J1208">
        <f>MAX(0,F1208-E1208)</f>
        <v/>
      </c>
      <c r="K1208">
        <f>IF(I1208-J1208&gt;1E-9,I1208-J1208,0)</f>
        <v/>
      </c>
      <c r="L1208">
        <f>K1207*$G$52</f>
        <v/>
      </c>
      <c r="M1208">
        <f>IF(O1207&gt;0,MAX(0,O1207*(1+$G$53)-$H$53),0)</f>
        <v/>
      </c>
      <c r="N1208">
        <f>MAX(0,J1208-I1208)</f>
        <v/>
      </c>
      <c r="O1208">
        <f>IF(M1208-N1208&gt;1E-9,M1208-N1208,0)</f>
        <v/>
      </c>
      <c r="P1208">
        <f>O1207*$G$53</f>
        <v/>
      </c>
      <c r="Q1208">
        <f>IF(S1207&gt;0,MAX(0,S1207*(1+$G$54)-$H$54),0)</f>
        <v/>
      </c>
      <c r="R1208">
        <f>MAX(0,N1208-M1208)</f>
        <v/>
      </c>
      <c r="S1208">
        <f>IF(Q1208-R1208&gt;1E-9,Q1208-R1208,0)</f>
        <v/>
      </c>
      <c r="T1208">
        <f>S1207*$G$54</f>
        <v/>
      </c>
      <c r="U1208">
        <f>IF(W1207&gt;0,MAX(0,W1207*(1+$G$55)-$H$55),0)</f>
        <v/>
      </c>
      <c r="V1208">
        <f>MAX(0,R1208-Q1208)</f>
        <v/>
      </c>
      <c r="W1208">
        <f>IF(U1208-V1208&gt;1E-9,U1208-V1208,0)</f>
        <v/>
      </c>
      <c r="X1208">
        <f>W1207*$G$55</f>
        <v/>
      </c>
      <c r="Y1208">
        <f>IF(Y1207&gt;1E-9,IF(Y1207*(1+$G$51)-MAX($B$9,0.01*Y1207+Y1207*$G$51)&gt;1E-9,Y1207*(1+$G$51)-MAX($B$9,0.01*Y1207+Y1207*$G$51),0),0)</f>
        <v/>
      </c>
      <c r="Z1208">
        <f>Y1207*$G$51</f>
        <v/>
      </c>
      <c r="AA1208">
        <f>IF(AA1207&gt;1E-9,IF(AA1207*(1+$G$52)-MAX($B$9,0.01*AA1207+AA1207*$G$52)&gt;1E-9,AA1207*(1+$G$52)-MAX($B$9,0.01*AA1207+AA1207*$G$52),0),0)</f>
        <v/>
      </c>
      <c r="AB1208">
        <f>AA1207*$G$52</f>
        <v/>
      </c>
      <c r="AC1208">
        <f>IF(AC1207&gt;1E-9,IF(AC1207*(1+$G$53)-MAX($B$9,0.01*AC1207+AC1207*$G$53)&gt;1E-9,AC1207*(1+$G$53)-MAX($B$9,0.01*AC1207+AC1207*$G$53),0),0)</f>
        <v/>
      </c>
      <c r="AD1208">
        <f>AC1207*$G$53</f>
        <v/>
      </c>
      <c r="AE1208">
        <f>IF(AE1207&gt;1E-9,IF(AE1207*(1+$G$54)-MAX($B$9,0.01*AE1207+AE1207*$G$54)&gt;1E-9,AE1207*(1+$G$54)-MAX($B$9,0.01*AE1207+AE1207*$G$54),0),0)</f>
        <v/>
      </c>
      <c r="AF1208">
        <f>AE1207*$G$54</f>
        <v/>
      </c>
      <c r="AG1208">
        <f>IF(AG1207&gt;1E-9,IF(AG1207*(1+$G$55)-MAX($B$9,0.01*AG1207+AG1207*$G$55)&gt;1E-9,AG1207*(1+$G$55)-MAX($B$9,0.01*AG1207+AG1207*$G$55),0),0)</f>
        <v/>
      </c>
      <c r="AH1208">
        <f>AG1207*$G$55</f>
        <v/>
      </c>
      <c r="AI1208">
        <f>G1208+K1208+O1208+S1208+W1208</f>
        <v/>
      </c>
      <c r="AJ1208">
        <f>AI1207+AK1208-AI1208</f>
        <v/>
      </c>
      <c r="AK1208">
        <f>H1208+L1208+P1208+T1208+X1208</f>
        <v/>
      </c>
      <c r="AL1208">
        <f>TEXT(EDATE($B$5,D1208-1),"mmm yyyy")</f>
        <v/>
      </c>
      <c r="AM1208">
        <f>AI1208</f>
        <v/>
      </c>
    </row>
    <row r="1209">
      <c r="D1209" t="n">
        <v>1148</v>
      </c>
      <c r="E1209">
        <f>IF(G1208&gt;0,MAX(0,G1208*(1+$G$51)-$H$51),0)</f>
        <v/>
      </c>
      <c r="F1209">
        <f>$B$6+IF($D1209=$B$8,$B$7,0)</f>
        <v/>
      </c>
      <c r="G1209">
        <f>IF(E1209-F1209&gt;1E-9,E1209-F1209,0)</f>
        <v/>
      </c>
      <c r="H1209">
        <f>G1208*$G$51</f>
        <v/>
      </c>
      <c r="I1209">
        <f>IF(K1208&gt;0,MAX(0,K1208*(1+$G$52)-$H$52),0)</f>
        <v/>
      </c>
      <c r="J1209">
        <f>MAX(0,F1209-E1209)</f>
        <v/>
      </c>
      <c r="K1209">
        <f>IF(I1209-J1209&gt;1E-9,I1209-J1209,0)</f>
        <v/>
      </c>
      <c r="L1209">
        <f>K1208*$G$52</f>
        <v/>
      </c>
      <c r="M1209">
        <f>IF(O1208&gt;0,MAX(0,O1208*(1+$G$53)-$H$53),0)</f>
        <v/>
      </c>
      <c r="N1209">
        <f>MAX(0,J1209-I1209)</f>
        <v/>
      </c>
      <c r="O1209">
        <f>IF(M1209-N1209&gt;1E-9,M1209-N1209,0)</f>
        <v/>
      </c>
      <c r="P1209">
        <f>O1208*$G$53</f>
        <v/>
      </c>
      <c r="Q1209">
        <f>IF(S1208&gt;0,MAX(0,S1208*(1+$G$54)-$H$54),0)</f>
        <v/>
      </c>
      <c r="R1209">
        <f>MAX(0,N1209-M1209)</f>
        <v/>
      </c>
      <c r="S1209">
        <f>IF(Q1209-R1209&gt;1E-9,Q1209-R1209,0)</f>
        <v/>
      </c>
      <c r="T1209">
        <f>S1208*$G$54</f>
        <v/>
      </c>
      <c r="U1209">
        <f>IF(W1208&gt;0,MAX(0,W1208*(1+$G$55)-$H$55),0)</f>
        <v/>
      </c>
      <c r="V1209">
        <f>MAX(0,R1209-Q1209)</f>
        <v/>
      </c>
      <c r="W1209">
        <f>IF(U1209-V1209&gt;1E-9,U1209-V1209,0)</f>
        <v/>
      </c>
      <c r="X1209">
        <f>W1208*$G$55</f>
        <v/>
      </c>
      <c r="Y1209">
        <f>IF(Y1208&gt;1E-9,IF(Y1208*(1+$G$51)-MAX($B$9,0.01*Y1208+Y1208*$G$51)&gt;1E-9,Y1208*(1+$G$51)-MAX($B$9,0.01*Y1208+Y1208*$G$51),0),0)</f>
        <v/>
      </c>
      <c r="Z1209">
        <f>Y1208*$G$51</f>
        <v/>
      </c>
      <c r="AA1209">
        <f>IF(AA1208&gt;1E-9,IF(AA1208*(1+$G$52)-MAX($B$9,0.01*AA1208+AA1208*$G$52)&gt;1E-9,AA1208*(1+$G$52)-MAX($B$9,0.01*AA1208+AA1208*$G$52),0),0)</f>
        <v/>
      </c>
      <c r="AB1209">
        <f>AA1208*$G$52</f>
        <v/>
      </c>
      <c r="AC1209">
        <f>IF(AC1208&gt;1E-9,IF(AC1208*(1+$G$53)-MAX($B$9,0.01*AC1208+AC1208*$G$53)&gt;1E-9,AC1208*(1+$G$53)-MAX($B$9,0.01*AC1208+AC1208*$G$53),0),0)</f>
        <v/>
      </c>
      <c r="AD1209">
        <f>AC1208*$G$53</f>
        <v/>
      </c>
      <c r="AE1209">
        <f>IF(AE1208&gt;1E-9,IF(AE1208*(1+$G$54)-MAX($B$9,0.01*AE1208+AE1208*$G$54)&gt;1E-9,AE1208*(1+$G$54)-MAX($B$9,0.01*AE1208+AE1208*$G$54),0),0)</f>
        <v/>
      </c>
      <c r="AF1209">
        <f>AE1208*$G$54</f>
        <v/>
      </c>
      <c r="AG1209">
        <f>IF(AG1208&gt;1E-9,IF(AG1208*(1+$G$55)-MAX($B$9,0.01*AG1208+AG1208*$G$55)&gt;1E-9,AG1208*(1+$G$55)-MAX($B$9,0.01*AG1208+AG1208*$G$55),0),0)</f>
        <v/>
      </c>
      <c r="AH1209">
        <f>AG1208*$G$55</f>
        <v/>
      </c>
      <c r="AI1209">
        <f>G1209+K1209+O1209+S1209+W1209</f>
        <v/>
      </c>
      <c r="AJ1209">
        <f>AI1208+AK1209-AI1209</f>
        <v/>
      </c>
      <c r="AK1209">
        <f>H1209+L1209+P1209+T1209+X1209</f>
        <v/>
      </c>
      <c r="AL1209">
        <f>TEXT(EDATE($B$5,D1209-1),"mmm yyyy")</f>
        <v/>
      </c>
      <c r="AM1209">
        <f>AI1209</f>
        <v/>
      </c>
    </row>
    <row r="1210">
      <c r="D1210" t="n">
        <v>1149</v>
      </c>
      <c r="E1210">
        <f>IF(G1209&gt;0,MAX(0,G1209*(1+$G$51)-$H$51),0)</f>
        <v/>
      </c>
      <c r="F1210">
        <f>$B$6+IF($D1210=$B$8,$B$7,0)</f>
        <v/>
      </c>
      <c r="G1210">
        <f>IF(E1210-F1210&gt;1E-9,E1210-F1210,0)</f>
        <v/>
      </c>
      <c r="H1210">
        <f>G1209*$G$51</f>
        <v/>
      </c>
      <c r="I1210">
        <f>IF(K1209&gt;0,MAX(0,K1209*(1+$G$52)-$H$52),0)</f>
        <v/>
      </c>
      <c r="J1210">
        <f>MAX(0,F1210-E1210)</f>
        <v/>
      </c>
      <c r="K1210">
        <f>IF(I1210-J1210&gt;1E-9,I1210-J1210,0)</f>
        <v/>
      </c>
      <c r="L1210">
        <f>K1209*$G$52</f>
        <v/>
      </c>
      <c r="M1210">
        <f>IF(O1209&gt;0,MAX(0,O1209*(1+$G$53)-$H$53),0)</f>
        <v/>
      </c>
      <c r="N1210">
        <f>MAX(0,J1210-I1210)</f>
        <v/>
      </c>
      <c r="O1210">
        <f>IF(M1210-N1210&gt;1E-9,M1210-N1210,0)</f>
        <v/>
      </c>
      <c r="P1210">
        <f>O1209*$G$53</f>
        <v/>
      </c>
      <c r="Q1210">
        <f>IF(S1209&gt;0,MAX(0,S1209*(1+$G$54)-$H$54),0)</f>
        <v/>
      </c>
      <c r="R1210">
        <f>MAX(0,N1210-M1210)</f>
        <v/>
      </c>
      <c r="S1210">
        <f>IF(Q1210-R1210&gt;1E-9,Q1210-R1210,0)</f>
        <v/>
      </c>
      <c r="T1210">
        <f>S1209*$G$54</f>
        <v/>
      </c>
      <c r="U1210">
        <f>IF(W1209&gt;0,MAX(0,W1209*(1+$G$55)-$H$55),0)</f>
        <v/>
      </c>
      <c r="V1210">
        <f>MAX(0,R1210-Q1210)</f>
        <v/>
      </c>
      <c r="W1210">
        <f>IF(U1210-V1210&gt;1E-9,U1210-V1210,0)</f>
        <v/>
      </c>
      <c r="X1210">
        <f>W1209*$G$55</f>
        <v/>
      </c>
      <c r="Y1210">
        <f>IF(Y1209&gt;1E-9,IF(Y1209*(1+$G$51)-MAX($B$9,0.01*Y1209+Y1209*$G$51)&gt;1E-9,Y1209*(1+$G$51)-MAX($B$9,0.01*Y1209+Y1209*$G$51),0),0)</f>
        <v/>
      </c>
      <c r="Z1210">
        <f>Y1209*$G$51</f>
        <v/>
      </c>
      <c r="AA1210">
        <f>IF(AA1209&gt;1E-9,IF(AA1209*(1+$G$52)-MAX($B$9,0.01*AA1209+AA1209*$G$52)&gt;1E-9,AA1209*(1+$G$52)-MAX($B$9,0.01*AA1209+AA1209*$G$52),0),0)</f>
        <v/>
      </c>
      <c r="AB1210">
        <f>AA1209*$G$52</f>
        <v/>
      </c>
      <c r="AC1210">
        <f>IF(AC1209&gt;1E-9,IF(AC1209*(1+$G$53)-MAX($B$9,0.01*AC1209+AC1209*$G$53)&gt;1E-9,AC1209*(1+$G$53)-MAX($B$9,0.01*AC1209+AC1209*$G$53),0),0)</f>
        <v/>
      </c>
      <c r="AD1210">
        <f>AC1209*$G$53</f>
        <v/>
      </c>
      <c r="AE1210">
        <f>IF(AE1209&gt;1E-9,IF(AE1209*(1+$G$54)-MAX($B$9,0.01*AE1209+AE1209*$G$54)&gt;1E-9,AE1209*(1+$G$54)-MAX($B$9,0.01*AE1209+AE1209*$G$54),0),0)</f>
        <v/>
      </c>
      <c r="AF1210">
        <f>AE1209*$G$54</f>
        <v/>
      </c>
      <c r="AG1210">
        <f>IF(AG1209&gt;1E-9,IF(AG1209*(1+$G$55)-MAX($B$9,0.01*AG1209+AG1209*$G$55)&gt;1E-9,AG1209*(1+$G$55)-MAX($B$9,0.01*AG1209+AG1209*$G$55),0),0)</f>
        <v/>
      </c>
      <c r="AH1210">
        <f>AG1209*$G$55</f>
        <v/>
      </c>
      <c r="AI1210">
        <f>G1210+K1210+O1210+S1210+W1210</f>
        <v/>
      </c>
      <c r="AJ1210">
        <f>AI1209+AK1210-AI1210</f>
        <v/>
      </c>
      <c r="AK1210">
        <f>H1210+L1210+P1210+T1210+X1210</f>
        <v/>
      </c>
      <c r="AL1210">
        <f>TEXT(EDATE($B$5,D1210-1),"mmm yyyy")</f>
        <v/>
      </c>
      <c r="AM1210">
        <f>AI1210</f>
        <v/>
      </c>
    </row>
    <row r="1211">
      <c r="D1211" t="n">
        <v>1150</v>
      </c>
      <c r="E1211">
        <f>IF(G1210&gt;0,MAX(0,G1210*(1+$G$51)-$H$51),0)</f>
        <v/>
      </c>
      <c r="F1211">
        <f>$B$6+IF($D1211=$B$8,$B$7,0)</f>
        <v/>
      </c>
      <c r="G1211">
        <f>IF(E1211-F1211&gt;1E-9,E1211-F1211,0)</f>
        <v/>
      </c>
      <c r="H1211">
        <f>G1210*$G$51</f>
        <v/>
      </c>
      <c r="I1211">
        <f>IF(K1210&gt;0,MAX(0,K1210*(1+$G$52)-$H$52),0)</f>
        <v/>
      </c>
      <c r="J1211">
        <f>MAX(0,F1211-E1211)</f>
        <v/>
      </c>
      <c r="K1211">
        <f>IF(I1211-J1211&gt;1E-9,I1211-J1211,0)</f>
        <v/>
      </c>
      <c r="L1211">
        <f>K1210*$G$52</f>
        <v/>
      </c>
      <c r="M1211">
        <f>IF(O1210&gt;0,MAX(0,O1210*(1+$G$53)-$H$53),0)</f>
        <v/>
      </c>
      <c r="N1211">
        <f>MAX(0,J1211-I1211)</f>
        <v/>
      </c>
      <c r="O1211">
        <f>IF(M1211-N1211&gt;1E-9,M1211-N1211,0)</f>
        <v/>
      </c>
      <c r="P1211">
        <f>O1210*$G$53</f>
        <v/>
      </c>
      <c r="Q1211">
        <f>IF(S1210&gt;0,MAX(0,S1210*(1+$G$54)-$H$54),0)</f>
        <v/>
      </c>
      <c r="R1211">
        <f>MAX(0,N1211-M1211)</f>
        <v/>
      </c>
      <c r="S1211">
        <f>IF(Q1211-R1211&gt;1E-9,Q1211-R1211,0)</f>
        <v/>
      </c>
      <c r="T1211">
        <f>S1210*$G$54</f>
        <v/>
      </c>
      <c r="U1211">
        <f>IF(W1210&gt;0,MAX(0,W1210*(1+$G$55)-$H$55),0)</f>
        <v/>
      </c>
      <c r="V1211">
        <f>MAX(0,R1211-Q1211)</f>
        <v/>
      </c>
      <c r="W1211">
        <f>IF(U1211-V1211&gt;1E-9,U1211-V1211,0)</f>
        <v/>
      </c>
      <c r="X1211">
        <f>W1210*$G$55</f>
        <v/>
      </c>
      <c r="Y1211">
        <f>IF(Y1210&gt;1E-9,IF(Y1210*(1+$G$51)-MAX($B$9,0.01*Y1210+Y1210*$G$51)&gt;1E-9,Y1210*(1+$G$51)-MAX($B$9,0.01*Y1210+Y1210*$G$51),0),0)</f>
        <v/>
      </c>
      <c r="Z1211">
        <f>Y1210*$G$51</f>
        <v/>
      </c>
      <c r="AA1211">
        <f>IF(AA1210&gt;1E-9,IF(AA1210*(1+$G$52)-MAX($B$9,0.01*AA1210+AA1210*$G$52)&gt;1E-9,AA1210*(1+$G$52)-MAX($B$9,0.01*AA1210+AA1210*$G$52),0),0)</f>
        <v/>
      </c>
      <c r="AB1211">
        <f>AA1210*$G$52</f>
        <v/>
      </c>
      <c r="AC1211">
        <f>IF(AC1210&gt;1E-9,IF(AC1210*(1+$G$53)-MAX($B$9,0.01*AC1210+AC1210*$G$53)&gt;1E-9,AC1210*(1+$G$53)-MAX($B$9,0.01*AC1210+AC1210*$G$53),0),0)</f>
        <v/>
      </c>
      <c r="AD1211">
        <f>AC1210*$G$53</f>
        <v/>
      </c>
      <c r="AE1211">
        <f>IF(AE1210&gt;1E-9,IF(AE1210*(1+$G$54)-MAX($B$9,0.01*AE1210+AE1210*$G$54)&gt;1E-9,AE1210*(1+$G$54)-MAX($B$9,0.01*AE1210+AE1210*$G$54),0),0)</f>
        <v/>
      </c>
      <c r="AF1211">
        <f>AE1210*$G$54</f>
        <v/>
      </c>
      <c r="AG1211">
        <f>IF(AG1210&gt;1E-9,IF(AG1210*(1+$G$55)-MAX($B$9,0.01*AG1210+AG1210*$G$55)&gt;1E-9,AG1210*(1+$G$55)-MAX($B$9,0.01*AG1210+AG1210*$G$55),0),0)</f>
        <v/>
      </c>
      <c r="AH1211">
        <f>AG1210*$G$55</f>
        <v/>
      </c>
      <c r="AI1211">
        <f>G1211+K1211+O1211+S1211+W1211</f>
        <v/>
      </c>
      <c r="AJ1211">
        <f>AI1210+AK1211-AI1211</f>
        <v/>
      </c>
      <c r="AK1211">
        <f>H1211+L1211+P1211+T1211+X1211</f>
        <v/>
      </c>
      <c r="AL1211">
        <f>TEXT(EDATE($B$5,D1211-1),"mmm yyyy")</f>
        <v/>
      </c>
      <c r="AM1211">
        <f>AI1211</f>
        <v/>
      </c>
    </row>
    <row r="1212">
      <c r="D1212" t="n">
        <v>1151</v>
      </c>
      <c r="E1212">
        <f>IF(G1211&gt;0,MAX(0,G1211*(1+$G$51)-$H$51),0)</f>
        <v/>
      </c>
      <c r="F1212">
        <f>$B$6+IF($D1212=$B$8,$B$7,0)</f>
        <v/>
      </c>
      <c r="G1212">
        <f>IF(E1212-F1212&gt;1E-9,E1212-F1212,0)</f>
        <v/>
      </c>
      <c r="H1212">
        <f>G1211*$G$51</f>
        <v/>
      </c>
      <c r="I1212">
        <f>IF(K1211&gt;0,MAX(0,K1211*(1+$G$52)-$H$52),0)</f>
        <v/>
      </c>
      <c r="J1212">
        <f>MAX(0,F1212-E1212)</f>
        <v/>
      </c>
      <c r="K1212">
        <f>IF(I1212-J1212&gt;1E-9,I1212-J1212,0)</f>
        <v/>
      </c>
      <c r="L1212">
        <f>K1211*$G$52</f>
        <v/>
      </c>
      <c r="M1212">
        <f>IF(O1211&gt;0,MAX(0,O1211*(1+$G$53)-$H$53),0)</f>
        <v/>
      </c>
      <c r="N1212">
        <f>MAX(0,J1212-I1212)</f>
        <v/>
      </c>
      <c r="O1212">
        <f>IF(M1212-N1212&gt;1E-9,M1212-N1212,0)</f>
        <v/>
      </c>
      <c r="P1212">
        <f>O1211*$G$53</f>
        <v/>
      </c>
      <c r="Q1212">
        <f>IF(S1211&gt;0,MAX(0,S1211*(1+$G$54)-$H$54),0)</f>
        <v/>
      </c>
      <c r="R1212">
        <f>MAX(0,N1212-M1212)</f>
        <v/>
      </c>
      <c r="S1212">
        <f>IF(Q1212-R1212&gt;1E-9,Q1212-R1212,0)</f>
        <v/>
      </c>
      <c r="T1212">
        <f>S1211*$G$54</f>
        <v/>
      </c>
      <c r="U1212">
        <f>IF(W1211&gt;0,MAX(0,W1211*(1+$G$55)-$H$55),0)</f>
        <v/>
      </c>
      <c r="V1212">
        <f>MAX(0,R1212-Q1212)</f>
        <v/>
      </c>
      <c r="W1212">
        <f>IF(U1212-V1212&gt;1E-9,U1212-V1212,0)</f>
        <v/>
      </c>
      <c r="X1212">
        <f>W1211*$G$55</f>
        <v/>
      </c>
      <c r="Y1212">
        <f>IF(Y1211&gt;1E-9,IF(Y1211*(1+$G$51)-MAX($B$9,0.01*Y1211+Y1211*$G$51)&gt;1E-9,Y1211*(1+$G$51)-MAX($B$9,0.01*Y1211+Y1211*$G$51),0),0)</f>
        <v/>
      </c>
      <c r="Z1212">
        <f>Y1211*$G$51</f>
        <v/>
      </c>
      <c r="AA1212">
        <f>IF(AA1211&gt;1E-9,IF(AA1211*(1+$G$52)-MAX($B$9,0.01*AA1211+AA1211*$G$52)&gt;1E-9,AA1211*(1+$G$52)-MAX($B$9,0.01*AA1211+AA1211*$G$52),0),0)</f>
        <v/>
      </c>
      <c r="AB1212">
        <f>AA1211*$G$52</f>
        <v/>
      </c>
      <c r="AC1212">
        <f>IF(AC1211&gt;1E-9,IF(AC1211*(1+$G$53)-MAX($B$9,0.01*AC1211+AC1211*$G$53)&gt;1E-9,AC1211*(1+$G$53)-MAX($B$9,0.01*AC1211+AC1211*$G$53),0),0)</f>
        <v/>
      </c>
      <c r="AD1212">
        <f>AC1211*$G$53</f>
        <v/>
      </c>
      <c r="AE1212">
        <f>IF(AE1211&gt;1E-9,IF(AE1211*(1+$G$54)-MAX($B$9,0.01*AE1211+AE1211*$G$54)&gt;1E-9,AE1211*(1+$G$54)-MAX($B$9,0.01*AE1211+AE1211*$G$54),0),0)</f>
        <v/>
      </c>
      <c r="AF1212">
        <f>AE1211*$G$54</f>
        <v/>
      </c>
      <c r="AG1212">
        <f>IF(AG1211&gt;1E-9,IF(AG1211*(1+$G$55)-MAX($B$9,0.01*AG1211+AG1211*$G$55)&gt;1E-9,AG1211*(1+$G$55)-MAX($B$9,0.01*AG1211+AG1211*$G$55),0),0)</f>
        <v/>
      </c>
      <c r="AH1212">
        <f>AG1211*$G$55</f>
        <v/>
      </c>
      <c r="AI1212">
        <f>G1212+K1212+O1212+S1212+W1212</f>
        <v/>
      </c>
      <c r="AJ1212">
        <f>AI1211+AK1212-AI1212</f>
        <v/>
      </c>
      <c r="AK1212">
        <f>H1212+L1212+P1212+T1212+X1212</f>
        <v/>
      </c>
      <c r="AL1212">
        <f>TEXT(EDATE($B$5,D1212-1),"mmm yyyy")</f>
        <v/>
      </c>
      <c r="AM1212">
        <f>AI1212</f>
        <v/>
      </c>
    </row>
    <row r="1213">
      <c r="D1213" t="n">
        <v>1152</v>
      </c>
      <c r="E1213">
        <f>IF(G1212&gt;0,MAX(0,G1212*(1+$G$51)-$H$51),0)</f>
        <v/>
      </c>
      <c r="F1213">
        <f>$B$6+IF($D1213=$B$8,$B$7,0)</f>
        <v/>
      </c>
      <c r="G1213">
        <f>IF(E1213-F1213&gt;1E-9,E1213-F1213,0)</f>
        <v/>
      </c>
      <c r="H1213">
        <f>G1212*$G$51</f>
        <v/>
      </c>
      <c r="I1213">
        <f>IF(K1212&gt;0,MAX(0,K1212*(1+$G$52)-$H$52),0)</f>
        <v/>
      </c>
      <c r="J1213">
        <f>MAX(0,F1213-E1213)</f>
        <v/>
      </c>
      <c r="K1213">
        <f>IF(I1213-J1213&gt;1E-9,I1213-J1213,0)</f>
        <v/>
      </c>
      <c r="L1213">
        <f>K1212*$G$52</f>
        <v/>
      </c>
      <c r="M1213">
        <f>IF(O1212&gt;0,MAX(0,O1212*(1+$G$53)-$H$53),0)</f>
        <v/>
      </c>
      <c r="N1213">
        <f>MAX(0,J1213-I1213)</f>
        <v/>
      </c>
      <c r="O1213">
        <f>IF(M1213-N1213&gt;1E-9,M1213-N1213,0)</f>
        <v/>
      </c>
      <c r="P1213">
        <f>O1212*$G$53</f>
        <v/>
      </c>
      <c r="Q1213">
        <f>IF(S1212&gt;0,MAX(0,S1212*(1+$G$54)-$H$54),0)</f>
        <v/>
      </c>
      <c r="R1213">
        <f>MAX(0,N1213-M1213)</f>
        <v/>
      </c>
      <c r="S1213">
        <f>IF(Q1213-R1213&gt;1E-9,Q1213-R1213,0)</f>
        <v/>
      </c>
      <c r="T1213">
        <f>S1212*$G$54</f>
        <v/>
      </c>
      <c r="U1213">
        <f>IF(W1212&gt;0,MAX(0,W1212*(1+$G$55)-$H$55),0)</f>
        <v/>
      </c>
      <c r="V1213">
        <f>MAX(0,R1213-Q1213)</f>
        <v/>
      </c>
      <c r="W1213">
        <f>IF(U1213-V1213&gt;1E-9,U1213-V1213,0)</f>
        <v/>
      </c>
      <c r="X1213">
        <f>W1212*$G$55</f>
        <v/>
      </c>
      <c r="Y1213">
        <f>IF(Y1212&gt;1E-9,IF(Y1212*(1+$G$51)-MAX($B$9,0.01*Y1212+Y1212*$G$51)&gt;1E-9,Y1212*(1+$G$51)-MAX($B$9,0.01*Y1212+Y1212*$G$51),0),0)</f>
        <v/>
      </c>
      <c r="Z1213">
        <f>Y1212*$G$51</f>
        <v/>
      </c>
      <c r="AA1213">
        <f>IF(AA1212&gt;1E-9,IF(AA1212*(1+$G$52)-MAX($B$9,0.01*AA1212+AA1212*$G$52)&gt;1E-9,AA1212*(1+$G$52)-MAX($B$9,0.01*AA1212+AA1212*$G$52),0),0)</f>
        <v/>
      </c>
      <c r="AB1213">
        <f>AA1212*$G$52</f>
        <v/>
      </c>
      <c r="AC1213">
        <f>IF(AC1212&gt;1E-9,IF(AC1212*(1+$G$53)-MAX($B$9,0.01*AC1212+AC1212*$G$53)&gt;1E-9,AC1212*(1+$G$53)-MAX($B$9,0.01*AC1212+AC1212*$G$53),0),0)</f>
        <v/>
      </c>
      <c r="AD1213">
        <f>AC1212*$G$53</f>
        <v/>
      </c>
      <c r="AE1213">
        <f>IF(AE1212&gt;1E-9,IF(AE1212*(1+$G$54)-MAX($B$9,0.01*AE1212+AE1212*$G$54)&gt;1E-9,AE1212*(1+$G$54)-MAX($B$9,0.01*AE1212+AE1212*$G$54),0),0)</f>
        <v/>
      </c>
      <c r="AF1213">
        <f>AE1212*$G$54</f>
        <v/>
      </c>
      <c r="AG1213">
        <f>IF(AG1212&gt;1E-9,IF(AG1212*(1+$G$55)-MAX($B$9,0.01*AG1212+AG1212*$G$55)&gt;1E-9,AG1212*(1+$G$55)-MAX($B$9,0.01*AG1212+AG1212*$G$55),0),0)</f>
        <v/>
      </c>
      <c r="AH1213">
        <f>AG1212*$G$55</f>
        <v/>
      </c>
      <c r="AI1213">
        <f>G1213+K1213+O1213+S1213+W1213</f>
        <v/>
      </c>
      <c r="AJ1213">
        <f>AI1212+AK1213-AI1213</f>
        <v/>
      </c>
      <c r="AK1213">
        <f>H1213+L1213+P1213+T1213+X1213</f>
        <v/>
      </c>
      <c r="AL1213">
        <f>TEXT(EDATE($B$5,D1213-1),"mmm yyyy")</f>
        <v/>
      </c>
      <c r="AM1213">
        <f>AI1213</f>
        <v/>
      </c>
    </row>
    <row r="1214">
      <c r="D1214" t="n">
        <v>1153</v>
      </c>
      <c r="E1214">
        <f>IF(G1213&gt;0,MAX(0,G1213*(1+$G$51)-$H$51),0)</f>
        <v/>
      </c>
      <c r="F1214">
        <f>$B$6+IF($D1214=$B$8,$B$7,0)</f>
        <v/>
      </c>
      <c r="G1214">
        <f>IF(E1214-F1214&gt;1E-9,E1214-F1214,0)</f>
        <v/>
      </c>
      <c r="H1214">
        <f>G1213*$G$51</f>
        <v/>
      </c>
      <c r="I1214">
        <f>IF(K1213&gt;0,MAX(0,K1213*(1+$G$52)-$H$52),0)</f>
        <v/>
      </c>
      <c r="J1214">
        <f>MAX(0,F1214-E1214)</f>
        <v/>
      </c>
      <c r="K1214">
        <f>IF(I1214-J1214&gt;1E-9,I1214-J1214,0)</f>
        <v/>
      </c>
      <c r="L1214">
        <f>K1213*$G$52</f>
        <v/>
      </c>
      <c r="M1214">
        <f>IF(O1213&gt;0,MAX(0,O1213*(1+$G$53)-$H$53),0)</f>
        <v/>
      </c>
      <c r="N1214">
        <f>MAX(0,J1214-I1214)</f>
        <v/>
      </c>
      <c r="O1214">
        <f>IF(M1214-N1214&gt;1E-9,M1214-N1214,0)</f>
        <v/>
      </c>
      <c r="P1214">
        <f>O1213*$G$53</f>
        <v/>
      </c>
      <c r="Q1214">
        <f>IF(S1213&gt;0,MAX(0,S1213*(1+$G$54)-$H$54),0)</f>
        <v/>
      </c>
      <c r="R1214">
        <f>MAX(0,N1214-M1214)</f>
        <v/>
      </c>
      <c r="S1214">
        <f>IF(Q1214-R1214&gt;1E-9,Q1214-R1214,0)</f>
        <v/>
      </c>
      <c r="T1214">
        <f>S1213*$G$54</f>
        <v/>
      </c>
      <c r="U1214">
        <f>IF(W1213&gt;0,MAX(0,W1213*(1+$G$55)-$H$55),0)</f>
        <v/>
      </c>
      <c r="V1214">
        <f>MAX(0,R1214-Q1214)</f>
        <v/>
      </c>
      <c r="W1214">
        <f>IF(U1214-V1214&gt;1E-9,U1214-V1214,0)</f>
        <v/>
      </c>
      <c r="X1214">
        <f>W1213*$G$55</f>
        <v/>
      </c>
      <c r="Y1214">
        <f>IF(Y1213&gt;1E-9,IF(Y1213*(1+$G$51)-MAX($B$9,0.01*Y1213+Y1213*$G$51)&gt;1E-9,Y1213*(1+$G$51)-MAX($B$9,0.01*Y1213+Y1213*$G$51),0),0)</f>
        <v/>
      </c>
      <c r="Z1214">
        <f>Y1213*$G$51</f>
        <v/>
      </c>
      <c r="AA1214">
        <f>IF(AA1213&gt;1E-9,IF(AA1213*(1+$G$52)-MAX($B$9,0.01*AA1213+AA1213*$G$52)&gt;1E-9,AA1213*(1+$G$52)-MAX($B$9,0.01*AA1213+AA1213*$G$52),0),0)</f>
        <v/>
      </c>
      <c r="AB1214">
        <f>AA1213*$G$52</f>
        <v/>
      </c>
      <c r="AC1214">
        <f>IF(AC1213&gt;1E-9,IF(AC1213*(1+$G$53)-MAX($B$9,0.01*AC1213+AC1213*$G$53)&gt;1E-9,AC1213*(1+$G$53)-MAX($B$9,0.01*AC1213+AC1213*$G$53),0),0)</f>
        <v/>
      </c>
      <c r="AD1214">
        <f>AC1213*$G$53</f>
        <v/>
      </c>
      <c r="AE1214">
        <f>IF(AE1213&gt;1E-9,IF(AE1213*(1+$G$54)-MAX($B$9,0.01*AE1213+AE1213*$G$54)&gt;1E-9,AE1213*(1+$G$54)-MAX($B$9,0.01*AE1213+AE1213*$G$54),0),0)</f>
        <v/>
      </c>
      <c r="AF1214">
        <f>AE1213*$G$54</f>
        <v/>
      </c>
      <c r="AG1214">
        <f>IF(AG1213&gt;1E-9,IF(AG1213*(1+$G$55)-MAX($B$9,0.01*AG1213+AG1213*$G$55)&gt;1E-9,AG1213*(1+$G$55)-MAX($B$9,0.01*AG1213+AG1213*$G$55),0),0)</f>
        <v/>
      </c>
      <c r="AH1214">
        <f>AG1213*$G$55</f>
        <v/>
      </c>
      <c r="AI1214">
        <f>G1214+K1214+O1214+S1214+W1214</f>
        <v/>
      </c>
      <c r="AJ1214">
        <f>AI1213+AK1214-AI1214</f>
        <v/>
      </c>
      <c r="AK1214">
        <f>H1214+L1214+P1214+T1214+X1214</f>
        <v/>
      </c>
      <c r="AL1214">
        <f>TEXT(EDATE($B$5,D1214-1),"mmm yyyy")</f>
        <v/>
      </c>
      <c r="AM1214">
        <f>AI1214</f>
        <v/>
      </c>
    </row>
    <row r="1215">
      <c r="D1215" t="n">
        <v>1154</v>
      </c>
      <c r="E1215">
        <f>IF(G1214&gt;0,MAX(0,G1214*(1+$G$51)-$H$51),0)</f>
        <v/>
      </c>
      <c r="F1215">
        <f>$B$6+IF($D1215=$B$8,$B$7,0)</f>
        <v/>
      </c>
      <c r="G1215">
        <f>IF(E1215-F1215&gt;1E-9,E1215-F1215,0)</f>
        <v/>
      </c>
      <c r="H1215">
        <f>G1214*$G$51</f>
        <v/>
      </c>
      <c r="I1215">
        <f>IF(K1214&gt;0,MAX(0,K1214*(1+$G$52)-$H$52),0)</f>
        <v/>
      </c>
      <c r="J1215">
        <f>MAX(0,F1215-E1215)</f>
        <v/>
      </c>
      <c r="K1215">
        <f>IF(I1215-J1215&gt;1E-9,I1215-J1215,0)</f>
        <v/>
      </c>
      <c r="L1215">
        <f>K1214*$G$52</f>
        <v/>
      </c>
      <c r="M1215">
        <f>IF(O1214&gt;0,MAX(0,O1214*(1+$G$53)-$H$53),0)</f>
        <v/>
      </c>
      <c r="N1215">
        <f>MAX(0,J1215-I1215)</f>
        <v/>
      </c>
      <c r="O1215">
        <f>IF(M1215-N1215&gt;1E-9,M1215-N1215,0)</f>
        <v/>
      </c>
      <c r="P1215">
        <f>O1214*$G$53</f>
        <v/>
      </c>
      <c r="Q1215">
        <f>IF(S1214&gt;0,MAX(0,S1214*(1+$G$54)-$H$54),0)</f>
        <v/>
      </c>
      <c r="R1215">
        <f>MAX(0,N1215-M1215)</f>
        <v/>
      </c>
      <c r="S1215">
        <f>IF(Q1215-R1215&gt;1E-9,Q1215-R1215,0)</f>
        <v/>
      </c>
      <c r="T1215">
        <f>S1214*$G$54</f>
        <v/>
      </c>
      <c r="U1215">
        <f>IF(W1214&gt;0,MAX(0,W1214*(1+$G$55)-$H$55),0)</f>
        <v/>
      </c>
      <c r="V1215">
        <f>MAX(0,R1215-Q1215)</f>
        <v/>
      </c>
      <c r="W1215">
        <f>IF(U1215-V1215&gt;1E-9,U1215-V1215,0)</f>
        <v/>
      </c>
      <c r="X1215">
        <f>W1214*$G$55</f>
        <v/>
      </c>
      <c r="Y1215">
        <f>IF(Y1214&gt;1E-9,IF(Y1214*(1+$G$51)-MAX($B$9,0.01*Y1214+Y1214*$G$51)&gt;1E-9,Y1214*(1+$G$51)-MAX($B$9,0.01*Y1214+Y1214*$G$51),0),0)</f>
        <v/>
      </c>
      <c r="Z1215">
        <f>Y1214*$G$51</f>
        <v/>
      </c>
      <c r="AA1215">
        <f>IF(AA1214&gt;1E-9,IF(AA1214*(1+$G$52)-MAX($B$9,0.01*AA1214+AA1214*$G$52)&gt;1E-9,AA1214*(1+$G$52)-MAX($B$9,0.01*AA1214+AA1214*$G$52),0),0)</f>
        <v/>
      </c>
      <c r="AB1215">
        <f>AA1214*$G$52</f>
        <v/>
      </c>
      <c r="AC1215">
        <f>IF(AC1214&gt;1E-9,IF(AC1214*(1+$G$53)-MAX($B$9,0.01*AC1214+AC1214*$G$53)&gt;1E-9,AC1214*(1+$G$53)-MAX($B$9,0.01*AC1214+AC1214*$G$53),0),0)</f>
        <v/>
      </c>
      <c r="AD1215">
        <f>AC1214*$G$53</f>
        <v/>
      </c>
      <c r="AE1215">
        <f>IF(AE1214&gt;1E-9,IF(AE1214*(1+$G$54)-MAX($B$9,0.01*AE1214+AE1214*$G$54)&gt;1E-9,AE1214*(1+$G$54)-MAX($B$9,0.01*AE1214+AE1214*$G$54),0),0)</f>
        <v/>
      </c>
      <c r="AF1215">
        <f>AE1214*$G$54</f>
        <v/>
      </c>
      <c r="AG1215">
        <f>IF(AG1214&gt;1E-9,IF(AG1214*(1+$G$55)-MAX($B$9,0.01*AG1214+AG1214*$G$55)&gt;1E-9,AG1214*(1+$G$55)-MAX($B$9,0.01*AG1214+AG1214*$G$55),0),0)</f>
        <v/>
      </c>
      <c r="AH1215">
        <f>AG1214*$G$55</f>
        <v/>
      </c>
      <c r="AI1215">
        <f>G1215+K1215+O1215+S1215+W1215</f>
        <v/>
      </c>
      <c r="AJ1215">
        <f>AI1214+AK1215-AI1215</f>
        <v/>
      </c>
      <c r="AK1215">
        <f>H1215+L1215+P1215+T1215+X1215</f>
        <v/>
      </c>
      <c r="AL1215">
        <f>TEXT(EDATE($B$5,D1215-1),"mmm yyyy")</f>
        <v/>
      </c>
      <c r="AM1215">
        <f>AI1215</f>
        <v/>
      </c>
    </row>
    <row r="1216">
      <c r="D1216" t="n">
        <v>1155</v>
      </c>
      <c r="E1216">
        <f>IF(G1215&gt;0,MAX(0,G1215*(1+$G$51)-$H$51),0)</f>
        <v/>
      </c>
      <c r="F1216">
        <f>$B$6+IF($D1216=$B$8,$B$7,0)</f>
        <v/>
      </c>
      <c r="G1216">
        <f>IF(E1216-F1216&gt;1E-9,E1216-F1216,0)</f>
        <v/>
      </c>
      <c r="H1216">
        <f>G1215*$G$51</f>
        <v/>
      </c>
      <c r="I1216">
        <f>IF(K1215&gt;0,MAX(0,K1215*(1+$G$52)-$H$52),0)</f>
        <v/>
      </c>
      <c r="J1216">
        <f>MAX(0,F1216-E1216)</f>
        <v/>
      </c>
      <c r="K1216">
        <f>IF(I1216-J1216&gt;1E-9,I1216-J1216,0)</f>
        <v/>
      </c>
      <c r="L1216">
        <f>K1215*$G$52</f>
        <v/>
      </c>
      <c r="M1216">
        <f>IF(O1215&gt;0,MAX(0,O1215*(1+$G$53)-$H$53),0)</f>
        <v/>
      </c>
      <c r="N1216">
        <f>MAX(0,J1216-I1216)</f>
        <v/>
      </c>
      <c r="O1216">
        <f>IF(M1216-N1216&gt;1E-9,M1216-N1216,0)</f>
        <v/>
      </c>
      <c r="P1216">
        <f>O1215*$G$53</f>
        <v/>
      </c>
      <c r="Q1216">
        <f>IF(S1215&gt;0,MAX(0,S1215*(1+$G$54)-$H$54),0)</f>
        <v/>
      </c>
      <c r="R1216">
        <f>MAX(0,N1216-M1216)</f>
        <v/>
      </c>
      <c r="S1216">
        <f>IF(Q1216-R1216&gt;1E-9,Q1216-R1216,0)</f>
        <v/>
      </c>
      <c r="T1216">
        <f>S1215*$G$54</f>
        <v/>
      </c>
      <c r="U1216">
        <f>IF(W1215&gt;0,MAX(0,W1215*(1+$G$55)-$H$55),0)</f>
        <v/>
      </c>
      <c r="V1216">
        <f>MAX(0,R1216-Q1216)</f>
        <v/>
      </c>
      <c r="W1216">
        <f>IF(U1216-V1216&gt;1E-9,U1216-V1216,0)</f>
        <v/>
      </c>
      <c r="X1216">
        <f>W1215*$G$55</f>
        <v/>
      </c>
      <c r="Y1216">
        <f>IF(Y1215&gt;1E-9,IF(Y1215*(1+$G$51)-MAX($B$9,0.01*Y1215+Y1215*$G$51)&gt;1E-9,Y1215*(1+$G$51)-MAX($B$9,0.01*Y1215+Y1215*$G$51),0),0)</f>
        <v/>
      </c>
      <c r="Z1216">
        <f>Y1215*$G$51</f>
        <v/>
      </c>
      <c r="AA1216">
        <f>IF(AA1215&gt;1E-9,IF(AA1215*(1+$G$52)-MAX($B$9,0.01*AA1215+AA1215*$G$52)&gt;1E-9,AA1215*(1+$G$52)-MAX($B$9,0.01*AA1215+AA1215*$G$52),0),0)</f>
        <v/>
      </c>
      <c r="AB1216">
        <f>AA1215*$G$52</f>
        <v/>
      </c>
      <c r="AC1216">
        <f>IF(AC1215&gt;1E-9,IF(AC1215*(1+$G$53)-MAX($B$9,0.01*AC1215+AC1215*$G$53)&gt;1E-9,AC1215*(1+$G$53)-MAX($B$9,0.01*AC1215+AC1215*$G$53),0),0)</f>
        <v/>
      </c>
      <c r="AD1216">
        <f>AC1215*$G$53</f>
        <v/>
      </c>
      <c r="AE1216">
        <f>IF(AE1215&gt;1E-9,IF(AE1215*(1+$G$54)-MAX($B$9,0.01*AE1215+AE1215*$G$54)&gt;1E-9,AE1215*(1+$G$54)-MAX($B$9,0.01*AE1215+AE1215*$G$54),0),0)</f>
        <v/>
      </c>
      <c r="AF1216">
        <f>AE1215*$G$54</f>
        <v/>
      </c>
      <c r="AG1216">
        <f>IF(AG1215&gt;1E-9,IF(AG1215*(1+$G$55)-MAX($B$9,0.01*AG1215+AG1215*$G$55)&gt;1E-9,AG1215*(1+$G$55)-MAX($B$9,0.01*AG1215+AG1215*$G$55),0),0)</f>
        <v/>
      </c>
      <c r="AH1216">
        <f>AG1215*$G$55</f>
        <v/>
      </c>
      <c r="AI1216">
        <f>G1216+K1216+O1216+S1216+W1216</f>
        <v/>
      </c>
      <c r="AJ1216">
        <f>AI1215+AK1216-AI1216</f>
        <v/>
      </c>
      <c r="AK1216">
        <f>H1216+L1216+P1216+T1216+X1216</f>
        <v/>
      </c>
      <c r="AL1216">
        <f>TEXT(EDATE($B$5,D1216-1),"mmm yyyy")</f>
        <v/>
      </c>
      <c r="AM1216">
        <f>AI1216</f>
        <v/>
      </c>
    </row>
    <row r="1217">
      <c r="D1217" t="n">
        <v>1156</v>
      </c>
      <c r="E1217">
        <f>IF(G1216&gt;0,MAX(0,G1216*(1+$G$51)-$H$51),0)</f>
        <v/>
      </c>
      <c r="F1217">
        <f>$B$6+IF($D1217=$B$8,$B$7,0)</f>
        <v/>
      </c>
      <c r="G1217">
        <f>IF(E1217-F1217&gt;1E-9,E1217-F1217,0)</f>
        <v/>
      </c>
      <c r="H1217">
        <f>G1216*$G$51</f>
        <v/>
      </c>
      <c r="I1217">
        <f>IF(K1216&gt;0,MAX(0,K1216*(1+$G$52)-$H$52),0)</f>
        <v/>
      </c>
      <c r="J1217">
        <f>MAX(0,F1217-E1217)</f>
        <v/>
      </c>
      <c r="K1217">
        <f>IF(I1217-J1217&gt;1E-9,I1217-J1217,0)</f>
        <v/>
      </c>
      <c r="L1217">
        <f>K1216*$G$52</f>
        <v/>
      </c>
      <c r="M1217">
        <f>IF(O1216&gt;0,MAX(0,O1216*(1+$G$53)-$H$53),0)</f>
        <v/>
      </c>
      <c r="N1217">
        <f>MAX(0,J1217-I1217)</f>
        <v/>
      </c>
      <c r="O1217">
        <f>IF(M1217-N1217&gt;1E-9,M1217-N1217,0)</f>
        <v/>
      </c>
      <c r="P1217">
        <f>O1216*$G$53</f>
        <v/>
      </c>
      <c r="Q1217">
        <f>IF(S1216&gt;0,MAX(0,S1216*(1+$G$54)-$H$54),0)</f>
        <v/>
      </c>
      <c r="R1217">
        <f>MAX(0,N1217-M1217)</f>
        <v/>
      </c>
      <c r="S1217">
        <f>IF(Q1217-R1217&gt;1E-9,Q1217-R1217,0)</f>
        <v/>
      </c>
      <c r="T1217">
        <f>S1216*$G$54</f>
        <v/>
      </c>
      <c r="U1217">
        <f>IF(W1216&gt;0,MAX(0,W1216*(1+$G$55)-$H$55),0)</f>
        <v/>
      </c>
      <c r="V1217">
        <f>MAX(0,R1217-Q1217)</f>
        <v/>
      </c>
      <c r="W1217">
        <f>IF(U1217-V1217&gt;1E-9,U1217-V1217,0)</f>
        <v/>
      </c>
      <c r="X1217">
        <f>W1216*$G$55</f>
        <v/>
      </c>
      <c r="Y1217">
        <f>IF(Y1216&gt;1E-9,IF(Y1216*(1+$G$51)-MAX($B$9,0.01*Y1216+Y1216*$G$51)&gt;1E-9,Y1216*(1+$G$51)-MAX($B$9,0.01*Y1216+Y1216*$G$51),0),0)</f>
        <v/>
      </c>
      <c r="Z1217">
        <f>Y1216*$G$51</f>
        <v/>
      </c>
      <c r="AA1217">
        <f>IF(AA1216&gt;1E-9,IF(AA1216*(1+$G$52)-MAX($B$9,0.01*AA1216+AA1216*$G$52)&gt;1E-9,AA1216*(1+$G$52)-MAX($B$9,0.01*AA1216+AA1216*$G$52),0),0)</f>
        <v/>
      </c>
      <c r="AB1217">
        <f>AA1216*$G$52</f>
        <v/>
      </c>
      <c r="AC1217">
        <f>IF(AC1216&gt;1E-9,IF(AC1216*(1+$G$53)-MAX($B$9,0.01*AC1216+AC1216*$G$53)&gt;1E-9,AC1216*(1+$G$53)-MAX($B$9,0.01*AC1216+AC1216*$G$53),0),0)</f>
        <v/>
      </c>
      <c r="AD1217">
        <f>AC1216*$G$53</f>
        <v/>
      </c>
      <c r="AE1217">
        <f>IF(AE1216&gt;1E-9,IF(AE1216*(1+$G$54)-MAX($B$9,0.01*AE1216+AE1216*$G$54)&gt;1E-9,AE1216*(1+$G$54)-MAX($B$9,0.01*AE1216+AE1216*$G$54),0),0)</f>
        <v/>
      </c>
      <c r="AF1217">
        <f>AE1216*$G$54</f>
        <v/>
      </c>
      <c r="AG1217">
        <f>IF(AG1216&gt;1E-9,IF(AG1216*(1+$G$55)-MAX($B$9,0.01*AG1216+AG1216*$G$55)&gt;1E-9,AG1216*(1+$G$55)-MAX($B$9,0.01*AG1216+AG1216*$G$55),0),0)</f>
        <v/>
      </c>
      <c r="AH1217">
        <f>AG1216*$G$55</f>
        <v/>
      </c>
      <c r="AI1217">
        <f>G1217+K1217+O1217+S1217+W1217</f>
        <v/>
      </c>
      <c r="AJ1217">
        <f>AI1216+AK1217-AI1217</f>
        <v/>
      </c>
      <c r="AK1217">
        <f>H1217+L1217+P1217+T1217+X1217</f>
        <v/>
      </c>
      <c r="AL1217">
        <f>TEXT(EDATE($B$5,D1217-1),"mmm yyyy")</f>
        <v/>
      </c>
      <c r="AM1217">
        <f>AI1217</f>
        <v/>
      </c>
    </row>
    <row r="1218">
      <c r="D1218" t="n">
        <v>1157</v>
      </c>
      <c r="E1218">
        <f>IF(G1217&gt;0,MAX(0,G1217*(1+$G$51)-$H$51),0)</f>
        <v/>
      </c>
      <c r="F1218">
        <f>$B$6+IF($D1218=$B$8,$B$7,0)</f>
        <v/>
      </c>
      <c r="G1218">
        <f>IF(E1218-F1218&gt;1E-9,E1218-F1218,0)</f>
        <v/>
      </c>
      <c r="H1218">
        <f>G1217*$G$51</f>
        <v/>
      </c>
      <c r="I1218">
        <f>IF(K1217&gt;0,MAX(0,K1217*(1+$G$52)-$H$52),0)</f>
        <v/>
      </c>
      <c r="J1218">
        <f>MAX(0,F1218-E1218)</f>
        <v/>
      </c>
      <c r="K1218">
        <f>IF(I1218-J1218&gt;1E-9,I1218-J1218,0)</f>
        <v/>
      </c>
      <c r="L1218">
        <f>K1217*$G$52</f>
        <v/>
      </c>
      <c r="M1218">
        <f>IF(O1217&gt;0,MAX(0,O1217*(1+$G$53)-$H$53),0)</f>
        <v/>
      </c>
      <c r="N1218">
        <f>MAX(0,J1218-I1218)</f>
        <v/>
      </c>
      <c r="O1218">
        <f>IF(M1218-N1218&gt;1E-9,M1218-N1218,0)</f>
        <v/>
      </c>
      <c r="P1218">
        <f>O1217*$G$53</f>
        <v/>
      </c>
      <c r="Q1218">
        <f>IF(S1217&gt;0,MAX(0,S1217*(1+$G$54)-$H$54),0)</f>
        <v/>
      </c>
      <c r="R1218">
        <f>MAX(0,N1218-M1218)</f>
        <v/>
      </c>
      <c r="S1218">
        <f>IF(Q1218-R1218&gt;1E-9,Q1218-R1218,0)</f>
        <v/>
      </c>
      <c r="T1218">
        <f>S1217*$G$54</f>
        <v/>
      </c>
      <c r="U1218">
        <f>IF(W1217&gt;0,MAX(0,W1217*(1+$G$55)-$H$55),0)</f>
        <v/>
      </c>
      <c r="V1218">
        <f>MAX(0,R1218-Q1218)</f>
        <v/>
      </c>
      <c r="W1218">
        <f>IF(U1218-V1218&gt;1E-9,U1218-V1218,0)</f>
        <v/>
      </c>
      <c r="X1218">
        <f>W1217*$G$55</f>
        <v/>
      </c>
      <c r="Y1218">
        <f>IF(Y1217&gt;1E-9,IF(Y1217*(1+$G$51)-MAX($B$9,0.01*Y1217+Y1217*$G$51)&gt;1E-9,Y1217*(1+$G$51)-MAX($B$9,0.01*Y1217+Y1217*$G$51),0),0)</f>
        <v/>
      </c>
      <c r="Z1218">
        <f>Y1217*$G$51</f>
        <v/>
      </c>
      <c r="AA1218">
        <f>IF(AA1217&gt;1E-9,IF(AA1217*(1+$G$52)-MAX($B$9,0.01*AA1217+AA1217*$G$52)&gt;1E-9,AA1217*(1+$G$52)-MAX($B$9,0.01*AA1217+AA1217*$G$52),0),0)</f>
        <v/>
      </c>
      <c r="AB1218">
        <f>AA1217*$G$52</f>
        <v/>
      </c>
      <c r="AC1218">
        <f>IF(AC1217&gt;1E-9,IF(AC1217*(1+$G$53)-MAX($B$9,0.01*AC1217+AC1217*$G$53)&gt;1E-9,AC1217*(1+$G$53)-MAX($B$9,0.01*AC1217+AC1217*$G$53),0),0)</f>
        <v/>
      </c>
      <c r="AD1218">
        <f>AC1217*$G$53</f>
        <v/>
      </c>
      <c r="AE1218">
        <f>IF(AE1217&gt;1E-9,IF(AE1217*(1+$G$54)-MAX($B$9,0.01*AE1217+AE1217*$G$54)&gt;1E-9,AE1217*(1+$G$54)-MAX($B$9,0.01*AE1217+AE1217*$G$54),0),0)</f>
        <v/>
      </c>
      <c r="AF1218">
        <f>AE1217*$G$54</f>
        <v/>
      </c>
      <c r="AG1218">
        <f>IF(AG1217&gt;1E-9,IF(AG1217*(1+$G$55)-MAX($B$9,0.01*AG1217+AG1217*$G$55)&gt;1E-9,AG1217*(1+$G$55)-MAX($B$9,0.01*AG1217+AG1217*$G$55),0),0)</f>
        <v/>
      </c>
      <c r="AH1218">
        <f>AG1217*$G$55</f>
        <v/>
      </c>
      <c r="AI1218">
        <f>G1218+K1218+O1218+S1218+W1218</f>
        <v/>
      </c>
      <c r="AJ1218">
        <f>AI1217+AK1218-AI1218</f>
        <v/>
      </c>
      <c r="AK1218">
        <f>H1218+L1218+P1218+T1218+X1218</f>
        <v/>
      </c>
      <c r="AL1218">
        <f>TEXT(EDATE($B$5,D1218-1),"mmm yyyy")</f>
        <v/>
      </c>
      <c r="AM1218">
        <f>AI1218</f>
        <v/>
      </c>
    </row>
    <row r="1219">
      <c r="D1219" t="n">
        <v>1158</v>
      </c>
      <c r="E1219">
        <f>IF(G1218&gt;0,MAX(0,G1218*(1+$G$51)-$H$51),0)</f>
        <v/>
      </c>
      <c r="F1219">
        <f>$B$6+IF($D1219=$B$8,$B$7,0)</f>
        <v/>
      </c>
      <c r="G1219">
        <f>IF(E1219-F1219&gt;1E-9,E1219-F1219,0)</f>
        <v/>
      </c>
      <c r="H1219">
        <f>G1218*$G$51</f>
        <v/>
      </c>
      <c r="I1219">
        <f>IF(K1218&gt;0,MAX(0,K1218*(1+$G$52)-$H$52),0)</f>
        <v/>
      </c>
      <c r="J1219">
        <f>MAX(0,F1219-E1219)</f>
        <v/>
      </c>
      <c r="K1219">
        <f>IF(I1219-J1219&gt;1E-9,I1219-J1219,0)</f>
        <v/>
      </c>
      <c r="L1219">
        <f>K1218*$G$52</f>
        <v/>
      </c>
      <c r="M1219">
        <f>IF(O1218&gt;0,MAX(0,O1218*(1+$G$53)-$H$53),0)</f>
        <v/>
      </c>
      <c r="N1219">
        <f>MAX(0,J1219-I1219)</f>
        <v/>
      </c>
      <c r="O1219">
        <f>IF(M1219-N1219&gt;1E-9,M1219-N1219,0)</f>
        <v/>
      </c>
      <c r="P1219">
        <f>O1218*$G$53</f>
        <v/>
      </c>
      <c r="Q1219">
        <f>IF(S1218&gt;0,MAX(0,S1218*(1+$G$54)-$H$54),0)</f>
        <v/>
      </c>
      <c r="R1219">
        <f>MAX(0,N1219-M1219)</f>
        <v/>
      </c>
      <c r="S1219">
        <f>IF(Q1219-R1219&gt;1E-9,Q1219-R1219,0)</f>
        <v/>
      </c>
      <c r="T1219">
        <f>S1218*$G$54</f>
        <v/>
      </c>
      <c r="U1219">
        <f>IF(W1218&gt;0,MAX(0,W1218*(1+$G$55)-$H$55),0)</f>
        <v/>
      </c>
      <c r="V1219">
        <f>MAX(0,R1219-Q1219)</f>
        <v/>
      </c>
      <c r="W1219">
        <f>IF(U1219-V1219&gt;1E-9,U1219-V1219,0)</f>
        <v/>
      </c>
      <c r="X1219">
        <f>W1218*$G$55</f>
        <v/>
      </c>
      <c r="Y1219">
        <f>IF(Y1218&gt;1E-9,IF(Y1218*(1+$G$51)-MAX($B$9,0.01*Y1218+Y1218*$G$51)&gt;1E-9,Y1218*(1+$G$51)-MAX($B$9,0.01*Y1218+Y1218*$G$51),0),0)</f>
        <v/>
      </c>
      <c r="Z1219">
        <f>Y1218*$G$51</f>
        <v/>
      </c>
      <c r="AA1219">
        <f>IF(AA1218&gt;1E-9,IF(AA1218*(1+$G$52)-MAX($B$9,0.01*AA1218+AA1218*$G$52)&gt;1E-9,AA1218*(1+$G$52)-MAX($B$9,0.01*AA1218+AA1218*$G$52),0),0)</f>
        <v/>
      </c>
      <c r="AB1219">
        <f>AA1218*$G$52</f>
        <v/>
      </c>
      <c r="AC1219">
        <f>IF(AC1218&gt;1E-9,IF(AC1218*(1+$G$53)-MAX($B$9,0.01*AC1218+AC1218*$G$53)&gt;1E-9,AC1218*(1+$G$53)-MAX($B$9,0.01*AC1218+AC1218*$G$53),0),0)</f>
        <v/>
      </c>
      <c r="AD1219">
        <f>AC1218*$G$53</f>
        <v/>
      </c>
      <c r="AE1219">
        <f>IF(AE1218&gt;1E-9,IF(AE1218*(1+$G$54)-MAX($B$9,0.01*AE1218+AE1218*$G$54)&gt;1E-9,AE1218*(1+$G$54)-MAX($B$9,0.01*AE1218+AE1218*$G$54),0),0)</f>
        <v/>
      </c>
      <c r="AF1219">
        <f>AE1218*$G$54</f>
        <v/>
      </c>
      <c r="AG1219">
        <f>IF(AG1218&gt;1E-9,IF(AG1218*(1+$G$55)-MAX($B$9,0.01*AG1218+AG1218*$G$55)&gt;1E-9,AG1218*(1+$G$55)-MAX($B$9,0.01*AG1218+AG1218*$G$55),0),0)</f>
        <v/>
      </c>
      <c r="AH1219">
        <f>AG1218*$G$55</f>
        <v/>
      </c>
      <c r="AI1219">
        <f>G1219+K1219+O1219+S1219+W1219</f>
        <v/>
      </c>
      <c r="AJ1219">
        <f>AI1218+AK1219-AI1219</f>
        <v/>
      </c>
      <c r="AK1219">
        <f>H1219+L1219+P1219+T1219+X1219</f>
        <v/>
      </c>
      <c r="AL1219">
        <f>TEXT(EDATE($B$5,D1219-1),"mmm yyyy")</f>
        <v/>
      </c>
      <c r="AM1219">
        <f>AI1219</f>
        <v/>
      </c>
    </row>
    <row r="1220">
      <c r="D1220" t="n">
        <v>1159</v>
      </c>
      <c r="E1220">
        <f>IF(G1219&gt;0,MAX(0,G1219*(1+$G$51)-$H$51),0)</f>
        <v/>
      </c>
      <c r="F1220">
        <f>$B$6+IF($D1220=$B$8,$B$7,0)</f>
        <v/>
      </c>
      <c r="G1220">
        <f>IF(E1220-F1220&gt;1E-9,E1220-F1220,0)</f>
        <v/>
      </c>
      <c r="H1220">
        <f>G1219*$G$51</f>
        <v/>
      </c>
      <c r="I1220">
        <f>IF(K1219&gt;0,MAX(0,K1219*(1+$G$52)-$H$52),0)</f>
        <v/>
      </c>
      <c r="J1220">
        <f>MAX(0,F1220-E1220)</f>
        <v/>
      </c>
      <c r="K1220">
        <f>IF(I1220-J1220&gt;1E-9,I1220-J1220,0)</f>
        <v/>
      </c>
      <c r="L1220">
        <f>K1219*$G$52</f>
        <v/>
      </c>
      <c r="M1220">
        <f>IF(O1219&gt;0,MAX(0,O1219*(1+$G$53)-$H$53),0)</f>
        <v/>
      </c>
      <c r="N1220">
        <f>MAX(0,J1220-I1220)</f>
        <v/>
      </c>
      <c r="O1220">
        <f>IF(M1220-N1220&gt;1E-9,M1220-N1220,0)</f>
        <v/>
      </c>
      <c r="P1220">
        <f>O1219*$G$53</f>
        <v/>
      </c>
      <c r="Q1220">
        <f>IF(S1219&gt;0,MAX(0,S1219*(1+$G$54)-$H$54),0)</f>
        <v/>
      </c>
      <c r="R1220">
        <f>MAX(0,N1220-M1220)</f>
        <v/>
      </c>
      <c r="S1220">
        <f>IF(Q1220-R1220&gt;1E-9,Q1220-R1220,0)</f>
        <v/>
      </c>
      <c r="T1220">
        <f>S1219*$G$54</f>
        <v/>
      </c>
      <c r="U1220">
        <f>IF(W1219&gt;0,MAX(0,W1219*(1+$G$55)-$H$55),0)</f>
        <v/>
      </c>
      <c r="V1220">
        <f>MAX(0,R1220-Q1220)</f>
        <v/>
      </c>
      <c r="W1220">
        <f>IF(U1220-V1220&gt;1E-9,U1220-V1220,0)</f>
        <v/>
      </c>
      <c r="X1220">
        <f>W1219*$G$55</f>
        <v/>
      </c>
      <c r="Y1220">
        <f>IF(Y1219&gt;1E-9,IF(Y1219*(1+$G$51)-MAX($B$9,0.01*Y1219+Y1219*$G$51)&gt;1E-9,Y1219*(1+$G$51)-MAX($B$9,0.01*Y1219+Y1219*$G$51),0),0)</f>
        <v/>
      </c>
      <c r="Z1220">
        <f>Y1219*$G$51</f>
        <v/>
      </c>
      <c r="AA1220">
        <f>IF(AA1219&gt;1E-9,IF(AA1219*(1+$G$52)-MAX($B$9,0.01*AA1219+AA1219*$G$52)&gt;1E-9,AA1219*(1+$G$52)-MAX($B$9,0.01*AA1219+AA1219*$G$52),0),0)</f>
        <v/>
      </c>
      <c r="AB1220">
        <f>AA1219*$G$52</f>
        <v/>
      </c>
      <c r="AC1220">
        <f>IF(AC1219&gt;1E-9,IF(AC1219*(1+$G$53)-MAX($B$9,0.01*AC1219+AC1219*$G$53)&gt;1E-9,AC1219*(1+$G$53)-MAX($B$9,0.01*AC1219+AC1219*$G$53),0),0)</f>
        <v/>
      </c>
      <c r="AD1220">
        <f>AC1219*$G$53</f>
        <v/>
      </c>
      <c r="AE1220">
        <f>IF(AE1219&gt;1E-9,IF(AE1219*(1+$G$54)-MAX($B$9,0.01*AE1219+AE1219*$G$54)&gt;1E-9,AE1219*(1+$G$54)-MAX($B$9,0.01*AE1219+AE1219*$G$54),0),0)</f>
        <v/>
      </c>
      <c r="AF1220">
        <f>AE1219*$G$54</f>
        <v/>
      </c>
      <c r="AG1220">
        <f>IF(AG1219&gt;1E-9,IF(AG1219*(1+$G$55)-MAX($B$9,0.01*AG1219+AG1219*$G$55)&gt;1E-9,AG1219*(1+$G$55)-MAX($B$9,0.01*AG1219+AG1219*$G$55),0),0)</f>
        <v/>
      </c>
      <c r="AH1220">
        <f>AG1219*$G$55</f>
        <v/>
      </c>
      <c r="AI1220">
        <f>G1220+K1220+O1220+S1220+W1220</f>
        <v/>
      </c>
      <c r="AJ1220">
        <f>AI1219+AK1220-AI1220</f>
        <v/>
      </c>
      <c r="AK1220">
        <f>H1220+L1220+P1220+T1220+X1220</f>
        <v/>
      </c>
      <c r="AL1220">
        <f>TEXT(EDATE($B$5,D1220-1),"mmm yyyy")</f>
        <v/>
      </c>
      <c r="AM1220">
        <f>AI1220</f>
        <v/>
      </c>
    </row>
    <row r="1221">
      <c r="D1221" t="n">
        <v>1160</v>
      </c>
      <c r="E1221">
        <f>IF(G1220&gt;0,MAX(0,G1220*(1+$G$51)-$H$51),0)</f>
        <v/>
      </c>
      <c r="F1221">
        <f>$B$6+IF($D1221=$B$8,$B$7,0)</f>
        <v/>
      </c>
      <c r="G1221">
        <f>IF(E1221-F1221&gt;1E-9,E1221-F1221,0)</f>
        <v/>
      </c>
      <c r="H1221">
        <f>G1220*$G$51</f>
        <v/>
      </c>
      <c r="I1221">
        <f>IF(K1220&gt;0,MAX(0,K1220*(1+$G$52)-$H$52),0)</f>
        <v/>
      </c>
      <c r="J1221">
        <f>MAX(0,F1221-E1221)</f>
        <v/>
      </c>
      <c r="K1221">
        <f>IF(I1221-J1221&gt;1E-9,I1221-J1221,0)</f>
        <v/>
      </c>
      <c r="L1221">
        <f>K1220*$G$52</f>
        <v/>
      </c>
      <c r="M1221">
        <f>IF(O1220&gt;0,MAX(0,O1220*(1+$G$53)-$H$53),0)</f>
        <v/>
      </c>
      <c r="N1221">
        <f>MAX(0,J1221-I1221)</f>
        <v/>
      </c>
      <c r="O1221">
        <f>IF(M1221-N1221&gt;1E-9,M1221-N1221,0)</f>
        <v/>
      </c>
      <c r="P1221">
        <f>O1220*$G$53</f>
        <v/>
      </c>
      <c r="Q1221">
        <f>IF(S1220&gt;0,MAX(0,S1220*(1+$G$54)-$H$54),0)</f>
        <v/>
      </c>
      <c r="R1221">
        <f>MAX(0,N1221-M1221)</f>
        <v/>
      </c>
      <c r="S1221">
        <f>IF(Q1221-R1221&gt;1E-9,Q1221-R1221,0)</f>
        <v/>
      </c>
      <c r="T1221">
        <f>S1220*$G$54</f>
        <v/>
      </c>
      <c r="U1221">
        <f>IF(W1220&gt;0,MAX(0,W1220*(1+$G$55)-$H$55),0)</f>
        <v/>
      </c>
      <c r="V1221">
        <f>MAX(0,R1221-Q1221)</f>
        <v/>
      </c>
      <c r="W1221">
        <f>IF(U1221-V1221&gt;1E-9,U1221-V1221,0)</f>
        <v/>
      </c>
      <c r="X1221">
        <f>W1220*$G$55</f>
        <v/>
      </c>
      <c r="Y1221">
        <f>IF(Y1220&gt;1E-9,IF(Y1220*(1+$G$51)-MAX($B$9,0.01*Y1220+Y1220*$G$51)&gt;1E-9,Y1220*(1+$G$51)-MAX($B$9,0.01*Y1220+Y1220*$G$51),0),0)</f>
        <v/>
      </c>
      <c r="Z1221">
        <f>Y1220*$G$51</f>
        <v/>
      </c>
      <c r="AA1221">
        <f>IF(AA1220&gt;1E-9,IF(AA1220*(1+$G$52)-MAX($B$9,0.01*AA1220+AA1220*$G$52)&gt;1E-9,AA1220*(1+$G$52)-MAX($B$9,0.01*AA1220+AA1220*$G$52),0),0)</f>
        <v/>
      </c>
      <c r="AB1221">
        <f>AA1220*$G$52</f>
        <v/>
      </c>
      <c r="AC1221">
        <f>IF(AC1220&gt;1E-9,IF(AC1220*(1+$G$53)-MAX($B$9,0.01*AC1220+AC1220*$G$53)&gt;1E-9,AC1220*(1+$G$53)-MAX($B$9,0.01*AC1220+AC1220*$G$53),0),0)</f>
        <v/>
      </c>
      <c r="AD1221">
        <f>AC1220*$G$53</f>
        <v/>
      </c>
      <c r="AE1221">
        <f>IF(AE1220&gt;1E-9,IF(AE1220*(1+$G$54)-MAX($B$9,0.01*AE1220+AE1220*$G$54)&gt;1E-9,AE1220*(1+$G$54)-MAX($B$9,0.01*AE1220+AE1220*$G$54),0),0)</f>
        <v/>
      </c>
      <c r="AF1221">
        <f>AE1220*$G$54</f>
        <v/>
      </c>
      <c r="AG1221">
        <f>IF(AG1220&gt;1E-9,IF(AG1220*(1+$G$55)-MAX($B$9,0.01*AG1220+AG1220*$G$55)&gt;1E-9,AG1220*(1+$G$55)-MAX($B$9,0.01*AG1220+AG1220*$G$55),0),0)</f>
        <v/>
      </c>
      <c r="AH1221">
        <f>AG1220*$G$55</f>
        <v/>
      </c>
      <c r="AI1221">
        <f>G1221+K1221+O1221+S1221+W1221</f>
        <v/>
      </c>
      <c r="AJ1221">
        <f>AI1220+AK1221-AI1221</f>
        <v/>
      </c>
      <c r="AK1221">
        <f>H1221+L1221+P1221+T1221+X1221</f>
        <v/>
      </c>
      <c r="AL1221">
        <f>TEXT(EDATE($B$5,D1221-1),"mmm yyyy")</f>
        <v/>
      </c>
      <c r="AM1221">
        <f>AI1221</f>
        <v/>
      </c>
    </row>
    <row r="1222">
      <c r="D1222" t="n">
        <v>1161</v>
      </c>
      <c r="E1222">
        <f>IF(G1221&gt;0,MAX(0,G1221*(1+$G$51)-$H$51),0)</f>
        <v/>
      </c>
      <c r="F1222">
        <f>$B$6+IF($D1222=$B$8,$B$7,0)</f>
        <v/>
      </c>
      <c r="G1222">
        <f>IF(E1222-F1222&gt;1E-9,E1222-F1222,0)</f>
        <v/>
      </c>
      <c r="H1222">
        <f>G1221*$G$51</f>
        <v/>
      </c>
      <c r="I1222">
        <f>IF(K1221&gt;0,MAX(0,K1221*(1+$G$52)-$H$52),0)</f>
        <v/>
      </c>
      <c r="J1222">
        <f>MAX(0,F1222-E1222)</f>
        <v/>
      </c>
      <c r="K1222">
        <f>IF(I1222-J1222&gt;1E-9,I1222-J1222,0)</f>
        <v/>
      </c>
      <c r="L1222">
        <f>K1221*$G$52</f>
        <v/>
      </c>
      <c r="M1222">
        <f>IF(O1221&gt;0,MAX(0,O1221*(1+$G$53)-$H$53),0)</f>
        <v/>
      </c>
      <c r="N1222">
        <f>MAX(0,J1222-I1222)</f>
        <v/>
      </c>
      <c r="O1222">
        <f>IF(M1222-N1222&gt;1E-9,M1222-N1222,0)</f>
        <v/>
      </c>
      <c r="P1222">
        <f>O1221*$G$53</f>
        <v/>
      </c>
      <c r="Q1222">
        <f>IF(S1221&gt;0,MAX(0,S1221*(1+$G$54)-$H$54),0)</f>
        <v/>
      </c>
      <c r="R1222">
        <f>MAX(0,N1222-M1222)</f>
        <v/>
      </c>
      <c r="S1222">
        <f>IF(Q1222-R1222&gt;1E-9,Q1222-R1222,0)</f>
        <v/>
      </c>
      <c r="T1222">
        <f>S1221*$G$54</f>
        <v/>
      </c>
      <c r="U1222">
        <f>IF(W1221&gt;0,MAX(0,W1221*(1+$G$55)-$H$55),0)</f>
        <v/>
      </c>
      <c r="V1222">
        <f>MAX(0,R1222-Q1222)</f>
        <v/>
      </c>
      <c r="W1222">
        <f>IF(U1222-V1222&gt;1E-9,U1222-V1222,0)</f>
        <v/>
      </c>
      <c r="X1222">
        <f>W1221*$G$55</f>
        <v/>
      </c>
      <c r="Y1222">
        <f>IF(Y1221&gt;1E-9,IF(Y1221*(1+$G$51)-MAX($B$9,0.01*Y1221+Y1221*$G$51)&gt;1E-9,Y1221*(1+$G$51)-MAX($B$9,0.01*Y1221+Y1221*$G$51),0),0)</f>
        <v/>
      </c>
      <c r="Z1222">
        <f>Y1221*$G$51</f>
        <v/>
      </c>
      <c r="AA1222">
        <f>IF(AA1221&gt;1E-9,IF(AA1221*(1+$G$52)-MAX($B$9,0.01*AA1221+AA1221*$G$52)&gt;1E-9,AA1221*(1+$G$52)-MAX($B$9,0.01*AA1221+AA1221*$G$52),0),0)</f>
        <v/>
      </c>
      <c r="AB1222">
        <f>AA1221*$G$52</f>
        <v/>
      </c>
      <c r="AC1222">
        <f>IF(AC1221&gt;1E-9,IF(AC1221*(1+$G$53)-MAX($B$9,0.01*AC1221+AC1221*$G$53)&gt;1E-9,AC1221*(1+$G$53)-MAX($B$9,0.01*AC1221+AC1221*$G$53),0),0)</f>
        <v/>
      </c>
      <c r="AD1222">
        <f>AC1221*$G$53</f>
        <v/>
      </c>
      <c r="AE1222">
        <f>IF(AE1221&gt;1E-9,IF(AE1221*(1+$G$54)-MAX($B$9,0.01*AE1221+AE1221*$G$54)&gt;1E-9,AE1221*(1+$G$54)-MAX($B$9,0.01*AE1221+AE1221*$G$54),0),0)</f>
        <v/>
      </c>
      <c r="AF1222">
        <f>AE1221*$G$54</f>
        <v/>
      </c>
      <c r="AG1222">
        <f>IF(AG1221&gt;1E-9,IF(AG1221*(1+$G$55)-MAX($B$9,0.01*AG1221+AG1221*$G$55)&gt;1E-9,AG1221*(1+$G$55)-MAX($B$9,0.01*AG1221+AG1221*$G$55),0),0)</f>
        <v/>
      </c>
      <c r="AH1222">
        <f>AG1221*$G$55</f>
        <v/>
      </c>
      <c r="AI1222">
        <f>G1222+K1222+O1222+S1222+W1222</f>
        <v/>
      </c>
      <c r="AJ1222">
        <f>AI1221+AK1222-AI1222</f>
        <v/>
      </c>
      <c r="AK1222">
        <f>H1222+L1222+P1222+T1222+X1222</f>
        <v/>
      </c>
      <c r="AL1222">
        <f>TEXT(EDATE($B$5,D1222-1),"mmm yyyy")</f>
        <v/>
      </c>
      <c r="AM1222">
        <f>AI1222</f>
        <v/>
      </c>
    </row>
    <row r="1223">
      <c r="D1223" t="n">
        <v>1162</v>
      </c>
      <c r="E1223">
        <f>IF(G1222&gt;0,MAX(0,G1222*(1+$G$51)-$H$51),0)</f>
        <v/>
      </c>
      <c r="F1223">
        <f>$B$6+IF($D1223=$B$8,$B$7,0)</f>
        <v/>
      </c>
      <c r="G1223">
        <f>IF(E1223-F1223&gt;1E-9,E1223-F1223,0)</f>
        <v/>
      </c>
      <c r="H1223">
        <f>G1222*$G$51</f>
        <v/>
      </c>
      <c r="I1223">
        <f>IF(K1222&gt;0,MAX(0,K1222*(1+$G$52)-$H$52),0)</f>
        <v/>
      </c>
      <c r="J1223">
        <f>MAX(0,F1223-E1223)</f>
        <v/>
      </c>
      <c r="K1223">
        <f>IF(I1223-J1223&gt;1E-9,I1223-J1223,0)</f>
        <v/>
      </c>
      <c r="L1223">
        <f>K1222*$G$52</f>
        <v/>
      </c>
      <c r="M1223">
        <f>IF(O1222&gt;0,MAX(0,O1222*(1+$G$53)-$H$53),0)</f>
        <v/>
      </c>
      <c r="N1223">
        <f>MAX(0,J1223-I1223)</f>
        <v/>
      </c>
      <c r="O1223">
        <f>IF(M1223-N1223&gt;1E-9,M1223-N1223,0)</f>
        <v/>
      </c>
      <c r="P1223">
        <f>O1222*$G$53</f>
        <v/>
      </c>
      <c r="Q1223">
        <f>IF(S1222&gt;0,MAX(0,S1222*(1+$G$54)-$H$54),0)</f>
        <v/>
      </c>
      <c r="R1223">
        <f>MAX(0,N1223-M1223)</f>
        <v/>
      </c>
      <c r="S1223">
        <f>IF(Q1223-R1223&gt;1E-9,Q1223-R1223,0)</f>
        <v/>
      </c>
      <c r="T1223">
        <f>S1222*$G$54</f>
        <v/>
      </c>
      <c r="U1223">
        <f>IF(W1222&gt;0,MAX(0,W1222*(1+$G$55)-$H$55),0)</f>
        <v/>
      </c>
      <c r="V1223">
        <f>MAX(0,R1223-Q1223)</f>
        <v/>
      </c>
      <c r="W1223">
        <f>IF(U1223-V1223&gt;1E-9,U1223-V1223,0)</f>
        <v/>
      </c>
      <c r="X1223">
        <f>W1222*$G$55</f>
        <v/>
      </c>
      <c r="Y1223">
        <f>IF(Y1222&gt;1E-9,IF(Y1222*(1+$G$51)-MAX($B$9,0.01*Y1222+Y1222*$G$51)&gt;1E-9,Y1222*(1+$G$51)-MAX($B$9,0.01*Y1222+Y1222*$G$51),0),0)</f>
        <v/>
      </c>
      <c r="Z1223">
        <f>Y1222*$G$51</f>
        <v/>
      </c>
      <c r="AA1223">
        <f>IF(AA1222&gt;1E-9,IF(AA1222*(1+$G$52)-MAX($B$9,0.01*AA1222+AA1222*$G$52)&gt;1E-9,AA1222*(1+$G$52)-MAX($B$9,0.01*AA1222+AA1222*$G$52),0),0)</f>
        <v/>
      </c>
      <c r="AB1223">
        <f>AA1222*$G$52</f>
        <v/>
      </c>
      <c r="AC1223">
        <f>IF(AC1222&gt;1E-9,IF(AC1222*(1+$G$53)-MAX($B$9,0.01*AC1222+AC1222*$G$53)&gt;1E-9,AC1222*(1+$G$53)-MAX($B$9,0.01*AC1222+AC1222*$G$53),0),0)</f>
        <v/>
      </c>
      <c r="AD1223">
        <f>AC1222*$G$53</f>
        <v/>
      </c>
      <c r="AE1223">
        <f>IF(AE1222&gt;1E-9,IF(AE1222*(1+$G$54)-MAX($B$9,0.01*AE1222+AE1222*$G$54)&gt;1E-9,AE1222*(1+$G$54)-MAX($B$9,0.01*AE1222+AE1222*$G$54),0),0)</f>
        <v/>
      </c>
      <c r="AF1223">
        <f>AE1222*$G$54</f>
        <v/>
      </c>
      <c r="AG1223">
        <f>IF(AG1222&gt;1E-9,IF(AG1222*(1+$G$55)-MAX($B$9,0.01*AG1222+AG1222*$G$55)&gt;1E-9,AG1222*(1+$G$55)-MAX($B$9,0.01*AG1222+AG1222*$G$55),0),0)</f>
        <v/>
      </c>
      <c r="AH1223">
        <f>AG1222*$G$55</f>
        <v/>
      </c>
      <c r="AI1223">
        <f>G1223+K1223+O1223+S1223+W1223</f>
        <v/>
      </c>
      <c r="AJ1223">
        <f>AI1222+AK1223-AI1223</f>
        <v/>
      </c>
      <c r="AK1223">
        <f>H1223+L1223+P1223+T1223+X1223</f>
        <v/>
      </c>
      <c r="AL1223">
        <f>TEXT(EDATE($B$5,D1223-1),"mmm yyyy")</f>
        <v/>
      </c>
      <c r="AM1223">
        <f>AI1223</f>
        <v/>
      </c>
    </row>
    <row r="1224">
      <c r="D1224" t="n">
        <v>1163</v>
      </c>
      <c r="E1224">
        <f>IF(G1223&gt;0,MAX(0,G1223*(1+$G$51)-$H$51),0)</f>
        <v/>
      </c>
      <c r="F1224">
        <f>$B$6+IF($D1224=$B$8,$B$7,0)</f>
        <v/>
      </c>
      <c r="G1224">
        <f>IF(E1224-F1224&gt;1E-9,E1224-F1224,0)</f>
        <v/>
      </c>
      <c r="H1224">
        <f>G1223*$G$51</f>
        <v/>
      </c>
      <c r="I1224">
        <f>IF(K1223&gt;0,MAX(0,K1223*(1+$G$52)-$H$52),0)</f>
        <v/>
      </c>
      <c r="J1224">
        <f>MAX(0,F1224-E1224)</f>
        <v/>
      </c>
      <c r="K1224">
        <f>IF(I1224-J1224&gt;1E-9,I1224-J1224,0)</f>
        <v/>
      </c>
      <c r="L1224">
        <f>K1223*$G$52</f>
        <v/>
      </c>
      <c r="M1224">
        <f>IF(O1223&gt;0,MAX(0,O1223*(1+$G$53)-$H$53),0)</f>
        <v/>
      </c>
      <c r="N1224">
        <f>MAX(0,J1224-I1224)</f>
        <v/>
      </c>
      <c r="O1224">
        <f>IF(M1224-N1224&gt;1E-9,M1224-N1224,0)</f>
        <v/>
      </c>
      <c r="P1224">
        <f>O1223*$G$53</f>
        <v/>
      </c>
      <c r="Q1224">
        <f>IF(S1223&gt;0,MAX(0,S1223*(1+$G$54)-$H$54),0)</f>
        <v/>
      </c>
      <c r="R1224">
        <f>MAX(0,N1224-M1224)</f>
        <v/>
      </c>
      <c r="S1224">
        <f>IF(Q1224-R1224&gt;1E-9,Q1224-R1224,0)</f>
        <v/>
      </c>
      <c r="T1224">
        <f>S1223*$G$54</f>
        <v/>
      </c>
      <c r="U1224">
        <f>IF(W1223&gt;0,MAX(0,W1223*(1+$G$55)-$H$55),0)</f>
        <v/>
      </c>
      <c r="V1224">
        <f>MAX(0,R1224-Q1224)</f>
        <v/>
      </c>
      <c r="W1224">
        <f>IF(U1224-V1224&gt;1E-9,U1224-V1224,0)</f>
        <v/>
      </c>
      <c r="X1224">
        <f>W1223*$G$55</f>
        <v/>
      </c>
      <c r="Y1224">
        <f>IF(Y1223&gt;1E-9,IF(Y1223*(1+$G$51)-MAX($B$9,0.01*Y1223+Y1223*$G$51)&gt;1E-9,Y1223*(1+$G$51)-MAX($B$9,0.01*Y1223+Y1223*$G$51),0),0)</f>
        <v/>
      </c>
      <c r="Z1224">
        <f>Y1223*$G$51</f>
        <v/>
      </c>
      <c r="AA1224">
        <f>IF(AA1223&gt;1E-9,IF(AA1223*(1+$G$52)-MAX($B$9,0.01*AA1223+AA1223*$G$52)&gt;1E-9,AA1223*(1+$G$52)-MAX($B$9,0.01*AA1223+AA1223*$G$52),0),0)</f>
        <v/>
      </c>
      <c r="AB1224">
        <f>AA1223*$G$52</f>
        <v/>
      </c>
      <c r="AC1224">
        <f>IF(AC1223&gt;1E-9,IF(AC1223*(1+$G$53)-MAX($B$9,0.01*AC1223+AC1223*$G$53)&gt;1E-9,AC1223*(1+$G$53)-MAX($B$9,0.01*AC1223+AC1223*$G$53),0),0)</f>
        <v/>
      </c>
      <c r="AD1224">
        <f>AC1223*$G$53</f>
        <v/>
      </c>
      <c r="AE1224">
        <f>IF(AE1223&gt;1E-9,IF(AE1223*(1+$G$54)-MAX($B$9,0.01*AE1223+AE1223*$G$54)&gt;1E-9,AE1223*(1+$G$54)-MAX($B$9,0.01*AE1223+AE1223*$G$54),0),0)</f>
        <v/>
      </c>
      <c r="AF1224">
        <f>AE1223*$G$54</f>
        <v/>
      </c>
      <c r="AG1224">
        <f>IF(AG1223&gt;1E-9,IF(AG1223*(1+$G$55)-MAX($B$9,0.01*AG1223+AG1223*$G$55)&gt;1E-9,AG1223*(1+$G$55)-MAX($B$9,0.01*AG1223+AG1223*$G$55),0),0)</f>
        <v/>
      </c>
      <c r="AH1224">
        <f>AG1223*$G$55</f>
        <v/>
      </c>
      <c r="AI1224">
        <f>G1224+K1224+O1224+S1224+W1224</f>
        <v/>
      </c>
      <c r="AJ1224">
        <f>AI1223+AK1224-AI1224</f>
        <v/>
      </c>
      <c r="AK1224">
        <f>H1224+L1224+P1224+T1224+X1224</f>
        <v/>
      </c>
      <c r="AL1224">
        <f>TEXT(EDATE($B$5,D1224-1),"mmm yyyy")</f>
        <v/>
      </c>
      <c r="AM1224">
        <f>AI1224</f>
        <v/>
      </c>
    </row>
    <row r="1225">
      <c r="D1225" t="n">
        <v>1164</v>
      </c>
      <c r="E1225">
        <f>IF(G1224&gt;0,MAX(0,G1224*(1+$G$51)-$H$51),0)</f>
        <v/>
      </c>
      <c r="F1225">
        <f>$B$6+IF($D1225=$B$8,$B$7,0)</f>
        <v/>
      </c>
      <c r="G1225">
        <f>IF(E1225-F1225&gt;1E-9,E1225-F1225,0)</f>
        <v/>
      </c>
      <c r="H1225">
        <f>G1224*$G$51</f>
        <v/>
      </c>
      <c r="I1225">
        <f>IF(K1224&gt;0,MAX(0,K1224*(1+$G$52)-$H$52),0)</f>
        <v/>
      </c>
      <c r="J1225">
        <f>MAX(0,F1225-E1225)</f>
        <v/>
      </c>
      <c r="K1225">
        <f>IF(I1225-J1225&gt;1E-9,I1225-J1225,0)</f>
        <v/>
      </c>
      <c r="L1225">
        <f>K1224*$G$52</f>
        <v/>
      </c>
      <c r="M1225">
        <f>IF(O1224&gt;0,MAX(0,O1224*(1+$G$53)-$H$53),0)</f>
        <v/>
      </c>
      <c r="N1225">
        <f>MAX(0,J1225-I1225)</f>
        <v/>
      </c>
      <c r="O1225">
        <f>IF(M1225-N1225&gt;1E-9,M1225-N1225,0)</f>
        <v/>
      </c>
      <c r="P1225">
        <f>O1224*$G$53</f>
        <v/>
      </c>
      <c r="Q1225">
        <f>IF(S1224&gt;0,MAX(0,S1224*(1+$G$54)-$H$54),0)</f>
        <v/>
      </c>
      <c r="R1225">
        <f>MAX(0,N1225-M1225)</f>
        <v/>
      </c>
      <c r="S1225">
        <f>IF(Q1225-R1225&gt;1E-9,Q1225-R1225,0)</f>
        <v/>
      </c>
      <c r="T1225">
        <f>S1224*$G$54</f>
        <v/>
      </c>
      <c r="U1225">
        <f>IF(W1224&gt;0,MAX(0,W1224*(1+$G$55)-$H$55),0)</f>
        <v/>
      </c>
      <c r="V1225">
        <f>MAX(0,R1225-Q1225)</f>
        <v/>
      </c>
      <c r="W1225">
        <f>IF(U1225-V1225&gt;1E-9,U1225-V1225,0)</f>
        <v/>
      </c>
      <c r="X1225">
        <f>W1224*$G$55</f>
        <v/>
      </c>
      <c r="Y1225">
        <f>IF(Y1224&gt;1E-9,IF(Y1224*(1+$G$51)-MAX($B$9,0.01*Y1224+Y1224*$G$51)&gt;1E-9,Y1224*(1+$G$51)-MAX($B$9,0.01*Y1224+Y1224*$G$51),0),0)</f>
        <v/>
      </c>
      <c r="Z1225">
        <f>Y1224*$G$51</f>
        <v/>
      </c>
      <c r="AA1225">
        <f>IF(AA1224&gt;1E-9,IF(AA1224*(1+$G$52)-MAX($B$9,0.01*AA1224+AA1224*$G$52)&gt;1E-9,AA1224*(1+$G$52)-MAX($B$9,0.01*AA1224+AA1224*$G$52),0),0)</f>
        <v/>
      </c>
      <c r="AB1225">
        <f>AA1224*$G$52</f>
        <v/>
      </c>
      <c r="AC1225">
        <f>IF(AC1224&gt;1E-9,IF(AC1224*(1+$G$53)-MAX($B$9,0.01*AC1224+AC1224*$G$53)&gt;1E-9,AC1224*(1+$G$53)-MAX($B$9,0.01*AC1224+AC1224*$G$53),0),0)</f>
        <v/>
      </c>
      <c r="AD1225">
        <f>AC1224*$G$53</f>
        <v/>
      </c>
      <c r="AE1225">
        <f>IF(AE1224&gt;1E-9,IF(AE1224*(1+$G$54)-MAX($B$9,0.01*AE1224+AE1224*$G$54)&gt;1E-9,AE1224*(1+$G$54)-MAX($B$9,0.01*AE1224+AE1224*$G$54),0),0)</f>
        <v/>
      </c>
      <c r="AF1225">
        <f>AE1224*$G$54</f>
        <v/>
      </c>
      <c r="AG1225">
        <f>IF(AG1224&gt;1E-9,IF(AG1224*(1+$G$55)-MAX($B$9,0.01*AG1224+AG1224*$G$55)&gt;1E-9,AG1224*(1+$G$55)-MAX($B$9,0.01*AG1224+AG1224*$G$55),0),0)</f>
        <v/>
      </c>
      <c r="AH1225">
        <f>AG1224*$G$55</f>
        <v/>
      </c>
      <c r="AI1225">
        <f>G1225+K1225+O1225+S1225+W1225</f>
        <v/>
      </c>
      <c r="AJ1225">
        <f>AI1224+AK1225-AI1225</f>
        <v/>
      </c>
      <c r="AK1225">
        <f>H1225+L1225+P1225+T1225+X1225</f>
        <v/>
      </c>
      <c r="AL1225">
        <f>TEXT(EDATE($B$5,D1225-1),"mmm yyyy")</f>
        <v/>
      </c>
      <c r="AM1225">
        <f>AI1225</f>
        <v/>
      </c>
    </row>
    <row r="1226">
      <c r="D1226" t="n">
        <v>1165</v>
      </c>
      <c r="E1226">
        <f>IF(G1225&gt;0,MAX(0,G1225*(1+$G$51)-$H$51),0)</f>
        <v/>
      </c>
      <c r="F1226">
        <f>$B$6+IF($D1226=$B$8,$B$7,0)</f>
        <v/>
      </c>
      <c r="G1226">
        <f>IF(E1226-F1226&gt;1E-9,E1226-F1226,0)</f>
        <v/>
      </c>
      <c r="H1226">
        <f>G1225*$G$51</f>
        <v/>
      </c>
      <c r="I1226">
        <f>IF(K1225&gt;0,MAX(0,K1225*(1+$G$52)-$H$52),0)</f>
        <v/>
      </c>
      <c r="J1226">
        <f>MAX(0,F1226-E1226)</f>
        <v/>
      </c>
      <c r="K1226">
        <f>IF(I1226-J1226&gt;1E-9,I1226-J1226,0)</f>
        <v/>
      </c>
      <c r="L1226">
        <f>K1225*$G$52</f>
        <v/>
      </c>
      <c r="M1226">
        <f>IF(O1225&gt;0,MAX(0,O1225*(1+$G$53)-$H$53),0)</f>
        <v/>
      </c>
      <c r="N1226">
        <f>MAX(0,J1226-I1226)</f>
        <v/>
      </c>
      <c r="O1226">
        <f>IF(M1226-N1226&gt;1E-9,M1226-N1226,0)</f>
        <v/>
      </c>
      <c r="P1226">
        <f>O1225*$G$53</f>
        <v/>
      </c>
      <c r="Q1226">
        <f>IF(S1225&gt;0,MAX(0,S1225*(1+$G$54)-$H$54),0)</f>
        <v/>
      </c>
      <c r="R1226">
        <f>MAX(0,N1226-M1226)</f>
        <v/>
      </c>
      <c r="S1226">
        <f>IF(Q1226-R1226&gt;1E-9,Q1226-R1226,0)</f>
        <v/>
      </c>
      <c r="T1226">
        <f>S1225*$G$54</f>
        <v/>
      </c>
      <c r="U1226">
        <f>IF(W1225&gt;0,MAX(0,W1225*(1+$G$55)-$H$55),0)</f>
        <v/>
      </c>
      <c r="V1226">
        <f>MAX(0,R1226-Q1226)</f>
        <v/>
      </c>
      <c r="W1226">
        <f>IF(U1226-V1226&gt;1E-9,U1226-V1226,0)</f>
        <v/>
      </c>
      <c r="X1226">
        <f>W1225*$G$55</f>
        <v/>
      </c>
      <c r="Y1226">
        <f>IF(Y1225&gt;1E-9,IF(Y1225*(1+$G$51)-MAX($B$9,0.01*Y1225+Y1225*$G$51)&gt;1E-9,Y1225*(1+$G$51)-MAX($B$9,0.01*Y1225+Y1225*$G$51),0),0)</f>
        <v/>
      </c>
      <c r="Z1226">
        <f>Y1225*$G$51</f>
        <v/>
      </c>
      <c r="AA1226">
        <f>IF(AA1225&gt;1E-9,IF(AA1225*(1+$G$52)-MAX($B$9,0.01*AA1225+AA1225*$G$52)&gt;1E-9,AA1225*(1+$G$52)-MAX($B$9,0.01*AA1225+AA1225*$G$52),0),0)</f>
        <v/>
      </c>
      <c r="AB1226">
        <f>AA1225*$G$52</f>
        <v/>
      </c>
      <c r="AC1226">
        <f>IF(AC1225&gt;1E-9,IF(AC1225*(1+$G$53)-MAX($B$9,0.01*AC1225+AC1225*$G$53)&gt;1E-9,AC1225*(1+$G$53)-MAX($B$9,0.01*AC1225+AC1225*$G$53),0),0)</f>
        <v/>
      </c>
      <c r="AD1226">
        <f>AC1225*$G$53</f>
        <v/>
      </c>
      <c r="AE1226">
        <f>IF(AE1225&gt;1E-9,IF(AE1225*(1+$G$54)-MAX($B$9,0.01*AE1225+AE1225*$G$54)&gt;1E-9,AE1225*(1+$G$54)-MAX($B$9,0.01*AE1225+AE1225*$G$54),0),0)</f>
        <v/>
      </c>
      <c r="AF1226">
        <f>AE1225*$G$54</f>
        <v/>
      </c>
      <c r="AG1226">
        <f>IF(AG1225&gt;1E-9,IF(AG1225*(1+$G$55)-MAX($B$9,0.01*AG1225+AG1225*$G$55)&gt;1E-9,AG1225*(1+$G$55)-MAX($B$9,0.01*AG1225+AG1225*$G$55),0),0)</f>
        <v/>
      </c>
      <c r="AH1226">
        <f>AG1225*$G$55</f>
        <v/>
      </c>
      <c r="AI1226">
        <f>G1226+K1226+O1226+S1226+W1226</f>
        <v/>
      </c>
      <c r="AJ1226">
        <f>AI1225+AK1226-AI1226</f>
        <v/>
      </c>
      <c r="AK1226">
        <f>H1226+L1226+P1226+T1226+X1226</f>
        <v/>
      </c>
      <c r="AL1226">
        <f>TEXT(EDATE($B$5,D1226-1),"mmm yyyy")</f>
        <v/>
      </c>
      <c r="AM1226">
        <f>AI1226</f>
        <v/>
      </c>
    </row>
    <row r="1227">
      <c r="D1227" t="n">
        <v>1166</v>
      </c>
      <c r="E1227">
        <f>IF(G1226&gt;0,MAX(0,G1226*(1+$G$51)-$H$51),0)</f>
        <v/>
      </c>
      <c r="F1227">
        <f>$B$6+IF($D1227=$B$8,$B$7,0)</f>
        <v/>
      </c>
      <c r="G1227">
        <f>IF(E1227-F1227&gt;1E-9,E1227-F1227,0)</f>
        <v/>
      </c>
      <c r="H1227">
        <f>G1226*$G$51</f>
        <v/>
      </c>
      <c r="I1227">
        <f>IF(K1226&gt;0,MAX(0,K1226*(1+$G$52)-$H$52),0)</f>
        <v/>
      </c>
      <c r="J1227">
        <f>MAX(0,F1227-E1227)</f>
        <v/>
      </c>
      <c r="K1227">
        <f>IF(I1227-J1227&gt;1E-9,I1227-J1227,0)</f>
        <v/>
      </c>
      <c r="L1227">
        <f>K1226*$G$52</f>
        <v/>
      </c>
      <c r="M1227">
        <f>IF(O1226&gt;0,MAX(0,O1226*(1+$G$53)-$H$53),0)</f>
        <v/>
      </c>
      <c r="N1227">
        <f>MAX(0,J1227-I1227)</f>
        <v/>
      </c>
      <c r="O1227">
        <f>IF(M1227-N1227&gt;1E-9,M1227-N1227,0)</f>
        <v/>
      </c>
      <c r="P1227">
        <f>O1226*$G$53</f>
        <v/>
      </c>
      <c r="Q1227">
        <f>IF(S1226&gt;0,MAX(0,S1226*(1+$G$54)-$H$54),0)</f>
        <v/>
      </c>
      <c r="R1227">
        <f>MAX(0,N1227-M1227)</f>
        <v/>
      </c>
      <c r="S1227">
        <f>IF(Q1227-R1227&gt;1E-9,Q1227-R1227,0)</f>
        <v/>
      </c>
      <c r="T1227">
        <f>S1226*$G$54</f>
        <v/>
      </c>
      <c r="U1227">
        <f>IF(W1226&gt;0,MAX(0,W1226*(1+$G$55)-$H$55),0)</f>
        <v/>
      </c>
      <c r="V1227">
        <f>MAX(0,R1227-Q1227)</f>
        <v/>
      </c>
      <c r="W1227">
        <f>IF(U1227-V1227&gt;1E-9,U1227-V1227,0)</f>
        <v/>
      </c>
      <c r="X1227">
        <f>W1226*$G$55</f>
        <v/>
      </c>
      <c r="Y1227">
        <f>IF(Y1226&gt;1E-9,IF(Y1226*(1+$G$51)-MAX($B$9,0.01*Y1226+Y1226*$G$51)&gt;1E-9,Y1226*(1+$G$51)-MAX($B$9,0.01*Y1226+Y1226*$G$51),0),0)</f>
        <v/>
      </c>
      <c r="Z1227">
        <f>Y1226*$G$51</f>
        <v/>
      </c>
      <c r="AA1227">
        <f>IF(AA1226&gt;1E-9,IF(AA1226*(1+$G$52)-MAX($B$9,0.01*AA1226+AA1226*$G$52)&gt;1E-9,AA1226*(1+$G$52)-MAX($B$9,0.01*AA1226+AA1226*$G$52),0),0)</f>
        <v/>
      </c>
      <c r="AB1227">
        <f>AA1226*$G$52</f>
        <v/>
      </c>
      <c r="AC1227">
        <f>IF(AC1226&gt;1E-9,IF(AC1226*(1+$G$53)-MAX($B$9,0.01*AC1226+AC1226*$G$53)&gt;1E-9,AC1226*(1+$G$53)-MAX($B$9,0.01*AC1226+AC1226*$G$53),0),0)</f>
        <v/>
      </c>
      <c r="AD1227">
        <f>AC1226*$G$53</f>
        <v/>
      </c>
      <c r="AE1227">
        <f>IF(AE1226&gt;1E-9,IF(AE1226*(1+$G$54)-MAX($B$9,0.01*AE1226+AE1226*$G$54)&gt;1E-9,AE1226*(1+$G$54)-MAX($B$9,0.01*AE1226+AE1226*$G$54),0),0)</f>
        <v/>
      </c>
      <c r="AF1227">
        <f>AE1226*$G$54</f>
        <v/>
      </c>
      <c r="AG1227">
        <f>IF(AG1226&gt;1E-9,IF(AG1226*(1+$G$55)-MAX($B$9,0.01*AG1226+AG1226*$G$55)&gt;1E-9,AG1226*(1+$G$55)-MAX($B$9,0.01*AG1226+AG1226*$G$55),0),0)</f>
        <v/>
      </c>
      <c r="AH1227">
        <f>AG1226*$G$55</f>
        <v/>
      </c>
      <c r="AI1227">
        <f>G1227+K1227+O1227+S1227+W1227</f>
        <v/>
      </c>
      <c r="AJ1227">
        <f>AI1226+AK1227-AI1227</f>
        <v/>
      </c>
      <c r="AK1227">
        <f>H1227+L1227+P1227+T1227+X1227</f>
        <v/>
      </c>
      <c r="AL1227">
        <f>TEXT(EDATE($B$5,D1227-1),"mmm yyyy")</f>
        <v/>
      </c>
      <c r="AM1227">
        <f>AI1227</f>
        <v/>
      </c>
    </row>
    <row r="1228">
      <c r="D1228" t="n">
        <v>1167</v>
      </c>
      <c r="E1228">
        <f>IF(G1227&gt;0,MAX(0,G1227*(1+$G$51)-$H$51),0)</f>
        <v/>
      </c>
      <c r="F1228">
        <f>$B$6+IF($D1228=$B$8,$B$7,0)</f>
        <v/>
      </c>
      <c r="G1228">
        <f>IF(E1228-F1228&gt;1E-9,E1228-F1228,0)</f>
        <v/>
      </c>
      <c r="H1228">
        <f>G1227*$G$51</f>
        <v/>
      </c>
      <c r="I1228">
        <f>IF(K1227&gt;0,MAX(0,K1227*(1+$G$52)-$H$52),0)</f>
        <v/>
      </c>
      <c r="J1228">
        <f>MAX(0,F1228-E1228)</f>
        <v/>
      </c>
      <c r="K1228">
        <f>IF(I1228-J1228&gt;1E-9,I1228-J1228,0)</f>
        <v/>
      </c>
      <c r="L1228">
        <f>K1227*$G$52</f>
        <v/>
      </c>
      <c r="M1228">
        <f>IF(O1227&gt;0,MAX(0,O1227*(1+$G$53)-$H$53),0)</f>
        <v/>
      </c>
      <c r="N1228">
        <f>MAX(0,J1228-I1228)</f>
        <v/>
      </c>
      <c r="O1228">
        <f>IF(M1228-N1228&gt;1E-9,M1228-N1228,0)</f>
        <v/>
      </c>
      <c r="P1228">
        <f>O1227*$G$53</f>
        <v/>
      </c>
      <c r="Q1228">
        <f>IF(S1227&gt;0,MAX(0,S1227*(1+$G$54)-$H$54),0)</f>
        <v/>
      </c>
      <c r="R1228">
        <f>MAX(0,N1228-M1228)</f>
        <v/>
      </c>
      <c r="S1228">
        <f>IF(Q1228-R1228&gt;1E-9,Q1228-R1228,0)</f>
        <v/>
      </c>
      <c r="T1228">
        <f>S1227*$G$54</f>
        <v/>
      </c>
      <c r="U1228">
        <f>IF(W1227&gt;0,MAX(0,W1227*(1+$G$55)-$H$55),0)</f>
        <v/>
      </c>
      <c r="V1228">
        <f>MAX(0,R1228-Q1228)</f>
        <v/>
      </c>
      <c r="W1228">
        <f>IF(U1228-V1228&gt;1E-9,U1228-V1228,0)</f>
        <v/>
      </c>
      <c r="X1228">
        <f>W1227*$G$55</f>
        <v/>
      </c>
      <c r="Y1228">
        <f>IF(Y1227&gt;1E-9,IF(Y1227*(1+$G$51)-MAX($B$9,0.01*Y1227+Y1227*$G$51)&gt;1E-9,Y1227*(1+$G$51)-MAX($B$9,0.01*Y1227+Y1227*$G$51),0),0)</f>
        <v/>
      </c>
      <c r="Z1228">
        <f>Y1227*$G$51</f>
        <v/>
      </c>
      <c r="AA1228">
        <f>IF(AA1227&gt;1E-9,IF(AA1227*(1+$G$52)-MAX($B$9,0.01*AA1227+AA1227*$G$52)&gt;1E-9,AA1227*(1+$G$52)-MAX($B$9,0.01*AA1227+AA1227*$G$52),0),0)</f>
        <v/>
      </c>
      <c r="AB1228">
        <f>AA1227*$G$52</f>
        <v/>
      </c>
      <c r="AC1228">
        <f>IF(AC1227&gt;1E-9,IF(AC1227*(1+$G$53)-MAX($B$9,0.01*AC1227+AC1227*$G$53)&gt;1E-9,AC1227*(1+$G$53)-MAX($B$9,0.01*AC1227+AC1227*$G$53),0),0)</f>
        <v/>
      </c>
      <c r="AD1228">
        <f>AC1227*$G$53</f>
        <v/>
      </c>
      <c r="AE1228">
        <f>IF(AE1227&gt;1E-9,IF(AE1227*(1+$G$54)-MAX($B$9,0.01*AE1227+AE1227*$G$54)&gt;1E-9,AE1227*(1+$G$54)-MAX($B$9,0.01*AE1227+AE1227*$G$54),0),0)</f>
        <v/>
      </c>
      <c r="AF1228">
        <f>AE1227*$G$54</f>
        <v/>
      </c>
      <c r="AG1228">
        <f>IF(AG1227&gt;1E-9,IF(AG1227*(1+$G$55)-MAX($B$9,0.01*AG1227+AG1227*$G$55)&gt;1E-9,AG1227*(1+$G$55)-MAX($B$9,0.01*AG1227+AG1227*$G$55),0),0)</f>
        <v/>
      </c>
      <c r="AH1228">
        <f>AG1227*$G$55</f>
        <v/>
      </c>
      <c r="AI1228">
        <f>G1228+K1228+O1228+S1228+W1228</f>
        <v/>
      </c>
      <c r="AJ1228">
        <f>AI1227+AK1228-AI1228</f>
        <v/>
      </c>
      <c r="AK1228">
        <f>H1228+L1228+P1228+T1228+X1228</f>
        <v/>
      </c>
      <c r="AL1228">
        <f>TEXT(EDATE($B$5,D1228-1),"mmm yyyy")</f>
        <v/>
      </c>
      <c r="AM1228">
        <f>AI1228</f>
        <v/>
      </c>
    </row>
    <row r="1229">
      <c r="D1229" t="n">
        <v>1168</v>
      </c>
      <c r="E1229">
        <f>IF(G1228&gt;0,MAX(0,G1228*(1+$G$51)-$H$51),0)</f>
        <v/>
      </c>
      <c r="F1229">
        <f>$B$6+IF($D1229=$B$8,$B$7,0)</f>
        <v/>
      </c>
      <c r="G1229">
        <f>IF(E1229-F1229&gt;1E-9,E1229-F1229,0)</f>
        <v/>
      </c>
      <c r="H1229">
        <f>G1228*$G$51</f>
        <v/>
      </c>
      <c r="I1229">
        <f>IF(K1228&gt;0,MAX(0,K1228*(1+$G$52)-$H$52),0)</f>
        <v/>
      </c>
      <c r="J1229">
        <f>MAX(0,F1229-E1229)</f>
        <v/>
      </c>
      <c r="K1229">
        <f>IF(I1229-J1229&gt;1E-9,I1229-J1229,0)</f>
        <v/>
      </c>
      <c r="L1229">
        <f>K1228*$G$52</f>
        <v/>
      </c>
      <c r="M1229">
        <f>IF(O1228&gt;0,MAX(0,O1228*(1+$G$53)-$H$53),0)</f>
        <v/>
      </c>
      <c r="N1229">
        <f>MAX(0,J1229-I1229)</f>
        <v/>
      </c>
      <c r="O1229">
        <f>IF(M1229-N1229&gt;1E-9,M1229-N1229,0)</f>
        <v/>
      </c>
      <c r="P1229">
        <f>O1228*$G$53</f>
        <v/>
      </c>
      <c r="Q1229">
        <f>IF(S1228&gt;0,MAX(0,S1228*(1+$G$54)-$H$54),0)</f>
        <v/>
      </c>
      <c r="R1229">
        <f>MAX(0,N1229-M1229)</f>
        <v/>
      </c>
      <c r="S1229">
        <f>IF(Q1229-R1229&gt;1E-9,Q1229-R1229,0)</f>
        <v/>
      </c>
      <c r="T1229">
        <f>S1228*$G$54</f>
        <v/>
      </c>
      <c r="U1229">
        <f>IF(W1228&gt;0,MAX(0,W1228*(1+$G$55)-$H$55),0)</f>
        <v/>
      </c>
      <c r="V1229">
        <f>MAX(0,R1229-Q1229)</f>
        <v/>
      </c>
      <c r="W1229">
        <f>IF(U1229-V1229&gt;1E-9,U1229-V1229,0)</f>
        <v/>
      </c>
      <c r="X1229">
        <f>W1228*$G$55</f>
        <v/>
      </c>
      <c r="Y1229">
        <f>IF(Y1228&gt;1E-9,IF(Y1228*(1+$G$51)-MAX($B$9,0.01*Y1228+Y1228*$G$51)&gt;1E-9,Y1228*(1+$G$51)-MAX($B$9,0.01*Y1228+Y1228*$G$51),0),0)</f>
        <v/>
      </c>
      <c r="Z1229">
        <f>Y1228*$G$51</f>
        <v/>
      </c>
      <c r="AA1229">
        <f>IF(AA1228&gt;1E-9,IF(AA1228*(1+$G$52)-MAX($B$9,0.01*AA1228+AA1228*$G$52)&gt;1E-9,AA1228*(1+$G$52)-MAX($B$9,0.01*AA1228+AA1228*$G$52),0),0)</f>
        <v/>
      </c>
      <c r="AB1229">
        <f>AA1228*$G$52</f>
        <v/>
      </c>
      <c r="AC1229">
        <f>IF(AC1228&gt;1E-9,IF(AC1228*(1+$G$53)-MAX($B$9,0.01*AC1228+AC1228*$G$53)&gt;1E-9,AC1228*(1+$G$53)-MAX($B$9,0.01*AC1228+AC1228*$G$53),0),0)</f>
        <v/>
      </c>
      <c r="AD1229">
        <f>AC1228*$G$53</f>
        <v/>
      </c>
      <c r="AE1229">
        <f>IF(AE1228&gt;1E-9,IF(AE1228*(1+$G$54)-MAX($B$9,0.01*AE1228+AE1228*$G$54)&gt;1E-9,AE1228*(1+$G$54)-MAX($B$9,0.01*AE1228+AE1228*$G$54),0),0)</f>
        <v/>
      </c>
      <c r="AF1229">
        <f>AE1228*$G$54</f>
        <v/>
      </c>
      <c r="AG1229">
        <f>IF(AG1228&gt;1E-9,IF(AG1228*(1+$G$55)-MAX($B$9,0.01*AG1228+AG1228*$G$55)&gt;1E-9,AG1228*(1+$G$55)-MAX($B$9,0.01*AG1228+AG1228*$G$55),0),0)</f>
        <v/>
      </c>
      <c r="AH1229">
        <f>AG1228*$G$55</f>
        <v/>
      </c>
      <c r="AI1229">
        <f>G1229+K1229+O1229+S1229+W1229</f>
        <v/>
      </c>
      <c r="AJ1229">
        <f>AI1228+AK1229-AI1229</f>
        <v/>
      </c>
      <c r="AK1229">
        <f>H1229+L1229+P1229+T1229+X1229</f>
        <v/>
      </c>
      <c r="AL1229">
        <f>TEXT(EDATE($B$5,D1229-1),"mmm yyyy")</f>
        <v/>
      </c>
      <c r="AM1229">
        <f>AI1229</f>
        <v/>
      </c>
    </row>
    <row r="1230">
      <c r="D1230" t="n">
        <v>1169</v>
      </c>
      <c r="E1230">
        <f>IF(G1229&gt;0,MAX(0,G1229*(1+$G$51)-$H$51),0)</f>
        <v/>
      </c>
      <c r="F1230">
        <f>$B$6+IF($D1230=$B$8,$B$7,0)</f>
        <v/>
      </c>
      <c r="G1230">
        <f>IF(E1230-F1230&gt;1E-9,E1230-F1230,0)</f>
        <v/>
      </c>
      <c r="H1230">
        <f>G1229*$G$51</f>
        <v/>
      </c>
      <c r="I1230">
        <f>IF(K1229&gt;0,MAX(0,K1229*(1+$G$52)-$H$52),0)</f>
        <v/>
      </c>
      <c r="J1230">
        <f>MAX(0,F1230-E1230)</f>
        <v/>
      </c>
      <c r="K1230">
        <f>IF(I1230-J1230&gt;1E-9,I1230-J1230,0)</f>
        <v/>
      </c>
      <c r="L1230">
        <f>K1229*$G$52</f>
        <v/>
      </c>
      <c r="M1230">
        <f>IF(O1229&gt;0,MAX(0,O1229*(1+$G$53)-$H$53),0)</f>
        <v/>
      </c>
      <c r="N1230">
        <f>MAX(0,J1230-I1230)</f>
        <v/>
      </c>
      <c r="O1230">
        <f>IF(M1230-N1230&gt;1E-9,M1230-N1230,0)</f>
        <v/>
      </c>
      <c r="P1230">
        <f>O1229*$G$53</f>
        <v/>
      </c>
      <c r="Q1230">
        <f>IF(S1229&gt;0,MAX(0,S1229*(1+$G$54)-$H$54),0)</f>
        <v/>
      </c>
      <c r="R1230">
        <f>MAX(0,N1230-M1230)</f>
        <v/>
      </c>
      <c r="S1230">
        <f>IF(Q1230-R1230&gt;1E-9,Q1230-R1230,0)</f>
        <v/>
      </c>
      <c r="T1230">
        <f>S1229*$G$54</f>
        <v/>
      </c>
      <c r="U1230">
        <f>IF(W1229&gt;0,MAX(0,W1229*(1+$G$55)-$H$55),0)</f>
        <v/>
      </c>
      <c r="V1230">
        <f>MAX(0,R1230-Q1230)</f>
        <v/>
      </c>
      <c r="W1230">
        <f>IF(U1230-V1230&gt;1E-9,U1230-V1230,0)</f>
        <v/>
      </c>
      <c r="X1230">
        <f>W1229*$G$55</f>
        <v/>
      </c>
      <c r="Y1230">
        <f>IF(Y1229&gt;1E-9,IF(Y1229*(1+$G$51)-MAX($B$9,0.01*Y1229+Y1229*$G$51)&gt;1E-9,Y1229*(1+$G$51)-MAX($B$9,0.01*Y1229+Y1229*$G$51),0),0)</f>
        <v/>
      </c>
      <c r="Z1230">
        <f>Y1229*$G$51</f>
        <v/>
      </c>
      <c r="AA1230">
        <f>IF(AA1229&gt;1E-9,IF(AA1229*(1+$G$52)-MAX($B$9,0.01*AA1229+AA1229*$G$52)&gt;1E-9,AA1229*(1+$G$52)-MAX($B$9,0.01*AA1229+AA1229*$G$52),0),0)</f>
        <v/>
      </c>
      <c r="AB1230">
        <f>AA1229*$G$52</f>
        <v/>
      </c>
      <c r="AC1230">
        <f>IF(AC1229&gt;1E-9,IF(AC1229*(1+$G$53)-MAX($B$9,0.01*AC1229+AC1229*$G$53)&gt;1E-9,AC1229*(1+$G$53)-MAX($B$9,0.01*AC1229+AC1229*$G$53),0),0)</f>
        <v/>
      </c>
      <c r="AD1230">
        <f>AC1229*$G$53</f>
        <v/>
      </c>
      <c r="AE1230">
        <f>IF(AE1229&gt;1E-9,IF(AE1229*(1+$G$54)-MAX($B$9,0.01*AE1229+AE1229*$G$54)&gt;1E-9,AE1229*(1+$G$54)-MAX($B$9,0.01*AE1229+AE1229*$G$54),0),0)</f>
        <v/>
      </c>
      <c r="AF1230">
        <f>AE1229*$G$54</f>
        <v/>
      </c>
      <c r="AG1230">
        <f>IF(AG1229&gt;1E-9,IF(AG1229*(1+$G$55)-MAX($B$9,0.01*AG1229+AG1229*$G$55)&gt;1E-9,AG1229*(1+$G$55)-MAX($B$9,0.01*AG1229+AG1229*$G$55),0),0)</f>
        <v/>
      </c>
      <c r="AH1230">
        <f>AG1229*$G$55</f>
        <v/>
      </c>
      <c r="AI1230">
        <f>G1230+K1230+O1230+S1230+W1230</f>
        <v/>
      </c>
      <c r="AJ1230">
        <f>AI1229+AK1230-AI1230</f>
        <v/>
      </c>
      <c r="AK1230">
        <f>H1230+L1230+P1230+T1230+X1230</f>
        <v/>
      </c>
      <c r="AL1230">
        <f>TEXT(EDATE($B$5,D1230-1),"mmm yyyy")</f>
        <v/>
      </c>
      <c r="AM1230">
        <f>AI1230</f>
        <v/>
      </c>
    </row>
    <row r="1231">
      <c r="D1231" t="n">
        <v>1170</v>
      </c>
      <c r="E1231">
        <f>IF(G1230&gt;0,MAX(0,G1230*(1+$G$51)-$H$51),0)</f>
        <v/>
      </c>
      <c r="F1231">
        <f>$B$6+IF($D1231=$B$8,$B$7,0)</f>
        <v/>
      </c>
      <c r="G1231">
        <f>IF(E1231-F1231&gt;1E-9,E1231-F1231,0)</f>
        <v/>
      </c>
      <c r="H1231">
        <f>G1230*$G$51</f>
        <v/>
      </c>
      <c r="I1231">
        <f>IF(K1230&gt;0,MAX(0,K1230*(1+$G$52)-$H$52),0)</f>
        <v/>
      </c>
      <c r="J1231">
        <f>MAX(0,F1231-E1231)</f>
        <v/>
      </c>
      <c r="K1231">
        <f>IF(I1231-J1231&gt;1E-9,I1231-J1231,0)</f>
        <v/>
      </c>
      <c r="L1231">
        <f>K1230*$G$52</f>
        <v/>
      </c>
      <c r="M1231">
        <f>IF(O1230&gt;0,MAX(0,O1230*(1+$G$53)-$H$53),0)</f>
        <v/>
      </c>
      <c r="N1231">
        <f>MAX(0,J1231-I1231)</f>
        <v/>
      </c>
      <c r="O1231">
        <f>IF(M1231-N1231&gt;1E-9,M1231-N1231,0)</f>
        <v/>
      </c>
      <c r="P1231">
        <f>O1230*$G$53</f>
        <v/>
      </c>
      <c r="Q1231">
        <f>IF(S1230&gt;0,MAX(0,S1230*(1+$G$54)-$H$54),0)</f>
        <v/>
      </c>
      <c r="R1231">
        <f>MAX(0,N1231-M1231)</f>
        <v/>
      </c>
      <c r="S1231">
        <f>IF(Q1231-R1231&gt;1E-9,Q1231-R1231,0)</f>
        <v/>
      </c>
      <c r="T1231">
        <f>S1230*$G$54</f>
        <v/>
      </c>
      <c r="U1231">
        <f>IF(W1230&gt;0,MAX(0,W1230*(1+$G$55)-$H$55),0)</f>
        <v/>
      </c>
      <c r="V1231">
        <f>MAX(0,R1231-Q1231)</f>
        <v/>
      </c>
      <c r="W1231">
        <f>IF(U1231-V1231&gt;1E-9,U1231-V1231,0)</f>
        <v/>
      </c>
      <c r="X1231">
        <f>W1230*$G$55</f>
        <v/>
      </c>
      <c r="Y1231">
        <f>IF(Y1230&gt;1E-9,IF(Y1230*(1+$G$51)-MAX($B$9,0.01*Y1230+Y1230*$G$51)&gt;1E-9,Y1230*(1+$G$51)-MAX($B$9,0.01*Y1230+Y1230*$G$51),0),0)</f>
        <v/>
      </c>
      <c r="Z1231">
        <f>Y1230*$G$51</f>
        <v/>
      </c>
      <c r="AA1231">
        <f>IF(AA1230&gt;1E-9,IF(AA1230*(1+$G$52)-MAX($B$9,0.01*AA1230+AA1230*$G$52)&gt;1E-9,AA1230*(1+$G$52)-MAX($B$9,0.01*AA1230+AA1230*$G$52),0),0)</f>
        <v/>
      </c>
      <c r="AB1231">
        <f>AA1230*$G$52</f>
        <v/>
      </c>
      <c r="AC1231">
        <f>IF(AC1230&gt;1E-9,IF(AC1230*(1+$G$53)-MAX($B$9,0.01*AC1230+AC1230*$G$53)&gt;1E-9,AC1230*(1+$G$53)-MAX($B$9,0.01*AC1230+AC1230*$G$53),0),0)</f>
        <v/>
      </c>
      <c r="AD1231">
        <f>AC1230*$G$53</f>
        <v/>
      </c>
      <c r="AE1231">
        <f>IF(AE1230&gt;1E-9,IF(AE1230*(1+$G$54)-MAX($B$9,0.01*AE1230+AE1230*$G$54)&gt;1E-9,AE1230*(1+$G$54)-MAX($B$9,0.01*AE1230+AE1230*$G$54),0),0)</f>
        <v/>
      </c>
      <c r="AF1231">
        <f>AE1230*$G$54</f>
        <v/>
      </c>
      <c r="AG1231">
        <f>IF(AG1230&gt;1E-9,IF(AG1230*(1+$G$55)-MAX($B$9,0.01*AG1230+AG1230*$G$55)&gt;1E-9,AG1230*(1+$G$55)-MAX($B$9,0.01*AG1230+AG1230*$G$55),0),0)</f>
        <v/>
      </c>
      <c r="AH1231">
        <f>AG1230*$G$55</f>
        <v/>
      </c>
      <c r="AI1231">
        <f>G1231+K1231+O1231+S1231+W1231</f>
        <v/>
      </c>
      <c r="AJ1231">
        <f>AI1230+AK1231-AI1231</f>
        <v/>
      </c>
      <c r="AK1231">
        <f>H1231+L1231+P1231+T1231+X1231</f>
        <v/>
      </c>
      <c r="AL1231">
        <f>TEXT(EDATE($B$5,D1231-1),"mmm yyyy")</f>
        <v/>
      </c>
      <c r="AM1231">
        <f>AI1231</f>
        <v/>
      </c>
    </row>
    <row r="1232">
      <c r="D1232" t="n">
        <v>1171</v>
      </c>
      <c r="E1232">
        <f>IF(G1231&gt;0,MAX(0,G1231*(1+$G$51)-$H$51),0)</f>
        <v/>
      </c>
      <c r="F1232">
        <f>$B$6+IF($D1232=$B$8,$B$7,0)</f>
        <v/>
      </c>
      <c r="G1232">
        <f>IF(E1232-F1232&gt;1E-9,E1232-F1232,0)</f>
        <v/>
      </c>
      <c r="H1232">
        <f>G1231*$G$51</f>
        <v/>
      </c>
      <c r="I1232">
        <f>IF(K1231&gt;0,MAX(0,K1231*(1+$G$52)-$H$52),0)</f>
        <v/>
      </c>
      <c r="J1232">
        <f>MAX(0,F1232-E1232)</f>
        <v/>
      </c>
      <c r="K1232">
        <f>IF(I1232-J1232&gt;1E-9,I1232-J1232,0)</f>
        <v/>
      </c>
      <c r="L1232">
        <f>K1231*$G$52</f>
        <v/>
      </c>
      <c r="M1232">
        <f>IF(O1231&gt;0,MAX(0,O1231*(1+$G$53)-$H$53),0)</f>
        <v/>
      </c>
      <c r="N1232">
        <f>MAX(0,J1232-I1232)</f>
        <v/>
      </c>
      <c r="O1232">
        <f>IF(M1232-N1232&gt;1E-9,M1232-N1232,0)</f>
        <v/>
      </c>
      <c r="P1232">
        <f>O1231*$G$53</f>
        <v/>
      </c>
      <c r="Q1232">
        <f>IF(S1231&gt;0,MAX(0,S1231*(1+$G$54)-$H$54),0)</f>
        <v/>
      </c>
      <c r="R1232">
        <f>MAX(0,N1232-M1232)</f>
        <v/>
      </c>
      <c r="S1232">
        <f>IF(Q1232-R1232&gt;1E-9,Q1232-R1232,0)</f>
        <v/>
      </c>
      <c r="T1232">
        <f>S1231*$G$54</f>
        <v/>
      </c>
      <c r="U1232">
        <f>IF(W1231&gt;0,MAX(0,W1231*(1+$G$55)-$H$55),0)</f>
        <v/>
      </c>
      <c r="V1232">
        <f>MAX(0,R1232-Q1232)</f>
        <v/>
      </c>
      <c r="W1232">
        <f>IF(U1232-V1232&gt;1E-9,U1232-V1232,0)</f>
        <v/>
      </c>
      <c r="X1232">
        <f>W1231*$G$55</f>
        <v/>
      </c>
      <c r="Y1232">
        <f>IF(Y1231&gt;1E-9,IF(Y1231*(1+$G$51)-MAX($B$9,0.01*Y1231+Y1231*$G$51)&gt;1E-9,Y1231*(1+$G$51)-MAX($B$9,0.01*Y1231+Y1231*$G$51),0),0)</f>
        <v/>
      </c>
      <c r="Z1232">
        <f>Y1231*$G$51</f>
        <v/>
      </c>
      <c r="AA1232">
        <f>IF(AA1231&gt;1E-9,IF(AA1231*(1+$G$52)-MAX($B$9,0.01*AA1231+AA1231*$G$52)&gt;1E-9,AA1231*(1+$G$52)-MAX($B$9,0.01*AA1231+AA1231*$G$52),0),0)</f>
        <v/>
      </c>
      <c r="AB1232">
        <f>AA1231*$G$52</f>
        <v/>
      </c>
      <c r="AC1232">
        <f>IF(AC1231&gt;1E-9,IF(AC1231*(1+$G$53)-MAX($B$9,0.01*AC1231+AC1231*$G$53)&gt;1E-9,AC1231*(1+$G$53)-MAX($B$9,0.01*AC1231+AC1231*$G$53),0),0)</f>
        <v/>
      </c>
      <c r="AD1232">
        <f>AC1231*$G$53</f>
        <v/>
      </c>
      <c r="AE1232">
        <f>IF(AE1231&gt;1E-9,IF(AE1231*(1+$G$54)-MAX($B$9,0.01*AE1231+AE1231*$G$54)&gt;1E-9,AE1231*(1+$G$54)-MAX($B$9,0.01*AE1231+AE1231*$G$54),0),0)</f>
        <v/>
      </c>
      <c r="AF1232">
        <f>AE1231*$G$54</f>
        <v/>
      </c>
      <c r="AG1232">
        <f>IF(AG1231&gt;1E-9,IF(AG1231*(1+$G$55)-MAX($B$9,0.01*AG1231+AG1231*$G$55)&gt;1E-9,AG1231*(1+$G$55)-MAX($B$9,0.01*AG1231+AG1231*$G$55),0),0)</f>
        <v/>
      </c>
      <c r="AH1232">
        <f>AG1231*$G$55</f>
        <v/>
      </c>
      <c r="AI1232">
        <f>G1232+K1232+O1232+S1232+W1232</f>
        <v/>
      </c>
      <c r="AJ1232">
        <f>AI1231+AK1232-AI1232</f>
        <v/>
      </c>
      <c r="AK1232">
        <f>H1232+L1232+P1232+T1232+X1232</f>
        <v/>
      </c>
      <c r="AL1232">
        <f>TEXT(EDATE($B$5,D1232-1),"mmm yyyy")</f>
        <v/>
      </c>
      <c r="AM1232">
        <f>AI1232</f>
        <v/>
      </c>
    </row>
    <row r="1233">
      <c r="D1233" t="n">
        <v>1172</v>
      </c>
      <c r="E1233">
        <f>IF(G1232&gt;0,MAX(0,G1232*(1+$G$51)-$H$51),0)</f>
        <v/>
      </c>
      <c r="F1233">
        <f>$B$6+IF($D1233=$B$8,$B$7,0)</f>
        <v/>
      </c>
      <c r="G1233">
        <f>IF(E1233-F1233&gt;1E-9,E1233-F1233,0)</f>
        <v/>
      </c>
      <c r="H1233">
        <f>G1232*$G$51</f>
        <v/>
      </c>
      <c r="I1233">
        <f>IF(K1232&gt;0,MAX(0,K1232*(1+$G$52)-$H$52),0)</f>
        <v/>
      </c>
      <c r="J1233">
        <f>MAX(0,F1233-E1233)</f>
        <v/>
      </c>
      <c r="K1233">
        <f>IF(I1233-J1233&gt;1E-9,I1233-J1233,0)</f>
        <v/>
      </c>
      <c r="L1233">
        <f>K1232*$G$52</f>
        <v/>
      </c>
      <c r="M1233">
        <f>IF(O1232&gt;0,MAX(0,O1232*(1+$G$53)-$H$53),0)</f>
        <v/>
      </c>
      <c r="N1233">
        <f>MAX(0,J1233-I1233)</f>
        <v/>
      </c>
      <c r="O1233">
        <f>IF(M1233-N1233&gt;1E-9,M1233-N1233,0)</f>
        <v/>
      </c>
      <c r="P1233">
        <f>O1232*$G$53</f>
        <v/>
      </c>
      <c r="Q1233">
        <f>IF(S1232&gt;0,MAX(0,S1232*(1+$G$54)-$H$54),0)</f>
        <v/>
      </c>
      <c r="R1233">
        <f>MAX(0,N1233-M1233)</f>
        <v/>
      </c>
      <c r="S1233">
        <f>IF(Q1233-R1233&gt;1E-9,Q1233-R1233,0)</f>
        <v/>
      </c>
      <c r="T1233">
        <f>S1232*$G$54</f>
        <v/>
      </c>
      <c r="U1233">
        <f>IF(W1232&gt;0,MAX(0,W1232*(1+$G$55)-$H$55),0)</f>
        <v/>
      </c>
      <c r="V1233">
        <f>MAX(0,R1233-Q1233)</f>
        <v/>
      </c>
      <c r="W1233">
        <f>IF(U1233-V1233&gt;1E-9,U1233-V1233,0)</f>
        <v/>
      </c>
      <c r="X1233">
        <f>W1232*$G$55</f>
        <v/>
      </c>
      <c r="Y1233">
        <f>IF(Y1232&gt;1E-9,IF(Y1232*(1+$G$51)-MAX($B$9,0.01*Y1232+Y1232*$G$51)&gt;1E-9,Y1232*(1+$G$51)-MAX($B$9,0.01*Y1232+Y1232*$G$51),0),0)</f>
        <v/>
      </c>
      <c r="Z1233">
        <f>Y1232*$G$51</f>
        <v/>
      </c>
      <c r="AA1233">
        <f>IF(AA1232&gt;1E-9,IF(AA1232*(1+$G$52)-MAX($B$9,0.01*AA1232+AA1232*$G$52)&gt;1E-9,AA1232*(1+$G$52)-MAX($B$9,0.01*AA1232+AA1232*$G$52),0),0)</f>
        <v/>
      </c>
      <c r="AB1233">
        <f>AA1232*$G$52</f>
        <v/>
      </c>
      <c r="AC1233">
        <f>IF(AC1232&gt;1E-9,IF(AC1232*(1+$G$53)-MAX($B$9,0.01*AC1232+AC1232*$G$53)&gt;1E-9,AC1232*(1+$G$53)-MAX($B$9,0.01*AC1232+AC1232*$G$53),0),0)</f>
        <v/>
      </c>
      <c r="AD1233">
        <f>AC1232*$G$53</f>
        <v/>
      </c>
      <c r="AE1233">
        <f>IF(AE1232&gt;1E-9,IF(AE1232*(1+$G$54)-MAX($B$9,0.01*AE1232+AE1232*$G$54)&gt;1E-9,AE1232*(1+$G$54)-MAX($B$9,0.01*AE1232+AE1232*$G$54),0),0)</f>
        <v/>
      </c>
      <c r="AF1233">
        <f>AE1232*$G$54</f>
        <v/>
      </c>
      <c r="AG1233">
        <f>IF(AG1232&gt;1E-9,IF(AG1232*(1+$G$55)-MAX($B$9,0.01*AG1232+AG1232*$G$55)&gt;1E-9,AG1232*(1+$G$55)-MAX($B$9,0.01*AG1232+AG1232*$G$55),0),0)</f>
        <v/>
      </c>
      <c r="AH1233">
        <f>AG1232*$G$55</f>
        <v/>
      </c>
      <c r="AI1233">
        <f>G1233+K1233+O1233+S1233+W1233</f>
        <v/>
      </c>
      <c r="AJ1233">
        <f>AI1232+AK1233-AI1233</f>
        <v/>
      </c>
      <c r="AK1233">
        <f>H1233+L1233+P1233+T1233+X1233</f>
        <v/>
      </c>
      <c r="AL1233">
        <f>TEXT(EDATE($B$5,D1233-1),"mmm yyyy")</f>
        <v/>
      </c>
      <c r="AM1233">
        <f>AI1233</f>
        <v/>
      </c>
    </row>
    <row r="1234">
      <c r="D1234" t="n">
        <v>1173</v>
      </c>
      <c r="E1234">
        <f>IF(G1233&gt;0,MAX(0,G1233*(1+$G$51)-$H$51),0)</f>
        <v/>
      </c>
      <c r="F1234">
        <f>$B$6+IF($D1234=$B$8,$B$7,0)</f>
        <v/>
      </c>
      <c r="G1234">
        <f>IF(E1234-F1234&gt;1E-9,E1234-F1234,0)</f>
        <v/>
      </c>
      <c r="H1234">
        <f>G1233*$G$51</f>
        <v/>
      </c>
      <c r="I1234">
        <f>IF(K1233&gt;0,MAX(0,K1233*(1+$G$52)-$H$52),0)</f>
        <v/>
      </c>
      <c r="J1234">
        <f>MAX(0,F1234-E1234)</f>
        <v/>
      </c>
      <c r="K1234">
        <f>IF(I1234-J1234&gt;1E-9,I1234-J1234,0)</f>
        <v/>
      </c>
      <c r="L1234">
        <f>K1233*$G$52</f>
        <v/>
      </c>
      <c r="M1234">
        <f>IF(O1233&gt;0,MAX(0,O1233*(1+$G$53)-$H$53),0)</f>
        <v/>
      </c>
      <c r="N1234">
        <f>MAX(0,J1234-I1234)</f>
        <v/>
      </c>
      <c r="O1234">
        <f>IF(M1234-N1234&gt;1E-9,M1234-N1234,0)</f>
        <v/>
      </c>
      <c r="P1234">
        <f>O1233*$G$53</f>
        <v/>
      </c>
      <c r="Q1234">
        <f>IF(S1233&gt;0,MAX(0,S1233*(1+$G$54)-$H$54),0)</f>
        <v/>
      </c>
      <c r="R1234">
        <f>MAX(0,N1234-M1234)</f>
        <v/>
      </c>
      <c r="S1234">
        <f>IF(Q1234-R1234&gt;1E-9,Q1234-R1234,0)</f>
        <v/>
      </c>
      <c r="T1234">
        <f>S1233*$G$54</f>
        <v/>
      </c>
      <c r="U1234">
        <f>IF(W1233&gt;0,MAX(0,W1233*(1+$G$55)-$H$55),0)</f>
        <v/>
      </c>
      <c r="V1234">
        <f>MAX(0,R1234-Q1234)</f>
        <v/>
      </c>
      <c r="W1234">
        <f>IF(U1234-V1234&gt;1E-9,U1234-V1234,0)</f>
        <v/>
      </c>
      <c r="X1234">
        <f>W1233*$G$55</f>
        <v/>
      </c>
      <c r="Y1234">
        <f>IF(Y1233&gt;1E-9,IF(Y1233*(1+$G$51)-MAX($B$9,0.01*Y1233+Y1233*$G$51)&gt;1E-9,Y1233*(1+$G$51)-MAX($B$9,0.01*Y1233+Y1233*$G$51),0),0)</f>
        <v/>
      </c>
      <c r="Z1234">
        <f>Y1233*$G$51</f>
        <v/>
      </c>
      <c r="AA1234">
        <f>IF(AA1233&gt;1E-9,IF(AA1233*(1+$G$52)-MAX($B$9,0.01*AA1233+AA1233*$G$52)&gt;1E-9,AA1233*(1+$G$52)-MAX($B$9,0.01*AA1233+AA1233*$G$52),0),0)</f>
        <v/>
      </c>
      <c r="AB1234">
        <f>AA1233*$G$52</f>
        <v/>
      </c>
      <c r="AC1234">
        <f>IF(AC1233&gt;1E-9,IF(AC1233*(1+$G$53)-MAX($B$9,0.01*AC1233+AC1233*$G$53)&gt;1E-9,AC1233*(1+$G$53)-MAX($B$9,0.01*AC1233+AC1233*$G$53),0),0)</f>
        <v/>
      </c>
      <c r="AD1234">
        <f>AC1233*$G$53</f>
        <v/>
      </c>
      <c r="AE1234">
        <f>IF(AE1233&gt;1E-9,IF(AE1233*(1+$G$54)-MAX($B$9,0.01*AE1233+AE1233*$G$54)&gt;1E-9,AE1233*(1+$G$54)-MAX($B$9,0.01*AE1233+AE1233*$G$54),0),0)</f>
        <v/>
      </c>
      <c r="AF1234">
        <f>AE1233*$G$54</f>
        <v/>
      </c>
      <c r="AG1234">
        <f>IF(AG1233&gt;1E-9,IF(AG1233*(1+$G$55)-MAX($B$9,0.01*AG1233+AG1233*$G$55)&gt;1E-9,AG1233*(1+$G$55)-MAX($B$9,0.01*AG1233+AG1233*$G$55),0),0)</f>
        <v/>
      </c>
      <c r="AH1234">
        <f>AG1233*$G$55</f>
        <v/>
      </c>
      <c r="AI1234">
        <f>G1234+K1234+O1234+S1234+W1234</f>
        <v/>
      </c>
      <c r="AJ1234">
        <f>AI1233+AK1234-AI1234</f>
        <v/>
      </c>
      <c r="AK1234">
        <f>H1234+L1234+P1234+T1234+X1234</f>
        <v/>
      </c>
      <c r="AL1234">
        <f>TEXT(EDATE($B$5,D1234-1),"mmm yyyy")</f>
        <v/>
      </c>
      <c r="AM1234">
        <f>AI1234</f>
        <v/>
      </c>
    </row>
    <row r="1235">
      <c r="D1235" t="n">
        <v>1174</v>
      </c>
      <c r="E1235">
        <f>IF(G1234&gt;0,MAX(0,G1234*(1+$G$51)-$H$51),0)</f>
        <v/>
      </c>
      <c r="F1235">
        <f>$B$6+IF($D1235=$B$8,$B$7,0)</f>
        <v/>
      </c>
      <c r="G1235">
        <f>IF(E1235-F1235&gt;1E-9,E1235-F1235,0)</f>
        <v/>
      </c>
      <c r="H1235">
        <f>G1234*$G$51</f>
        <v/>
      </c>
      <c r="I1235">
        <f>IF(K1234&gt;0,MAX(0,K1234*(1+$G$52)-$H$52),0)</f>
        <v/>
      </c>
      <c r="J1235">
        <f>MAX(0,F1235-E1235)</f>
        <v/>
      </c>
      <c r="K1235">
        <f>IF(I1235-J1235&gt;1E-9,I1235-J1235,0)</f>
        <v/>
      </c>
      <c r="L1235">
        <f>K1234*$G$52</f>
        <v/>
      </c>
      <c r="M1235">
        <f>IF(O1234&gt;0,MAX(0,O1234*(1+$G$53)-$H$53),0)</f>
        <v/>
      </c>
      <c r="N1235">
        <f>MAX(0,J1235-I1235)</f>
        <v/>
      </c>
      <c r="O1235">
        <f>IF(M1235-N1235&gt;1E-9,M1235-N1235,0)</f>
        <v/>
      </c>
      <c r="P1235">
        <f>O1234*$G$53</f>
        <v/>
      </c>
      <c r="Q1235">
        <f>IF(S1234&gt;0,MAX(0,S1234*(1+$G$54)-$H$54),0)</f>
        <v/>
      </c>
      <c r="R1235">
        <f>MAX(0,N1235-M1235)</f>
        <v/>
      </c>
      <c r="S1235">
        <f>IF(Q1235-R1235&gt;1E-9,Q1235-R1235,0)</f>
        <v/>
      </c>
      <c r="T1235">
        <f>S1234*$G$54</f>
        <v/>
      </c>
      <c r="U1235">
        <f>IF(W1234&gt;0,MAX(0,W1234*(1+$G$55)-$H$55),0)</f>
        <v/>
      </c>
      <c r="V1235">
        <f>MAX(0,R1235-Q1235)</f>
        <v/>
      </c>
      <c r="W1235">
        <f>IF(U1235-V1235&gt;1E-9,U1235-V1235,0)</f>
        <v/>
      </c>
      <c r="X1235">
        <f>W1234*$G$55</f>
        <v/>
      </c>
      <c r="Y1235">
        <f>IF(Y1234&gt;1E-9,IF(Y1234*(1+$G$51)-MAX($B$9,0.01*Y1234+Y1234*$G$51)&gt;1E-9,Y1234*(1+$G$51)-MAX($B$9,0.01*Y1234+Y1234*$G$51),0),0)</f>
        <v/>
      </c>
      <c r="Z1235">
        <f>Y1234*$G$51</f>
        <v/>
      </c>
      <c r="AA1235">
        <f>IF(AA1234&gt;1E-9,IF(AA1234*(1+$G$52)-MAX($B$9,0.01*AA1234+AA1234*$G$52)&gt;1E-9,AA1234*(1+$G$52)-MAX($B$9,0.01*AA1234+AA1234*$G$52),0),0)</f>
        <v/>
      </c>
      <c r="AB1235">
        <f>AA1234*$G$52</f>
        <v/>
      </c>
      <c r="AC1235">
        <f>IF(AC1234&gt;1E-9,IF(AC1234*(1+$G$53)-MAX($B$9,0.01*AC1234+AC1234*$G$53)&gt;1E-9,AC1234*(1+$G$53)-MAX($B$9,0.01*AC1234+AC1234*$G$53),0),0)</f>
        <v/>
      </c>
      <c r="AD1235">
        <f>AC1234*$G$53</f>
        <v/>
      </c>
      <c r="AE1235">
        <f>IF(AE1234&gt;1E-9,IF(AE1234*(1+$G$54)-MAX($B$9,0.01*AE1234+AE1234*$G$54)&gt;1E-9,AE1234*(1+$G$54)-MAX($B$9,0.01*AE1234+AE1234*$G$54),0),0)</f>
        <v/>
      </c>
      <c r="AF1235">
        <f>AE1234*$G$54</f>
        <v/>
      </c>
      <c r="AG1235">
        <f>IF(AG1234&gt;1E-9,IF(AG1234*(1+$G$55)-MAX($B$9,0.01*AG1234+AG1234*$G$55)&gt;1E-9,AG1234*(1+$G$55)-MAX($B$9,0.01*AG1234+AG1234*$G$55),0),0)</f>
        <v/>
      </c>
      <c r="AH1235">
        <f>AG1234*$G$55</f>
        <v/>
      </c>
      <c r="AI1235">
        <f>G1235+K1235+O1235+S1235+W1235</f>
        <v/>
      </c>
      <c r="AJ1235">
        <f>AI1234+AK1235-AI1235</f>
        <v/>
      </c>
      <c r="AK1235">
        <f>H1235+L1235+P1235+T1235+X1235</f>
        <v/>
      </c>
      <c r="AL1235">
        <f>TEXT(EDATE($B$5,D1235-1),"mmm yyyy")</f>
        <v/>
      </c>
      <c r="AM1235">
        <f>AI1235</f>
        <v/>
      </c>
    </row>
    <row r="1236">
      <c r="D1236" t="n">
        <v>1175</v>
      </c>
      <c r="E1236">
        <f>IF(G1235&gt;0,MAX(0,G1235*(1+$G$51)-$H$51),0)</f>
        <v/>
      </c>
      <c r="F1236">
        <f>$B$6+IF($D1236=$B$8,$B$7,0)</f>
        <v/>
      </c>
      <c r="G1236">
        <f>IF(E1236-F1236&gt;1E-9,E1236-F1236,0)</f>
        <v/>
      </c>
      <c r="H1236">
        <f>G1235*$G$51</f>
        <v/>
      </c>
      <c r="I1236">
        <f>IF(K1235&gt;0,MAX(0,K1235*(1+$G$52)-$H$52),0)</f>
        <v/>
      </c>
      <c r="J1236">
        <f>MAX(0,F1236-E1236)</f>
        <v/>
      </c>
      <c r="K1236">
        <f>IF(I1236-J1236&gt;1E-9,I1236-J1236,0)</f>
        <v/>
      </c>
      <c r="L1236">
        <f>K1235*$G$52</f>
        <v/>
      </c>
      <c r="M1236">
        <f>IF(O1235&gt;0,MAX(0,O1235*(1+$G$53)-$H$53),0)</f>
        <v/>
      </c>
      <c r="N1236">
        <f>MAX(0,J1236-I1236)</f>
        <v/>
      </c>
      <c r="O1236">
        <f>IF(M1236-N1236&gt;1E-9,M1236-N1236,0)</f>
        <v/>
      </c>
      <c r="P1236">
        <f>O1235*$G$53</f>
        <v/>
      </c>
      <c r="Q1236">
        <f>IF(S1235&gt;0,MAX(0,S1235*(1+$G$54)-$H$54),0)</f>
        <v/>
      </c>
      <c r="R1236">
        <f>MAX(0,N1236-M1236)</f>
        <v/>
      </c>
      <c r="S1236">
        <f>IF(Q1236-R1236&gt;1E-9,Q1236-R1236,0)</f>
        <v/>
      </c>
      <c r="T1236">
        <f>S1235*$G$54</f>
        <v/>
      </c>
      <c r="U1236">
        <f>IF(W1235&gt;0,MAX(0,W1235*(1+$G$55)-$H$55),0)</f>
        <v/>
      </c>
      <c r="V1236">
        <f>MAX(0,R1236-Q1236)</f>
        <v/>
      </c>
      <c r="W1236">
        <f>IF(U1236-V1236&gt;1E-9,U1236-V1236,0)</f>
        <v/>
      </c>
      <c r="X1236">
        <f>W1235*$G$55</f>
        <v/>
      </c>
      <c r="Y1236">
        <f>IF(Y1235&gt;1E-9,IF(Y1235*(1+$G$51)-MAX($B$9,0.01*Y1235+Y1235*$G$51)&gt;1E-9,Y1235*(1+$G$51)-MAX($B$9,0.01*Y1235+Y1235*$G$51),0),0)</f>
        <v/>
      </c>
      <c r="Z1236">
        <f>Y1235*$G$51</f>
        <v/>
      </c>
      <c r="AA1236">
        <f>IF(AA1235&gt;1E-9,IF(AA1235*(1+$G$52)-MAX($B$9,0.01*AA1235+AA1235*$G$52)&gt;1E-9,AA1235*(1+$G$52)-MAX($B$9,0.01*AA1235+AA1235*$G$52),0),0)</f>
        <v/>
      </c>
      <c r="AB1236">
        <f>AA1235*$G$52</f>
        <v/>
      </c>
      <c r="AC1236">
        <f>IF(AC1235&gt;1E-9,IF(AC1235*(1+$G$53)-MAX($B$9,0.01*AC1235+AC1235*$G$53)&gt;1E-9,AC1235*(1+$G$53)-MAX($B$9,0.01*AC1235+AC1235*$G$53),0),0)</f>
        <v/>
      </c>
      <c r="AD1236">
        <f>AC1235*$G$53</f>
        <v/>
      </c>
      <c r="AE1236">
        <f>IF(AE1235&gt;1E-9,IF(AE1235*(1+$G$54)-MAX($B$9,0.01*AE1235+AE1235*$G$54)&gt;1E-9,AE1235*(1+$G$54)-MAX($B$9,0.01*AE1235+AE1235*$G$54),0),0)</f>
        <v/>
      </c>
      <c r="AF1236">
        <f>AE1235*$G$54</f>
        <v/>
      </c>
      <c r="AG1236">
        <f>IF(AG1235&gt;1E-9,IF(AG1235*(1+$G$55)-MAX($B$9,0.01*AG1235+AG1235*$G$55)&gt;1E-9,AG1235*(1+$G$55)-MAX($B$9,0.01*AG1235+AG1235*$G$55),0),0)</f>
        <v/>
      </c>
      <c r="AH1236">
        <f>AG1235*$G$55</f>
        <v/>
      </c>
      <c r="AI1236">
        <f>G1236+K1236+O1236+S1236+W1236</f>
        <v/>
      </c>
      <c r="AJ1236">
        <f>AI1235+AK1236-AI1236</f>
        <v/>
      </c>
      <c r="AK1236">
        <f>H1236+L1236+P1236+T1236+X1236</f>
        <v/>
      </c>
      <c r="AL1236">
        <f>TEXT(EDATE($B$5,D1236-1),"mmm yyyy")</f>
        <v/>
      </c>
      <c r="AM1236">
        <f>AI1236</f>
        <v/>
      </c>
    </row>
    <row r="1237">
      <c r="D1237" t="n">
        <v>1176</v>
      </c>
      <c r="E1237">
        <f>IF(G1236&gt;0,MAX(0,G1236*(1+$G$51)-$H$51),0)</f>
        <v/>
      </c>
      <c r="F1237">
        <f>$B$6+IF($D1237=$B$8,$B$7,0)</f>
        <v/>
      </c>
      <c r="G1237">
        <f>IF(E1237-F1237&gt;1E-9,E1237-F1237,0)</f>
        <v/>
      </c>
      <c r="H1237">
        <f>G1236*$G$51</f>
        <v/>
      </c>
      <c r="I1237">
        <f>IF(K1236&gt;0,MAX(0,K1236*(1+$G$52)-$H$52),0)</f>
        <v/>
      </c>
      <c r="J1237">
        <f>MAX(0,F1237-E1237)</f>
        <v/>
      </c>
      <c r="K1237">
        <f>IF(I1237-J1237&gt;1E-9,I1237-J1237,0)</f>
        <v/>
      </c>
      <c r="L1237">
        <f>K1236*$G$52</f>
        <v/>
      </c>
      <c r="M1237">
        <f>IF(O1236&gt;0,MAX(0,O1236*(1+$G$53)-$H$53),0)</f>
        <v/>
      </c>
      <c r="N1237">
        <f>MAX(0,J1237-I1237)</f>
        <v/>
      </c>
      <c r="O1237">
        <f>IF(M1237-N1237&gt;1E-9,M1237-N1237,0)</f>
        <v/>
      </c>
      <c r="P1237">
        <f>O1236*$G$53</f>
        <v/>
      </c>
      <c r="Q1237">
        <f>IF(S1236&gt;0,MAX(0,S1236*(1+$G$54)-$H$54),0)</f>
        <v/>
      </c>
      <c r="R1237">
        <f>MAX(0,N1237-M1237)</f>
        <v/>
      </c>
      <c r="S1237">
        <f>IF(Q1237-R1237&gt;1E-9,Q1237-R1237,0)</f>
        <v/>
      </c>
      <c r="T1237">
        <f>S1236*$G$54</f>
        <v/>
      </c>
      <c r="U1237">
        <f>IF(W1236&gt;0,MAX(0,W1236*(1+$G$55)-$H$55),0)</f>
        <v/>
      </c>
      <c r="V1237">
        <f>MAX(0,R1237-Q1237)</f>
        <v/>
      </c>
      <c r="W1237">
        <f>IF(U1237-V1237&gt;1E-9,U1237-V1237,0)</f>
        <v/>
      </c>
      <c r="X1237">
        <f>W1236*$G$55</f>
        <v/>
      </c>
      <c r="Y1237">
        <f>IF(Y1236&gt;1E-9,IF(Y1236*(1+$G$51)-MAX($B$9,0.01*Y1236+Y1236*$G$51)&gt;1E-9,Y1236*(1+$G$51)-MAX($B$9,0.01*Y1236+Y1236*$G$51),0),0)</f>
        <v/>
      </c>
      <c r="Z1237">
        <f>Y1236*$G$51</f>
        <v/>
      </c>
      <c r="AA1237">
        <f>IF(AA1236&gt;1E-9,IF(AA1236*(1+$G$52)-MAX($B$9,0.01*AA1236+AA1236*$G$52)&gt;1E-9,AA1236*(1+$G$52)-MAX($B$9,0.01*AA1236+AA1236*$G$52),0),0)</f>
        <v/>
      </c>
      <c r="AB1237">
        <f>AA1236*$G$52</f>
        <v/>
      </c>
      <c r="AC1237">
        <f>IF(AC1236&gt;1E-9,IF(AC1236*(1+$G$53)-MAX($B$9,0.01*AC1236+AC1236*$G$53)&gt;1E-9,AC1236*(1+$G$53)-MAX($B$9,0.01*AC1236+AC1236*$G$53),0),0)</f>
        <v/>
      </c>
      <c r="AD1237">
        <f>AC1236*$G$53</f>
        <v/>
      </c>
      <c r="AE1237">
        <f>IF(AE1236&gt;1E-9,IF(AE1236*(1+$G$54)-MAX($B$9,0.01*AE1236+AE1236*$G$54)&gt;1E-9,AE1236*(1+$G$54)-MAX($B$9,0.01*AE1236+AE1236*$G$54),0),0)</f>
        <v/>
      </c>
      <c r="AF1237">
        <f>AE1236*$G$54</f>
        <v/>
      </c>
      <c r="AG1237">
        <f>IF(AG1236&gt;1E-9,IF(AG1236*(1+$G$55)-MAX($B$9,0.01*AG1236+AG1236*$G$55)&gt;1E-9,AG1236*(1+$G$55)-MAX($B$9,0.01*AG1236+AG1236*$G$55),0),0)</f>
        <v/>
      </c>
      <c r="AH1237">
        <f>AG1236*$G$55</f>
        <v/>
      </c>
      <c r="AI1237">
        <f>G1237+K1237+O1237+S1237+W1237</f>
        <v/>
      </c>
      <c r="AJ1237">
        <f>AI1236+AK1237-AI1237</f>
        <v/>
      </c>
      <c r="AK1237">
        <f>H1237+L1237+P1237+T1237+X1237</f>
        <v/>
      </c>
      <c r="AL1237">
        <f>TEXT(EDATE($B$5,D1237-1),"mmm yyyy")</f>
        <v/>
      </c>
      <c r="AM1237">
        <f>AI1237</f>
        <v/>
      </c>
    </row>
    <row r="1238">
      <c r="D1238" t="n">
        <v>1177</v>
      </c>
      <c r="E1238">
        <f>IF(G1237&gt;0,MAX(0,G1237*(1+$G$51)-$H$51),0)</f>
        <v/>
      </c>
      <c r="F1238">
        <f>$B$6+IF($D1238=$B$8,$B$7,0)</f>
        <v/>
      </c>
      <c r="G1238">
        <f>IF(E1238-F1238&gt;1E-9,E1238-F1238,0)</f>
        <v/>
      </c>
      <c r="H1238">
        <f>G1237*$G$51</f>
        <v/>
      </c>
      <c r="I1238">
        <f>IF(K1237&gt;0,MAX(0,K1237*(1+$G$52)-$H$52),0)</f>
        <v/>
      </c>
      <c r="J1238">
        <f>MAX(0,F1238-E1238)</f>
        <v/>
      </c>
      <c r="K1238">
        <f>IF(I1238-J1238&gt;1E-9,I1238-J1238,0)</f>
        <v/>
      </c>
      <c r="L1238">
        <f>K1237*$G$52</f>
        <v/>
      </c>
      <c r="M1238">
        <f>IF(O1237&gt;0,MAX(0,O1237*(1+$G$53)-$H$53),0)</f>
        <v/>
      </c>
      <c r="N1238">
        <f>MAX(0,J1238-I1238)</f>
        <v/>
      </c>
      <c r="O1238">
        <f>IF(M1238-N1238&gt;1E-9,M1238-N1238,0)</f>
        <v/>
      </c>
      <c r="P1238">
        <f>O1237*$G$53</f>
        <v/>
      </c>
      <c r="Q1238">
        <f>IF(S1237&gt;0,MAX(0,S1237*(1+$G$54)-$H$54),0)</f>
        <v/>
      </c>
      <c r="R1238">
        <f>MAX(0,N1238-M1238)</f>
        <v/>
      </c>
      <c r="S1238">
        <f>IF(Q1238-R1238&gt;1E-9,Q1238-R1238,0)</f>
        <v/>
      </c>
      <c r="T1238">
        <f>S1237*$G$54</f>
        <v/>
      </c>
      <c r="U1238">
        <f>IF(W1237&gt;0,MAX(0,W1237*(1+$G$55)-$H$55),0)</f>
        <v/>
      </c>
      <c r="V1238">
        <f>MAX(0,R1238-Q1238)</f>
        <v/>
      </c>
      <c r="W1238">
        <f>IF(U1238-V1238&gt;1E-9,U1238-V1238,0)</f>
        <v/>
      </c>
      <c r="X1238">
        <f>W1237*$G$55</f>
        <v/>
      </c>
      <c r="Y1238">
        <f>IF(Y1237&gt;1E-9,IF(Y1237*(1+$G$51)-MAX($B$9,0.01*Y1237+Y1237*$G$51)&gt;1E-9,Y1237*(1+$G$51)-MAX($B$9,0.01*Y1237+Y1237*$G$51),0),0)</f>
        <v/>
      </c>
      <c r="Z1238">
        <f>Y1237*$G$51</f>
        <v/>
      </c>
      <c r="AA1238">
        <f>IF(AA1237&gt;1E-9,IF(AA1237*(1+$G$52)-MAX($B$9,0.01*AA1237+AA1237*$G$52)&gt;1E-9,AA1237*(1+$G$52)-MAX($B$9,0.01*AA1237+AA1237*$G$52),0),0)</f>
        <v/>
      </c>
      <c r="AB1238">
        <f>AA1237*$G$52</f>
        <v/>
      </c>
      <c r="AC1238">
        <f>IF(AC1237&gt;1E-9,IF(AC1237*(1+$G$53)-MAX($B$9,0.01*AC1237+AC1237*$G$53)&gt;1E-9,AC1237*(1+$G$53)-MAX($B$9,0.01*AC1237+AC1237*$G$53),0),0)</f>
        <v/>
      </c>
      <c r="AD1238">
        <f>AC1237*$G$53</f>
        <v/>
      </c>
      <c r="AE1238">
        <f>IF(AE1237&gt;1E-9,IF(AE1237*(1+$G$54)-MAX($B$9,0.01*AE1237+AE1237*$G$54)&gt;1E-9,AE1237*(1+$G$54)-MAX($B$9,0.01*AE1237+AE1237*$G$54),0),0)</f>
        <v/>
      </c>
      <c r="AF1238">
        <f>AE1237*$G$54</f>
        <v/>
      </c>
      <c r="AG1238">
        <f>IF(AG1237&gt;1E-9,IF(AG1237*(1+$G$55)-MAX($B$9,0.01*AG1237+AG1237*$G$55)&gt;1E-9,AG1237*(1+$G$55)-MAX($B$9,0.01*AG1237+AG1237*$G$55),0),0)</f>
        <v/>
      </c>
      <c r="AH1238">
        <f>AG1237*$G$55</f>
        <v/>
      </c>
      <c r="AI1238">
        <f>G1238+K1238+O1238+S1238+W1238</f>
        <v/>
      </c>
      <c r="AJ1238">
        <f>AI1237+AK1238-AI1238</f>
        <v/>
      </c>
      <c r="AK1238">
        <f>H1238+L1238+P1238+T1238+X1238</f>
        <v/>
      </c>
      <c r="AL1238">
        <f>TEXT(EDATE($B$5,D1238-1),"mmm yyyy")</f>
        <v/>
      </c>
      <c r="AM1238">
        <f>AI1238</f>
        <v/>
      </c>
    </row>
    <row r="1239">
      <c r="D1239" t="n">
        <v>1178</v>
      </c>
      <c r="E1239">
        <f>IF(G1238&gt;0,MAX(0,G1238*(1+$G$51)-$H$51),0)</f>
        <v/>
      </c>
      <c r="F1239">
        <f>$B$6+IF($D1239=$B$8,$B$7,0)</f>
        <v/>
      </c>
      <c r="G1239">
        <f>IF(E1239-F1239&gt;1E-9,E1239-F1239,0)</f>
        <v/>
      </c>
      <c r="H1239">
        <f>G1238*$G$51</f>
        <v/>
      </c>
      <c r="I1239">
        <f>IF(K1238&gt;0,MAX(0,K1238*(1+$G$52)-$H$52),0)</f>
        <v/>
      </c>
      <c r="J1239">
        <f>MAX(0,F1239-E1239)</f>
        <v/>
      </c>
      <c r="K1239">
        <f>IF(I1239-J1239&gt;1E-9,I1239-J1239,0)</f>
        <v/>
      </c>
      <c r="L1239">
        <f>K1238*$G$52</f>
        <v/>
      </c>
      <c r="M1239">
        <f>IF(O1238&gt;0,MAX(0,O1238*(1+$G$53)-$H$53),0)</f>
        <v/>
      </c>
      <c r="N1239">
        <f>MAX(0,J1239-I1239)</f>
        <v/>
      </c>
      <c r="O1239">
        <f>IF(M1239-N1239&gt;1E-9,M1239-N1239,0)</f>
        <v/>
      </c>
      <c r="P1239">
        <f>O1238*$G$53</f>
        <v/>
      </c>
      <c r="Q1239">
        <f>IF(S1238&gt;0,MAX(0,S1238*(1+$G$54)-$H$54),0)</f>
        <v/>
      </c>
      <c r="R1239">
        <f>MAX(0,N1239-M1239)</f>
        <v/>
      </c>
      <c r="S1239">
        <f>IF(Q1239-R1239&gt;1E-9,Q1239-R1239,0)</f>
        <v/>
      </c>
      <c r="T1239">
        <f>S1238*$G$54</f>
        <v/>
      </c>
      <c r="U1239">
        <f>IF(W1238&gt;0,MAX(0,W1238*(1+$G$55)-$H$55),0)</f>
        <v/>
      </c>
      <c r="V1239">
        <f>MAX(0,R1239-Q1239)</f>
        <v/>
      </c>
      <c r="W1239">
        <f>IF(U1239-V1239&gt;1E-9,U1239-V1239,0)</f>
        <v/>
      </c>
      <c r="X1239">
        <f>W1238*$G$55</f>
        <v/>
      </c>
      <c r="Y1239">
        <f>IF(Y1238&gt;1E-9,IF(Y1238*(1+$G$51)-MAX($B$9,0.01*Y1238+Y1238*$G$51)&gt;1E-9,Y1238*(1+$G$51)-MAX($B$9,0.01*Y1238+Y1238*$G$51),0),0)</f>
        <v/>
      </c>
      <c r="Z1239">
        <f>Y1238*$G$51</f>
        <v/>
      </c>
      <c r="AA1239">
        <f>IF(AA1238&gt;1E-9,IF(AA1238*(1+$G$52)-MAX($B$9,0.01*AA1238+AA1238*$G$52)&gt;1E-9,AA1238*(1+$G$52)-MAX($B$9,0.01*AA1238+AA1238*$G$52),0),0)</f>
        <v/>
      </c>
      <c r="AB1239">
        <f>AA1238*$G$52</f>
        <v/>
      </c>
      <c r="AC1239">
        <f>IF(AC1238&gt;1E-9,IF(AC1238*(1+$G$53)-MAX($B$9,0.01*AC1238+AC1238*$G$53)&gt;1E-9,AC1238*(1+$G$53)-MAX($B$9,0.01*AC1238+AC1238*$G$53),0),0)</f>
        <v/>
      </c>
      <c r="AD1239">
        <f>AC1238*$G$53</f>
        <v/>
      </c>
      <c r="AE1239">
        <f>IF(AE1238&gt;1E-9,IF(AE1238*(1+$G$54)-MAX($B$9,0.01*AE1238+AE1238*$G$54)&gt;1E-9,AE1238*(1+$G$54)-MAX($B$9,0.01*AE1238+AE1238*$G$54),0),0)</f>
        <v/>
      </c>
      <c r="AF1239">
        <f>AE1238*$G$54</f>
        <v/>
      </c>
      <c r="AG1239">
        <f>IF(AG1238&gt;1E-9,IF(AG1238*(1+$G$55)-MAX($B$9,0.01*AG1238+AG1238*$G$55)&gt;1E-9,AG1238*(1+$G$55)-MAX($B$9,0.01*AG1238+AG1238*$G$55),0),0)</f>
        <v/>
      </c>
      <c r="AH1239">
        <f>AG1238*$G$55</f>
        <v/>
      </c>
      <c r="AI1239">
        <f>G1239+K1239+O1239+S1239+W1239</f>
        <v/>
      </c>
      <c r="AJ1239">
        <f>AI1238+AK1239-AI1239</f>
        <v/>
      </c>
      <c r="AK1239">
        <f>H1239+L1239+P1239+T1239+X1239</f>
        <v/>
      </c>
      <c r="AL1239">
        <f>TEXT(EDATE($B$5,D1239-1),"mmm yyyy")</f>
        <v/>
      </c>
      <c r="AM1239">
        <f>AI1239</f>
        <v/>
      </c>
    </row>
    <row r="1240">
      <c r="D1240" t="n">
        <v>1179</v>
      </c>
      <c r="E1240">
        <f>IF(G1239&gt;0,MAX(0,G1239*(1+$G$51)-$H$51),0)</f>
        <v/>
      </c>
      <c r="F1240">
        <f>$B$6+IF($D1240=$B$8,$B$7,0)</f>
        <v/>
      </c>
      <c r="G1240">
        <f>IF(E1240-F1240&gt;1E-9,E1240-F1240,0)</f>
        <v/>
      </c>
      <c r="H1240">
        <f>G1239*$G$51</f>
        <v/>
      </c>
      <c r="I1240">
        <f>IF(K1239&gt;0,MAX(0,K1239*(1+$G$52)-$H$52),0)</f>
        <v/>
      </c>
      <c r="J1240">
        <f>MAX(0,F1240-E1240)</f>
        <v/>
      </c>
      <c r="K1240">
        <f>IF(I1240-J1240&gt;1E-9,I1240-J1240,0)</f>
        <v/>
      </c>
      <c r="L1240">
        <f>K1239*$G$52</f>
        <v/>
      </c>
      <c r="M1240">
        <f>IF(O1239&gt;0,MAX(0,O1239*(1+$G$53)-$H$53),0)</f>
        <v/>
      </c>
      <c r="N1240">
        <f>MAX(0,J1240-I1240)</f>
        <v/>
      </c>
      <c r="O1240">
        <f>IF(M1240-N1240&gt;1E-9,M1240-N1240,0)</f>
        <v/>
      </c>
      <c r="P1240">
        <f>O1239*$G$53</f>
        <v/>
      </c>
      <c r="Q1240">
        <f>IF(S1239&gt;0,MAX(0,S1239*(1+$G$54)-$H$54),0)</f>
        <v/>
      </c>
      <c r="R1240">
        <f>MAX(0,N1240-M1240)</f>
        <v/>
      </c>
      <c r="S1240">
        <f>IF(Q1240-R1240&gt;1E-9,Q1240-R1240,0)</f>
        <v/>
      </c>
      <c r="T1240">
        <f>S1239*$G$54</f>
        <v/>
      </c>
      <c r="U1240">
        <f>IF(W1239&gt;0,MAX(0,W1239*(1+$G$55)-$H$55),0)</f>
        <v/>
      </c>
      <c r="V1240">
        <f>MAX(0,R1240-Q1240)</f>
        <v/>
      </c>
      <c r="W1240">
        <f>IF(U1240-V1240&gt;1E-9,U1240-V1240,0)</f>
        <v/>
      </c>
      <c r="X1240">
        <f>W1239*$G$55</f>
        <v/>
      </c>
      <c r="Y1240">
        <f>IF(Y1239&gt;1E-9,IF(Y1239*(1+$G$51)-MAX($B$9,0.01*Y1239+Y1239*$G$51)&gt;1E-9,Y1239*(1+$G$51)-MAX($B$9,0.01*Y1239+Y1239*$G$51),0),0)</f>
        <v/>
      </c>
      <c r="Z1240">
        <f>Y1239*$G$51</f>
        <v/>
      </c>
      <c r="AA1240">
        <f>IF(AA1239&gt;1E-9,IF(AA1239*(1+$G$52)-MAX($B$9,0.01*AA1239+AA1239*$G$52)&gt;1E-9,AA1239*(1+$G$52)-MAX($B$9,0.01*AA1239+AA1239*$G$52),0),0)</f>
        <v/>
      </c>
      <c r="AB1240">
        <f>AA1239*$G$52</f>
        <v/>
      </c>
      <c r="AC1240">
        <f>IF(AC1239&gt;1E-9,IF(AC1239*(1+$G$53)-MAX($B$9,0.01*AC1239+AC1239*$G$53)&gt;1E-9,AC1239*(1+$G$53)-MAX($B$9,0.01*AC1239+AC1239*$G$53),0),0)</f>
        <v/>
      </c>
      <c r="AD1240">
        <f>AC1239*$G$53</f>
        <v/>
      </c>
      <c r="AE1240">
        <f>IF(AE1239&gt;1E-9,IF(AE1239*(1+$G$54)-MAX($B$9,0.01*AE1239+AE1239*$G$54)&gt;1E-9,AE1239*(1+$G$54)-MAX($B$9,0.01*AE1239+AE1239*$G$54),0),0)</f>
        <v/>
      </c>
      <c r="AF1240">
        <f>AE1239*$G$54</f>
        <v/>
      </c>
      <c r="AG1240">
        <f>IF(AG1239&gt;1E-9,IF(AG1239*(1+$G$55)-MAX($B$9,0.01*AG1239+AG1239*$G$55)&gt;1E-9,AG1239*(1+$G$55)-MAX($B$9,0.01*AG1239+AG1239*$G$55),0),0)</f>
        <v/>
      </c>
      <c r="AH1240">
        <f>AG1239*$G$55</f>
        <v/>
      </c>
      <c r="AI1240">
        <f>G1240+K1240+O1240+S1240+W1240</f>
        <v/>
      </c>
      <c r="AJ1240">
        <f>AI1239+AK1240-AI1240</f>
        <v/>
      </c>
      <c r="AK1240">
        <f>H1240+L1240+P1240+T1240+X1240</f>
        <v/>
      </c>
      <c r="AL1240">
        <f>TEXT(EDATE($B$5,D1240-1),"mmm yyyy")</f>
        <v/>
      </c>
      <c r="AM1240">
        <f>AI1240</f>
        <v/>
      </c>
    </row>
    <row r="1241">
      <c r="D1241" t="n">
        <v>1180</v>
      </c>
      <c r="E1241">
        <f>IF(G1240&gt;0,MAX(0,G1240*(1+$G$51)-$H$51),0)</f>
        <v/>
      </c>
      <c r="F1241">
        <f>$B$6+IF($D1241=$B$8,$B$7,0)</f>
        <v/>
      </c>
      <c r="G1241">
        <f>IF(E1241-F1241&gt;1E-9,E1241-F1241,0)</f>
        <v/>
      </c>
      <c r="H1241">
        <f>G1240*$G$51</f>
        <v/>
      </c>
      <c r="I1241">
        <f>IF(K1240&gt;0,MAX(0,K1240*(1+$G$52)-$H$52),0)</f>
        <v/>
      </c>
      <c r="J1241">
        <f>MAX(0,F1241-E1241)</f>
        <v/>
      </c>
      <c r="K1241">
        <f>IF(I1241-J1241&gt;1E-9,I1241-J1241,0)</f>
        <v/>
      </c>
      <c r="L1241">
        <f>K1240*$G$52</f>
        <v/>
      </c>
      <c r="M1241">
        <f>IF(O1240&gt;0,MAX(0,O1240*(1+$G$53)-$H$53),0)</f>
        <v/>
      </c>
      <c r="N1241">
        <f>MAX(0,J1241-I1241)</f>
        <v/>
      </c>
      <c r="O1241">
        <f>IF(M1241-N1241&gt;1E-9,M1241-N1241,0)</f>
        <v/>
      </c>
      <c r="P1241">
        <f>O1240*$G$53</f>
        <v/>
      </c>
      <c r="Q1241">
        <f>IF(S1240&gt;0,MAX(0,S1240*(1+$G$54)-$H$54),0)</f>
        <v/>
      </c>
      <c r="R1241">
        <f>MAX(0,N1241-M1241)</f>
        <v/>
      </c>
      <c r="S1241">
        <f>IF(Q1241-R1241&gt;1E-9,Q1241-R1241,0)</f>
        <v/>
      </c>
      <c r="T1241">
        <f>S1240*$G$54</f>
        <v/>
      </c>
      <c r="U1241">
        <f>IF(W1240&gt;0,MAX(0,W1240*(1+$G$55)-$H$55),0)</f>
        <v/>
      </c>
      <c r="V1241">
        <f>MAX(0,R1241-Q1241)</f>
        <v/>
      </c>
      <c r="W1241">
        <f>IF(U1241-V1241&gt;1E-9,U1241-V1241,0)</f>
        <v/>
      </c>
      <c r="X1241">
        <f>W1240*$G$55</f>
        <v/>
      </c>
      <c r="Y1241">
        <f>IF(Y1240&gt;1E-9,IF(Y1240*(1+$G$51)-MAX($B$9,0.01*Y1240+Y1240*$G$51)&gt;1E-9,Y1240*(1+$G$51)-MAX($B$9,0.01*Y1240+Y1240*$G$51),0),0)</f>
        <v/>
      </c>
      <c r="Z1241">
        <f>Y1240*$G$51</f>
        <v/>
      </c>
      <c r="AA1241">
        <f>IF(AA1240&gt;1E-9,IF(AA1240*(1+$G$52)-MAX($B$9,0.01*AA1240+AA1240*$G$52)&gt;1E-9,AA1240*(1+$G$52)-MAX($B$9,0.01*AA1240+AA1240*$G$52),0),0)</f>
        <v/>
      </c>
      <c r="AB1241">
        <f>AA1240*$G$52</f>
        <v/>
      </c>
      <c r="AC1241">
        <f>IF(AC1240&gt;1E-9,IF(AC1240*(1+$G$53)-MAX($B$9,0.01*AC1240+AC1240*$G$53)&gt;1E-9,AC1240*(1+$G$53)-MAX($B$9,0.01*AC1240+AC1240*$G$53),0),0)</f>
        <v/>
      </c>
      <c r="AD1241">
        <f>AC1240*$G$53</f>
        <v/>
      </c>
      <c r="AE1241">
        <f>IF(AE1240&gt;1E-9,IF(AE1240*(1+$G$54)-MAX($B$9,0.01*AE1240+AE1240*$G$54)&gt;1E-9,AE1240*(1+$G$54)-MAX($B$9,0.01*AE1240+AE1240*$G$54),0),0)</f>
        <v/>
      </c>
      <c r="AF1241">
        <f>AE1240*$G$54</f>
        <v/>
      </c>
      <c r="AG1241">
        <f>IF(AG1240&gt;1E-9,IF(AG1240*(1+$G$55)-MAX($B$9,0.01*AG1240+AG1240*$G$55)&gt;1E-9,AG1240*(1+$G$55)-MAX($B$9,0.01*AG1240+AG1240*$G$55),0),0)</f>
        <v/>
      </c>
      <c r="AH1241">
        <f>AG1240*$G$55</f>
        <v/>
      </c>
      <c r="AI1241">
        <f>G1241+K1241+O1241+S1241+W1241</f>
        <v/>
      </c>
      <c r="AJ1241">
        <f>AI1240+AK1241-AI1241</f>
        <v/>
      </c>
      <c r="AK1241">
        <f>H1241+L1241+P1241+T1241+X1241</f>
        <v/>
      </c>
      <c r="AL1241">
        <f>TEXT(EDATE($B$5,D1241-1),"mmm yyyy")</f>
        <v/>
      </c>
      <c r="AM1241">
        <f>AI1241</f>
        <v/>
      </c>
    </row>
    <row r="1242">
      <c r="D1242" t="n">
        <v>1181</v>
      </c>
      <c r="E1242">
        <f>IF(G1241&gt;0,MAX(0,G1241*(1+$G$51)-$H$51),0)</f>
        <v/>
      </c>
      <c r="F1242">
        <f>$B$6+IF($D1242=$B$8,$B$7,0)</f>
        <v/>
      </c>
      <c r="G1242">
        <f>IF(E1242-F1242&gt;1E-9,E1242-F1242,0)</f>
        <v/>
      </c>
      <c r="H1242">
        <f>G1241*$G$51</f>
        <v/>
      </c>
      <c r="I1242">
        <f>IF(K1241&gt;0,MAX(0,K1241*(1+$G$52)-$H$52),0)</f>
        <v/>
      </c>
      <c r="J1242">
        <f>MAX(0,F1242-E1242)</f>
        <v/>
      </c>
      <c r="K1242">
        <f>IF(I1242-J1242&gt;1E-9,I1242-J1242,0)</f>
        <v/>
      </c>
      <c r="L1242">
        <f>K1241*$G$52</f>
        <v/>
      </c>
      <c r="M1242">
        <f>IF(O1241&gt;0,MAX(0,O1241*(1+$G$53)-$H$53),0)</f>
        <v/>
      </c>
      <c r="N1242">
        <f>MAX(0,J1242-I1242)</f>
        <v/>
      </c>
      <c r="O1242">
        <f>IF(M1242-N1242&gt;1E-9,M1242-N1242,0)</f>
        <v/>
      </c>
      <c r="P1242">
        <f>O1241*$G$53</f>
        <v/>
      </c>
      <c r="Q1242">
        <f>IF(S1241&gt;0,MAX(0,S1241*(1+$G$54)-$H$54),0)</f>
        <v/>
      </c>
      <c r="R1242">
        <f>MAX(0,N1242-M1242)</f>
        <v/>
      </c>
      <c r="S1242">
        <f>IF(Q1242-R1242&gt;1E-9,Q1242-R1242,0)</f>
        <v/>
      </c>
      <c r="T1242">
        <f>S1241*$G$54</f>
        <v/>
      </c>
      <c r="U1242">
        <f>IF(W1241&gt;0,MAX(0,W1241*(1+$G$55)-$H$55),0)</f>
        <v/>
      </c>
      <c r="V1242">
        <f>MAX(0,R1242-Q1242)</f>
        <v/>
      </c>
      <c r="W1242">
        <f>IF(U1242-V1242&gt;1E-9,U1242-V1242,0)</f>
        <v/>
      </c>
      <c r="X1242">
        <f>W1241*$G$55</f>
        <v/>
      </c>
      <c r="Y1242">
        <f>IF(Y1241&gt;1E-9,IF(Y1241*(1+$G$51)-MAX($B$9,0.01*Y1241+Y1241*$G$51)&gt;1E-9,Y1241*(1+$G$51)-MAX($B$9,0.01*Y1241+Y1241*$G$51),0),0)</f>
        <v/>
      </c>
      <c r="Z1242">
        <f>Y1241*$G$51</f>
        <v/>
      </c>
      <c r="AA1242">
        <f>IF(AA1241&gt;1E-9,IF(AA1241*(1+$G$52)-MAX($B$9,0.01*AA1241+AA1241*$G$52)&gt;1E-9,AA1241*(1+$G$52)-MAX($B$9,0.01*AA1241+AA1241*$G$52),0),0)</f>
        <v/>
      </c>
      <c r="AB1242">
        <f>AA1241*$G$52</f>
        <v/>
      </c>
      <c r="AC1242">
        <f>IF(AC1241&gt;1E-9,IF(AC1241*(1+$G$53)-MAX($B$9,0.01*AC1241+AC1241*$G$53)&gt;1E-9,AC1241*(1+$G$53)-MAX($B$9,0.01*AC1241+AC1241*$G$53),0),0)</f>
        <v/>
      </c>
      <c r="AD1242">
        <f>AC1241*$G$53</f>
        <v/>
      </c>
      <c r="AE1242">
        <f>IF(AE1241&gt;1E-9,IF(AE1241*(1+$G$54)-MAX($B$9,0.01*AE1241+AE1241*$G$54)&gt;1E-9,AE1241*(1+$G$54)-MAX($B$9,0.01*AE1241+AE1241*$G$54),0),0)</f>
        <v/>
      </c>
      <c r="AF1242">
        <f>AE1241*$G$54</f>
        <v/>
      </c>
      <c r="AG1242">
        <f>IF(AG1241&gt;1E-9,IF(AG1241*(1+$G$55)-MAX($B$9,0.01*AG1241+AG1241*$G$55)&gt;1E-9,AG1241*(1+$G$55)-MAX($B$9,0.01*AG1241+AG1241*$G$55),0),0)</f>
        <v/>
      </c>
      <c r="AH1242">
        <f>AG1241*$G$55</f>
        <v/>
      </c>
      <c r="AI1242">
        <f>G1242+K1242+O1242+S1242+W1242</f>
        <v/>
      </c>
      <c r="AJ1242">
        <f>AI1241+AK1242-AI1242</f>
        <v/>
      </c>
      <c r="AK1242">
        <f>H1242+L1242+P1242+T1242+X1242</f>
        <v/>
      </c>
      <c r="AL1242">
        <f>TEXT(EDATE($B$5,D1242-1),"mmm yyyy")</f>
        <v/>
      </c>
      <c r="AM1242">
        <f>AI1242</f>
        <v/>
      </c>
    </row>
    <row r="1243">
      <c r="D1243" t="n">
        <v>1182</v>
      </c>
      <c r="E1243">
        <f>IF(G1242&gt;0,MAX(0,G1242*(1+$G$51)-$H$51),0)</f>
        <v/>
      </c>
      <c r="F1243">
        <f>$B$6+IF($D1243=$B$8,$B$7,0)</f>
        <v/>
      </c>
      <c r="G1243">
        <f>IF(E1243-F1243&gt;1E-9,E1243-F1243,0)</f>
        <v/>
      </c>
      <c r="H1243">
        <f>G1242*$G$51</f>
        <v/>
      </c>
      <c r="I1243">
        <f>IF(K1242&gt;0,MAX(0,K1242*(1+$G$52)-$H$52),0)</f>
        <v/>
      </c>
      <c r="J1243">
        <f>MAX(0,F1243-E1243)</f>
        <v/>
      </c>
      <c r="K1243">
        <f>IF(I1243-J1243&gt;1E-9,I1243-J1243,0)</f>
        <v/>
      </c>
      <c r="L1243">
        <f>K1242*$G$52</f>
        <v/>
      </c>
      <c r="M1243">
        <f>IF(O1242&gt;0,MAX(0,O1242*(1+$G$53)-$H$53),0)</f>
        <v/>
      </c>
      <c r="N1243">
        <f>MAX(0,J1243-I1243)</f>
        <v/>
      </c>
      <c r="O1243">
        <f>IF(M1243-N1243&gt;1E-9,M1243-N1243,0)</f>
        <v/>
      </c>
      <c r="P1243">
        <f>O1242*$G$53</f>
        <v/>
      </c>
      <c r="Q1243">
        <f>IF(S1242&gt;0,MAX(0,S1242*(1+$G$54)-$H$54),0)</f>
        <v/>
      </c>
      <c r="R1243">
        <f>MAX(0,N1243-M1243)</f>
        <v/>
      </c>
      <c r="S1243">
        <f>IF(Q1243-R1243&gt;1E-9,Q1243-R1243,0)</f>
        <v/>
      </c>
      <c r="T1243">
        <f>S1242*$G$54</f>
        <v/>
      </c>
      <c r="U1243">
        <f>IF(W1242&gt;0,MAX(0,W1242*(1+$G$55)-$H$55),0)</f>
        <v/>
      </c>
      <c r="V1243">
        <f>MAX(0,R1243-Q1243)</f>
        <v/>
      </c>
      <c r="W1243">
        <f>IF(U1243-V1243&gt;1E-9,U1243-V1243,0)</f>
        <v/>
      </c>
      <c r="X1243">
        <f>W1242*$G$55</f>
        <v/>
      </c>
      <c r="Y1243">
        <f>IF(Y1242&gt;1E-9,IF(Y1242*(1+$G$51)-MAX($B$9,0.01*Y1242+Y1242*$G$51)&gt;1E-9,Y1242*(1+$G$51)-MAX($B$9,0.01*Y1242+Y1242*$G$51),0),0)</f>
        <v/>
      </c>
      <c r="Z1243">
        <f>Y1242*$G$51</f>
        <v/>
      </c>
      <c r="AA1243">
        <f>IF(AA1242&gt;1E-9,IF(AA1242*(1+$G$52)-MAX($B$9,0.01*AA1242+AA1242*$G$52)&gt;1E-9,AA1242*(1+$G$52)-MAX($B$9,0.01*AA1242+AA1242*$G$52),0),0)</f>
        <v/>
      </c>
      <c r="AB1243">
        <f>AA1242*$G$52</f>
        <v/>
      </c>
      <c r="AC1243">
        <f>IF(AC1242&gt;1E-9,IF(AC1242*(1+$G$53)-MAX($B$9,0.01*AC1242+AC1242*$G$53)&gt;1E-9,AC1242*(1+$G$53)-MAX($B$9,0.01*AC1242+AC1242*$G$53),0),0)</f>
        <v/>
      </c>
      <c r="AD1243">
        <f>AC1242*$G$53</f>
        <v/>
      </c>
      <c r="AE1243">
        <f>IF(AE1242&gt;1E-9,IF(AE1242*(1+$G$54)-MAX($B$9,0.01*AE1242+AE1242*$G$54)&gt;1E-9,AE1242*(1+$G$54)-MAX($B$9,0.01*AE1242+AE1242*$G$54),0),0)</f>
        <v/>
      </c>
      <c r="AF1243">
        <f>AE1242*$G$54</f>
        <v/>
      </c>
      <c r="AG1243">
        <f>IF(AG1242&gt;1E-9,IF(AG1242*(1+$G$55)-MAX($B$9,0.01*AG1242+AG1242*$G$55)&gt;1E-9,AG1242*(1+$G$55)-MAX($B$9,0.01*AG1242+AG1242*$G$55),0),0)</f>
        <v/>
      </c>
      <c r="AH1243">
        <f>AG1242*$G$55</f>
        <v/>
      </c>
      <c r="AI1243">
        <f>G1243+K1243+O1243+S1243+W1243</f>
        <v/>
      </c>
      <c r="AJ1243">
        <f>AI1242+AK1243-AI1243</f>
        <v/>
      </c>
      <c r="AK1243">
        <f>H1243+L1243+P1243+T1243+X1243</f>
        <v/>
      </c>
      <c r="AL1243">
        <f>TEXT(EDATE($B$5,D1243-1),"mmm yyyy")</f>
        <v/>
      </c>
      <c r="AM1243">
        <f>AI1243</f>
        <v/>
      </c>
    </row>
    <row r="1244">
      <c r="D1244" t="n">
        <v>1183</v>
      </c>
      <c r="E1244">
        <f>IF(G1243&gt;0,MAX(0,G1243*(1+$G$51)-$H$51),0)</f>
        <v/>
      </c>
      <c r="F1244">
        <f>$B$6+IF($D1244=$B$8,$B$7,0)</f>
        <v/>
      </c>
      <c r="G1244">
        <f>IF(E1244-F1244&gt;1E-9,E1244-F1244,0)</f>
        <v/>
      </c>
      <c r="H1244">
        <f>G1243*$G$51</f>
        <v/>
      </c>
      <c r="I1244">
        <f>IF(K1243&gt;0,MAX(0,K1243*(1+$G$52)-$H$52),0)</f>
        <v/>
      </c>
      <c r="J1244">
        <f>MAX(0,F1244-E1244)</f>
        <v/>
      </c>
      <c r="K1244">
        <f>IF(I1244-J1244&gt;1E-9,I1244-J1244,0)</f>
        <v/>
      </c>
      <c r="L1244">
        <f>K1243*$G$52</f>
        <v/>
      </c>
      <c r="M1244">
        <f>IF(O1243&gt;0,MAX(0,O1243*(1+$G$53)-$H$53),0)</f>
        <v/>
      </c>
      <c r="N1244">
        <f>MAX(0,J1244-I1244)</f>
        <v/>
      </c>
      <c r="O1244">
        <f>IF(M1244-N1244&gt;1E-9,M1244-N1244,0)</f>
        <v/>
      </c>
      <c r="P1244">
        <f>O1243*$G$53</f>
        <v/>
      </c>
      <c r="Q1244">
        <f>IF(S1243&gt;0,MAX(0,S1243*(1+$G$54)-$H$54),0)</f>
        <v/>
      </c>
      <c r="R1244">
        <f>MAX(0,N1244-M1244)</f>
        <v/>
      </c>
      <c r="S1244">
        <f>IF(Q1244-R1244&gt;1E-9,Q1244-R1244,0)</f>
        <v/>
      </c>
      <c r="T1244">
        <f>S1243*$G$54</f>
        <v/>
      </c>
      <c r="U1244">
        <f>IF(W1243&gt;0,MAX(0,W1243*(1+$G$55)-$H$55),0)</f>
        <v/>
      </c>
      <c r="V1244">
        <f>MAX(0,R1244-Q1244)</f>
        <v/>
      </c>
      <c r="W1244">
        <f>IF(U1244-V1244&gt;1E-9,U1244-V1244,0)</f>
        <v/>
      </c>
      <c r="X1244">
        <f>W1243*$G$55</f>
        <v/>
      </c>
      <c r="Y1244">
        <f>IF(Y1243&gt;1E-9,IF(Y1243*(1+$G$51)-MAX($B$9,0.01*Y1243+Y1243*$G$51)&gt;1E-9,Y1243*(1+$G$51)-MAX($B$9,0.01*Y1243+Y1243*$G$51),0),0)</f>
        <v/>
      </c>
      <c r="Z1244">
        <f>Y1243*$G$51</f>
        <v/>
      </c>
      <c r="AA1244">
        <f>IF(AA1243&gt;1E-9,IF(AA1243*(1+$G$52)-MAX($B$9,0.01*AA1243+AA1243*$G$52)&gt;1E-9,AA1243*(1+$G$52)-MAX($B$9,0.01*AA1243+AA1243*$G$52),0),0)</f>
        <v/>
      </c>
      <c r="AB1244">
        <f>AA1243*$G$52</f>
        <v/>
      </c>
      <c r="AC1244">
        <f>IF(AC1243&gt;1E-9,IF(AC1243*(1+$G$53)-MAX($B$9,0.01*AC1243+AC1243*$G$53)&gt;1E-9,AC1243*(1+$G$53)-MAX($B$9,0.01*AC1243+AC1243*$G$53),0),0)</f>
        <v/>
      </c>
      <c r="AD1244">
        <f>AC1243*$G$53</f>
        <v/>
      </c>
      <c r="AE1244">
        <f>IF(AE1243&gt;1E-9,IF(AE1243*(1+$G$54)-MAX($B$9,0.01*AE1243+AE1243*$G$54)&gt;1E-9,AE1243*(1+$G$54)-MAX($B$9,0.01*AE1243+AE1243*$G$54),0),0)</f>
        <v/>
      </c>
      <c r="AF1244">
        <f>AE1243*$G$54</f>
        <v/>
      </c>
      <c r="AG1244">
        <f>IF(AG1243&gt;1E-9,IF(AG1243*(1+$G$55)-MAX($B$9,0.01*AG1243+AG1243*$G$55)&gt;1E-9,AG1243*(1+$G$55)-MAX($B$9,0.01*AG1243+AG1243*$G$55),0),0)</f>
        <v/>
      </c>
      <c r="AH1244">
        <f>AG1243*$G$55</f>
        <v/>
      </c>
      <c r="AI1244">
        <f>G1244+K1244+O1244+S1244+W1244</f>
        <v/>
      </c>
      <c r="AJ1244">
        <f>AI1243+AK1244-AI1244</f>
        <v/>
      </c>
      <c r="AK1244">
        <f>H1244+L1244+P1244+T1244+X1244</f>
        <v/>
      </c>
      <c r="AL1244">
        <f>TEXT(EDATE($B$5,D1244-1),"mmm yyyy")</f>
        <v/>
      </c>
      <c r="AM1244">
        <f>AI1244</f>
        <v/>
      </c>
    </row>
    <row r="1245">
      <c r="D1245" t="n">
        <v>1184</v>
      </c>
      <c r="E1245">
        <f>IF(G1244&gt;0,MAX(0,G1244*(1+$G$51)-$H$51),0)</f>
        <v/>
      </c>
      <c r="F1245">
        <f>$B$6+IF($D1245=$B$8,$B$7,0)</f>
        <v/>
      </c>
      <c r="G1245">
        <f>IF(E1245-F1245&gt;1E-9,E1245-F1245,0)</f>
        <v/>
      </c>
      <c r="H1245">
        <f>G1244*$G$51</f>
        <v/>
      </c>
      <c r="I1245">
        <f>IF(K1244&gt;0,MAX(0,K1244*(1+$G$52)-$H$52),0)</f>
        <v/>
      </c>
      <c r="J1245">
        <f>MAX(0,F1245-E1245)</f>
        <v/>
      </c>
      <c r="K1245">
        <f>IF(I1245-J1245&gt;1E-9,I1245-J1245,0)</f>
        <v/>
      </c>
      <c r="L1245">
        <f>K1244*$G$52</f>
        <v/>
      </c>
      <c r="M1245">
        <f>IF(O1244&gt;0,MAX(0,O1244*(1+$G$53)-$H$53),0)</f>
        <v/>
      </c>
      <c r="N1245">
        <f>MAX(0,J1245-I1245)</f>
        <v/>
      </c>
      <c r="O1245">
        <f>IF(M1245-N1245&gt;1E-9,M1245-N1245,0)</f>
        <v/>
      </c>
      <c r="P1245">
        <f>O1244*$G$53</f>
        <v/>
      </c>
      <c r="Q1245">
        <f>IF(S1244&gt;0,MAX(0,S1244*(1+$G$54)-$H$54),0)</f>
        <v/>
      </c>
      <c r="R1245">
        <f>MAX(0,N1245-M1245)</f>
        <v/>
      </c>
      <c r="S1245">
        <f>IF(Q1245-R1245&gt;1E-9,Q1245-R1245,0)</f>
        <v/>
      </c>
      <c r="T1245">
        <f>S1244*$G$54</f>
        <v/>
      </c>
      <c r="U1245">
        <f>IF(W1244&gt;0,MAX(0,W1244*(1+$G$55)-$H$55),0)</f>
        <v/>
      </c>
      <c r="V1245">
        <f>MAX(0,R1245-Q1245)</f>
        <v/>
      </c>
      <c r="W1245">
        <f>IF(U1245-V1245&gt;1E-9,U1245-V1245,0)</f>
        <v/>
      </c>
      <c r="X1245">
        <f>W1244*$G$55</f>
        <v/>
      </c>
      <c r="Y1245">
        <f>IF(Y1244&gt;1E-9,IF(Y1244*(1+$G$51)-MAX($B$9,0.01*Y1244+Y1244*$G$51)&gt;1E-9,Y1244*(1+$G$51)-MAX($B$9,0.01*Y1244+Y1244*$G$51),0),0)</f>
        <v/>
      </c>
      <c r="Z1245">
        <f>Y1244*$G$51</f>
        <v/>
      </c>
      <c r="AA1245">
        <f>IF(AA1244&gt;1E-9,IF(AA1244*(1+$G$52)-MAX($B$9,0.01*AA1244+AA1244*$G$52)&gt;1E-9,AA1244*(1+$G$52)-MAX($B$9,0.01*AA1244+AA1244*$G$52),0),0)</f>
        <v/>
      </c>
      <c r="AB1245">
        <f>AA1244*$G$52</f>
        <v/>
      </c>
      <c r="AC1245">
        <f>IF(AC1244&gt;1E-9,IF(AC1244*(1+$G$53)-MAX($B$9,0.01*AC1244+AC1244*$G$53)&gt;1E-9,AC1244*(1+$G$53)-MAX($B$9,0.01*AC1244+AC1244*$G$53),0),0)</f>
        <v/>
      </c>
      <c r="AD1245">
        <f>AC1244*$G$53</f>
        <v/>
      </c>
      <c r="AE1245">
        <f>IF(AE1244&gt;1E-9,IF(AE1244*(1+$G$54)-MAX($B$9,0.01*AE1244+AE1244*$G$54)&gt;1E-9,AE1244*(1+$G$54)-MAX($B$9,0.01*AE1244+AE1244*$G$54),0),0)</f>
        <v/>
      </c>
      <c r="AF1245">
        <f>AE1244*$G$54</f>
        <v/>
      </c>
      <c r="AG1245">
        <f>IF(AG1244&gt;1E-9,IF(AG1244*(1+$G$55)-MAX($B$9,0.01*AG1244+AG1244*$G$55)&gt;1E-9,AG1244*(1+$G$55)-MAX($B$9,0.01*AG1244+AG1244*$G$55),0),0)</f>
        <v/>
      </c>
      <c r="AH1245">
        <f>AG1244*$G$55</f>
        <v/>
      </c>
      <c r="AI1245">
        <f>G1245+K1245+O1245+S1245+W1245</f>
        <v/>
      </c>
      <c r="AJ1245">
        <f>AI1244+AK1245-AI1245</f>
        <v/>
      </c>
      <c r="AK1245">
        <f>H1245+L1245+P1245+T1245+X1245</f>
        <v/>
      </c>
      <c r="AL1245">
        <f>TEXT(EDATE($B$5,D1245-1),"mmm yyyy")</f>
        <v/>
      </c>
      <c r="AM1245">
        <f>AI1245</f>
        <v/>
      </c>
    </row>
    <row r="1246">
      <c r="D1246" t="n">
        <v>1185</v>
      </c>
      <c r="E1246">
        <f>IF(G1245&gt;0,MAX(0,G1245*(1+$G$51)-$H$51),0)</f>
        <v/>
      </c>
      <c r="F1246">
        <f>$B$6+IF($D1246=$B$8,$B$7,0)</f>
        <v/>
      </c>
      <c r="G1246">
        <f>IF(E1246-F1246&gt;1E-9,E1246-F1246,0)</f>
        <v/>
      </c>
      <c r="H1246">
        <f>G1245*$G$51</f>
        <v/>
      </c>
      <c r="I1246">
        <f>IF(K1245&gt;0,MAX(0,K1245*(1+$G$52)-$H$52),0)</f>
        <v/>
      </c>
      <c r="J1246">
        <f>MAX(0,F1246-E1246)</f>
        <v/>
      </c>
      <c r="K1246">
        <f>IF(I1246-J1246&gt;1E-9,I1246-J1246,0)</f>
        <v/>
      </c>
      <c r="L1246">
        <f>K1245*$G$52</f>
        <v/>
      </c>
      <c r="M1246">
        <f>IF(O1245&gt;0,MAX(0,O1245*(1+$G$53)-$H$53),0)</f>
        <v/>
      </c>
      <c r="N1246">
        <f>MAX(0,J1246-I1246)</f>
        <v/>
      </c>
      <c r="O1246">
        <f>IF(M1246-N1246&gt;1E-9,M1246-N1246,0)</f>
        <v/>
      </c>
      <c r="P1246">
        <f>O1245*$G$53</f>
        <v/>
      </c>
      <c r="Q1246">
        <f>IF(S1245&gt;0,MAX(0,S1245*(1+$G$54)-$H$54),0)</f>
        <v/>
      </c>
      <c r="R1246">
        <f>MAX(0,N1246-M1246)</f>
        <v/>
      </c>
      <c r="S1246">
        <f>IF(Q1246-R1246&gt;1E-9,Q1246-R1246,0)</f>
        <v/>
      </c>
      <c r="T1246">
        <f>S1245*$G$54</f>
        <v/>
      </c>
      <c r="U1246">
        <f>IF(W1245&gt;0,MAX(0,W1245*(1+$G$55)-$H$55),0)</f>
        <v/>
      </c>
      <c r="V1246">
        <f>MAX(0,R1246-Q1246)</f>
        <v/>
      </c>
      <c r="W1246">
        <f>IF(U1246-V1246&gt;1E-9,U1246-V1246,0)</f>
        <v/>
      </c>
      <c r="X1246">
        <f>W1245*$G$55</f>
        <v/>
      </c>
      <c r="Y1246">
        <f>IF(Y1245&gt;1E-9,IF(Y1245*(1+$G$51)-MAX($B$9,0.01*Y1245+Y1245*$G$51)&gt;1E-9,Y1245*(1+$G$51)-MAX($B$9,0.01*Y1245+Y1245*$G$51),0),0)</f>
        <v/>
      </c>
      <c r="Z1246">
        <f>Y1245*$G$51</f>
        <v/>
      </c>
      <c r="AA1246">
        <f>IF(AA1245&gt;1E-9,IF(AA1245*(1+$G$52)-MAX($B$9,0.01*AA1245+AA1245*$G$52)&gt;1E-9,AA1245*(1+$G$52)-MAX($B$9,0.01*AA1245+AA1245*$G$52),0),0)</f>
        <v/>
      </c>
      <c r="AB1246">
        <f>AA1245*$G$52</f>
        <v/>
      </c>
      <c r="AC1246">
        <f>IF(AC1245&gt;1E-9,IF(AC1245*(1+$G$53)-MAX($B$9,0.01*AC1245+AC1245*$G$53)&gt;1E-9,AC1245*(1+$G$53)-MAX($B$9,0.01*AC1245+AC1245*$G$53),0),0)</f>
        <v/>
      </c>
      <c r="AD1246">
        <f>AC1245*$G$53</f>
        <v/>
      </c>
      <c r="AE1246">
        <f>IF(AE1245&gt;1E-9,IF(AE1245*(1+$G$54)-MAX($B$9,0.01*AE1245+AE1245*$G$54)&gt;1E-9,AE1245*(1+$G$54)-MAX($B$9,0.01*AE1245+AE1245*$G$54),0),0)</f>
        <v/>
      </c>
      <c r="AF1246">
        <f>AE1245*$G$54</f>
        <v/>
      </c>
      <c r="AG1246">
        <f>IF(AG1245&gt;1E-9,IF(AG1245*(1+$G$55)-MAX($B$9,0.01*AG1245+AG1245*$G$55)&gt;1E-9,AG1245*(1+$G$55)-MAX($B$9,0.01*AG1245+AG1245*$G$55),0),0)</f>
        <v/>
      </c>
      <c r="AH1246">
        <f>AG1245*$G$55</f>
        <v/>
      </c>
      <c r="AI1246">
        <f>G1246+K1246+O1246+S1246+W1246</f>
        <v/>
      </c>
      <c r="AJ1246">
        <f>AI1245+AK1246-AI1246</f>
        <v/>
      </c>
      <c r="AK1246">
        <f>H1246+L1246+P1246+T1246+X1246</f>
        <v/>
      </c>
      <c r="AL1246">
        <f>TEXT(EDATE($B$5,D1246-1),"mmm yyyy")</f>
        <v/>
      </c>
      <c r="AM1246">
        <f>AI1246</f>
        <v/>
      </c>
    </row>
    <row r="1247">
      <c r="D1247" t="n">
        <v>1186</v>
      </c>
      <c r="E1247">
        <f>IF(G1246&gt;0,MAX(0,G1246*(1+$G$51)-$H$51),0)</f>
        <v/>
      </c>
      <c r="F1247">
        <f>$B$6+IF($D1247=$B$8,$B$7,0)</f>
        <v/>
      </c>
      <c r="G1247">
        <f>IF(E1247-F1247&gt;1E-9,E1247-F1247,0)</f>
        <v/>
      </c>
      <c r="H1247">
        <f>G1246*$G$51</f>
        <v/>
      </c>
      <c r="I1247">
        <f>IF(K1246&gt;0,MAX(0,K1246*(1+$G$52)-$H$52),0)</f>
        <v/>
      </c>
      <c r="J1247">
        <f>MAX(0,F1247-E1247)</f>
        <v/>
      </c>
      <c r="K1247">
        <f>IF(I1247-J1247&gt;1E-9,I1247-J1247,0)</f>
        <v/>
      </c>
      <c r="L1247">
        <f>K1246*$G$52</f>
        <v/>
      </c>
      <c r="M1247">
        <f>IF(O1246&gt;0,MAX(0,O1246*(1+$G$53)-$H$53),0)</f>
        <v/>
      </c>
      <c r="N1247">
        <f>MAX(0,J1247-I1247)</f>
        <v/>
      </c>
      <c r="O1247">
        <f>IF(M1247-N1247&gt;1E-9,M1247-N1247,0)</f>
        <v/>
      </c>
      <c r="P1247">
        <f>O1246*$G$53</f>
        <v/>
      </c>
      <c r="Q1247">
        <f>IF(S1246&gt;0,MAX(0,S1246*(1+$G$54)-$H$54),0)</f>
        <v/>
      </c>
      <c r="R1247">
        <f>MAX(0,N1247-M1247)</f>
        <v/>
      </c>
      <c r="S1247">
        <f>IF(Q1247-R1247&gt;1E-9,Q1247-R1247,0)</f>
        <v/>
      </c>
      <c r="T1247">
        <f>S1246*$G$54</f>
        <v/>
      </c>
      <c r="U1247">
        <f>IF(W1246&gt;0,MAX(0,W1246*(1+$G$55)-$H$55),0)</f>
        <v/>
      </c>
      <c r="V1247">
        <f>MAX(0,R1247-Q1247)</f>
        <v/>
      </c>
      <c r="W1247">
        <f>IF(U1247-V1247&gt;1E-9,U1247-V1247,0)</f>
        <v/>
      </c>
      <c r="X1247">
        <f>W1246*$G$55</f>
        <v/>
      </c>
      <c r="Y1247">
        <f>IF(Y1246&gt;1E-9,IF(Y1246*(1+$G$51)-MAX($B$9,0.01*Y1246+Y1246*$G$51)&gt;1E-9,Y1246*(1+$G$51)-MAX($B$9,0.01*Y1246+Y1246*$G$51),0),0)</f>
        <v/>
      </c>
      <c r="Z1247">
        <f>Y1246*$G$51</f>
        <v/>
      </c>
      <c r="AA1247">
        <f>IF(AA1246&gt;1E-9,IF(AA1246*(1+$G$52)-MAX($B$9,0.01*AA1246+AA1246*$G$52)&gt;1E-9,AA1246*(1+$G$52)-MAX($B$9,0.01*AA1246+AA1246*$G$52),0),0)</f>
        <v/>
      </c>
      <c r="AB1247">
        <f>AA1246*$G$52</f>
        <v/>
      </c>
      <c r="AC1247">
        <f>IF(AC1246&gt;1E-9,IF(AC1246*(1+$G$53)-MAX($B$9,0.01*AC1246+AC1246*$G$53)&gt;1E-9,AC1246*(1+$G$53)-MAX($B$9,0.01*AC1246+AC1246*$G$53),0),0)</f>
        <v/>
      </c>
      <c r="AD1247">
        <f>AC1246*$G$53</f>
        <v/>
      </c>
      <c r="AE1247">
        <f>IF(AE1246&gt;1E-9,IF(AE1246*(1+$G$54)-MAX($B$9,0.01*AE1246+AE1246*$G$54)&gt;1E-9,AE1246*(1+$G$54)-MAX($B$9,0.01*AE1246+AE1246*$G$54),0),0)</f>
        <v/>
      </c>
      <c r="AF1247">
        <f>AE1246*$G$54</f>
        <v/>
      </c>
      <c r="AG1247">
        <f>IF(AG1246&gt;1E-9,IF(AG1246*(1+$G$55)-MAX($B$9,0.01*AG1246+AG1246*$G$55)&gt;1E-9,AG1246*(1+$G$55)-MAX($B$9,0.01*AG1246+AG1246*$G$55),0),0)</f>
        <v/>
      </c>
      <c r="AH1247">
        <f>AG1246*$G$55</f>
        <v/>
      </c>
      <c r="AI1247">
        <f>G1247+K1247+O1247+S1247+W1247</f>
        <v/>
      </c>
      <c r="AJ1247">
        <f>AI1246+AK1247-AI1247</f>
        <v/>
      </c>
      <c r="AK1247">
        <f>H1247+L1247+P1247+T1247+X1247</f>
        <v/>
      </c>
      <c r="AL1247">
        <f>TEXT(EDATE($B$5,D1247-1),"mmm yyyy")</f>
        <v/>
      </c>
      <c r="AM1247">
        <f>AI1247</f>
        <v/>
      </c>
    </row>
    <row r="1248">
      <c r="D1248" t="n">
        <v>1187</v>
      </c>
      <c r="E1248">
        <f>IF(G1247&gt;0,MAX(0,G1247*(1+$G$51)-$H$51),0)</f>
        <v/>
      </c>
      <c r="F1248">
        <f>$B$6+IF($D1248=$B$8,$B$7,0)</f>
        <v/>
      </c>
      <c r="G1248">
        <f>IF(E1248-F1248&gt;1E-9,E1248-F1248,0)</f>
        <v/>
      </c>
      <c r="H1248">
        <f>G1247*$G$51</f>
        <v/>
      </c>
      <c r="I1248">
        <f>IF(K1247&gt;0,MAX(0,K1247*(1+$G$52)-$H$52),0)</f>
        <v/>
      </c>
      <c r="J1248">
        <f>MAX(0,F1248-E1248)</f>
        <v/>
      </c>
      <c r="K1248">
        <f>IF(I1248-J1248&gt;1E-9,I1248-J1248,0)</f>
        <v/>
      </c>
      <c r="L1248">
        <f>K1247*$G$52</f>
        <v/>
      </c>
      <c r="M1248">
        <f>IF(O1247&gt;0,MAX(0,O1247*(1+$G$53)-$H$53),0)</f>
        <v/>
      </c>
      <c r="N1248">
        <f>MAX(0,J1248-I1248)</f>
        <v/>
      </c>
      <c r="O1248">
        <f>IF(M1248-N1248&gt;1E-9,M1248-N1248,0)</f>
        <v/>
      </c>
      <c r="P1248">
        <f>O1247*$G$53</f>
        <v/>
      </c>
      <c r="Q1248">
        <f>IF(S1247&gt;0,MAX(0,S1247*(1+$G$54)-$H$54),0)</f>
        <v/>
      </c>
      <c r="R1248">
        <f>MAX(0,N1248-M1248)</f>
        <v/>
      </c>
      <c r="S1248">
        <f>IF(Q1248-R1248&gt;1E-9,Q1248-R1248,0)</f>
        <v/>
      </c>
      <c r="T1248">
        <f>S1247*$G$54</f>
        <v/>
      </c>
      <c r="U1248">
        <f>IF(W1247&gt;0,MAX(0,W1247*(1+$G$55)-$H$55),0)</f>
        <v/>
      </c>
      <c r="V1248">
        <f>MAX(0,R1248-Q1248)</f>
        <v/>
      </c>
      <c r="W1248">
        <f>IF(U1248-V1248&gt;1E-9,U1248-V1248,0)</f>
        <v/>
      </c>
      <c r="X1248">
        <f>W1247*$G$55</f>
        <v/>
      </c>
      <c r="Y1248">
        <f>IF(Y1247&gt;1E-9,IF(Y1247*(1+$G$51)-MAX($B$9,0.01*Y1247+Y1247*$G$51)&gt;1E-9,Y1247*(1+$G$51)-MAX($B$9,0.01*Y1247+Y1247*$G$51),0),0)</f>
        <v/>
      </c>
      <c r="Z1248">
        <f>Y1247*$G$51</f>
        <v/>
      </c>
      <c r="AA1248">
        <f>IF(AA1247&gt;1E-9,IF(AA1247*(1+$G$52)-MAX($B$9,0.01*AA1247+AA1247*$G$52)&gt;1E-9,AA1247*(1+$G$52)-MAX($B$9,0.01*AA1247+AA1247*$G$52),0),0)</f>
        <v/>
      </c>
      <c r="AB1248">
        <f>AA1247*$G$52</f>
        <v/>
      </c>
      <c r="AC1248">
        <f>IF(AC1247&gt;1E-9,IF(AC1247*(1+$G$53)-MAX($B$9,0.01*AC1247+AC1247*$G$53)&gt;1E-9,AC1247*(1+$G$53)-MAX($B$9,0.01*AC1247+AC1247*$G$53),0),0)</f>
        <v/>
      </c>
      <c r="AD1248">
        <f>AC1247*$G$53</f>
        <v/>
      </c>
      <c r="AE1248">
        <f>IF(AE1247&gt;1E-9,IF(AE1247*(1+$G$54)-MAX($B$9,0.01*AE1247+AE1247*$G$54)&gt;1E-9,AE1247*(1+$G$54)-MAX($B$9,0.01*AE1247+AE1247*$G$54),0),0)</f>
        <v/>
      </c>
      <c r="AF1248">
        <f>AE1247*$G$54</f>
        <v/>
      </c>
      <c r="AG1248">
        <f>IF(AG1247&gt;1E-9,IF(AG1247*(1+$G$55)-MAX($B$9,0.01*AG1247+AG1247*$G$55)&gt;1E-9,AG1247*(1+$G$55)-MAX($B$9,0.01*AG1247+AG1247*$G$55),0),0)</f>
        <v/>
      </c>
      <c r="AH1248">
        <f>AG1247*$G$55</f>
        <v/>
      </c>
      <c r="AI1248">
        <f>G1248+K1248+O1248+S1248+W1248</f>
        <v/>
      </c>
      <c r="AJ1248">
        <f>AI1247+AK1248-AI1248</f>
        <v/>
      </c>
      <c r="AK1248">
        <f>H1248+L1248+P1248+T1248+X1248</f>
        <v/>
      </c>
      <c r="AL1248">
        <f>TEXT(EDATE($B$5,D1248-1),"mmm yyyy")</f>
        <v/>
      </c>
      <c r="AM1248">
        <f>AI1248</f>
        <v/>
      </c>
    </row>
    <row r="1249">
      <c r="D1249" t="n">
        <v>1188</v>
      </c>
      <c r="E1249">
        <f>IF(G1248&gt;0,MAX(0,G1248*(1+$G$51)-$H$51),0)</f>
        <v/>
      </c>
      <c r="F1249">
        <f>$B$6+IF($D1249=$B$8,$B$7,0)</f>
        <v/>
      </c>
      <c r="G1249">
        <f>IF(E1249-F1249&gt;1E-9,E1249-F1249,0)</f>
        <v/>
      </c>
      <c r="H1249">
        <f>G1248*$G$51</f>
        <v/>
      </c>
      <c r="I1249">
        <f>IF(K1248&gt;0,MAX(0,K1248*(1+$G$52)-$H$52),0)</f>
        <v/>
      </c>
      <c r="J1249">
        <f>MAX(0,F1249-E1249)</f>
        <v/>
      </c>
      <c r="K1249">
        <f>IF(I1249-J1249&gt;1E-9,I1249-J1249,0)</f>
        <v/>
      </c>
      <c r="L1249">
        <f>K1248*$G$52</f>
        <v/>
      </c>
      <c r="M1249">
        <f>IF(O1248&gt;0,MAX(0,O1248*(1+$G$53)-$H$53),0)</f>
        <v/>
      </c>
      <c r="N1249">
        <f>MAX(0,J1249-I1249)</f>
        <v/>
      </c>
      <c r="O1249">
        <f>IF(M1249-N1249&gt;1E-9,M1249-N1249,0)</f>
        <v/>
      </c>
      <c r="P1249">
        <f>O1248*$G$53</f>
        <v/>
      </c>
      <c r="Q1249">
        <f>IF(S1248&gt;0,MAX(0,S1248*(1+$G$54)-$H$54),0)</f>
        <v/>
      </c>
      <c r="R1249">
        <f>MAX(0,N1249-M1249)</f>
        <v/>
      </c>
      <c r="S1249">
        <f>IF(Q1249-R1249&gt;1E-9,Q1249-R1249,0)</f>
        <v/>
      </c>
      <c r="T1249">
        <f>S1248*$G$54</f>
        <v/>
      </c>
      <c r="U1249">
        <f>IF(W1248&gt;0,MAX(0,W1248*(1+$G$55)-$H$55),0)</f>
        <v/>
      </c>
      <c r="V1249">
        <f>MAX(0,R1249-Q1249)</f>
        <v/>
      </c>
      <c r="W1249">
        <f>IF(U1249-V1249&gt;1E-9,U1249-V1249,0)</f>
        <v/>
      </c>
      <c r="X1249">
        <f>W1248*$G$55</f>
        <v/>
      </c>
      <c r="Y1249">
        <f>IF(Y1248&gt;1E-9,IF(Y1248*(1+$G$51)-MAX($B$9,0.01*Y1248+Y1248*$G$51)&gt;1E-9,Y1248*(1+$G$51)-MAX($B$9,0.01*Y1248+Y1248*$G$51),0),0)</f>
        <v/>
      </c>
      <c r="Z1249">
        <f>Y1248*$G$51</f>
        <v/>
      </c>
      <c r="AA1249">
        <f>IF(AA1248&gt;1E-9,IF(AA1248*(1+$G$52)-MAX($B$9,0.01*AA1248+AA1248*$G$52)&gt;1E-9,AA1248*(1+$G$52)-MAX($B$9,0.01*AA1248+AA1248*$G$52),0),0)</f>
        <v/>
      </c>
      <c r="AB1249">
        <f>AA1248*$G$52</f>
        <v/>
      </c>
      <c r="AC1249">
        <f>IF(AC1248&gt;1E-9,IF(AC1248*(1+$G$53)-MAX($B$9,0.01*AC1248+AC1248*$G$53)&gt;1E-9,AC1248*(1+$G$53)-MAX($B$9,0.01*AC1248+AC1248*$G$53),0),0)</f>
        <v/>
      </c>
      <c r="AD1249">
        <f>AC1248*$G$53</f>
        <v/>
      </c>
      <c r="AE1249">
        <f>IF(AE1248&gt;1E-9,IF(AE1248*(1+$G$54)-MAX($B$9,0.01*AE1248+AE1248*$G$54)&gt;1E-9,AE1248*(1+$G$54)-MAX($B$9,0.01*AE1248+AE1248*$G$54),0),0)</f>
        <v/>
      </c>
      <c r="AF1249">
        <f>AE1248*$G$54</f>
        <v/>
      </c>
      <c r="AG1249">
        <f>IF(AG1248&gt;1E-9,IF(AG1248*(1+$G$55)-MAX($B$9,0.01*AG1248+AG1248*$G$55)&gt;1E-9,AG1248*(1+$G$55)-MAX($B$9,0.01*AG1248+AG1248*$G$55),0),0)</f>
        <v/>
      </c>
      <c r="AH1249">
        <f>AG1248*$G$55</f>
        <v/>
      </c>
      <c r="AI1249">
        <f>G1249+K1249+O1249+S1249+W1249</f>
        <v/>
      </c>
      <c r="AJ1249">
        <f>AI1248+AK1249-AI1249</f>
        <v/>
      </c>
      <c r="AK1249">
        <f>H1249+L1249+P1249+T1249+X1249</f>
        <v/>
      </c>
      <c r="AL1249">
        <f>TEXT(EDATE($B$5,D1249-1),"mmm yyyy")</f>
        <v/>
      </c>
      <c r="AM1249">
        <f>AI1249</f>
        <v/>
      </c>
    </row>
    <row r="1250">
      <c r="D1250" t="n">
        <v>1189</v>
      </c>
      <c r="E1250">
        <f>IF(G1249&gt;0,MAX(0,G1249*(1+$G$51)-$H$51),0)</f>
        <v/>
      </c>
      <c r="F1250">
        <f>$B$6+IF($D1250=$B$8,$B$7,0)</f>
        <v/>
      </c>
      <c r="G1250">
        <f>IF(E1250-F1250&gt;1E-9,E1250-F1250,0)</f>
        <v/>
      </c>
      <c r="H1250">
        <f>G1249*$G$51</f>
        <v/>
      </c>
      <c r="I1250">
        <f>IF(K1249&gt;0,MAX(0,K1249*(1+$G$52)-$H$52),0)</f>
        <v/>
      </c>
      <c r="J1250">
        <f>MAX(0,F1250-E1250)</f>
        <v/>
      </c>
      <c r="K1250">
        <f>IF(I1250-J1250&gt;1E-9,I1250-J1250,0)</f>
        <v/>
      </c>
      <c r="L1250">
        <f>K1249*$G$52</f>
        <v/>
      </c>
      <c r="M1250">
        <f>IF(O1249&gt;0,MAX(0,O1249*(1+$G$53)-$H$53),0)</f>
        <v/>
      </c>
      <c r="N1250">
        <f>MAX(0,J1250-I1250)</f>
        <v/>
      </c>
      <c r="O1250">
        <f>IF(M1250-N1250&gt;1E-9,M1250-N1250,0)</f>
        <v/>
      </c>
      <c r="P1250">
        <f>O1249*$G$53</f>
        <v/>
      </c>
      <c r="Q1250">
        <f>IF(S1249&gt;0,MAX(0,S1249*(1+$G$54)-$H$54),0)</f>
        <v/>
      </c>
      <c r="R1250">
        <f>MAX(0,N1250-M1250)</f>
        <v/>
      </c>
      <c r="S1250">
        <f>IF(Q1250-R1250&gt;1E-9,Q1250-R1250,0)</f>
        <v/>
      </c>
      <c r="T1250">
        <f>S1249*$G$54</f>
        <v/>
      </c>
      <c r="U1250">
        <f>IF(W1249&gt;0,MAX(0,W1249*(1+$G$55)-$H$55),0)</f>
        <v/>
      </c>
      <c r="V1250">
        <f>MAX(0,R1250-Q1250)</f>
        <v/>
      </c>
      <c r="W1250">
        <f>IF(U1250-V1250&gt;1E-9,U1250-V1250,0)</f>
        <v/>
      </c>
      <c r="X1250">
        <f>W1249*$G$55</f>
        <v/>
      </c>
      <c r="Y1250">
        <f>IF(Y1249&gt;1E-9,IF(Y1249*(1+$G$51)-MAX($B$9,0.01*Y1249+Y1249*$G$51)&gt;1E-9,Y1249*(1+$G$51)-MAX($B$9,0.01*Y1249+Y1249*$G$51),0),0)</f>
        <v/>
      </c>
      <c r="Z1250">
        <f>Y1249*$G$51</f>
        <v/>
      </c>
      <c r="AA1250">
        <f>IF(AA1249&gt;1E-9,IF(AA1249*(1+$G$52)-MAX($B$9,0.01*AA1249+AA1249*$G$52)&gt;1E-9,AA1249*(1+$G$52)-MAX($B$9,0.01*AA1249+AA1249*$G$52),0),0)</f>
        <v/>
      </c>
      <c r="AB1250">
        <f>AA1249*$G$52</f>
        <v/>
      </c>
      <c r="AC1250">
        <f>IF(AC1249&gt;1E-9,IF(AC1249*(1+$G$53)-MAX($B$9,0.01*AC1249+AC1249*$G$53)&gt;1E-9,AC1249*(1+$G$53)-MAX($B$9,0.01*AC1249+AC1249*$G$53),0),0)</f>
        <v/>
      </c>
      <c r="AD1250">
        <f>AC1249*$G$53</f>
        <v/>
      </c>
      <c r="AE1250">
        <f>IF(AE1249&gt;1E-9,IF(AE1249*(1+$G$54)-MAX($B$9,0.01*AE1249+AE1249*$G$54)&gt;1E-9,AE1249*(1+$G$54)-MAX($B$9,0.01*AE1249+AE1249*$G$54),0),0)</f>
        <v/>
      </c>
      <c r="AF1250">
        <f>AE1249*$G$54</f>
        <v/>
      </c>
      <c r="AG1250">
        <f>IF(AG1249&gt;1E-9,IF(AG1249*(1+$G$55)-MAX($B$9,0.01*AG1249+AG1249*$G$55)&gt;1E-9,AG1249*(1+$G$55)-MAX($B$9,0.01*AG1249+AG1249*$G$55),0),0)</f>
        <v/>
      </c>
      <c r="AH1250">
        <f>AG1249*$G$55</f>
        <v/>
      </c>
      <c r="AI1250">
        <f>G1250+K1250+O1250+S1250+W1250</f>
        <v/>
      </c>
      <c r="AJ1250">
        <f>AI1249+AK1250-AI1250</f>
        <v/>
      </c>
      <c r="AK1250">
        <f>H1250+L1250+P1250+T1250+X1250</f>
        <v/>
      </c>
      <c r="AL1250">
        <f>TEXT(EDATE($B$5,D1250-1),"mmm yyyy")</f>
        <v/>
      </c>
      <c r="AM1250">
        <f>AI1250</f>
        <v/>
      </c>
    </row>
    <row r="1251">
      <c r="D1251" t="n">
        <v>1190</v>
      </c>
      <c r="E1251">
        <f>IF(G1250&gt;0,MAX(0,G1250*(1+$G$51)-$H$51),0)</f>
        <v/>
      </c>
      <c r="F1251">
        <f>$B$6+IF($D1251=$B$8,$B$7,0)</f>
        <v/>
      </c>
      <c r="G1251">
        <f>IF(E1251-F1251&gt;1E-9,E1251-F1251,0)</f>
        <v/>
      </c>
      <c r="H1251">
        <f>G1250*$G$51</f>
        <v/>
      </c>
      <c r="I1251">
        <f>IF(K1250&gt;0,MAX(0,K1250*(1+$G$52)-$H$52),0)</f>
        <v/>
      </c>
      <c r="J1251">
        <f>MAX(0,F1251-E1251)</f>
        <v/>
      </c>
      <c r="K1251">
        <f>IF(I1251-J1251&gt;1E-9,I1251-J1251,0)</f>
        <v/>
      </c>
      <c r="L1251">
        <f>K1250*$G$52</f>
        <v/>
      </c>
      <c r="M1251">
        <f>IF(O1250&gt;0,MAX(0,O1250*(1+$G$53)-$H$53),0)</f>
        <v/>
      </c>
      <c r="N1251">
        <f>MAX(0,J1251-I1251)</f>
        <v/>
      </c>
      <c r="O1251">
        <f>IF(M1251-N1251&gt;1E-9,M1251-N1251,0)</f>
        <v/>
      </c>
      <c r="P1251">
        <f>O1250*$G$53</f>
        <v/>
      </c>
      <c r="Q1251">
        <f>IF(S1250&gt;0,MAX(0,S1250*(1+$G$54)-$H$54),0)</f>
        <v/>
      </c>
      <c r="R1251">
        <f>MAX(0,N1251-M1251)</f>
        <v/>
      </c>
      <c r="S1251">
        <f>IF(Q1251-R1251&gt;1E-9,Q1251-R1251,0)</f>
        <v/>
      </c>
      <c r="T1251">
        <f>S1250*$G$54</f>
        <v/>
      </c>
      <c r="U1251">
        <f>IF(W1250&gt;0,MAX(0,W1250*(1+$G$55)-$H$55),0)</f>
        <v/>
      </c>
      <c r="V1251">
        <f>MAX(0,R1251-Q1251)</f>
        <v/>
      </c>
      <c r="W1251">
        <f>IF(U1251-V1251&gt;1E-9,U1251-V1251,0)</f>
        <v/>
      </c>
      <c r="X1251">
        <f>W1250*$G$55</f>
        <v/>
      </c>
      <c r="Y1251">
        <f>IF(Y1250&gt;1E-9,IF(Y1250*(1+$G$51)-MAX($B$9,0.01*Y1250+Y1250*$G$51)&gt;1E-9,Y1250*(1+$G$51)-MAX($B$9,0.01*Y1250+Y1250*$G$51),0),0)</f>
        <v/>
      </c>
      <c r="Z1251">
        <f>Y1250*$G$51</f>
        <v/>
      </c>
      <c r="AA1251">
        <f>IF(AA1250&gt;1E-9,IF(AA1250*(1+$G$52)-MAX($B$9,0.01*AA1250+AA1250*$G$52)&gt;1E-9,AA1250*(1+$G$52)-MAX($B$9,0.01*AA1250+AA1250*$G$52),0),0)</f>
        <v/>
      </c>
      <c r="AB1251">
        <f>AA1250*$G$52</f>
        <v/>
      </c>
      <c r="AC1251">
        <f>IF(AC1250&gt;1E-9,IF(AC1250*(1+$G$53)-MAX($B$9,0.01*AC1250+AC1250*$G$53)&gt;1E-9,AC1250*(1+$G$53)-MAX($B$9,0.01*AC1250+AC1250*$G$53),0),0)</f>
        <v/>
      </c>
      <c r="AD1251">
        <f>AC1250*$G$53</f>
        <v/>
      </c>
      <c r="AE1251">
        <f>IF(AE1250&gt;1E-9,IF(AE1250*(1+$G$54)-MAX($B$9,0.01*AE1250+AE1250*$G$54)&gt;1E-9,AE1250*(1+$G$54)-MAX($B$9,0.01*AE1250+AE1250*$G$54),0),0)</f>
        <v/>
      </c>
      <c r="AF1251">
        <f>AE1250*$G$54</f>
        <v/>
      </c>
      <c r="AG1251">
        <f>IF(AG1250&gt;1E-9,IF(AG1250*(1+$G$55)-MAX($B$9,0.01*AG1250+AG1250*$G$55)&gt;1E-9,AG1250*(1+$G$55)-MAX($B$9,0.01*AG1250+AG1250*$G$55),0),0)</f>
        <v/>
      </c>
      <c r="AH1251">
        <f>AG1250*$G$55</f>
        <v/>
      </c>
      <c r="AI1251">
        <f>G1251+K1251+O1251+S1251+W1251</f>
        <v/>
      </c>
      <c r="AJ1251">
        <f>AI1250+AK1251-AI1251</f>
        <v/>
      </c>
      <c r="AK1251">
        <f>H1251+L1251+P1251+T1251+X1251</f>
        <v/>
      </c>
      <c r="AL1251">
        <f>TEXT(EDATE($B$5,D1251-1),"mmm yyyy")</f>
        <v/>
      </c>
      <c r="AM1251">
        <f>AI1251</f>
        <v/>
      </c>
    </row>
    <row r="1252">
      <c r="D1252" t="n">
        <v>1191</v>
      </c>
      <c r="E1252">
        <f>IF(G1251&gt;0,MAX(0,G1251*(1+$G$51)-$H$51),0)</f>
        <v/>
      </c>
      <c r="F1252">
        <f>$B$6+IF($D1252=$B$8,$B$7,0)</f>
        <v/>
      </c>
      <c r="G1252">
        <f>IF(E1252-F1252&gt;1E-9,E1252-F1252,0)</f>
        <v/>
      </c>
      <c r="H1252">
        <f>G1251*$G$51</f>
        <v/>
      </c>
      <c r="I1252">
        <f>IF(K1251&gt;0,MAX(0,K1251*(1+$G$52)-$H$52),0)</f>
        <v/>
      </c>
      <c r="J1252">
        <f>MAX(0,F1252-E1252)</f>
        <v/>
      </c>
      <c r="K1252">
        <f>IF(I1252-J1252&gt;1E-9,I1252-J1252,0)</f>
        <v/>
      </c>
      <c r="L1252">
        <f>K1251*$G$52</f>
        <v/>
      </c>
      <c r="M1252">
        <f>IF(O1251&gt;0,MAX(0,O1251*(1+$G$53)-$H$53),0)</f>
        <v/>
      </c>
      <c r="N1252">
        <f>MAX(0,J1252-I1252)</f>
        <v/>
      </c>
      <c r="O1252">
        <f>IF(M1252-N1252&gt;1E-9,M1252-N1252,0)</f>
        <v/>
      </c>
      <c r="P1252">
        <f>O1251*$G$53</f>
        <v/>
      </c>
      <c r="Q1252">
        <f>IF(S1251&gt;0,MAX(0,S1251*(1+$G$54)-$H$54),0)</f>
        <v/>
      </c>
      <c r="R1252">
        <f>MAX(0,N1252-M1252)</f>
        <v/>
      </c>
      <c r="S1252">
        <f>IF(Q1252-R1252&gt;1E-9,Q1252-R1252,0)</f>
        <v/>
      </c>
      <c r="T1252">
        <f>S1251*$G$54</f>
        <v/>
      </c>
      <c r="U1252">
        <f>IF(W1251&gt;0,MAX(0,W1251*(1+$G$55)-$H$55),0)</f>
        <v/>
      </c>
      <c r="V1252">
        <f>MAX(0,R1252-Q1252)</f>
        <v/>
      </c>
      <c r="W1252">
        <f>IF(U1252-V1252&gt;1E-9,U1252-V1252,0)</f>
        <v/>
      </c>
      <c r="X1252">
        <f>W1251*$G$55</f>
        <v/>
      </c>
      <c r="Y1252">
        <f>IF(Y1251&gt;1E-9,IF(Y1251*(1+$G$51)-MAX($B$9,0.01*Y1251+Y1251*$G$51)&gt;1E-9,Y1251*(1+$G$51)-MAX($B$9,0.01*Y1251+Y1251*$G$51),0),0)</f>
        <v/>
      </c>
      <c r="Z1252">
        <f>Y1251*$G$51</f>
        <v/>
      </c>
      <c r="AA1252">
        <f>IF(AA1251&gt;1E-9,IF(AA1251*(1+$G$52)-MAX($B$9,0.01*AA1251+AA1251*$G$52)&gt;1E-9,AA1251*(1+$G$52)-MAX($B$9,0.01*AA1251+AA1251*$G$52),0),0)</f>
        <v/>
      </c>
      <c r="AB1252">
        <f>AA1251*$G$52</f>
        <v/>
      </c>
      <c r="AC1252">
        <f>IF(AC1251&gt;1E-9,IF(AC1251*(1+$G$53)-MAX($B$9,0.01*AC1251+AC1251*$G$53)&gt;1E-9,AC1251*(1+$G$53)-MAX($B$9,0.01*AC1251+AC1251*$G$53),0),0)</f>
        <v/>
      </c>
      <c r="AD1252">
        <f>AC1251*$G$53</f>
        <v/>
      </c>
      <c r="AE1252">
        <f>IF(AE1251&gt;1E-9,IF(AE1251*(1+$G$54)-MAX($B$9,0.01*AE1251+AE1251*$G$54)&gt;1E-9,AE1251*(1+$G$54)-MAX($B$9,0.01*AE1251+AE1251*$G$54),0),0)</f>
        <v/>
      </c>
      <c r="AF1252">
        <f>AE1251*$G$54</f>
        <v/>
      </c>
      <c r="AG1252">
        <f>IF(AG1251&gt;1E-9,IF(AG1251*(1+$G$55)-MAX($B$9,0.01*AG1251+AG1251*$G$55)&gt;1E-9,AG1251*(1+$G$55)-MAX($B$9,0.01*AG1251+AG1251*$G$55),0),0)</f>
        <v/>
      </c>
      <c r="AH1252">
        <f>AG1251*$G$55</f>
        <v/>
      </c>
      <c r="AI1252">
        <f>G1252+K1252+O1252+S1252+W1252</f>
        <v/>
      </c>
      <c r="AJ1252">
        <f>AI1251+AK1252-AI1252</f>
        <v/>
      </c>
      <c r="AK1252">
        <f>H1252+L1252+P1252+T1252+X1252</f>
        <v/>
      </c>
      <c r="AL1252">
        <f>TEXT(EDATE($B$5,D1252-1),"mmm yyyy")</f>
        <v/>
      </c>
      <c r="AM1252">
        <f>AI1252</f>
        <v/>
      </c>
    </row>
    <row r="1253">
      <c r="D1253" t="n">
        <v>1192</v>
      </c>
      <c r="E1253">
        <f>IF(G1252&gt;0,MAX(0,G1252*(1+$G$51)-$H$51),0)</f>
        <v/>
      </c>
      <c r="F1253">
        <f>$B$6+IF($D1253=$B$8,$B$7,0)</f>
        <v/>
      </c>
      <c r="G1253">
        <f>IF(E1253-F1253&gt;1E-9,E1253-F1253,0)</f>
        <v/>
      </c>
      <c r="H1253">
        <f>G1252*$G$51</f>
        <v/>
      </c>
      <c r="I1253">
        <f>IF(K1252&gt;0,MAX(0,K1252*(1+$G$52)-$H$52),0)</f>
        <v/>
      </c>
      <c r="J1253">
        <f>MAX(0,F1253-E1253)</f>
        <v/>
      </c>
      <c r="K1253">
        <f>IF(I1253-J1253&gt;1E-9,I1253-J1253,0)</f>
        <v/>
      </c>
      <c r="L1253">
        <f>K1252*$G$52</f>
        <v/>
      </c>
      <c r="M1253">
        <f>IF(O1252&gt;0,MAX(0,O1252*(1+$G$53)-$H$53),0)</f>
        <v/>
      </c>
      <c r="N1253">
        <f>MAX(0,J1253-I1253)</f>
        <v/>
      </c>
      <c r="O1253">
        <f>IF(M1253-N1253&gt;1E-9,M1253-N1253,0)</f>
        <v/>
      </c>
      <c r="P1253">
        <f>O1252*$G$53</f>
        <v/>
      </c>
      <c r="Q1253">
        <f>IF(S1252&gt;0,MAX(0,S1252*(1+$G$54)-$H$54),0)</f>
        <v/>
      </c>
      <c r="R1253">
        <f>MAX(0,N1253-M1253)</f>
        <v/>
      </c>
      <c r="S1253">
        <f>IF(Q1253-R1253&gt;1E-9,Q1253-R1253,0)</f>
        <v/>
      </c>
      <c r="T1253">
        <f>S1252*$G$54</f>
        <v/>
      </c>
      <c r="U1253">
        <f>IF(W1252&gt;0,MAX(0,W1252*(1+$G$55)-$H$55),0)</f>
        <v/>
      </c>
      <c r="V1253">
        <f>MAX(0,R1253-Q1253)</f>
        <v/>
      </c>
      <c r="W1253">
        <f>IF(U1253-V1253&gt;1E-9,U1253-V1253,0)</f>
        <v/>
      </c>
      <c r="X1253">
        <f>W1252*$G$55</f>
        <v/>
      </c>
      <c r="Y1253">
        <f>IF(Y1252&gt;1E-9,IF(Y1252*(1+$G$51)-MAX($B$9,0.01*Y1252+Y1252*$G$51)&gt;1E-9,Y1252*(1+$G$51)-MAX($B$9,0.01*Y1252+Y1252*$G$51),0),0)</f>
        <v/>
      </c>
      <c r="Z1253">
        <f>Y1252*$G$51</f>
        <v/>
      </c>
      <c r="AA1253">
        <f>IF(AA1252&gt;1E-9,IF(AA1252*(1+$G$52)-MAX($B$9,0.01*AA1252+AA1252*$G$52)&gt;1E-9,AA1252*(1+$G$52)-MAX($B$9,0.01*AA1252+AA1252*$G$52),0),0)</f>
        <v/>
      </c>
      <c r="AB1253">
        <f>AA1252*$G$52</f>
        <v/>
      </c>
      <c r="AC1253">
        <f>IF(AC1252&gt;1E-9,IF(AC1252*(1+$G$53)-MAX($B$9,0.01*AC1252+AC1252*$G$53)&gt;1E-9,AC1252*(1+$G$53)-MAX($B$9,0.01*AC1252+AC1252*$G$53),0),0)</f>
        <v/>
      </c>
      <c r="AD1253">
        <f>AC1252*$G$53</f>
        <v/>
      </c>
      <c r="AE1253">
        <f>IF(AE1252&gt;1E-9,IF(AE1252*(1+$G$54)-MAX($B$9,0.01*AE1252+AE1252*$G$54)&gt;1E-9,AE1252*(1+$G$54)-MAX($B$9,0.01*AE1252+AE1252*$G$54),0),0)</f>
        <v/>
      </c>
      <c r="AF1253">
        <f>AE1252*$G$54</f>
        <v/>
      </c>
      <c r="AG1253">
        <f>IF(AG1252&gt;1E-9,IF(AG1252*(1+$G$55)-MAX($B$9,0.01*AG1252+AG1252*$G$55)&gt;1E-9,AG1252*(1+$G$55)-MAX($B$9,0.01*AG1252+AG1252*$G$55),0),0)</f>
        <v/>
      </c>
      <c r="AH1253">
        <f>AG1252*$G$55</f>
        <v/>
      </c>
      <c r="AI1253">
        <f>G1253+K1253+O1253+S1253+W1253</f>
        <v/>
      </c>
      <c r="AJ1253">
        <f>AI1252+AK1253-AI1253</f>
        <v/>
      </c>
      <c r="AK1253">
        <f>H1253+L1253+P1253+T1253+X1253</f>
        <v/>
      </c>
      <c r="AL1253">
        <f>TEXT(EDATE($B$5,D1253-1),"mmm yyyy")</f>
        <v/>
      </c>
      <c r="AM1253">
        <f>AI1253</f>
        <v/>
      </c>
    </row>
    <row r="1254">
      <c r="D1254" t="n">
        <v>1193</v>
      </c>
      <c r="E1254">
        <f>IF(G1253&gt;0,MAX(0,G1253*(1+$G$51)-$H$51),0)</f>
        <v/>
      </c>
      <c r="F1254">
        <f>$B$6+IF($D1254=$B$8,$B$7,0)</f>
        <v/>
      </c>
      <c r="G1254">
        <f>IF(E1254-F1254&gt;1E-9,E1254-F1254,0)</f>
        <v/>
      </c>
      <c r="H1254">
        <f>G1253*$G$51</f>
        <v/>
      </c>
      <c r="I1254">
        <f>IF(K1253&gt;0,MAX(0,K1253*(1+$G$52)-$H$52),0)</f>
        <v/>
      </c>
      <c r="J1254">
        <f>MAX(0,F1254-E1254)</f>
        <v/>
      </c>
      <c r="K1254">
        <f>IF(I1254-J1254&gt;1E-9,I1254-J1254,0)</f>
        <v/>
      </c>
      <c r="L1254">
        <f>K1253*$G$52</f>
        <v/>
      </c>
      <c r="M1254">
        <f>IF(O1253&gt;0,MAX(0,O1253*(1+$G$53)-$H$53),0)</f>
        <v/>
      </c>
      <c r="N1254">
        <f>MAX(0,J1254-I1254)</f>
        <v/>
      </c>
      <c r="O1254">
        <f>IF(M1254-N1254&gt;1E-9,M1254-N1254,0)</f>
        <v/>
      </c>
      <c r="P1254">
        <f>O1253*$G$53</f>
        <v/>
      </c>
      <c r="Q1254">
        <f>IF(S1253&gt;0,MAX(0,S1253*(1+$G$54)-$H$54),0)</f>
        <v/>
      </c>
      <c r="R1254">
        <f>MAX(0,N1254-M1254)</f>
        <v/>
      </c>
      <c r="S1254">
        <f>IF(Q1254-R1254&gt;1E-9,Q1254-R1254,0)</f>
        <v/>
      </c>
      <c r="T1254">
        <f>S1253*$G$54</f>
        <v/>
      </c>
      <c r="U1254">
        <f>IF(W1253&gt;0,MAX(0,W1253*(1+$G$55)-$H$55),0)</f>
        <v/>
      </c>
      <c r="V1254">
        <f>MAX(0,R1254-Q1254)</f>
        <v/>
      </c>
      <c r="W1254">
        <f>IF(U1254-V1254&gt;1E-9,U1254-V1254,0)</f>
        <v/>
      </c>
      <c r="X1254">
        <f>W1253*$G$55</f>
        <v/>
      </c>
      <c r="Y1254">
        <f>IF(Y1253&gt;1E-9,IF(Y1253*(1+$G$51)-MAX($B$9,0.01*Y1253+Y1253*$G$51)&gt;1E-9,Y1253*(1+$G$51)-MAX($B$9,0.01*Y1253+Y1253*$G$51),0),0)</f>
        <v/>
      </c>
      <c r="Z1254">
        <f>Y1253*$G$51</f>
        <v/>
      </c>
      <c r="AA1254">
        <f>IF(AA1253&gt;1E-9,IF(AA1253*(1+$G$52)-MAX($B$9,0.01*AA1253+AA1253*$G$52)&gt;1E-9,AA1253*(1+$G$52)-MAX($B$9,0.01*AA1253+AA1253*$G$52),0),0)</f>
        <v/>
      </c>
      <c r="AB1254">
        <f>AA1253*$G$52</f>
        <v/>
      </c>
      <c r="AC1254">
        <f>IF(AC1253&gt;1E-9,IF(AC1253*(1+$G$53)-MAX($B$9,0.01*AC1253+AC1253*$G$53)&gt;1E-9,AC1253*(1+$G$53)-MAX($B$9,0.01*AC1253+AC1253*$G$53),0),0)</f>
        <v/>
      </c>
      <c r="AD1254">
        <f>AC1253*$G$53</f>
        <v/>
      </c>
      <c r="AE1254">
        <f>IF(AE1253&gt;1E-9,IF(AE1253*(1+$G$54)-MAX($B$9,0.01*AE1253+AE1253*$G$54)&gt;1E-9,AE1253*(1+$G$54)-MAX($B$9,0.01*AE1253+AE1253*$G$54),0),0)</f>
        <v/>
      </c>
      <c r="AF1254">
        <f>AE1253*$G$54</f>
        <v/>
      </c>
      <c r="AG1254">
        <f>IF(AG1253&gt;1E-9,IF(AG1253*(1+$G$55)-MAX($B$9,0.01*AG1253+AG1253*$G$55)&gt;1E-9,AG1253*(1+$G$55)-MAX($B$9,0.01*AG1253+AG1253*$G$55),0),0)</f>
        <v/>
      </c>
      <c r="AH1254">
        <f>AG1253*$G$55</f>
        <v/>
      </c>
      <c r="AI1254">
        <f>G1254+K1254+O1254+S1254+W1254</f>
        <v/>
      </c>
      <c r="AJ1254">
        <f>AI1253+AK1254-AI1254</f>
        <v/>
      </c>
      <c r="AK1254">
        <f>H1254+L1254+P1254+T1254+X1254</f>
        <v/>
      </c>
      <c r="AL1254">
        <f>TEXT(EDATE($B$5,D1254-1),"mmm yyyy")</f>
        <v/>
      </c>
      <c r="AM1254">
        <f>AI1254</f>
        <v/>
      </c>
    </row>
    <row r="1255">
      <c r="D1255" t="n">
        <v>1194</v>
      </c>
      <c r="E1255">
        <f>IF(G1254&gt;0,MAX(0,G1254*(1+$G$51)-$H$51),0)</f>
        <v/>
      </c>
      <c r="F1255">
        <f>$B$6+IF($D1255=$B$8,$B$7,0)</f>
        <v/>
      </c>
      <c r="G1255">
        <f>IF(E1255-F1255&gt;1E-9,E1255-F1255,0)</f>
        <v/>
      </c>
      <c r="H1255">
        <f>G1254*$G$51</f>
        <v/>
      </c>
      <c r="I1255">
        <f>IF(K1254&gt;0,MAX(0,K1254*(1+$G$52)-$H$52),0)</f>
        <v/>
      </c>
      <c r="J1255">
        <f>MAX(0,F1255-E1255)</f>
        <v/>
      </c>
      <c r="K1255">
        <f>IF(I1255-J1255&gt;1E-9,I1255-J1255,0)</f>
        <v/>
      </c>
      <c r="L1255">
        <f>K1254*$G$52</f>
        <v/>
      </c>
      <c r="M1255">
        <f>IF(O1254&gt;0,MAX(0,O1254*(1+$G$53)-$H$53),0)</f>
        <v/>
      </c>
      <c r="N1255">
        <f>MAX(0,J1255-I1255)</f>
        <v/>
      </c>
      <c r="O1255">
        <f>IF(M1255-N1255&gt;1E-9,M1255-N1255,0)</f>
        <v/>
      </c>
      <c r="P1255">
        <f>O1254*$G$53</f>
        <v/>
      </c>
      <c r="Q1255">
        <f>IF(S1254&gt;0,MAX(0,S1254*(1+$G$54)-$H$54),0)</f>
        <v/>
      </c>
      <c r="R1255">
        <f>MAX(0,N1255-M1255)</f>
        <v/>
      </c>
      <c r="S1255">
        <f>IF(Q1255-R1255&gt;1E-9,Q1255-R1255,0)</f>
        <v/>
      </c>
      <c r="T1255">
        <f>S1254*$G$54</f>
        <v/>
      </c>
      <c r="U1255">
        <f>IF(W1254&gt;0,MAX(0,W1254*(1+$G$55)-$H$55),0)</f>
        <v/>
      </c>
      <c r="V1255">
        <f>MAX(0,R1255-Q1255)</f>
        <v/>
      </c>
      <c r="W1255">
        <f>IF(U1255-V1255&gt;1E-9,U1255-V1255,0)</f>
        <v/>
      </c>
      <c r="X1255">
        <f>W1254*$G$55</f>
        <v/>
      </c>
      <c r="Y1255">
        <f>IF(Y1254&gt;1E-9,IF(Y1254*(1+$G$51)-MAX($B$9,0.01*Y1254+Y1254*$G$51)&gt;1E-9,Y1254*(1+$G$51)-MAX($B$9,0.01*Y1254+Y1254*$G$51),0),0)</f>
        <v/>
      </c>
      <c r="Z1255">
        <f>Y1254*$G$51</f>
        <v/>
      </c>
      <c r="AA1255">
        <f>IF(AA1254&gt;1E-9,IF(AA1254*(1+$G$52)-MAX($B$9,0.01*AA1254+AA1254*$G$52)&gt;1E-9,AA1254*(1+$G$52)-MAX($B$9,0.01*AA1254+AA1254*$G$52),0),0)</f>
        <v/>
      </c>
      <c r="AB1255">
        <f>AA1254*$G$52</f>
        <v/>
      </c>
      <c r="AC1255">
        <f>IF(AC1254&gt;1E-9,IF(AC1254*(1+$G$53)-MAX($B$9,0.01*AC1254+AC1254*$G$53)&gt;1E-9,AC1254*(1+$G$53)-MAX($B$9,0.01*AC1254+AC1254*$G$53),0),0)</f>
        <v/>
      </c>
      <c r="AD1255">
        <f>AC1254*$G$53</f>
        <v/>
      </c>
      <c r="AE1255">
        <f>IF(AE1254&gt;1E-9,IF(AE1254*(1+$G$54)-MAX($B$9,0.01*AE1254+AE1254*$G$54)&gt;1E-9,AE1254*(1+$G$54)-MAX($B$9,0.01*AE1254+AE1254*$G$54),0),0)</f>
        <v/>
      </c>
      <c r="AF1255">
        <f>AE1254*$G$54</f>
        <v/>
      </c>
      <c r="AG1255">
        <f>IF(AG1254&gt;1E-9,IF(AG1254*(1+$G$55)-MAX($B$9,0.01*AG1254+AG1254*$G$55)&gt;1E-9,AG1254*(1+$G$55)-MAX($B$9,0.01*AG1254+AG1254*$G$55),0),0)</f>
        <v/>
      </c>
      <c r="AH1255">
        <f>AG1254*$G$55</f>
        <v/>
      </c>
      <c r="AI1255">
        <f>G1255+K1255+O1255+S1255+W1255</f>
        <v/>
      </c>
      <c r="AJ1255">
        <f>AI1254+AK1255-AI1255</f>
        <v/>
      </c>
      <c r="AK1255">
        <f>H1255+L1255+P1255+T1255+X1255</f>
        <v/>
      </c>
      <c r="AL1255">
        <f>TEXT(EDATE($B$5,D1255-1),"mmm yyyy")</f>
        <v/>
      </c>
      <c r="AM1255">
        <f>AI1255</f>
        <v/>
      </c>
    </row>
    <row r="1256">
      <c r="D1256" t="n">
        <v>1195</v>
      </c>
      <c r="E1256">
        <f>IF(G1255&gt;0,MAX(0,G1255*(1+$G$51)-$H$51),0)</f>
        <v/>
      </c>
      <c r="F1256">
        <f>$B$6+IF($D1256=$B$8,$B$7,0)</f>
        <v/>
      </c>
      <c r="G1256">
        <f>IF(E1256-F1256&gt;1E-9,E1256-F1256,0)</f>
        <v/>
      </c>
      <c r="H1256">
        <f>G1255*$G$51</f>
        <v/>
      </c>
      <c r="I1256">
        <f>IF(K1255&gt;0,MAX(0,K1255*(1+$G$52)-$H$52),0)</f>
        <v/>
      </c>
      <c r="J1256">
        <f>MAX(0,F1256-E1256)</f>
        <v/>
      </c>
      <c r="K1256">
        <f>IF(I1256-J1256&gt;1E-9,I1256-J1256,0)</f>
        <v/>
      </c>
      <c r="L1256">
        <f>K1255*$G$52</f>
        <v/>
      </c>
      <c r="M1256">
        <f>IF(O1255&gt;0,MAX(0,O1255*(1+$G$53)-$H$53),0)</f>
        <v/>
      </c>
      <c r="N1256">
        <f>MAX(0,J1256-I1256)</f>
        <v/>
      </c>
      <c r="O1256">
        <f>IF(M1256-N1256&gt;1E-9,M1256-N1256,0)</f>
        <v/>
      </c>
      <c r="P1256">
        <f>O1255*$G$53</f>
        <v/>
      </c>
      <c r="Q1256">
        <f>IF(S1255&gt;0,MAX(0,S1255*(1+$G$54)-$H$54),0)</f>
        <v/>
      </c>
      <c r="R1256">
        <f>MAX(0,N1256-M1256)</f>
        <v/>
      </c>
      <c r="S1256">
        <f>IF(Q1256-R1256&gt;1E-9,Q1256-R1256,0)</f>
        <v/>
      </c>
      <c r="T1256">
        <f>S1255*$G$54</f>
        <v/>
      </c>
      <c r="U1256">
        <f>IF(W1255&gt;0,MAX(0,W1255*(1+$G$55)-$H$55),0)</f>
        <v/>
      </c>
      <c r="V1256">
        <f>MAX(0,R1256-Q1256)</f>
        <v/>
      </c>
      <c r="W1256">
        <f>IF(U1256-V1256&gt;1E-9,U1256-V1256,0)</f>
        <v/>
      </c>
      <c r="X1256">
        <f>W1255*$G$55</f>
        <v/>
      </c>
      <c r="Y1256">
        <f>IF(Y1255&gt;1E-9,IF(Y1255*(1+$G$51)-MAX($B$9,0.01*Y1255+Y1255*$G$51)&gt;1E-9,Y1255*(1+$G$51)-MAX($B$9,0.01*Y1255+Y1255*$G$51),0),0)</f>
        <v/>
      </c>
      <c r="Z1256">
        <f>Y1255*$G$51</f>
        <v/>
      </c>
      <c r="AA1256">
        <f>IF(AA1255&gt;1E-9,IF(AA1255*(1+$G$52)-MAX($B$9,0.01*AA1255+AA1255*$G$52)&gt;1E-9,AA1255*(1+$G$52)-MAX($B$9,0.01*AA1255+AA1255*$G$52),0),0)</f>
        <v/>
      </c>
      <c r="AB1256">
        <f>AA1255*$G$52</f>
        <v/>
      </c>
      <c r="AC1256">
        <f>IF(AC1255&gt;1E-9,IF(AC1255*(1+$G$53)-MAX($B$9,0.01*AC1255+AC1255*$G$53)&gt;1E-9,AC1255*(1+$G$53)-MAX($B$9,0.01*AC1255+AC1255*$G$53),0),0)</f>
        <v/>
      </c>
      <c r="AD1256">
        <f>AC1255*$G$53</f>
        <v/>
      </c>
      <c r="AE1256">
        <f>IF(AE1255&gt;1E-9,IF(AE1255*(1+$G$54)-MAX($B$9,0.01*AE1255+AE1255*$G$54)&gt;1E-9,AE1255*(1+$G$54)-MAX($B$9,0.01*AE1255+AE1255*$G$54),0),0)</f>
        <v/>
      </c>
      <c r="AF1256">
        <f>AE1255*$G$54</f>
        <v/>
      </c>
      <c r="AG1256">
        <f>IF(AG1255&gt;1E-9,IF(AG1255*(1+$G$55)-MAX($B$9,0.01*AG1255+AG1255*$G$55)&gt;1E-9,AG1255*(1+$G$55)-MAX($B$9,0.01*AG1255+AG1255*$G$55),0),0)</f>
        <v/>
      </c>
      <c r="AH1256">
        <f>AG1255*$G$55</f>
        <v/>
      </c>
      <c r="AI1256">
        <f>G1256+K1256+O1256+S1256+W1256</f>
        <v/>
      </c>
      <c r="AJ1256">
        <f>AI1255+AK1256-AI1256</f>
        <v/>
      </c>
      <c r="AK1256">
        <f>H1256+L1256+P1256+T1256+X1256</f>
        <v/>
      </c>
      <c r="AL1256">
        <f>TEXT(EDATE($B$5,D1256-1),"mmm yyyy")</f>
        <v/>
      </c>
      <c r="AM1256">
        <f>AI1256</f>
        <v/>
      </c>
    </row>
    <row r="1257">
      <c r="D1257" t="n">
        <v>1196</v>
      </c>
      <c r="E1257">
        <f>IF(G1256&gt;0,MAX(0,G1256*(1+$G$51)-$H$51),0)</f>
        <v/>
      </c>
      <c r="F1257">
        <f>$B$6+IF($D1257=$B$8,$B$7,0)</f>
        <v/>
      </c>
      <c r="G1257">
        <f>IF(E1257-F1257&gt;1E-9,E1257-F1257,0)</f>
        <v/>
      </c>
      <c r="H1257">
        <f>G1256*$G$51</f>
        <v/>
      </c>
      <c r="I1257">
        <f>IF(K1256&gt;0,MAX(0,K1256*(1+$G$52)-$H$52),0)</f>
        <v/>
      </c>
      <c r="J1257">
        <f>MAX(0,F1257-E1257)</f>
        <v/>
      </c>
      <c r="K1257">
        <f>IF(I1257-J1257&gt;1E-9,I1257-J1257,0)</f>
        <v/>
      </c>
      <c r="L1257">
        <f>K1256*$G$52</f>
        <v/>
      </c>
      <c r="M1257">
        <f>IF(O1256&gt;0,MAX(0,O1256*(1+$G$53)-$H$53),0)</f>
        <v/>
      </c>
      <c r="N1257">
        <f>MAX(0,J1257-I1257)</f>
        <v/>
      </c>
      <c r="O1257">
        <f>IF(M1257-N1257&gt;1E-9,M1257-N1257,0)</f>
        <v/>
      </c>
      <c r="P1257">
        <f>O1256*$G$53</f>
        <v/>
      </c>
      <c r="Q1257">
        <f>IF(S1256&gt;0,MAX(0,S1256*(1+$G$54)-$H$54),0)</f>
        <v/>
      </c>
      <c r="R1257">
        <f>MAX(0,N1257-M1257)</f>
        <v/>
      </c>
      <c r="S1257">
        <f>IF(Q1257-R1257&gt;1E-9,Q1257-R1257,0)</f>
        <v/>
      </c>
      <c r="T1257">
        <f>S1256*$G$54</f>
        <v/>
      </c>
      <c r="U1257">
        <f>IF(W1256&gt;0,MAX(0,W1256*(1+$G$55)-$H$55),0)</f>
        <v/>
      </c>
      <c r="V1257">
        <f>MAX(0,R1257-Q1257)</f>
        <v/>
      </c>
      <c r="W1257">
        <f>IF(U1257-V1257&gt;1E-9,U1257-V1257,0)</f>
        <v/>
      </c>
      <c r="X1257">
        <f>W1256*$G$55</f>
        <v/>
      </c>
      <c r="Y1257">
        <f>IF(Y1256&gt;1E-9,IF(Y1256*(1+$G$51)-MAX($B$9,0.01*Y1256+Y1256*$G$51)&gt;1E-9,Y1256*(1+$G$51)-MAX($B$9,0.01*Y1256+Y1256*$G$51),0),0)</f>
        <v/>
      </c>
      <c r="Z1257">
        <f>Y1256*$G$51</f>
        <v/>
      </c>
      <c r="AA1257">
        <f>IF(AA1256&gt;1E-9,IF(AA1256*(1+$G$52)-MAX($B$9,0.01*AA1256+AA1256*$G$52)&gt;1E-9,AA1256*(1+$G$52)-MAX($B$9,0.01*AA1256+AA1256*$G$52),0),0)</f>
        <v/>
      </c>
      <c r="AB1257">
        <f>AA1256*$G$52</f>
        <v/>
      </c>
      <c r="AC1257">
        <f>IF(AC1256&gt;1E-9,IF(AC1256*(1+$G$53)-MAX($B$9,0.01*AC1256+AC1256*$G$53)&gt;1E-9,AC1256*(1+$G$53)-MAX($B$9,0.01*AC1256+AC1256*$G$53),0),0)</f>
        <v/>
      </c>
      <c r="AD1257">
        <f>AC1256*$G$53</f>
        <v/>
      </c>
      <c r="AE1257">
        <f>IF(AE1256&gt;1E-9,IF(AE1256*(1+$G$54)-MAX($B$9,0.01*AE1256+AE1256*$G$54)&gt;1E-9,AE1256*(1+$G$54)-MAX($B$9,0.01*AE1256+AE1256*$G$54),0),0)</f>
        <v/>
      </c>
      <c r="AF1257">
        <f>AE1256*$G$54</f>
        <v/>
      </c>
      <c r="AG1257">
        <f>IF(AG1256&gt;1E-9,IF(AG1256*(1+$G$55)-MAX($B$9,0.01*AG1256+AG1256*$G$55)&gt;1E-9,AG1256*(1+$G$55)-MAX($B$9,0.01*AG1256+AG1256*$G$55),0),0)</f>
        <v/>
      </c>
      <c r="AH1257">
        <f>AG1256*$G$55</f>
        <v/>
      </c>
      <c r="AI1257">
        <f>G1257+K1257+O1257+S1257+W1257</f>
        <v/>
      </c>
      <c r="AJ1257">
        <f>AI1256+AK1257-AI1257</f>
        <v/>
      </c>
      <c r="AK1257">
        <f>H1257+L1257+P1257+T1257+X1257</f>
        <v/>
      </c>
      <c r="AL1257">
        <f>TEXT(EDATE($B$5,D1257-1),"mmm yyyy")</f>
        <v/>
      </c>
      <c r="AM1257">
        <f>AI1257</f>
        <v/>
      </c>
    </row>
    <row r="1258">
      <c r="D1258" t="n">
        <v>1197</v>
      </c>
      <c r="E1258">
        <f>IF(G1257&gt;0,MAX(0,G1257*(1+$G$51)-$H$51),0)</f>
        <v/>
      </c>
      <c r="F1258">
        <f>$B$6+IF($D1258=$B$8,$B$7,0)</f>
        <v/>
      </c>
      <c r="G1258">
        <f>IF(E1258-F1258&gt;1E-9,E1258-F1258,0)</f>
        <v/>
      </c>
      <c r="H1258">
        <f>G1257*$G$51</f>
        <v/>
      </c>
      <c r="I1258">
        <f>IF(K1257&gt;0,MAX(0,K1257*(1+$G$52)-$H$52),0)</f>
        <v/>
      </c>
      <c r="J1258">
        <f>MAX(0,F1258-E1258)</f>
        <v/>
      </c>
      <c r="K1258">
        <f>IF(I1258-J1258&gt;1E-9,I1258-J1258,0)</f>
        <v/>
      </c>
      <c r="L1258">
        <f>K1257*$G$52</f>
        <v/>
      </c>
      <c r="M1258">
        <f>IF(O1257&gt;0,MAX(0,O1257*(1+$G$53)-$H$53),0)</f>
        <v/>
      </c>
      <c r="N1258">
        <f>MAX(0,J1258-I1258)</f>
        <v/>
      </c>
      <c r="O1258">
        <f>IF(M1258-N1258&gt;1E-9,M1258-N1258,0)</f>
        <v/>
      </c>
      <c r="P1258">
        <f>O1257*$G$53</f>
        <v/>
      </c>
      <c r="Q1258">
        <f>IF(S1257&gt;0,MAX(0,S1257*(1+$G$54)-$H$54),0)</f>
        <v/>
      </c>
      <c r="R1258">
        <f>MAX(0,N1258-M1258)</f>
        <v/>
      </c>
      <c r="S1258">
        <f>IF(Q1258-R1258&gt;1E-9,Q1258-R1258,0)</f>
        <v/>
      </c>
      <c r="T1258">
        <f>S1257*$G$54</f>
        <v/>
      </c>
      <c r="U1258">
        <f>IF(W1257&gt;0,MAX(0,W1257*(1+$G$55)-$H$55),0)</f>
        <v/>
      </c>
      <c r="V1258">
        <f>MAX(0,R1258-Q1258)</f>
        <v/>
      </c>
      <c r="W1258">
        <f>IF(U1258-V1258&gt;1E-9,U1258-V1258,0)</f>
        <v/>
      </c>
      <c r="X1258">
        <f>W1257*$G$55</f>
        <v/>
      </c>
      <c r="Y1258">
        <f>IF(Y1257&gt;1E-9,IF(Y1257*(1+$G$51)-MAX($B$9,0.01*Y1257+Y1257*$G$51)&gt;1E-9,Y1257*(1+$G$51)-MAX($B$9,0.01*Y1257+Y1257*$G$51),0),0)</f>
        <v/>
      </c>
      <c r="Z1258">
        <f>Y1257*$G$51</f>
        <v/>
      </c>
      <c r="AA1258">
        <f>IF(AA1257&gt;1E-9,IF(AA1257*(1+$G$52)-MAX($B$9,0.01*AA1257+AA1257*$G$52)&gt;1E-9,AA1257*(1+$G$52)-MAX($B$9,0.01*AA1257+AA1257*$G$52),0),0)</f>
        <v/>
      </c>
      <c r="AB1258">
        <f>AA1257*$G$52</f>
        <v/>
      </c>
      <c r="AC1258">
        <f>IF(AC1257&gt;1E-9,IF(AC1257*(1+$G$53)-MAX($B$9,0.01*AC1257+AC1257*$G$53)&gt;1E-9,AC1257*(1+$G$53)-MAX($B$9,0.01*AC1257+AC1257*$G$53),0),0)</f>
        <v/>
      </c>
      <c r="AD1258">
        <f>AC1257*$G$53</f>
        <v/>
      </c>
      <c r="AE1258">
        <f>IF(AE1257&gt;1E-9,IF(AE1257*(1+$G$54)-MAX($B$9,0.01*AE1257+AE1257*$G$54)&gt;1E-9,AE1257*(1+$G$54)-MAX($B$9,0.01*AE1257+AE1257*$G$54),0),0)</f>
        <v/>
      </c>
      <c r="AF1258">
        <f>AE1257*$G$54</f>
        <v/>
      </c>
      <c r="AG1258">
        <f>IF(AG1257&gt;1E-9,IF(AG1257*(1+$G$55)-MAX($B$9,0.01*AG1257+AG1257*$G$55)&gt;1E-9,AG1257*(1+$G$55)-MAX($B$9,0.01*AG1257+AG1257*$G$55),0),0)</f>
        <v/>
      </c>
      <c r="AH1258">
        <f>AG1257*$G$55</f>
        <v/>
      </c>
      <c r="AI1258">
        <f>G1258+K1258+O1258+S1258+W1258</f>
        <v/>
      </c>
      <c r="AJ1258">
        <f>AI1257+AK1258-AI1258</f>
        <v/>
      </c>
      <c r="AK1258">
        <f>H1258+L1258+P1258+T1258+X1258</f>
        <v/>
      </c>
      <c r="AL1258">
        <f>TEXT(EDATE($B$5,D1258-1),"mmm yyyy")</f>
        <v/>
      </c>
      <c r="AM1258">
        <f>AI1258</f>
        <v/>
      </c>
    </row>
    <row r="1259">
      <c r="D1259" t="n">
        <v>1198</v>
      </c>
      <c r="E1259">
        <f>IF(G1258&gt;0,MAX(0,G1258*(1+$G$51)-$H$51),0)</f>
        <v/>
      </c>
      <c r="F1259">
        <f>$B$6+IF($D1259=$B$8,$B$7,0)</f>
        <v/>
      </c>
      <c r="G1259">
        <f>IF(E1259-F1259&gt;1E-9,E1259-F1259,0)</f>
        <v/>
      </c>
      <c r="H1259">
        <f>G1258*$G$51</f>
        <v/>
      </c>
      <c r="I1259">
        <f>IF(K1258&gt;0,MAX(0,K1258*(1+$G$52)-$H$52),0)</f>
        <v/>
      </c>
      <c r="J1259">
        <f>MAX(0,F1259-E1259)</f>
        <v/>
      </c>
      <c r="K1259">
        <f>IF(I1259-J1259&gt;1E-9,I1259-J1259,0)</f>
        <v/>
      </c>
      <c r="L1259">
        <f>K1258*$G$52</f>
        <v/>
      </c>
      <c r="M1259">
        <f>IF(O1258&gt;0,MAX(0,O1258*(1+$G$53)-$H$53),0)</f>
        <v/>
      </c>
      <c r="N1259">
        <f>MAX(0,J1259-I1259)</f>
        <v/>
      </c>
      <c r="O1259">
        <f>IF(M1259-N1259&gt;1E-9,M1259-N1259,0)</f>
        <v/>
      </c>
      <c r="P1259">
        <f>O1258*$G$53</f>
        <v/>
      </c>
      <c r="Q1259">
        <f>IF(S1258&gt;0,MAX(0,S1258*(1+$G$54)-$H$54),0)</f>
        <v/>
      </c>
      <c r="R1259">
        <f>MAX(0,N1259-M1259)</f>
        <v/>
      </c>
      <c r="S1259">
        <f>IF(Q1259-R1259&gt;1E-9,Q1259-R1259,0)</f>
        <v/>
      </c>
      <c r="T1259">
        <f>S1258*$G$54</f>
        <v/>
      </c>
      <c r="U1259">
        <f>IF(W1258&gt;0,MAX(0,W1258*(1+$G$55)-$H$55),0)</f>
        <v/>
      </c>
      <c r="V1259">
        <f>MAX(0,R1259-Q1259)</f>
        <v/>
      </c>
      <c r="W1259">
        <f>IF(U1259-V1259&gt;1E-9,U1259-V1259,0)</f>
        <v/>
      </c>
      <c r="X1259">
        <f>W1258*$G$55</f>
        <v/>
      </c>
      <c r="Y1259">
        <f>IF(Y1258&gt;1E-9,IF(Y1258*(1+$G$51)-MAX($B$9,0.01*Y1258+Y1258*$G$51)&gt;1E-9,Y1258*(1+$G$51)-MAX($B$9,0.01*Y1258+Y1258*$G$51),0),0)</f>
        <v/>
      </c>
      <c r="Z1259">
        <f>Y1258*$G$51</f>
        <v/>
      </c>
      <c r="AA1259">
        <f>IF(AA1258&gt;1E-9,IF(AA1258*(1+$G$52)-MAX($B$9,0.01*AA1258+AA1258*$G$52)&gt;1E-9,AA1258*(1+$G$52)-MAX($B$9,0.01*AA1258+AA1258*$G$52),0),0)</f>
        <v/>
      </c>
      <c r="AB1259">
        <f>AA1258*$G$52</f>
        <v/>
      </c>
      <c r="AC1259">
        <f>IF(AC1258&gt;1E-9,IF(AC1258*(1+$G$53)-MAX($B$9,0.01*AC1258+AC1258*$G$53)&gt;1E-9,AC1258*(1+$G$53)-MAX($B$9,0.01*AC1258+AC1258*$G$53),0),0)</f>
        <v/>
      </c>
      <c r="AD1259">
        <f>AC1258*$G$53</f>
        <v/>
      </c>
      <c r="AE1259">
        <f>IF(AE1258&gt;1E-9,IF(AE1258*(1+$G$54)-MAX($B$9,0.01*AE1258+AE1258*$G$54)&gt;1E-9,AE1258*(1+$G$54)-MAX($B$9,0.01*AE1258+AE1258*$G$54),0),0)</f>
        <v/>
      </c>
      <c r="AF1259">
        <f>AE1258*$G$54</f>
        <v/>
      </c>
      <c r="AG1259">
        <f>IF(AG1258&gt;1E-9,IF(AG1258*(1+$G$55)-MAX($B$9,0.01*AG1258+AG1258*$G$55)&gt;1E-9,AG1258*(1+$G$55)-MAX($B$9,0.01*AG1258+AG1258*$G$55),0),0)</f>
        <v/>
      </c>
      <c r="AH1259">
        <f>AG1258*$G$55</f>
        <v/>
      </c>
      <c r="AI1259">
        <f>G1259+K1259+O1259+S1259+W1259</f>
        <v/>
      </c>
      <c r="AJ1259">
        <f>AI1258+AK1259-AI1259</f>
        <v/>
      </c>
      <c r="AK1259">
        <f>H1259+L1259+P1259+T1259+X1259</f>
        <v/>
      </c>
      <c r="AL1259">
        <f>TEXT(EDATE($B$5,D1259-1),"mmm yyyy")</f>
        <v/>
      </c>
      <c r="AM1259">
        <f>AI1259</f>
        <v/>
      </c>
    </row>
    <row r="1260">
      <c r="D1260" t="n">
        <v>1199</v>
      </c>
      <c r="E1260">
        <f>IF(G1259&gt;0,MAX(0,G1259*(1+$G$51)-$H$51),0)</f>
        <v/>
      </c>
      <c r="F1260">
        <f>$B$6+IF($D1260=$B$8,$B$7,0)</f>
        <v/>
      </c>
      <c r="G1260">
        <f>IF(E1260-F1260&gt;1E-9,E1260-F1260,0)</f>
        <v/>
      </c>
      <c r="H1260">
        <f>G1259*$G$51</f>
        <v/>
      </c>
      <c r="I1260">
        <f>IF(K1259&gt;0,MAX(0,K1259*(1+$G$52)-$H$52),0)</f>
        <v/>
      </c>
      <c r="J1260">
        <f>MAX(0,F1260-E1260)</f>
        <v/>
      </c>
      <c r="K1260">
        <f>IF(I1260-J1260&gt;1E-9,I1260-J1260,0)</f>
        <v/>
      </c>
      <c r="L1260">
        <f>K1259*$G$52</f>
        <v/>
      </c>
      <c r="M1260">
        <f>IF(O1259&gt;0,MAX(0,O1259*(1+$G$53)-$H$53),0)</f>
        <v/>
      </c>
      <c r="N1260">
        <f>MAX(0,J1260-I1260)</f>
        <v/>
      </c>
      <c r="O1260">
        <f>IF(M1260-N1260&gt;1E-9,M1260-N1260,0)</f>
        <v/>
      </c>
      <c r="P1260">
        <f>O1259*$G$53</f>
        <v/>
      </c>
      <c r="Q1260">
        <f>IF(S1259&gt;0,MAX(0,S1259*(1+$G$54)-$H$54),0)</f>
        <v/>
      </c>
      <c r="R1260">
        <f>MAX(0,N1260-M1260)</f>
        <v/>
      </c>
      <c r="S1260">
        <f>IF(Q1260-R1260&gt;1E-9,Q1260-R1260,0)</f>
        <v/>
      </c>
      <c r="T1260">
        <f>S1259*$G$54</f>
        <v/>
      </c>
      <c r="U1260">
        <f>IF(W1259&gt;0,MAX(0,W1259*(1+$G$55)-$H$55),0)</f>
        <v/>
      </c>
      <c r="V1260">
        <f>MAX(0,R1260-Q1260)</f>
        <v/>
      </c>
      <c r="W1260">
        <f>IF(U1260-V1260&gt;1E-9,U1260-V1260,0)</f>
        <v/>
      </c>
      <c r="X1260">
        <f>W1259*$G$55</f>
        <v/>
      </c>
      <c r="Y1260">
        <f>IF(Y1259&gt;1E-9,IF(Y1259*(1+$G$51)-MAX($B$9,0.01*Y1259+Y1259*$G$51)&gt;1E-9,Y1259*(1+$G$51)-MAX($B$9,0.01*Y1259+Y1259*$G$51),0),0)</f>
        <v/>
      </c>
      <c r="Z1260">
        <f>Y1259*$G$51</f>
        <v/>
      </c>
      <c r="AA1260">
        <f>IF(AA1259&gt;1E-9,IF(AA1259*(1+$G$52)-MAX($B$9,0.01*AA1259+AA1259*$G$52)&gt;1E-9,AA1259*(1+$G$52)-MAX($B$9,0.01*AA1259+AA1259*$G$52),0),0)</f>
        <v/>
      </c>
      <c r="AB1260">
        <f>AA1259*$G$52</f>
        <v/>
      </c>
      <c r="AC1260">
        <f>IF(AC1259&gt;1E-9,IF(AC1259*(1+$G$53)-MAX($B$9,0.01*AC1259+AC1259*$G$53)&gt;1E-9,AC1259*(1+$G$53)-MAX($B$9,0.01*AC1259+AC1259*$G$53),0),0)</f>
        <v/>
      </c>
      <c r="AD1260">
        <f>AC1259*$G$53</f>
        <v/>
      </c>
      <c r="AE1260">
        <f>IF(AE1259&gt;1E-9,IF(AE1259*(1+$G$54)-MAX($B$9,0.01*AE1259+AE1259*$G$54)&gt;1E-9,AE1259*(1+$G$54)-MAX($B$9,0.01*AE1259+AE1259*$G$54),0),0)</f>
        <v/>
      </c>
      <c r="AF1260">
        <f>AE1259*$G$54</f>
        <v/>
      </c>
      <c r="AG1260">
        <f>IF(AG1259&gt;1E-9,IF(AG1259*(1+$G$55)-MAX($B$9,0.01*AG1259+AG1259*$G$55)&gt;1E-9,AG1259*(1+$G$55)-MAX($B$9,0.01*AG1259+AG1259*$G$55),0),0)</f>
        <v/>
      </c>
      <c r="AH1260">
        <f>AG1259*$G$55</f>
        <v/>
      </c>
      <c r="AI1260">
        <f>G1260+K1260+O1260+S1260+W1260</f>
        <v/>
      </c>
      <c r="AJ1260">
        <f>AI1259+AK1260-AI1260</f>
        <v/>
      </c>
      <c r="AK1260">
        <f>H1260+L1260+P1260+T1260+X1260</f>
        <v/>
      </c>
      <c r="AL1260">
        <f>TEXT(EDATE($B$5,D1260-1),"mmm yyyy")</f>
        <v/>
      </c>
      <c r="AM1260">
        <f>AI1260</f>
        <v/>
      </c>
    </row>
    <row r="1261">
      <c r="D1261" t="n">
        <v>1200</v>
      </c>
      <c r="E1261">
        <f>IF(G1260&gt;0,MAX(0,G1260*(1+$G$51)-$H$51),0)</f>
        <v/>
      </c>
      <c r="F1261">
        <f>$B$6+IF($D1261=$B$8,$B$7,0)</f>
        <v/>
      </c>
      <c r="G1261">
        <f>IF(E1261-F1261&gt;1E-9,E1261-F1261,0)</f>
        <v/>
      </c>
      <c r="H1261">
        <f>G1260*$G$51</f>
        <v/>
      </c>
      <c r="I1261">
        <f>IF(K1260&gt;0,MAX(0,K1260*(1+$G$52)-$H$52),0)</f>
        <v/>
      </c>
      <c r="J1261">
        <f>MAX(0,F1261-E1261)</f>
        <v/>
      </c>
      <c r="K1261">
        <f>IF(I1261-J1261&gt;1E-9,I1261-J1261,0)</f>
        <v/>
      </c>
      <c r="L1261">
        <f>K1260*$G$52</f>
        <v/>
      </c>
      <c r="M1261">
        <f>IF(O1260&gt;0,MAX(0,O1260*(1+$G$53)-$H$53),0)</f>
        <v/>
      </c>
      <c r="N1261">
        <f>MAX(0,J1261-I1261)</f>
        <v/>
      </c>
      <c r="O1261">
        <f>IF(M1261-N1261&gt;1E-9,M1261-N1261,0)</f>
        <v/>
      </c>
      <c r="P1261">
        <f>O1260*$G$53</f>
        <v/>
      </c>
      <c r="Q1261">
        <f>IF(S1260&gt;0,MAX(0,S1260*(1+$G$54)-$H$54),0)</f>
        <v/>
      </c>
      <c r="R1261">
        <f>MAX(0,N1261-M1261)</f>
        <v/>
      </c>
      <c r="S1261">
        <f>IF(Q1261-R1261&gt;1E-9,Q1261-R1261,0)</f>
        <v/>
      </c>
      <c r="T1261">
        <f>S1260*$G$54</f>
        <v/>
      </c>
      <c r="U1261">
        <f>IF(W1260&gt;0,MAX(0,W1260*(1+$G$55)-$H$55),0)</f>
        <v/>
      </c>
      <c r="V1261">
        <f>MAX(0,R1261-Q1261)</f>
        <v/>
      </c>
      <c r="W1261">
        <f>IF(U1261-V1261&gt;1E-9,U1261-V1261,0)</f>
        <v/>
      </c>
      <c r="X1261">
        <f>W1260*$G$55</f>
        <v/>
      </c>
      <c r="Y1261">
        <f>IF(Y1260&gt;1E-9,IF(Y1260*(1+$G$51)-MAX($B$9,0.01*Y1260+Y1260*$G$51)&gt;1E-9,Y1260*(1+$G$51)-MAX($B$9,0.01*Y1260+Y1260*$G$51),0),0)</f>
        <v/>
      </c>
      <c r="Z1261">
        <f>Y1260*$G$51</f>
        <v/>
      </c>
      <c r="AA1261">
        <f>IF(AA1260&gt;1E-9,IF(AA1260*(1+$G$52)-MAX($B$9,0.01*AA1260+AA1260*$G$52)&gt;1E-9,AA1260*(1+$G$52)-MAX($B$9,0.01*AA1260+AA1260*$G$52),0),0)</f>
        <v/>
      </c>
      <c r="AB1261">
        <f>AA1260*$G$52</f>
        <v/>
      </c>
      <c r="AC1261">
        <f>IF(AC1260&gt;1E-9,IF(AC1260*(1+$G$53)-MAX($B$9,0.01*AC1260+AC1260*$G$53)&gt;1E-9,AC1260*(1+$G$53)-MAX($B$9,0.01*AC1260+AC1260*$G$53),0),0)</f>
        <v/>
      </c>
      <c r="AD1261">
        <f>AC1260*$G$53</f>
        <v/>
      </c>
      <c r="AE1261">
        <f>IF(AE1260&gt;1E-9,IF(AE1260*(1+$G$54)-MAX($B$9,0.01*AE1260+AE1260*$G$54)&gt;1E-9,AE1260*(1+$G$54)-MAX($B$9,0.01*AE1260+AE1260*$G$54),0),0)</f>
        <v/>
      </c>
      <c r="AF1261">
        <f>AE1260*$G$54</f>
        <v/>
      </c>
      <c r="AG1261">
        <f>IF(AG1260&gt;1E-9,IF(AG1260*(1+$G$55)-MAX($B$9,0.01*AG1260+AG1260*$G$55)&gt;1E-9,AG1260*(1+$G$55)-MAX($B$9,0.01*AG1260+AG1260*$G$55),0),0)</f>
        <v/>
      </c>
      <c r="AH1261">
        <f>AG1260*$G$55</f>
        <v/>
      </c>
      <c r="AI1261">
        <f>G1261+K1261+O1261+S1261+W1261</f>
        <v/>
      </c>
      <c r="AJ1261">
        <f>AI1260+AK1261-AI1261</f>
        <v/>
      </c>
      <c r="AK1261">
        <f>H1261+L1261+P1261+T1261+X1261</f>
        <v/>
      </c>
      <c r="AL1261">
        <f>TEXT(EDATE($B$5,D1261-1),"mmm yyyy")</f>
        <v/>
      </c>
      <c r="AM1261">
        <f>AI1261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2026-10-13T16:36:56Z</dcterms:created>
  <dcterms:modified xmlns:dcterms="http://purl.org/dc/terms/" xmlns:xsi="http://www.w3.org/2001/XMLSchema-instance" xsi:type="dcterms:W3CDTF">2026-10-13T16:36:57Z</dcterms:modified>
</cp:coreProperties>
</file>