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Eyal\AppData\Local\Temp\tmps6z2eqba\"/>
    </mc:Choice>
  </mc:AlternateContent>
  <xr:revisionPtr revIDLastSave="0" documentId="13_ncr:1_{C5221608-8729-4524-85B2-208BA3C0DD11}" xr6:coauthVersionLast="47" xr6:coauthVersionMax="47" xr10:uidLastSave="{00000000-0000-0000-0000-000000000000}"/>
  <bookViews>
    <workbookView xWindow="28815" yWindow="-1170" windowWidth="28770" windowHeight="15450" xr2:uid="{00000000-000D-0000-FFFF-FFFF00000000}"/>
  </bookViews>
  <sheets>
    <sheet name="Calculator" sheetId="1" r:id="rId1"/>
    <sheet name="Breakdown" sheetId="2" r:id="rId2"/>
    <sheet name="About &amp; Assumptions" sheetId="3" r:id="rId3"/>
    <sheet name="_Engine" sheetId="4" state="hidden" r:id="rId4"/>
  </sheets>
  <definedNames>
    <definedName name="ch_nominal" localSheetId="3">OFFSET(_Engine!$E$11,0,0,MIN(MAX(Calculator!$C$10,0),200)+1,1)</definedName>
    <definedName name="ch_real" localSheetId="3">OFFSET(_Engine!$F$11,0,0,MIN(MAX(Calculator!$C$10,0),200)+1,1)</definedName>
    <definedName name="ch_years" localSheetId="3">OFFSET(_Engine!$D$11,0,0,MIN(MAX(Calculator!$C$10,0),200)+1,1)</definedName>
    <definedName name="_xlnm.Print_Area" localSheetId="1">OFFSET(Breakdown!$A$1,0,0,MIN(MAX(Calculator!$C$10,0),200)+3,4)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11" i="4" l="1"/>
  <c r="E210" i="4"/>
  <c r="E209" i="4"/>
  <c r="E208" i="4"/>
  <c r="E207" i="4"/>
  <c r="E206" i="4"/>
  <c r="E205" i="4"/>
  <c r="E204" i="4"/>
  <c r="E203" i="4"/>
  <c r="E202" i="4"/>
  <c r="E201" i="4"/>
  <c r="E200" i="4"/>
  <c r="E199" i="4"/>
  <c r="E198" i="4"/>
  <c r="E197" i="4"/>
  <c r="E196" i="4"/>
  <c r="E195" i="4"/>
  <c r="E194" i="4"/>
  <c r="F193" i="4"/>
  <c r="E193" i="4"/>
  <c r="E192" i="4"/>
  <c r="E191" i="4"/>
  <c r="E190" i="4"/>
  <c r="E189" i="4"/>
  <c r="E188" i="4"/>
  <c r="E187" i="4"/>
  <c r="E186" i="4"/>
  <c r="E185" i="4"/>
  <c r="F184" i="4"/>
  <c r="E184" i="4"/>
  <c r="E183" i="4"/>
  <c r="E182" i="4"/>
  <c r="E181" i="4"/>
  <c r="E180" i="4"/>
  <c r="E179" i="4"/>
  <c r="E178" i="4"/>
  <c r="E177" i="4"/>
  <c r="F176" i="4"/>
  <c r="E176" i="4"/>
  <c r="E175" i="4"/>
  <c r="E174" i="4"/>
  <c r="E173" i="4"/>
  <c r="E172" i="4"/>
  <c r="E171" i="4"/>
  <c r="E170" i="4"/>
  <c r="E169" i="4"/>
  <c r="E168" i="4"/>
  <c r="E167" i="4"/>
  <c r="E166" i="4"/>
  <c r="E165" i="4"/>
  <c r="E164" i="4"/>
  <c r="E163" i="4"/>
  <c r="E162" i="4"/>
  <c r="E161" i="4"/>
  <c r="E160" i="4"/>
  <c r="E159" i="4"/>
  <c r="E158" i="4"/>
  <c r="E157" i="4"/>
  <c r="E156" i="4"/>
  <c r="E155" i="4"/>
  <c r="E154" i="4"/>
  <c r="E153" i="4"/>
  <c r="E152" i="4"/>
  <c r="E151" i="4"/>
  <c r="E150" i="4"/>
  <c r="E149" i="4"/>
  <c r="E148" i="4"/>
  <c r="E147" i="4"/>
  <c r="E146" i="4"/>
  <c r="E145" i="4"/>
  <c r="E144" i="4"/>
  <c r="E143" i="4"/>
  <c r="E142" i="4"/>
  <c r="F141" i="4"/>
  <c r="E141" i="4"/>
  <c r="E140" i="4"/>
  <c r="E139" i="4"/>
  <c r="E138" i="4"/>
  <c r="E137" i="4"/>
  <c r="E136" i="4"/>
  <c r="E135" i="4"/>
  <c r="F134" i="4"/>
  <c r="E134" i="4"/>
  <c r="E133" i="4"/>
  <c r="E132" i="4"/>
  <c r="E131" i="4"/>
  <c r="E130" i="4"/>
  <c r="E129" i="4"/>
  <c r="E128" i="4"/>
  <c r="E127" i="4"/>
  <c r="E126" i="4"/>
  <c r="E125" i="4"/>
  <c r="E124" i="4"/>
  <c r="E123" i="4"/>
  <c r="E122" i="4"/>
  <c r="E121" i="4"/>
  <c r="E120" i="4"/>
  <c r="E119" i="4"/>
  <c r="E118" i="4"/>
  <c r="F117" i="4"/>
  <c r="E117" i="4"/>
  <c r="E116" i="4"/>
  <c r="E115" i="4"/>
  <c r="E114" i="4"/>
  <c r="E113" i="4"/>
  <c r="E112" i="4"/>
  <c r="E111" i="4"/>
  <c r="E110" i="4"/>
  <c r="E109" i="4"/>
  <c r="E108" i="4"/>
  <c r="E107" i="4"/>
  <c r="E106" i="4"/>
  <c r="E105" i="4"/>
  <c r="E104" i="4"/>
  <c r="E103" i="4"/>
  <c r="E102" i="4"/>
  <c r="E101" i="4"/>
  <c r="E100" i="4"/>
  <c r="E99" i="4"/>
  <c r="E98" i="4"/>
  <c r="E97" i="4"/>
  <c r="E96" i="4"/>
  <c r="E95" i="4"/>
  <c r="E94" i="4"/>
  <c r="E93" i="4"/>
  <c r="F92" i="4"/>
  <c r="E92" i="4"/>
  <c r="E91" i="4"/>
  <c r="E90" i="4"/>
  <c r="E89" i="4"/>
  <c r="E88" i="4"/>
  <c r="E87" i="4"/>
  <c r="E86" i="4"/>
  <c r="E85" i="4"/>
  <c r="E84" i="4"/>
  <c r="E83" i="4"/>
  <c r="E82" i="4"/>
  <c r="E81" i="4"/>
  <c r="E80" i="4"/>
  <c r="E79" i="4"/>
  <c r="E78" i="4"/>
  <c r="E77" i="4"/>
  <c r="E76" i="4"/>
  <c r="F75" i="4"/>
  <c r="E75" i="4"/>
  <c r="E74" i="4"/>
  <c r="E73" i="4"/>
  <c r="E72" i="4"/>
  <c r="E71" i="4"/>
  <c r="E70" i="4"/>
  <c r="E69" i="4"/>
  <c r="E68" i="4"/>
  <c r="F67" i="4"/>
  <c r="E67" i="4"/>
  <c r="E66" i="4"/>
  <c r="E65" i="4"/>
  <c r="E64" i="4"/>
  <c r="E63" i="4"/>
  <c r="E62" i="4"/>
  <c r="E61" i="4"/>
  <c r="E60" i="4"/>
  <c r="E59" i="4"/>
  <c r="E58" i="4"/>
  <c r="E57" i="4"/>
  <c r="E56" i="4"/>
  <c r="E55" i="4"/>
  <c r="E54" i="4"/>
  <c r="E53" i="4"/>
  <c r="E52" i="4"/>
  <c r="E51" i="4"/>
  <c r="E50" i="4"/>
  <c r="E49" i="4"/>
  <c r="E48" i="4"/>
  <c r="E47" i="4"/>
  <c r="E46" i="4"/>
  <c r="E45" i="4"/>
  <c r="E44" i="4"/>
  <c r="E43" i="4"/>
  <c r="E42" i="4"/>
  <c r="E41" i="4"/>
  <c r="E40" i="4"/>
  <c r="E39" i="4"/>
  <c r="E38" i="4"/>
  <c r="E37" i="4"/>
  <c r="E36" i="4"/>
  <c r="E35" i="4"/>
  <c r="E34" i="4"/>
  <c r="F33" i="4"/>
  <c r="E33" i="4"/>
  <c r="E32" i="4"/>
  <c r="E31" i="4"/>
  <c r="E30" i="4"/>
  <c r="E29" i="4"/>
  <c r="E28" i="4"/>
  <c r="E27" i="4"/>
  <c r="F26" i="4"/>
  <c r="E26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E11" i="4"/>
  <c r="B8" i="4"/>
  <c r="B2" i="4"/>
  <c r="F183" i="4" s="1"/>
  <c r="C37" i="3"/>
  <c r="A203" i="2"/>
  <c r="D202" i="2"/>
  <c r="A202" i="2"/>
  <c r="C202" i="2" s="1"/>
  <c r="A201" i="2"/>
  <c r="D201" i="2" s="1"/>
  <c r="A200" i="2"/>
  <c r="A199" i="2"/>
  <c r="B199" i="2" s="1"/>
  <c r="D198" i="2"/>
  <c r="C198" i="2"/>
  <c r="B198" i="2"/>
  <c r="A198" i="2"/>
  <c r="A197" i="2"/>
  <c r="B197" i="2" s="1"/>
  <c r="A196" i="2"/>
  <c r="C196" i="2" s="1"/>
  <c r="B195" i="2"/>
  <c r="A195" i="2"/>
  <c r="D195" i="2" s="1"/>
  <c r="A194" i="2"/>
  <c r="B194" i="2" s="1"/>
  <c r="A193" i="2"/>
  <c r="D193" i="2" s="1"/>
  <c r="D192" i="2"/>
  <c r="A192" i="2"/>
  <c r="C192" i="2" s="1"/>
  <c r="B191" i="2"/>
  <c r="A191" i="2"/>
  <c r="B190" i="2"/>
  <c r="A190" i="2"/>
  <c r="C190" i="2" s="1"/>
  <c r="D189" i="2"/>
  <c r="C189" i="2"/>
  <c r="B189" i="2"/>
  <c r="A189" i="2"/>
  <c r="A188" i="2"/>
  <c r="B187" i="2"/>
  <c r="A187" i="2"/>
  <c r="D187" i="2" s="1"/>
  <c r="C186" i="2"/>
  <c r="A186" i="2"/>
  <c r="D186" i="2" s="1"/>
  <c r="A185" i="2"/>
  <c r="B185" i="2" s="1"/>
  <c r="C184" i="2"/>
  <c r="B184" i="2"/>
  <c r="A184" i="2"/>
  <c r="D184" i="2" s="1"/>
  <c r="B183" i="2"/>
  <c r="A183" i="2"/>
  <c r="D183" i="2" s="1"/>
  <c r="A182" i="2"/>
  <c r="A181" i="2"/>
  <c r="D181" i="2" s="1"/>
  <c r="A180" i="2"/>
  <c r="B180" i="2" s="1"/>
  <c r="B179" i="2"/>
  <c r="A179" i="2"/>
  <c r="A178" i="2"/>
  <c r="C178" i="2" s="1"/>
  <c r="C177" i="2"/>
  <c r="A177" i="2"/>
  <c r="D177" i="2" s="1"/>
  <c r="B176" i="2"/>
  <c r="A176" i="2"/>
  <c r="A175" i="2"/>
  <c r="D175" i="2" s="1"/>
  <c r="D174" i="2"/>
  <c r="C174" i="2"/>
  <c r="B174" i="2"/>
  <c r="A174" i="2"/>
  <c r="A173" i="2"/>
  <c r="B173" i="2" s="1"/>
  <c r="D172" i="2"/>
  <c r="A172" i="2"/>
  <c r="C172" i="2" s="1"/>
  <c r="A171" i="2"/>
  <c r="D171" i="2" s="1"/>
  <c r="A170" i="2"/>
  <c r="D169" i="2"/>
  <c r="A169" i="2"/>
  <c r="C169" i="2" s="1"/>
  <c r="A168" i="2"/>
  <c r="D168" i="2" s="1"/>
  <c r="A167" i="2"/>
  <c r="B167" i="2" s="1"/>
  <c r="A166" i="2"/>
  <c r="B166" i="2" s="1"/>
  <c r="D165" i="2"/>
  <c r="C165" i="2"/>
  <c r="B165" i="2"/>
  <c r="A165" i="2"/>
  <c r="A164" i="2"/>
  <c r="B164" i="2" s="1"/>
  <c r="A163" i="2"/>
  <c r="C163" i="2" s="1"/>
  <c r="A162" i="2"/>
  <c r="D162" i="2" s="1"/>
  <c r="A161" i="2"/>
  <c r="B161" i="2" s="1"/>
  <c r="A160" i="2"/>
  <c r="D160" i="2" s="1"/>
  <c r="D159" i="2"/>
  <c r="C159" i="2"/>
  <c r="A159" i="2"/>
  <c r="B159" i="2" s="1"/>
  <c r="A158" i="2"/>
  <c r="B158" i="2" s="1"/>
  <c r="A157" i="2"/>
  <c r="D157" i="2" s="1"/>
  <c r="C156" i="2"/>
  <c r="A156" i="2"/>
  <c r="D156" i="2" s="1"/>
  <c r="A155" i="2"/>
  <c r="B155" i="2" s="1"/>
  <c r="D154" i="2"/>
  <c r="A154" i="2"/>
  <c r="C154" i="2" s="1"/>
  <c r="C153" i="2"/>
  <c r="A153" i="2"/>
  <c r="D153" i="2" s="1"/>
  <c r="A152" i="2"/>
  <c r="A151" i="2"/>
  <c r="D151" i="2" s="1"/>
  <c r="D150" i="2"/>
  <c r="A150" i="2"/>
  <c r="C150" i="2" s="1"/>
  <c r="A149" i="2"/>
  <c r="A148" i="2"/>
  <c r="C147" i="2"/>
  <c r="A147" i="2"/>
  <c r="D147" i="2" s="1"/>
  <c r="A146" i="2"/>
  <c r="A145" i="2"/>
  <c r="B145" i="2" s="1"/>
  <c r="D144" i="2"/>
  <c r="A144" i="2"/>
  <c r="C144" i="2" s="1"/>
  <c r="B143" i="2"/>
  <c r="A143" i="2"/>
  <c r="A142" i="2"/>
  <c r="C142" i="2" s="1"/>
  <c r="A141" i="2"/>
  <c r="D141" i="2" s="1"/>
  <c r="B140" i="2"/>
  <c r="A140" i="2"/>
  <c r="A139" i="2"/>
  <c r="D139" i="2" s="1"/>
  <c r="C138" i="2"/>
  <c r="B138" i="2"/>
  <c r="A138" i="2"/>
  <c r="D138" i="2" s="1"/>
  <c r="A137" i="2"/>
  <c r="A136" i="2"/>
  <c r="D136" i="2" s="1"/>
  <c r="D135" i="2"/>
  <c r="C135" i="2"/>
  <c r="A135" i="2"/>
  <c r="B135" i="2" s="1"/>
  <c r="A134" i="2"/>
  <c r="A133" i="2"/>
  <c r="D133" i="2" s="1"/>
  <c r="A132" i="2"/>
  <c r="B132" i="2" s="1"/>
  <c r="A131" i="2"/>
  <c r="A130" i="2"/>
  <c r="C129" i="2"/>
  <c r="B129" i="2"/>
  <c r="A129" i="2"/>
  <c r="D129" i="2" s="1"/>
  <c r="A128" i="2"/>
  <c r="B128" i="2" s="1"/>
  <c r="A127" i="2"/>
  <c r="D127" i="2" s="1"/>
  <c r="A126" i="2"/>
  <c r="B126" i="2" s="1"/>
  <c r="B125" i="2"/>
  <c r="A125" i="2"/>
  <c r="A124" i="2"/>
  <c r="B124" i="2" s="1"/>
  <c r="C123" i="2"/>
  <c r="A123" i="2"/>
  <c r="D123" i="2" s="1"/>
  <c r="B122" i="2"/>
  <c r="A122" i="2"/>
  <c r="A121" i="2"/>
  <c r="D121" i="2" s="1"/>
  <c r="D120" i="2"/>
  <c r="C120" i="2"/>
  <c r="B120" i="2"/>
  <c r="A120" i="2"/>
  <c r="A119" i="2"/>
  <c r="C118" i="2"/>
  <c r="A118" i="2"/>
  <c r="D118" i="2" s="1"/>
  <c r="A117" i="2"/>
  <c r="D117" i="2" s="1"/>
  <c r="A116" i="2"/>
  <c r="D115" i="2"/>
  <c r="A115" i="2"/>
  <c r="C115" i="2" s="1"/>
  <c r="A114" i="2"/>
  <c r="D114" i="2" s="1"/>
  <c r="A113" i="2"/>
  <c r="B113" i="2" s="1"/>
  <c r="A112" i="2"/>
  <c r="B112" i="2" s="1"/>
  <c r="D111" i="2"/>
  <c r="C111" i="2"/>
  <c r="A111" i="2"/>
  <c r="B111" i="2" s="1"/>
  <c r="A110" i="2"/>
  <c r="A109" i="2"/>
  <c r="C109" i="2" s="1"/>
  <c r="B108" i="2"/>
  <c r="A108" i="2"/>
  <c r="D108" i="2" s="1"/>
  <c r="A107" i="2"/>
  <c r="B107" i="2" s="1"/>
  <c r="A106" i="2"/>
  <c r="C106" i="2" s="1"/>
  <c r="D105" i="2"/>
  <c r="A105" i="2"/>
  <c r="C105" i="2" s="1"/>
  <c r="B104" i="2"/>
  <c r="A104" i="2"/>
  <c r="A103" i="2"/>
  <c r="D103" i="2" s="1"/>
  <c r="A102" i="2"/>
  <c r="D102" i="2" s="1"/>
  <c r="A101" i="2"/>
  <c r="B101" i="2" s="1"/>
  <c r="D100" i="2"/>
  <c r="A100" i="2"/>
  <c r="C100" i="2" s="1"/>
  <c r="A99" i="2"/>
  <c r="D99" i="2" s="1"/>
  <c r="A98" i="2"/>
  <c r="B98" i="2" s="1"/>
  <c r="D97" i="2"/>
  <c r="C97" i="2"/>
  <c r="B97" i="2"/>
  <c r="A97" i="2"/>
  <c r="A96" i="2"/>
  <c r="D96" i="2" s="1"/>
  <c r="A95" i="2"/>
  <c r="A94" i="2"/>
  <c r="B94" i="2" s="1"/>
  <c r="A93" i="2"/>
  <c r="B93" i="2" s="1"/>
  <c r="A92" i="2"/>
  <c r="B92" i="2" s="1"/>
  <c r="A91" i="2"/>
  <c r="C91" i="2" s="1"/>
  <c r="C90" i="2"/>
  <c r="B90" i="2"/>
  <c r="A90" i="2"/>
  <c r="D90" i="2" s="1"/>
  <c r="A89" i="2"/>
  <c r="B89" i="2" s="1"/>
  <c r="A88" i="2"/>
  <c r="D88" i="2" s="1"/>
  <c r="D87" i="2"/>
  <c r="C87" i="2"/>
  <c r="B87" i="2"/>
  <c r="A87" i="2"/>
  <c r="A86" i="2"/>
  <c r="B86" i="2" s="1"/>
  <c r="A85" i="2"/>
  <c r="D85" i="2" s="1"/>
  <c r="A84" i="2"/>
  <c r="C84" i="2" s="1"/>
  <c r="A83" i="2"/>
  <c r="B83" i="2" s="1"/>
  <c r="A82" i="2"/>
  <c r="D82" i="2" s="1"/>
  <c r="A81" i="2"/>
  <c r="D81" i="2" s="1"/>
  <c r="A80" i="2"/>
  <c r="A79" i="2"/>
  <c r="D79" i="2" s="1"/>
  <c r="A78" i="2"/>
  <c r="D78" i="2" s="1"/>
  <c r="A77" i="2"/>
  <c r="A76" i="2"/>
  <c r="A75" i="2"/>
  <c r="D75" i="2" s="1"/>
  <c r="A74" i="2"/>
  <c r="B74" i="2" s="1"/>
  <c r="A73" i="2"/>
  <c r="D73" i="2" s="1"/>
  <c r="C72" i="2"/>
  <c r="B72" i="2"/>
  <c r="A72" i="2"/>
  <c r="D72" i="2" s="1"/>
  <c r="A71" i="2"/>
  <c r="B71" i="2" s="1"/>
  <c r="A70" i="2"/>
  <c r="D70" i="2" s="1"/>
  <c r="A69" i="2"/>
  <c r="B69" i="2" s="1"/>
  <c r="A68" i="2"/>
  <c r="B68" i="2" s="1"/>
  <c r="A67" i="2"/>
  <c r="D67" i="2" s="1"/>
  <c r="A66" i="2"/>
  <c r="B66" i="2" s="1"/>
  <c r="A65" i="2"/>
  <c r="D64" i="2"/>
  <c r="C64" i="2"/>
  <c r="A64" i="2"/>
  <c r="B64" i="2" s="1"/>
  <c r="A63" i="2"/>
  <c r="D63" i="2" s="1"/>
  <c r="A62" i="2"/>
  <c r="D61" i="2"/>
  <c r="C61" i="2"/>
  <c r="B61" i="2"/>
  <c r="A61" i="2"/>
  <c r="A60" i="2"/>
  <c r="D60" i="2" s="1"/>
  <c r="A59" i="2"/>
  <c r="A58" i="2"/>
  <c r="B58" i="2" s="1"/>
  <c r="B57" i="2"/>
  <c r="A57" i="2"/>
  <c r="D57" i="2" s="1"/>
  <c r="A56" i="2"/>
  <c r="B56" i="2" s="1"/>
  <c r="A55" i="2"/>
  <c r="C55" i="2" s="1"/>
  <c r="D54" i="2"/>
  <c r="C54" i="2"/>
  <c r="B54" i="2"/>
  <c r="A54" i="2"/>
  <c r="A53" i="2"/>
  <c r="B53" i="2" s="1"/>
  <c r="A52" i="2"/>
  <c r="B52" i="2" s="1"/>
  <c r="A51" i="2"/>
  <c r="B51" i="2" s="1"/>
  <c r="A50" i="2"/>
  <c r="D50" i="2" s="1"/>
  <c r="A49" i="2"/>
  <c r="D49" i="2" s="1"/>
  <c r="A48" i="2"/>
  <c r="C47" i="2"/>
  <c r="B47" i="2"/>
  <c r="A47" i="2"/>
  <c r="D47" i="2" s="1"/>
  <c r="D46" i="2"/>
  <c r="A46" i="2"/>
  <c r="C46" i="2" s="1"/>
  <c r="A45" i="2"/>
  <c r="C45" i="2" s="1"/>
  <c r="C44" i="2"/>
  <c r="A44" i="2"/>
  <c r="D44" i="2" s="1"/>
  <c r="A43" i="2"/>
  <c r="D43" i="2" s="1"/>
  <c r="A42" i="2"/>
  <c r="C42" i="2" s="1"/>
  <c r="A41" i="2"/>
  <c r="A40" i="2"/>
  <c r="D40" i="2" s="1"/>
  <c r="A39" i="2"/>
  <c r="B39" i="2" s="1"/>
  <c r="A38" i="2"/>
  <c r="D37" i="2"/>
  <c r="A37" i="2"/>
  <c r="C37" i="2" s="1"/>
  <c r="A36" i="2"/>
  <c r="D36" i="2" s="1"/>
  <c r="A35" i="2"/>
  <c r="D35" i="2" s="1"/>
  <c r="D34" i="2"/>
  <c r="C34" i="2"/>
  <c r="B34" i="2"/>
  <c r="A34" i="2"/>
  <c r="A33" i="2"/>
  <c r="C33" i="2" s="1"/>
  <c r="A32" i="2"/>
  <c r="D32" i="2" s="1"/>
  <c r="A31" i="2"/>
  <c r="D31" i="2" s="1"/>
  <c r="D30" i="2"/>
  <c r="C30" i="2"/>
  <c r="B30" i="2"/>
  <c r="A30" i="2"/>
  <c r="A29" i="2"/>
  <c r="D29" i="2" s="1"/>
  <c r="A28" i="2"/>
  <c r="B28" i="2" s="1"/>
  <c r="A27" i="2"/>
  <c r="D27" i="2" s="1"/>
  <c r="A26" i="2"/>
  <c r="D26" i="2" s="1"/>
  <c r="A25" i="2"/>
  <c r="D24" i="2"/>
  <c r="A24" i="2"/>
  <c r="C24" i="2" s="1"/>
  <c r="A23" i="2"/>
  <c r="D23" i="2" s="1"/>
  <c r="A22" i="2"/>
  <c r="C22" i="2" s="1"/>
  <c r="C21" i="2"/>
  <c r="A21" i="2"/>
  <c r="D21" i="2" s="1"/>
  <c r="A20" i="2"/>
  <c r="D20" i="2" s="1"/>
  <c r="A19" i="2"/>
  <c r="B19" i="2" s="1"/>
  <c r="D18" i="2"/>
  <c r="C18" i="2"/>
  <c r="A18" i="2"/>
  <c r="B18" i="2" s="1"/>
  <c r="C17" i="2"/>
  <c r="B17" i="2"/>
  <c r="A17" i="2"/>
  <c r="D17" i="2" s="1"/>
  <c r="A16" i="2"/>
  <c r="B16" i="2" s="1"/>
  <c r="A15" i="2"/>
  <c r="A14" i="2"/>
  <c r="D14" i="2" s="1"/>
  <c r="A13" i="2"/>
  <c r="D13" i="2" s="1"/>
  <c r="A12" i="2"/>
  <c r="C11" i="2"/>
  <c r="B11" i="2"/>
  <c r="A11" i="2"/>
  <c r="D11" i="2" s="1"/>
  <c r="A10" i="2"/>
  <c r="C10" i="2" s="1"/>
  <c r="A9" i="2"/>
  <c r="C9" i="2" s="1"/>
  <c r="A8" i="2"/>
  <c r="D8" i="2" s="1"/>
  <c r="A7" i="2"/>
  <c r="C7" i="2" s="1"/>
  <c r="A6" i="2"/>
  <c r="B6" i="2" s="1"/>
  <c r="A5" i="2"/>
  <c r="C4" i="2"/>
  <c r="B4" i="2"/>
  <c r="A4" i="2"/>
  <c r="D4" i="2" s="1"/>
  <c r="A2" i="2"/>
  <c r="C43" i="1"/>
  <c r="B43" i="1"/>
  <c r="C42" i="1"/>
  <c r="C41" i="1"/>
  <c r="B37" i="1"/>
  <c r="B36" i="1"/>
  <c r="B33" i="1"/>
  <c r="B32" i="1"/>
  <c r="B29" i="1"/>
  <c r="B28" i="1"/>
  <c r="G22" i="1"/>
  <c r="E22" i="1"/>
  <c r="C22" i="1"/>
  <c r="C20" i="1"/>
  <c r="B18" i="1"/>
  <c r="B14" i="1"/>
  <c r="B13" i="1"/>
  <c r="B75" i="2" l="1"/>
  <c r="B43" i="2"/>
  <c r="C75" i="2"/>
  <c r="B82" i="2"/>
  <c r="C93" i="2"/>
  <c r="B102" i="2"/>
  <c r="B117" i="2"/>
  <c r="C126" i="2"/>
  <c r="C132" i="2"/>
  <c r="B136" i="2"/>
  <c r="B141" i="2"/>
  <c r="C151" i="2"/>
  <c r="B171" i="2"/>
  <c r="C180" i="2"/>
  <c r="F34" i="4"/>
  <c r="F68" i="4"/>
  <c r="F142" i="4"/>
  <c r="B151" i="2"/>
  <c r="B20" i="2"/>
  <c r="B31" i="2"/>
  <c r="C43" i="2"/>
  <c r="C82" i="2"/>
  <c r="D93" i="2"/>
  <c r="C102" i="2"/>
  <c r="C117" i="2"/>
  <c r="D126" i="2"/>
  <c r="D132" i="2"/>
  <c r="C136" i="2"/>
  <c r="C141" i="2"/>
  <c r="B147" i="2"/>
  <c r="B156" i="2"/>
  <c r="C171" i="2"/>
  <c r="D180" i="2"/>
  <c r="B186" i="2"/>
  <c r="F19" i="4"/>
  <c r="F27" i="4"/>
  <c r="F52" i="4"/>
  <c r="F61" i="4"/>
  <c r="F76" i="4"/>
  <c r="F85" i="4"/>
  <c r="F110" i="4"/>
  <c r="F118" i="4"/>
  <c r="F127" i="4"/>
  <c r="F135" i="4"/>
  <c r="F160" i="4"/>
  <c r="F169" i="4"/>
  <c r="F177" i="4"/>
  <c r="F205" i="4"/>
  <c r="C31" i="2"/>
  <c r="F69" i="4"/>
  <c r="F103" i="4"/>
  <c r="B7" i="2"/>
  <c r="B8" i="2"/>
  <c r="C27" i="2"/>
  <c r="C57" i="2"/>
  <c r="B99" i="2"/>
  <c r="C108" i="2"/>
  <c r="B114" i="2"/>
  <c r="B133" i="2"/>
  <c r="B162" i="2"/>
  <c r="B168" i="2"/>
  <c r="D190" i="2"/>
  <c r="C195" i="2"/>
  <c r="B201" i="2"/>
  <c r="F20" i="4"/>
  <c r="F45" i="4"/>
  <c r="F62" i="4"/>
  <c r="F111" i="4"/>
  <c r="F128" i="4"/>
  <c r="F153" i="4"/>
  <c r="F170" i="4"/>
  <c r="F178" i="4"/>
  <c r="F206" i="4"/>
  <c r="D7" i="2"/>
  <c r="B27" i="2"/>
  <c r="C8" i="2"/>
  <c r="B21" i="2"/>
  <c r="B44" i="2"/>
  <c r="C99" i="2"/>
  <c r="C114" i="2"/>
  <c r="B118" i="2"/>
  <c r="B123" i="2"/>
  <c r="C133" i="2"/>
  <c r="B153" i="2"/>
  <c r="C162" i="2"/>
  <c r="C168" i="2"/>
  <c r="B172" i="2"/>
  <c r="B177" i="2"/>
  <c r="C201" i="2"/>
  <c r="F70" i="4"/>
  <c r="F104" i="4"/>
  <c r="F13" i="4"/>
  <c r="F38" i="4"/>
  <c r="F46" i="4"/>
  <c r="F55" i="4"/>
  <c r="F63" i="4"/>
  <c r="F88" i="4"/>
  <c r="F97" i="4"/>
  <c r="F112" i="4"/>
  <c r="F121" i="4"/>
  <c r="F146" i="4"/>
  <c r="F154" i="4"/>
  <c r="F163" i="4"/>
  <c r="F171" i="4"/>
  <c r="F199" i="4"/>
  <c r="F207" i="4"/>
  <c r="B79" i="2"/>
  <c r="B96" i="2"/>
  <c r="C183" i="2"/>
  <c r="C187" i="2"/>
  <c r="F31" i="4"/>
  <c r="F105" i="4"/>
  <c r="F139" i="4"/>
  <c r="F190" i="4"/>
  <c r="D33" i="2"/>
  <c r="B40" i="2"/>
  <c r="D10" i="2"/>
  <c r="C40" i="2"/>
  <c r="C79" i="2"/>
  <c r="C96" i="2"/>
  <c r="B100" i="2"/>
  <c r="B105" i="2"/>
  <c r="B115" i="2"/>
  <c r="B144" i="2"/>
  <c r="B150" i="2"/>
  <c r="B169" i="2"/>
  <c r="B192" i="2"/>
  <c r="B202" i="2"/>
  <c r="F39" i="4"/>
  <c r="F56" i="4"/>
  <c r="F81" i="4"/>
  <c r="F98" i="4"/>
  <c r="F147" i="4"/>
  <c r="F164" i="4"/>
  <c r="F200" i="4"/>
  <c r="C20" i="2"/>
  <c r="B154" i="2"/>
  <c r="F32" i="4"/>
  <c r="F106" i="4"/>
  <c r="F140" i="4"/>
  <c r="F16" i="4"/>
  <c r="F25" i="4"/>
  <c r="F40" i="4"/>
  <c r="F49" i="4"/>
  <c r="F74" i="4"/>
  <c r="F82" i="4"/>
  <c r="F91" i="4"/>
  <c r="F99" i="4"/>
  <c r="F124" i="4"/>
  <c r="F133" i="4"/>
  <c r="F148" i="4"/>
  <c r="F157" i="4"/>
  <c r="D65" i="2"/>
  <c r="C65" i="2"/>
  <c r="D25" i="2"/>
  <c r="C25" i="2"/>
  <c r="B25" i="2"/>
  <c r="D137" i="2"/>
  <c r="C137" i="2"/>
  <c r="B137" i="2"/>
  <c r="D41" i="2"/>
  <c r="C41" i="2"/>
  <c r="D119" i="2"/>
  <c r="C119" i="2"/>
  <c r="D130" i="2"/>
  <c r="C130" i="2"/>
  <c r="D28" i="2"/>
  <c r="C28" i="2"/>
  <c r="D112" i="2"/>
  <c r="C112" i="2"/>
  <c r="D12" i="2"/>
  <c r="C12" i="2"/>
  <c r="B12" i="2"/>
  <c r="D38" i="2"/>
  <c r="C38" i="2"/>
  <c r="B38" i="2"/>
  <c r="D76" i="2"/>
  <c r="C76" i="2"/>
  <c r="C15" i="2"/>
  <c r="D15" i="2"/>
  <c r="D48" i="2"/>
  <c r="C48" i="2"/>
  <c r="B48" i="2"/>
  <c r="D148" i="2"/>
  <c r="C148" i="2"/>
  <c r="B15" i="2"/>
  <c r="B119" i="2"/>
  <c r="B148" i="2"/>
  <c r="D5" i="2"/>
  <c r="C5" i="2"/>
  <c r="B5" i="2"/>
  <c r="D58" i="2"/>
  <c r="C58" i="2"/>
  <c r="B76" i="2"/>
  <c r="D94" i="2"/>
  <c r="C94" i="2"/>
  <c r="B41" i="2"/>
  <c r="B65" i="2"/>
  <c r="C166" i="2"/>
  <c r="D166" i="2"/>
  <c r="C69" i="2"/>
  <c r="D69" i="2"/>
  <c r="D101" i="2"/>
  <c r="C101" i="2"/>
  <c r="D51" i="2"/>
  <c r="C51" i="2"/>
  <c r="B130" i="2"/>
  <c r="D83" i="2"/>
  <c r="C83" i="2"/>
  <c r="D155" i="2"/>
  <c r="C155" i="2"/>
  <c r="D80" i="2"/>
  <c r="C80" i="2"/>
  <c r="D134" i="2"/>
  <c r="C134" i="2"/>
  <c r="D170" i="2"/>
  <c r="C170" i="2"/>
  <c r="D188" i="2"/>
  <c r="C188" i="2"/>
  <c r="B45" i="2"/>
  <c r="B55" i="2"/>
  <c r="B84" i="2"/>
  <c r="B181" i="2"/>
  <c r="D98" i="2"/>
  <c r="C98" i="2"/>
  <c r="D116" i="2"/>
  <c r="C116" i="2"/>
  <c r="D152" i="2"/>
  <c r="C152" i="2"/>
  <c r="D6" i="2"/>
  <c r="D62" i="2"/>
  <c r="C62" i="2"/>
  <c r="B9" i="2"/>
  <c r="B62" i="2"/>
  <c r="B73" i="2"/>
  <c r="B80" i="2"/>
  <c r="B91" i="2"/>
  <c r="B134" i="2"/>
  <c r="B170" i="2"/>
  <c r="C66" i="2"/>
  <c r="C73" i="2"/>
  <c r="D203" i="2"/>
  <c r="C203" i="2"/>
  <c r="D45" i="2"/>
  <c r="D55" i="2"/>
  <c r="B63" i="2"/>
  <c r="B70" i="2"/>
  <c r="B81" i="2"/>
  <c r="B88" i="2"/>
  <c r="D91" i="2"/>
  <c r="B106" i="2"/>
  <c r="B142" i="2"/>
  <c r="B160" i="2"/>
  <c r="B196" i="2"/>
  <c r="D199" i="2"/>
  <c r="B13" i="2"/>
  <c r="C16" i="2"/>
  <c r="D19" i="2"/>
  <c r="B36" i="2"/>
  <c r="C39" i="2"/>
  <c r="D42" i="2"/>
  <c r="B49" i="2"/>
  <c r="C52" i="2"/>
  <c r="C63" i="2"/>
  <c r="C70" i="2"/>
  <c r="C81" i="2"/>
  <c r="C88" i="2"/>
  <c r="D110" i="2"/>
  <c r="C110" i="2"/>
  <c r="C124" i="2"/>
  <c r="D146" i="2"/>
  <c r="C146" i="2"/>
  <c r="C160" i="2"/>
  <c r="D182" i="2"/>
  <c r="C182" i="2"/>
  <c r="D200" i="2"/>
  <c r="C200" i="2"/>
  <c r="B10" i="2"/>
  <c r="C13" i="2"/>
  <c r="D16" i="2"/>
  <c r="B23" i="2"/>
  <c r="C26" i="2"/>
  <c r="B33" i="2"/>
  <c r="C36" i="2"/>
  <c r="D39" i="2"/>
  <c r="B46" i="2"/>
  <c r="C49" i="2"/>
  <c r="D52" i="2"/>
  <c r="B60" i="2"/>
  <c r="B67" i="2"/>
  <c r="B78" i="2"/>
  <c r="B85" i="2"/>
  <c r="B103" i="2"/>
  <c r="D106" i="2"/>
  <c r="B110" i="2"/>
  <c r="B121" i="2"/>
  <c r="D124" i="2"/>
  <c r="B139" i="2"/>
  <c r="D142" i="2"/>
  <c r="B146" i="2"/>
  <c r="B157" i="2"/>
  <c r="B175" i="2"/>
  <c r="D178" i="2"/>
  <c r="B182" i="2"/>
  <c r="B193" i="2"/>
  <c r="D196" i="2"/>
  <c r="B200" i="2"/>
  <c r="F210" i="4"/>
  <c r="F204" i="4"/>
  <c r="F198" i="4"/>
  <c r="F192" i="4"/>
  <c r="F186" i="4"/>
  <c r="F180" i="4"/>
  <c r="F174" i="4"/>
  <c r="F168" i="4"/>
  <c r="F162" i="4"/>
  <c r="F156" i="4"/>
  <c r="F150" i="4"/>
  <c r="F144" i="4"/>
  <c r="F138" i="4"/>
  <c r="F132" i="4"/>
  <c r="F126" i="4"/>
  <c r="F120" i="4"/>
  <c r="F114" i="4"/>
  <c r="F108" i="4"/>
  <c r="F102" i="4"/>
  <c r="F96" i="4"/>
  <c r="F90" i="4"/>
  <c r="F84" i="4"/>
  <c r="F78" i="4"/>
  <c r="F72" i="4"/>
  <c r="F66" i="4"/>
  <c r="F60" i="4"/>
  <c r="F54" i="4"/>
  <c r="F48" i="4"/>
  <c r="F42" i="4"/>
  <c r="F36" i="4"/>
  <c r="F30" i="4"/>
  <c r="F24" i="4"/>
  <c r="F18" i="4"/>
  <c r="F12" i="4"/>
  <c r="F209" i="4"/>
  <c r="F203" i="4"/>
  <c r="F197" i="4"/>
  <c r="F191" i="4"/>
  <c r="F185" i="4"/>
  <c r="F179" i="4"/>
  <c r="F173" i="4"/>
  <c r="F167" i="4"/>
  <c r="F161" i="4"/>
  <c r="F155" i="4"/>
  <c r="F149" i="4"/>
  <c r="F143" i="4"/>
  <c r="F137" i="4"/>
  <c r="F131" i="4"/>
  <c r="F125" i="4"/>
  <c r="F119" i="4"/>
  <c r="F113" i="4"/>
  <c r="F107" i="4"/>
  <c r="F101" i="4"/>
  <c r="F95" i="4"/>
  <c r="F89" i="4"/>
  <c r="F83" i="4"/>
  <c r="F77" i="4"/>
  <c r="F71" i="4"/>
  <c r="F65" i="4"/>
  <c r="F59" i="4"/>
  <c r="F53" i="4"/>
  <c r="F47" i="4"/>
  <c r="F41" i="4"/>
  <c r="F35" i="4"/>
  <c r="F29" i="4"/>
  <c r="F23" i="4"/>
  <c r="F17" i="4"/>
  <c r="F11" i="4"/>
  <c r="C35" i="2"/>
  <c r="B42" i="2"/>
  <c r="D77" i="2"/>
  <c r="C77" i="2"/>
  <c r="C145" i="2"/>
  <c r="C181" i="2"/>
  <c r="C199" i="2"/>
  <c r="C6" i="2"/>
  <c r="D9" i="2"/>
  <c r="C19" i="2"/>
  <c r="D22" i="2"/>
  <c r="B29" i="2"/>
  <c r="C32" i="2"/>
  <c r="D66" i="2"/>
  <c r="B77" i="2"/>
  <c r="D109" i="2"/>
  <c r="D145" i="2"/>
  <c r="D163" i="2"/>
  <c r="B178" i="2"/>
  <c r="B203" i="2"/>
  <c r="B26" i="2"/>
  <c r="C29" i="2"/>
  <c r="D56" i="2"/>
  <c r="C56" i="2"/>
  <c r="D74" i="2"/>
  <c r="C74" i="2"/>
  <c r="D92" i="2"/>
  <c r="C92" i="2"/>
  <c r="D128" i="2"/>
  <c r="C128" i="2"/>
  <c r="D164" i="2"/>
  <c r="C164" i="2"/>
  <c r="C23" i="2"/>
  <c r="D53" i="2"/>
  <c r="C53" i="2"/>
  <c r="C60" i="2"/>
  <c r="C67" i="2"/>
  <c r="D71" i="2"/>
  <c r="C71" i="2"/>
  <c r="C78" i="2"/>
  <c r="C85" i="2"/>
  <c r="D89" i="2"/>
  <c r="C89" i="2"/>
  <c r="C103" i="2"/>
  <c r="D107" i="2"/>
  <c r="C107" i="2"/>
  <c r="C121" i="2"/>
  <c r="D125" i="2"/>
  <c r="C125" i="2"/>
  <c r="C139" i="2"/>
  <c r="D143" i="2"/>
  <c r="C143" i="2"/>
  <c r="C157" i="2"/>
  <c r="D161" i="2"/>
  <c r="C161" i="2"/>
  <c r="C175" i="2"/>
  <c r="D179" i="2"/>
  <c r="C179" i="2"/>
  <c r="C193" i="2"/>
  <c r="D197" i="2"/>
  <c r="C197" i="2"/>
  <c r="B3" i="4"/>
  <c r="F14" i="4"/>
  <c r="F21" i="4"/>
  <c r="F28" i="4"/>
  <c r="F43" i="4"/>
  <c r="F50" i="4"/>
  <c r="F57" i="4"/>
  <c r="F64" i="4"/>
  <c r="F79" i="4"/>
  <c r="F86" i="4"/>
  <c r="F93" i="4"/>
  <c r="F100" i="4"/>
  <c r="F115" i="4"/>
  <c r="F122" i="4"/>
  <c r="F129" i="4"/>
  <c r="F136" i="4"/>
  <c r="F151" i="4"/>
  <c r="F158" i="4"/>
  <c r="F165" i="4"/>
  <c r="F172" i="4"/>
  <c r="F187" i="4"/>
  <c r="F194" i="4"/>
  <c r="F201" i="4"/>
  <c r="F208" i="4"/>
  <c r="D59" i="2"/>
  <c r="C59" i="2"/>
  <c r="D95" i="2"/>
  <c r="C95" i="2"/>
  <c r="D167" i="2"/>
  <c r="C167" i="2"/>
  <c r="B22" i="2"/>
  <c r="B35" i="2"/>
  <c r="B109" i="2"/>
  <c r="B116" i="2"/>
  <c r="B127" i="2"/>
  <c r="B152" i="2"/>
  <c r="B163" i="2"/>
  <c r="B188" i="2"/>
  <c r="B32" i="2"/>
  <c r="D113" i="2"/>
  <c r="C113" i="2"/>
  <c r="D131" i="2"/>
  <c r="C131" i="2"/>
  <c r="D149" i="2"/>
  <c r="C149" i="2"/>
  <c r="D185" i="2"/>
  <c r="C185" i="2"/>
  <c r="B59" i="2"/>
  <c r="D84" i="2"/>
  <c r="B131" i="2"/>
  <c r="B149" i="2"/>
  <c r="B14" i="2"/>
  <c r="B24" i="2"/>
  <c r="B37" i="2"/>
  <c r="B50" i="2"/>
  <c r="D68" i="2"/>
  <c r="C68" i="2"/>
  <c r="D86" i="2"/>
  <c r="C86" i="2"/>
  <c r="D104" i="2"/>
  <c r="C104" i="2"/>
  <c r="D122" i="2"/>
  <c r="C122" i="2"/>
  <c r="D140" i="2"/>
  <c r="C140" i="2"/>
  <c r="D158" i="2"/>
  <c r="C158" i="2"/>
  <c r="D176" i="2"/>
  <c r="C176" i="2"/>
  <c r="D194" i="2"/>
  <c r="C194" i="2"/>
  <c r="F15" i="4"/>
  <c r="F22" i="4"/>
  <c r="F37" i="4"/>
  <c r="F44" i="4"/>
  <c r="F51" i="4"/>
  <c r="F58" i="4"/>
  <c r="F73" i="4"/>
  <c r="F80" i="4"/>
  <c r="F87" i="4"/>
  <c r="F94" i="4"/>
  <c r="F109" i="4"/>
  <c r="F116" i="4"/>
  <c r="F123" i="4"/>
  <c r="F130" i="4"/>
  <c r="F145" i="4"/>
  <c r="F152" i="4"/>
  <c r="F159" i="4"/>
  <c r="F166" i="4"/>
  <c r="F181" i="4"/>
  <c r="F188" i="4"/>
  <c r="F195" i="4"/>
  <c r="F202" i="4"/>
  <c r="C127" i="2"/>
  <c r="B95" i="2"/>
  <c r="C14" i="2"/>
  <c r="C50" i="2"/>
  <c r="D173" i="2"/>
  <c r="C173" i="2"/>
  <c r="D191" i="2"/>
  <c r="C191" i="2"/>
  <c r="F175" i="4"/>
  <c r="F182" i="4"/>
  <c r="F189" i="4"/>
  <c r="F196" i="4"/>
  <c r="F211" i="4"/>
  <c r="B7" i="4" l="1"/>
  <c r="G20" i="1" s="1"/>
  <c r="B6" i="4"/>
  <c r="E20" i="1" s="1"/>
  <c r="B5" i="4"/>
  <c r="B4" i="4"/>
  <c r="B9" i="4" l="1"/>
  <c r="B34" i="1" l="1"/>
  <c r="C21" i="1"/>
  <c r="B30" i="1"/>
  <c r="B17" i="1"/>
  <c r="B26" i="1"/>
  <c r="B38" i="1"/>
  <c r="E21" i="1"/>
  <c r="G21" i="1"/>
</calcChain>
</file>

<file path=xl/sharedStrings.xml><?xml version="1.0" encoding="utf-8"?>
<sst xmlns="http://schemas.openxmlformats.org/spreadsheetml/2006/main" count="89" uniqueCount="84">
  <si>
    <t>NEEDTHESEAPPS.COM</t>
  </si>
  <si>
    <t>Inflation Calculator</t>
  </si>
  <si>
    <t>Money loses value over time. See what it will be worth, or how much you will need, once inflation is counted.</t>
  </si>
  <si>
    <t>Open the full calculator online  ↗</t>
  </si>
  <si>
    <t>YOUR NUMBERS</t>
  </si>
  <si>
    <t>Currency symbol you use</t>
  </si>
  <si>
    <t>$</t>
  </si>
  <si>
    <t>Type your own, for example £ or €.</t>
  </si>
  <si>
    <t>Amount</t>
  </si>
  <si>
    <t>The amount you have today.</t>
  </si>
  <si>
    <t>Years from now</t>
  </si>
  <si>
    <t>How far ahead you are looking. It starts at 10.</t>
  </si>
  <si>
    <t>Assumed future inflation rate</t>
  </si>
  <si>
    <t>A yearly rate we assume for every year ahead. It is your assumption, not a forecast.</t>
  </si>
  <si>
    <t>YOUR RESULT</t>
  </si>
  <si>
    <t>MORE DETAIL</t>
  </si>
  <si>
    <t>Buying power: the same money, two ways</t>
  </si>
  <si>
    <t>ASSUMPTIONS</t>
  </si>
  <si>
    <t>Where the rate comes from</t>
  </si>
  <si>
    <t>The online calculator suggests a recent yearly rate for your country: World Bank, annual CPI inflation, last checked 29 September 2026. It is a starting point, not a forecast.</t>
  </si>
  <si>
    <t>It applies one flat rate to every future year, while real inflation moves up and down year to year. It also doesn't know your personal spending mix.</t>
  </si>
  <si>
    <t>Year-by-year breakdown</t>
  </si>
  <si>
    <t>Year</t>
  </si>
  <si>
    <t>Nominal amount</t>
  </si>
  <si>
    <t>Real buying power</t>
  </si>
  <si>
    <t>Prices compared with today</t>
  </si>
  <si>
    <t>About this workbook</t>
  </si>
  <si>
    <t>WHAT THIS WORKBOOK DOES</t>
  </si>
  <si>
    <t>It answers one question offline: what will an amount you have today really buy in the years ahead, once inflation is counted? This is the online question “What will it be worth?”.</t>
  </si>
  <si>
    <t>WHAT IT DOES NOT DO</t>
  </si>
  <si>
    <t>It does not predict inflation</t>
  </si>
  <si>
    <t>The rate is an assumption you set, not a forecast.</t>
  </si>
  <si>
    <t>It does not use a changing rate</t>
  </si>
  <si>
    <t>It applies one flat rate to every year, while real inflation moves up and down year to year.</t>
  </si>
  <si>
    <t>It does not know your own spending</t>
  </si>
  <si>
    <t>The published rate is an average across everything people buy.</t>
  </si>
  <si>
    <t>It does not model your investments or a retirement plan</t>
  </si>
  <si>
    <t>The Savings Withdrawal and Compound Interest calculators do.</t>
  </si>
  <si>
    <t>It does not predict falling prices</t>
  </si>
  <si>
    <t>A negative rate is an assumption too: prices fall by the same percent every year.</t>
  </si>
  <si>
    <t>It is not financial advice</t>
  </si>
  <si>
    <t>A planning estimate, based on what you entered.</t>
  </si>
  <si>
    <t>FOR THESE, USE THE FULL CALCULATOR ONLINE</t>
  </si>
  <si>
    <t>What was it worth?</t>
  </si>
  <si>
    <t>an amount from a past year, using each country's real yearly figures</t>
  </si>
  <si>
    <t>How much will I need?</t>
  </si>
  <si>
    <t>what you would need in the future to buy what an amount buys today</t>
  </si>
  <si>
    <t>A recent rate for your country</t>
  </si>
  <si>
    <t>suggested for you from World Bank data</t>
  </si>
  <si>
    <t>Guide and FAQ</t>
  </si>
  <si>
    <t>to understand what the numbers mean</t>
  </si>
  <si>
    <t>ASSUMPTIONS USED</t>
  </si>
  <si>
    <t>Rate</t>
  </si>
  <si>
    <t>One flat yearly rate, the same every year.</t>
  </si>
  <si>
    <t>Compounding</t>
  </si>
  <si>
    <t>Once a year: buying power = amount ÷ (1 + rate)^years.</t>
  </si>
  <si>
    <t>Starting rate</t>
  </si>
  <si>
    <t>2.5% is a neutral starting value, not a country figure.</t>
  </si>
  <si>
    <t>Rate limits</t>
  </si>
  <si>
    <t>Between -50% and 100%. A negative rate means prices fall, so the same money buys more each year. Above 15% the file warns that it is unusual.</t>
  </si>
  <si>
    <t>Maximum period</t>
  </si>
  <si>
    <t>200 years. Above 60 the file warns that it is unusual.</t>
  </si>
  <si>
    <t>Largest figure</t>
  </si>
  <si>
    <t>Results above 900 trillion are not stated: past that, the arithmetic is no longer exact.</t>
  </si>
  <si>
    <t>THE WORKBOOK</t>
  </si>
  <si>
    <t>Site</t>
  </si>
  <si>
    <t>needtheseapps.com</t>
  </si>
  <si>
    <t>Sheets</t>
  </si>
  <si>
    <t>Calculator · Breakdown · About &amp; Assumptions</t>
  </si>
  <si>
    <t>Version</t>
  </si>
  <si>
    <t>1.0</t>
  </si>
  <si>
    <t>Generated</t>
  </si>
  <si>
    <t>Oct 1, 2026</t>
  </si>
  <si>
    <t>Currency</t>
  </si>
  <si>
    <t>This file is a snapshot. It does not update itself when the online calculator changes.</t>
  </si>
  <si>
    <t>Helper calculations. Do not edit.</t>
  </si>
  <si>
    <t>Rate as a decimal</t>
  </si>
  <si>
    <t>Price multiplier (1 + rate)^years</t>
  </si>
  <si>
    <t>Buying power after N years</t>
  </si>
  <si>
    <t>Amount needed to keep the buying power</t>
  </si>
  <si>
    <t>Prices rise in total, %</t>
  </si>
  <si>
    <t>Buying power lost, %</t>
  </si>
  <si>
    <t>Yearly rate times years, %</t>
  </si>
  <si>
    <t>Result past exact arithmetic? 1 = 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</si>
</sst>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&quot;×&quot;"/>
    <numFmt numFmtId="165" formatCode="0.0#&quot;%&quot;"/>
    <numFmt numFmtId="166" formatCode="[&lt;100]#,##0.00;#,##0"/>
    <numFmt numFmtId="167" formatCode="0.0&quot;%&quot;"/>
    <numFmt numFmtId="168" formatCode="0.0#%"/>
  </numFmts>
  <fonts count="23" x14ac:knownFonts="1">
    <font>
      <sz val="11"/>
      <color theme="1"/>
      <name val="Calibri"/>
      <family val="2"/>
      <scheme val="minor"/>
    </font>
    <font>
      <b/>
      <sz val="11"/>
      <color rgb="FF1B2733"/>
      <name val="Segoe UI"/>
    </font>
    <font>
      <sz val="11"/>
      <color rgb="FF1B2733"/>
      <name val="Segoe UI"/>
    </font>
    <font>
      <b/>
      <sz val="18"/>
      <color rgb="FF12354E"/>
      <name val="Segoe UI"/>
    </font>
    <font>
      <sz val="10"/>
      <color rgb="FF6C6D70"/>
      <name val="Segoe UI"/>
    </font>
    <font>
      <b/>
      <sz val="10"/>
      <color rgb="FFFFFFFF"/>
      <name val="Segoe UI"/>
    </font>
    <font>
      <sz val="10"/>
      <color rgb="FF1B2733"/>
      <name val="Segoe UI"/>
    </font>
    <font>
      <b/>
      <u/>
      <sz val="10"/>
      <color rgb="FF1E5A85"/>
      <name val="Segoe UI"/>
    </font>
    <font>
      <b/>
      <sz val="24"/>
      <color rgb="FF12354E"/>
      <name val="Segoe UI"/>
    </font>
    <font>
      <b/>
      <u/>
      <sz val="11"/>
      <color rgb="FF1E5A85"/>
      <name val="Segoe UI"/>
    </font>
    <font>
      <b/>
      <sz val="12"/>
      <color rgb="FF1E5A85"/>
      <name val="Segoe UI"/>
    </font>
    <font>
      <b/>
      <sz val="12"/>
      <color rgb="FF12354E"/>
      <name val="Segoe UI"/>
    </font>
    <font>
      <i/>
      <sz val="9.5"/>
      <color rgb="FF6C6D70"/>
      <name val="Segoe UI"/>
    </font>
    <font>
      <i/>
      <sz val="10"/>
      <color rgb="FF6C6D70"/>
      <name val="Segoe UI"/>
    </font>
    <font>
      <sz val="10"/>
      <color rgb="FFB26A00"/>
      <name val="Segoe UI"/>
    </font>
    <font>
      <b/>
      <sz val="15"/>
      <color rgb="FF1E5A85"/>
      <name val="Segoe UI"/>
    </font>
    <font>
      <b/>
      <sz val="16"/>
      <color rgb="FF1B2733"/>
      <name val="Segoe UI"/>
    </font>
    <font>
      <sz val="9.5"/>
      <color rgb="FF6C6D70"/>
      <name val="Segoe UI"/>
    </font>
    <font>
      <b/>
      <sz val="11"/>
      <color rgb="FF12354E"/>
      <name val="Segoe UI"/>
    </font>
    <font>
      <sz val="10.5"/>
      <color rgb="FF1B2733"/>
      <name val="Segoe UI"/>
    </font>
    <font>
      <b/>
      <sz val="20"/>
      <color rgb="FF12354E"/>
      <name val="Segoe UI"/>
    </font>
    <font>
      <sz val="11"/>
      <color rgb="FF6C6D70"/>
      <name val="Segoe UI"/>
    </font>
    <font>
      <b/>
      <u/>
      <sz val="12"/>
      <color rgb="FF1E5A85"/>
      <name val="Segoe UI"/>
    </font>
  </fonts>
  <fills count="7">
    <fill>
      <patternFill patternType="none"/>
    </fill>
    <fill>
      <patternFill patternType="gray125"/>
    </fill>
    <fill>
      <patternFill patternType="solid">
        <fgColor rgb="FFF5F8FB"/>
      </patternFill>
    </fill>
    <fill>
      <patternFill patternType="solid">
        <fgColor rgb="FF1E5A85"/>
      </patternFill>
    </fill>
    <fill>
      <patternFill patternType="solid">
        <fgColor rgb="FFE4EDF5"/>
      </patternFill>
    </fill>
    <fill>
      <patternFill patternType="solid">
        <fgColor rgb="FFC9DEEF"/>
      </patternFill>
    </fill>
    <fill>
      <patternFill patternType="solid">
        <fgColor rgb="FFFFFFFF"/>
      </patternFill>
    </fill>
  </fills>
  <borders count="10">
    <border>
      <left/>
      <right/>
      <top/>
      <bottom/>
      <diagonal/>
    </border>
    <border>
      <left style="thin">
        <color rgb="FF1E5A85"/>
      </left>
      <right style="thin">
        <color rgb="FF1E5A85"/>
      </right>
      <top style="thin">
        <color rgb="FF1E5A85"/>
      </top>
      <bottom style="thin">
        <color rgb="FF1E5A85"/>
      </bottom>
      <diagonal/>
    </border>
    <border>
      <left/>
      <right/>
      <top/>
      <bottom style="thin">
        <color rgb="FF748BA0"/>
      </bottom>
      <diagonal/>
    </border>
    <border>
      <left style="thin">
        <color rgb="FFD6E1EA"/>
      </left>
      <right style="thin">
        <color rgb="FFD6E1EA"/>
      </right>
      <top style="thin">
        <color rgb="FFD6E1EA"/>
      </top>
      <bottom/>
      <diagonal/>
    </border>
    <border>
      <left style="thin">
        <color rgb="FFD6E1EA"/>
      </left>
      <right style="thin">
        <color rgb="FFD6E1EA"/>
      </right>
      <top/>
      <bottom/>
      <diagonal/>
    </border>
    <border>
      <left style="thin">
        <color rgb="FFD6E1EA"/>
      </left>
      <right style="thin">
        <color rgb="FFD6E1EA"/>
      </right>
      <top/>
      <bottom style="thin">
        <color rgb="FFD6E1EA"/>
      </bottom>
      <diagonal/>
    </border>
    <border>
      <left/>
      <right/>
      <top style="thin">
        <color rgb="FFD6E1EA"/>
      </top>
      <bottom/>
      <diagonal/>
    </border>
    <border>
      <left style="medium">
        <color rgb="FFB26A00"/>
      </left>
      <right/>
      <top style="thin">
        <color rgb="FFD6E1EA"/>
      </top>
      <bottom/>
      <diagonal/>
    </border>
    <border>
      <left style="medium">
        <color rgb="FFB26A00"/>
      </left>
      <right/>
      <top/>
      <bottom/>
      <diagonal/>
    </border>
    <border>
      <left/>
      <right/>
      <top/>
      <bottom style="thin">
        <color rgb="FFD6E1EA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horizontal="left" vertical="center" wrapText="1"/>
    </xf>
    <xf numFmtId="0" fontId="11" fillId="5" borderId="1" xfId="0" applyFont="1" applyFill="1" applyBorder="1" applyAlignment="1" applyProtection="1">
      <alignment horizontal="right" vertical="center"/>
      <protection locked="0"/>
    </xf>
    <xf numFmtId="3" fontId="11" fillId="5" borderId="1" xfId="0" applyNumberFormat="1" applyFont="1" applyFill="1" applyBorder="1" applyAlignment="1" applyProtection="1">
      <alignment horizontal="right" vertical="center"/>
      <protection locked="0"/>
    </xf>
    <xf numFmtId="1" fontId="11" fillId="5" borderId="1" xfId="0" applyNumberFormat="1" applyFont="1" applyFill="1" applyBorder="1" applyAlignment="1" applyProtection="1">
      <alignment horizontal="right" vertical="center"/>
      <protection locked="0"/>
    </xf>
    <xf numFmtId="165" fontId="11" fillId="5" borderId="1" xfId="0" applyNumberFormat="1" applyFont="1" applyFill="1" applyBorder="1" applyAlignment="1" applyProtection="1">
      <alignment horizontal="right" vertical="center"/>
      <protection locked="0"/>
    </xf>
    <xf numFmtId="0" fontId="4" fillId="6" borderId="3" xfId="0" applyFont="1" applyFill="1" applyBorder="1" applyAlignment="1">
      <alignment horizontal="left" vertical="top" wrapText="1"/>
    </xf>
    <xf numFmtId="166" fontId="16" fillId="6" borderId="4" xfId="0" applyNumberFormat="1" applyFont="1" applyFill="1" applyBorder="1" applyAlignment="1">
      <alignment horizontal="left" vertical="center" shrinkToFit="1"/>
    </xf>
    <xf numFmtId="167" fontId="16" fillId="6" borderId="4" xfId="0" applyNumberFormat="1" applyFont="1" applyFill="1" applyBorder="1" applyAlignment="1">
      <alignment horizontal="left" vertical="center" shrinkToFit="1"/>
    </xf>
    <xf numFmtId="0" fontId="17" fillId="6" borderId="5" xfId="0" applyFont="1" applyFill="1" applyBorder="1" applyAlignment="1">
      <alignment horizontal="left" vertical="top" wrapText="1"/>
    </xf>
    <xf numFmtId="0" fontId="2" fillId="6" borderId="0" xfId="0" applyFont="1" applyFill="1" applyAlignment="1">
      <alignment horizontal="left" vertical="center" wrapText="1"/>
    </xf>
    <xf numFmtId="168" fontId="1" fillId="6" borderId="0" xfId="0" applyNumberFormat="1" applyFont="1" applyFill="1" applyAlignment="1">
      <alignment horizontal="right" vertical="center"/>
    </xf>
    <xf numFmtId="0" fontId="5" fillId="3" borderId="1" xfId="0" applyFont="1" applyFill="1" applyBorder="1" applyAlignment="1">
      <alignment horizontal="center" vertical="center" wrapText="1"/>
    </xf>
    <xf numFmtId="1" fontId="6" fillId="0" borderId="0" xfId="0" applyNumberFormat="1" applyFont="1" applyAlignment="1">
      <alignment horizontal="center" vertical="center"/>
    </xf>
    <xf numFmtId="3" fontId="6" fillId="0" borderId="0" xfId="0" applyNumberFormat="1" applyFont="1" applyAlignment="1">
      <alignment horizontal="right" vertical="center"/>
    </xf>
    <xf numFmtId="164" fontId="6" fillId="0" borderId="0" xfId="0" applyNumberFormat="1" applyFont="1" applyAlignment="1">
      <alignment horizontal="right" vertical="center"/>
    </xf>
    <xf numFmtId="0" fontId="2" fillId="6" borderId="9" xfId="0" applyFont="1" applyFill="1" applyBorder="1" applyAlignment="1">
      <alignment horizontal="left" vertical="center" wrapText="1"/>
    </xf>
    <xf numFmtId="0" fontId="21" fillId="6" borderId="9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2" fillId="2" borderId="0" xfId="0" applyFont="1" applyFill="1" applyAlignment="1">
      <alignment horizontal="left" vertical="center" wrapText="1"/>
    </xf>
    <xf numFmtId="0" fontId="0" fillId="0" borderId="0" xfId="0"/>
    <xf numFmtId="0" fontId="14" fillId="2" borderId="0" xfId="0" applyFont="1" applyFill="1" applyAlignment="1">
      <alignment horizontal="left" vertical="center" wrapText="1"/>
    </xf>
    <xf numFmtId="0" fontId="1" fillId="6" borderId="0" xfId="0" applyFont="1" applyFill="1" applyAlignment="1">
      <alignment horizontal="left" vertical="center"/>
    </xf>
    <xf numFmtId="0" fontId="15" fillId="2" borderId="0" xfId="0" applyFont="1" applyFill="1" applyAlignment="1">
      <alignment horizontal="left" vertical="top" wrapText="1"/>
    </xf>
    <xf numFmtId="0" fontId="13" fillId="2" borderId="0" xfId="0" applyFont="1" applyFill="1" applyAlignment="1">
      <alignment horizontal="left" vertical="center" wrapText="1"/>
    </xf>
    <xf numFmtId="0" fontId="12" fillId="6" borderId="0" xfId="0" applyFont="1" applyFill="1" applyAlignment="1">
      <alignment horizontal="left" vertical="top" wrapText="1"/>
    </xf>
    <xf numFmtId="0" fontId="4" fillId="6" borderId="0" xfId="0" applyFont="1" applyFill="1" applyAlignment="1">
      <alignment horizontal="left" vertical="top" wrapText="1"/>
    </xf>
    <xf numFmtId="0" fontId="19" fillId="6" borderId="0" xfId="0" applyFont="1" applyFill="1" applyAlignment="1">
      <alignment horizontal="left" vertical="top" wrapText="1"/>
    </xf>
    <xf numFmtId="0" fontId="18" fillId="6" borderId="6" xfId="0" applyFont="1" applyFill="1" applyBorder="1" applyAlignment="1">
      <alignment horizontal="left" vertical="top" wrapText="1"/>
    </xf>
    <xf numFmtId="0" fontId="10" fillId="4" borderId="2" xfId="0" applyFont="1" applyFill="1" applyBorder="1" applyAlignment="1">
      <alignment horizontal="left" vertical="center" wrapText="1"/>
    </xf>
    <xf numFmtId="0" fontId="4" fillId="6" borderId="7" xfId="0" applyFont="1" applyFill="1" applyBorder="1" applyAlignment="1">
      <alignment horizontal="left" vertical="top" wrapText="1"/>
    </xf>
    <xf numFmtId="0" fontId="0" fillId="0" borderId="6" xfId="0" applyBorder="1"/>
    <xf numFmtId="0" fontId="0" fillId="0" borderId="8" xfId="0" applyBorder="1"/>
    <xf numFmtId="0" fontId="9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18" fillId="6" borderId="0" xfId="0" applyFont="1" applyFill="1" applyAlignment="1">
      <alignment horizontal="left" vertical="center" wrapText="1"/>
    </xf>
    <xf numFmtId="0" fontId="8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20" fillId="2" borderId="0" xfId="0" applyFont="1" applyFill="1" applyAlignment="1">
      <alignment horizontal="left" vertical="center" wrapText="1"/>
    </xf>
    <xf numFmtId="0" fontId="2" fillId="6" borderId="0" xfId="0" applyFont="1" applyFill="1" applyAlignment="1">
      <alignment horizontal="left" vertical="top" wrapText="1"/>
    </xf>
    <xf numFmtId="0" fontId="22" fillId="6" borderId="0" xfId="0" applyFont="1" applyFill="1" applyAlignment="1">
      <alignment horizontal="left" vertical="center" wrapText="1"/>
    </xf>
  </cellXfs>
  <cellStyles count="1">
    <cellStyle name="Normal" xfId="0" builtinId="0"/>
  </cellStyles>
  <dxfs count="2">
    <dxf>
      <border>
        <bottom style="thin">
          <color rgb="FFD6E1EA"/>
        </bottom>
      </border>
    </dxf>
    <dxf>
      <fill>
        <patternFill patternType="solid">
          <fgColor rgb="FFFBFDFE"/>
        </patternFill>
      </fill>
      <border>
        <bottom style="thin">
          <color rgb="FFD6E1EA"/>
        </bottom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t>Buying power: the same money, two ways</a:t>
            </a:r>
          </a:p>
        </c:rich>
      </c:tx>
      <c:overlay val="0"/>
    </c:title>
    <c:autoTitleDeleted val="0"/>
    <c:plotArea>
      <c:layout/>
      <c:lineChart>
        <c:grouping val="standard"/>
        <c:varyColors val="1"/>
        <c:ser>
          <c:idx val="0"/>
          <c:order val="0"/>
          <c:tx>
            <c:v>Nominal amount</c:v>
          </c:tx>
          <c:spPr>
            <a:ln w="28575">
              <a:solidFill>
                <a:srgbClr val="1E5A85"/>
              </a:solidFill>
              <a:prstDash val="solid"/>
            </a:ln>
          </c:spPr>
          <c:marker>
            <c:symbol val="none"/>
          </c:marker>
          <c:cat>
            <c:numRef>
              <c:f>_Engine!ch_years</c:f>
              <c:numCache>
                <c:formatCode>General</c:formatCode>
                <c:ptCount val="1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</c:numCache>
            </c:numRef>
          </c:cat>
          <c:val>
            <c:numRef>
              <c:f>_Engine!ch_nominal</c:f>
              <c:numCache>
                <c:formatCode>General</c:formatCode>
                <c:ptCount val="11"/>
                <c:pt idx="0">
                  <c:v>10000</c:v>
                </c:pt>
                <c:pt idx="1">
                  <c:v>10000</c:v>
                </c:pt>
                <c:pt idx="2">
                  <c:v>10000</c:v>
                </c:pt>
                <c:pt idx="3">
                  <c:v>10000</c:v>
                </c:pt>
                <c:pt idx="4">
                  <c:v>10000</c:v>
                </c:pt>
                <c:pt idx="5">
                  <c:v>10000</c:v>
                </c:pt>
                <c:pt idx="6">
                  <c:v>10000</c:v>
                </c:pt>
                <c:pt idx="7">
                  <c:v>10000</c:v>
                </c:pt>
                <c:pt idx="8">
                  <c:v>10000</c:v>
                </c:pt>
                <c:pt idx="9">
                  <c:v>10000</c:v>
                </c:pt>
                <c:pt idx="10">
                  <c:v>10000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57E-439D-BE55-5FEC03C1F6B8}"/>
            </c:ext>
          </c:extLst>
        </c:ser>
        <c:ser>
          <c:idx val="1"/>
          <c:order val="1"/>
          <c:tx>
            <c:v>Real buying power</c:v>
          </c:tx>
          <c:spPr>
            <a:ln w="28575">
              <a:solidFill>
                <a:srgbClr val="A65F00"/>
              </a:solidFill>
              <a:prstDash val="solid"/>
            </a:ln>
          </c:spPr>
          <c:marker>
            <c:symbol val="none"/>
          </c:marker>
          <c:cat>
            <c:numRef>
              <c:f>_Engine!ch_years</c:f>
              <c:numCache>
                <c:formatCode>General</c:formatCode>
                <c:ptCount val="1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</c:numCache>
            </c:numRef>
          </c:cat>
          <c:val>
            <c:numRef>
              <c:f>_Engine!ch_real</c:f>
              <c:numCache>
                <c:formatCode>General</c:formatCode>
                <c:ptCount val="11"/>
                <c:pt idx="0">
                  <c:v>10000</c:v>
                </c:pt>
                <c:pt idx="1">
                  <c:v>9756.0975609756115</c:v>
                </c:pt>
                <c:pt idx="2">
                  <c:v>9518.1439619274242</c:v>
                </c:pt>
                <c:pt idx="3">
                  <c:v>9285.9941091974888</c:v>
                </c:pt>
                <c:pt idx="4">
                  <c:v>9059.5064479975499</c:v>
                </c:pt>
                <c:pt idx="5">
                  <c:v>8838.5428760951709</c:v>
                </c:pt>
                <c:pt idx="6">
                  <c:v>8622.9686596050469</c:v>
                </c:pt>
                <c:pt idx="7">
                  <c:v>8412.6523508341907</c:v>
                </c:pt>
                <c:pt idx="8">
                  <c:v>8207.4657081309197</c:v>
                </c:pt>
                <c:pt idx="9">
                  <c:v>8007.2836176887022</c:v>
                </c:pt>
                <c:pt idx="10">
                  <c:v>7811.9840172572704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57E-439D-BE55-5FEC03C1F6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"/>
        <c:axId val="100"/>
      </c:line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0"/>
        <c:axPos val="l"/>
        <c:numFmt formatCode="#,##0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48</xdr:row>
      <xdr:rowOff>0</xdr:rowOff>
    </xdr:from>
    <xdr:ext cx="6120000" cy="288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s://needtheseapps.com/apps/financial/inflation-calculator/" TargetMode="External"/><Relationship Id="rId1" Type="http://schemas.openxmlformats.org/officeDocument/2006/relationships/hyperlink" Target="https://needtheseapps.com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needtheseapps.com/apps/financial/inflation-calculato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80"/>
  <sheetViews>
    <sheetView showGridLines="0" tabSelected="1" workbookViewId="0">
      <pane ySplit="6" topLeftCell="A7" activePane="bottomLeft" state="frozen"/>
      <selection pane="bottomLeft"/>
    </sheetView>
  </sheetViews>
  <sheetFormatPr defaultRowHeight="15" x14ac:dyDescent="0.25"/>
  <cols>
    <col min="1" max="1" width="2.140625" customWidth="1"/>
    <col min="2" max="2" width="34" customWidth="1"/>
    <col min="3" max="3" width="19" customWidth="1"/>
    <col min="4" max="4" width="1.5703125" customWidth="1"/>
    <col min="5" max="5" width="21" customWidth="1"/>
    <col min="6" max="6" width="1.5703125" customWidth="1"/>
    <col min="7" max="7" width="21" customWidth="1"/>
    <col min="8" max="8" width="2.140625" customWidth="1"/>
  </cols>
  <sheetData>
    <row r="1" spans="1:8" x14ac:dyDescent="0.25">
      <c r="A1" s="1"/>
      <c r="B1" s="1"/>
      <c r="C1" s="1"/>
      <c r="D1" s="1"/>
      <c r="E1" s="1"/>
      <c r="F1" s="1"/>
      <c r="G1" s="1"/>
      <c r="H1" s="1"/>
    </row>
    <row r="2" spans="1:8" ht="18" customHeight="1" x14ac:dyDescent="0.25">
      <c r="A2" s="1"/>
      <c r="B2" s="40" t="s">
        <v>0</v>
      </c>
      <c r="C2" s="22"/>
      <c r="D2" s="22"/>
      <c r="E2" s="1"/>
      <c r="F2" s="1"/>
      <c r="G2" s="1"/>
      <c r="H2" s="1"/>
    </row>
    <row r="3" spans="1:8" ht="33.950000000000003" customHeight="1" x14ac:dyDescent="0.25">
      <c r="A3" s="1"/>
      <c r="B3" s="38" t="s">
        <v>1</v>
      </c>
      <c r="C3" s="22"/>
      <c r="D3" s="22"/>
      <c r="E3" s="22"/>
      <c r="F3" s="22"/>
      <c r="G3" s="22"/>
      <c r="H3" s="1"/>
    </row>
    <row r="4" spans="1:8" ht="36" customHeight="1" x14ac:dyDescent="0.25">
      <c r="A4" s="1"/>
      <c r="B4" s="36" t="s">
        <v>2</v>
      </c>
      <c r="C4" s="22"/>
      <c r="D4" s="22"/>
      <c r="E4" s="22"/>
      <c r="F4" s="22"/>
      <c r="G4" s="22"/>
      <c r="H4" s="1"/>
    </row>
    <row r="5" spans="1:8" ht="20.100000000000001" customHeight="1" x14ac:dyDescent="0.25">
      <c r="A5" s="1"/>
      <c r="B5" s="35" t="s">
        <v>3</v>
      </c>
      <c r="C5" s="22"/>
      <c r="D5" s="22"/>
      <c r="E5" s="22"/>
      <c r="F5" s="22"/>
      <c r="G5" s="22"/>
      <c r="H5" s="1"/>
    </row>
    <row r="6" spans="1:8" x14ac:dyDescent="0.25">
      <c r="A6" s="1"/>
      <c r="B6" s="1"/>
      <c r="C6" s="1"/>
      <c r="D6" s="1"/>
      <c r="E6" s="1"/>
      <c r="F6" s="1"/>
      <c r="G6" s="1"/>
      <c r="H6" s="1"/>
    </row>
    <row r="7" spans="1:8" ht="26.1" customHeight="1" x14ac:dyDescent="0.25">
      <c r="A7" s="1"/>
      <c r="B7" s="31" t="s">
        <v>4</v>
      </c>
      <c r="C7" s="22"/>
      <c r="D7" s="22"/>
      <c r="E7" s="22"/>
      <c r="F7" s="22"/>
      <c r="G7" s="22"/>
      <c r="H7" s="1"/>
    </row>
    <row r="8" spans="1:8" ht="30" customHeight="1" x14ac:dyDescent="0.25">
      <c r="A8" s="1"/>
      <c r="B8" s="2" t="s">
        <v>5</v>
      </c>
      <c r="C8" s="3" t="s">
        <v>6</v>
      </c>
      <c r="D8" s="1"/>
      <c r="E8" s="21" t="s">
        <v>7</v>
      </c>
      <c r="F8" s="22"/>
      <c r="G8" s="22"/>
      <c r="H8" s="1"/>
    </row>
    <row r="9" spans="1:8" ht="30" customHeight="1" x14ac:dyDescent="0.25">
      <c r="A9" s="1"/>
      <c r="B9" s="2" t="s">
        <v>8</v>
      </c>
      <c r="C9" s="4">
        <v>10000</v>
      </c>
      <c r="D9" s="1"/>
      <c r="E9" s="21" t="s">
        <v>9</v>
      </c>
      <c r="F9" s="22"/>
      <c r="G9" s="22"/>
      <c r="H9" s="1"/>
    </row>
    <row r="10" spans="1:8" ht="30" customHeight="1" x14ac:dyDescent="0.25">
      <c r="A10" s="1"/>
      <c r="B10" s="2" t="s">
        <v>10</v>
      </c>
      <c r="C10" s="5">
        <v>10</v>
      </c>
      <c r="D10" s="1"/>
      <c r="E10" s="21" t="s">
        <v>11</v>
      </c>
      <c r="F10" s="22"/>
      <c r="G10" s="22"/>
      <c r="H10" s="1"/>
    </row>
    <row r="11" spans="1:8" ht="30" customHeight="1" x14ac:dyDescent="0.25">
      <c r="A11" s="1"/>
      <c r="B11" s="2" t="s">
        <v>12</v>
      </c>
      <c r="C11" s="6">
        <v>2.5</v>
      </c>
      <c r="D11" s="1"/>
      <c r="E11" s="21" t="s">
        <v>13</v>
      </c>
      <c r="F11" s="22"/>
      <c r="G11" s="22"/>
      <c r="H11" s="1"/>
    </row>
    <row r="12" spans="1:8" x14ac:dyDescent="0.25">
      <c r="A12" s="1"/>
      <c r="B12" s="1"/>
      <c r="C12" s="1"/>
      <c r="D12" s="1"/>
      <c r="E12" s="1"/>
      <c r="F12" s="1"/>
      <c r="G12" s="1"/>
      <c r="H12" s="1"/>
    </row>
    <row r="13" spans="1:8" ht="21" customHeight="1" x14ac:dyDescent="0.25">
      <c r="A13" s="1"/>
      <c r="B13" s="26" t="str">
        <f>"Edit the four blue cells. Everything else calculates automatically. Amounts are shown in "&amp;$C$8&amp;"."</f>
        <v>Edit the four blue cells. Everything else calculates automatically. Amounts are shown in $.</v>
      </c>
      <c r="C13" s="22"/>
      <c r="D13" s="22"/>
      <c r="E13" s="22"/>
      <c r="F13" s="22"/>
      <c r="G13" s="22"/>
      <c r="H13" s="1"/>
    </row>
    <row r="14" spans="1:8" ht="30" customHeight="1" x14ac:dyDescent="0.25">
      <c r="A14" s="1"/>
      <c r="B14" s="23" t="str">
        <f>IF($C$9&lt;1,"Unusual value. An amount of "&amp;$C$8&amp;IF($C$9=ROUND($C$9,0),TEXT($C$9,"#,##0"),TEXT($C$9,"#,##0.##"))&amp;" is very small. Check the number and the currency.",IF($C$9&gt;100000000,"Unusual value. An amount of "&amp;$C$8&amp;IF($C$9=ROUND($C$9,0),TEXT($C$9,"#,##0"),TEXT($C$9,"#,##0.##"))&amp;" is over 100 million. Check the number of zeros and the currency.",IF($C$10&gt;60,"Unusual value. "&amp;$C$10&amp;" years is longer than most people plan for. Check it is what you meant.",IF($C$11&gt;15,"Unusual value. "&amp;$C$11&amp;"% a year is far above what most people expect. Check for a slipped decimal point (2.5 typed as 25).",""))))</f>
        <v/>
      </c>
      <c r="C14" s="22"/>
      <c r="D14" s="22"/>
      <c r="E14" s="22"/>
      <c r="F14" s="22"/>
      <c r="G14" s="22"/>
      <c r="H14" s="1"/>
    </row>
    <row r="15" spans="1:8" x14ac:dyDescent="0.25">
      <c r="A15" s="1"/>
      <c r="B15" s="1"/>
      <c r="C15" s="1"/>
      <c r="D15" s="1"/>
      <c r="E15" s="1"/>
      <c r="F15" s="1"/>
      <c r="G15" s="1"/>
      <c r="H15" s="1"/>
    </row>
    <row r="16" spans="1:8" ht="26.1" customHeight="1" x14ac:dyDescent="0.25">
      <c r="A16" s="1"/>
      <c r="B16" s="31" t="s">
        <v>14</v>
      </c>
      <c r="C16" s="22"/>
      <c r="D16" s="22"/>
      <c r="E16" s="22"/>
      <c r="F16" s="22"/>
      <c r="G16" s="22"/>
      <c r="H16" s="1"/>
    </row>
    <row r="17" spans="1:8" ht="66" customHeight="1" x14ac:dyDescent="0.25">
      <c r="A17" s="1"/>
      <c r="B17" s="25" t="str">
        <f>IF(_Engine!$B$9=1,"This result is too large for this calculator to state reliably. Try fewer years or a lower rate.",IF($C$11&lt;0,$C$8&amp;IF(AND(ABS($C$9)&lt;100,$C$9&lt;&gt;ROUND($C$9,0)),TEXT($C$9,"#,##0.00"),TEXT($C$9,"#,##0"))&amp;" today is projected to have the buying power of about "&amp;$C$8&amp;IF(AND(ABS(_Engine!$B$4)&lt;100,_Engine!$B$4&lt;&gt;ROUND(_Engine!$B$4,0)),TEXT(_Engine!$B$4,"#,##0.00"),TEXT(_Engine!$B$4,"#,##0"))&amp;" in "&amp;$C$10&amp;IF($C$10=1," year"," years")&amp;", assuming prices fall "&amp;ABS($C$11)&amp;"%"&amp;" a year.",$C$8&amp;IF(AND(ABS($C$9)&lt;100,$C$9&lt;&gt;ROUND($C$9,0)),TEXT($C$9,"#,##0.00"),TEXT($C$9,"#,##0"))&amp;" today is projected to have the buying power of about "&amp;$C$8&amp;IF(AND(ABS(_Engine!$B$4)&lt;100,_Engine!$B$4&lt;&gt;ROUND(_Engine!$B$4,0)),TEXT(_Engine!$B$4,"#,##0.00"),TEXT(_Engine!$B$4,"#,##0"))&amp;" in "&amp;$C$10&amp;IF($C$10=1," year"," years")&amp;", assuming "&amp;$C$11&amp;"%"&amp;" inflation."))</f>
        <v>$10,000 today is projected to have the buying power of about $7,812 in 10 years, assuming 2.5% inflation.</v>
      </c>
      <c r="C17" s="22"/>
      <c r="D17" s="22"/>
      <c r="E17" s="22"/>
      <c r="F17" s="22"/>
      <c r="G17" s="22"/>
      <c r="H17" s="1"/>
    </row>
    <row r="18" spans="1:8" ht="20.100000000000001" customHeight="1" x14ac:dyDescent="0.25">
      <c r="A18" s="1"/>
      <c r="B18" s="39" t="str">
        <f>IF($C$11&lt;0,"This assumes prices keep falling at a steady rate. Real prices move up and down from year to year.","This assumes a steady rate. Real inflation moves year to year.")</f>
        <v>This assumes a steady rate. Real inflation moves year to year.</v>
      </c>
      <c r="C18" s="22"/>
      <c r="D18" s="22"/>
      <c r="E18" s="22"/>
      <c r="F18" s="22"/>
      <c r="G18" s="22"/>
      <c r="H18" s="1"/>
    </row>
    <row r="19" spans="1:8" x14ac:dyDescent="0.25">
      <c r="A19" s="1"/>
      <c r="B19" s="1"/>
      <c r="C19" s="1"/>
      <c r="D19" s="1"/>
      <c r="E19" s="1"/>
      <c r="F19" s="1"/>
      <c r="G19" s="1"/>
      <c r="H19" s="1"/>
    </row>
    <row r="20" spans="1:8" ht="30" customHeight="1" x14ac:dyDescent="0.25">
      <c r="A20" s="1"/>
      <c r="B20" s="1"/>
      <c r="C20" s="7" t="str">
        <f>"Buying power after "&amp;$C$10&amp;IF($C$10=1," year"," years")</f>
        <v>Buying power after 10 years</v>
      </c>
      <c r="D20" s="1"/>
      <c r="E20" s="7" t="str">
        <f>IF(_Engine!$B$6&lt;0,"Prices fall in total","Prices rise in total")</f>
        <v>Prices rise in total</v>
      </c>
      <c r="F20" s="1"/>
      <c r="G20" s="7" t="str">
        <f>IF(_Engine!$B$7&lt;0,"Buying power gained","Buying power lost")</f>
        <v>Buying power lost</v>
      </c>
      <c r="H20" s="1"/>
    </row>
    <row r="21" spans="1:8" ht="26.1" customHeight="1" x14ac:dyDescent="0.25">
      <c r="A21" s="1"/>
      <c r="B21" s="1"/>
      <c r="C21" s="8">
        <f>IF(_Engine!$B$9=1,"",_Engine!$B$4)</f>
        <v>7811.9840172572704</v>
      </c>
      <c r="D21" s="1"/>
      <c r="E21" s="9">
        <f>IF(_Engine!$B$9=1,"",ABS(_Engine!$B$6))</f>
        <v>28.008454419635708</v>
      </c>
      <c r="F21" s="1"/>
      <c r="G21" s="9">
        <f>IF(_Engine!$B$9=1,"",ABS(_Engine!$B$7))</f>
        <v>21.880159827427292</v>
      </c>
      <c r="H21" s="1"/>
    </row>
    <row r="22" spans="1:8" ht="30" customHeight="1" x14ac:dyDescent="0.25">
      <c r="A22" s="1"/>
      <c r="B22" s="1"/>
      <c r="C22" s="10" t="str">
        <f>"in today's money, shown in "&amp;$C$8</f>
        <v>in today's money, shown in $</v>
      </c>
      <c r="D22" s="1"/>
      <c r="E22" s="10" t="str">
        <f>"over "&amp;$C$10&amp;IF($C$10=1," year"," years")</f>
        <v>over 10 years</v>
      </c>
      <c r="F22" s="1"/>
      <c r="G22" s="10" t="str">
        <f>"of its starting buying power"</f>
        <v>of its starting buying power</v>
      </c>
      <c r="H22" s="1"/>
    </row>
    <row r="23" spans="1:8" x14ac:dyDescent="0.25">
      <c r="A23" s="1"/>
      <c r="B23" s="1"/>
      <c r="C23" s="1"/>
      <c r="D23" s="1"/>
      <c r="E23" s="1"/>
      <c r="F23" s="1"/>
      <c r="G23" s="1"/>
      <c r="H23" s="1"/>
    </row>
    <row r="24" spans="1:8" ht="26.1" customHeight="1" x14ac:dyDescent="0.25">
      <c r="A24" s="1"/>
      <c r="B24" s="31" t="s">
        <v>15</v>
      </c>
      <c r="C24" s="22"/>
      <c r="D24" s="22"/>
      <c r="E24" s="22"/>
      <c r="F24" s="22"/>
      <c r="G24" s="22"/>
      <c r="H24" s="1"/>
    </row>
    <row r="25" spans="1:8" ht="21.95" customHeight="1" x14ac:dyDescent="0.25">
      <c r="A25" s="1"/>
      <c r="B25" s="37" t="s">
        <v>16</v>
      </c>
      <c r="C25" s="22"/>
      <c r="D25" s="22"/>
      <c r="E25" s="22"/>
      <c r="F25" s="22"/>
      <c r="G25" s="22"/>
      <c r="H25" s="1"/>
    </row>
    <row r="26" spans="1:8" ht="39.950000000000003" customHeight="1" x14ac:dyDescent="0.25">
      <c r="A26" s="1"/>
      <c r="B26" s="29" t="str">
        <f>IF(_Engine!$B$9=1,"",IF($C$11&lt;0,"Your "&amp;$C$8&amp;IF(AND(ABS($C$9)&lt;100,$C$9&lt;&gt;ROUND($C$9,0)),TEXT($C$9,"#,##0.00"),TEXT($C$9,"#,##0"))&amp;" stays "&amp;$C$8&amp;IF(AND(ABS($C$9)&lt;100,$C$9&lt;&gt;ROUND($C$9,0)),TEXT($C$9,"#,##0.00"),TEXT($C$9,"#,##0"))&amp;" on paper. After "&amp;$C$10&amp;IF($C$10=1," year"," years")&amp;" of prices falling "&amp;ABS($C$11)&amp;"%"&amp;" a year it buys about "&amp;$C$8&amp;IF(AND(ABS(_Engine!$B$4)&lt;100,_Engine!$B$4&lt;&gt;ROUND(_Engine!$B$4,0)),TEXT(_Engine!$B$4,"#,##0.00"),TEXT(_Engine!$B$4,"#,##0"))&amp;" in today's money, which is "&amp;$C$8&amp;IF(AND(ABS(MAX(0,ROUND(_Engine!$B$4,0)-ROUND($C$9,0)))&lt;100,MAX(0,ROUND(_Engine!$B$4,0)-ROUND($C$9,0))&lt;&gt;ROUND(MAX(0,ROUND(_Engine!$B$4,0)-ROUND($C$9,0)),0)),TEXT(MAX(0,ROUND(_Engine!$B$4,0)-ROUND($C$9,0)),"#,##0.00"),TEXT(MAX(0,ROUND(_Engine!$B$4,0)-ROUND($C$9,0)),"#,##0"))&amp;" more.","Your "&amp;$C$8&amp;IF(AND(ABS($C$9)&lt;100,$C$9&lt;&gt;ROUND($C$9,0)),TEXT($C$9,"#,##0.00"),TEXT($C$9,"#,##0"))&amp;" stays "&amp;$C$8&amp;IF(AND(ABS($C$9)&lt;100,$C$9&lt;&gt;ROUND($C$9,0)),TEXT($C$9,"#,##0.00"),TEXT($C$9,"#,##0"))&amp;" on paper. After "&amp;$C$10&amp;IF($C$10=1," year"," years")&amp;" at "&amp;$C$11&amp;"%"&amp;" inflation it buys about "&amp;$C$8&amp;IF(AND(ABS(_Engine!$B$4)&lt;100,_Engine!$B$4&lt;&gt;ROUND(_Engine!$B$4,0)),TEXT(_Engine!$B$4,"#,##0.00"),TEXT(_Engine!$B$4,"#,##0"))&amp;" in today's money, which is "&amp;$C$8&amp;IF(AND(ABS(MAX(0,ROUND($C$9,0)-ROUND(_Engine!$B$4,0)))&lt;100,MAX(0,ROUND($C$9,0)-ROUND(_Engine!$B$4,0))&lt;&gt;ROUND(MAX(0,ROUND($C$9,0)-ROUND(_Engine!$B$4,0)),0)),TEXT(MAX(0,ROUND($C$9,0)-ROUND(_Engine!$B$4,0)),"#,##0.00"),TEXT(MAX(0,ROUND($C$9,0)-ROUND(_Engine!$B$4,0)),"#,##0"))&amp;" less."))</f>
        <v>Your $10,000 stays $10,000 on paper. After 10 years at 2.5% inflation it buys about $7,812 in today's money, which is $2,188 less.</v>
      </c>
      <c r="C26" s="22"/>
      <c r="D26" s="22"/>
      <c r="E26" s="22"/>
      <c r="F26" s="22"/>
      <c r="G26" s="22"/>
      <c r="H26" s="1"/>
    </row>
    <row r="27" spans="1:8" x14ac:dyDescent="0.25">
      <c r="A27" s="1"/>
      <c r="B27" s="1"/>
      <c r="C27" s="1"/>
      <c r="D27" s="1"/>
      <c r="E27" s="1"/>
      <c r="F27" s="1"/>
      <c r="G27" s="1"/>
      <c r="H27" s="1"/>
    </row>
    <row r="28" spans="1:8" ht="36" customHeight="1" x14ac:dyDescent="0.25">
      <c r="A28" s="1"/>
      <c r="B28" s="30" t="str">
        <f>"This calculator uses one flat assumed rate for every future year. Real inflation moves year to year"</f>
        <v>This calculator uses one flat assumed rate for every future year. Real inflation moves year to year</v>
      </c>
      <c r="C28" s="22"/>
      <c r="D28" s="22"/>
      <c r="E28" s="22"/>
      <c r="F28" s="22"/>
      <c r="G28" s="22"/>
      <c r="H28" s="1"/>
    </row>
    <row r="29" spans="1:8" ht="44.1" customHeight="1" x14ac:dyDescent="0.25">
      <c r="A29" s="1"/>
      <c r="B29" s="28" t="str">
        <f>"The future number in this report is not a forecast. You set one assumed yearly rate, and the calculator applies it consistently every year. Nobody, including this calculator, can tell you what inflation will actually be next year."</f>
        <v>The future number in this report is not a forecast. You set one assumed yearly rate, and the calculator applies it consistently every year. Nobody, including this calculator, can tell you what inflation will actually be next year.</v>
      </c>
      <c r="C29" s="22"/>
      <c r="D29" s="22"/>
      <c r="E29" s="22"/>
      <c r="F29" s="22"/>
      <c r="G29" s="22"/>
      <c r="H29" s="1"/>
    </row>
    <row r="30" spans="1:8" ht="24" customHeight="1" x14ac:dyDescent="0.25">
      <c r="A30" s="1"/>
      <c r="B30" s="29" t="str">
        <f>IF(_Engine!$B$9=1,"",IF($C$11&lt;0,"In this result prices fall by the same "&amp;ABS($C$11)&amp;"% every year.","In this result every year uses the same "&amp;$C$11&amp;"%."))</f>
        <v>In this result every year uses the same 2.5%.</v>
      </c>
      <c r="C30" s="22"/>
      <c r="D30" s="22"/>
      <c r="E30" s="22"/>
      <c r="F30" s="22"/>
      <c r="G30" s="22"/>
      <c r="H30" s="1"/>
    </row>
    <row r="31" spans="1:8" x14ac:dyDescent="0.25">
      <c r="A31" s="1"/>
      <c r="B31" s="1"/>
      <c r="C31" s="1"/>
      <c r="D31" s="1"/>
      <c r="E31" s="1"/>
      <c r="F31" s="1"/>
      <c r="G31" s="1"/>
      <c r="H31" s="1"/>
    </row>
    <row r="32" spans="1:8" ht="36" customHeight="1" x14ac:dyDescent="0.25">
      <c r="A32" s="1"/>
      <c r="B32" s="30" t="str">
        <f>IF($C$11&lt;0,"When prices fall, a balance can shrink and still keep its buying power","A balance that's growing can still be losing value")</f>
        <v>A balance that's growing can still be losing value</v>
      </c>
      <c r="C32" s="22"/>
      <c r="D32" s="22"/>
      <c r="E32" s="22"/>
      <c r="F32" s="22"/>
      <c r="G32" s="22"/>
      <c r="H32" s="1"/>
    </row>
    <row r="33" spans="1:8" ht="44.1" customHeight="1" x14ac:dyDescent="0.25">
      <c r="A33" s="1"/>
      <c r="B33" s="28" t="str">
        <f>IF($C$11&lt;0,"When prices are falling, a balance that stays the same buys more every year, so it can shrink a little and still keep its buying power. Falling prices are less common than rising ones.","If your savings account pays 2% and inflation is running at 3%, your balance goes up every year and you still lose buying power every year. The account statement never shows this.")</f>
        <v>If your savings account pays 2% and inflation is running at 3%, your balance goes up every year and you still lose buying power every year. The account statement never shows this.</v>
      </c>
      <c r="C33" s="22"/>
      <c r="D33" s="22"/>
      <c r="E33" s="22"/>
      <c r="F33" s="22"/>
      <c r="G33" s="22"/>
      <c r="H33" s="1"/>
    </row>
    <row r="34" spans="1:8" ht="24" customHeight="1" x14ac:dyDescent="0.25">
      <c r="A34" s="1"/>
      <c r="B34" s="29" t="str">
        <f>IF(_Engine!$B$9=1,"",IF($C$11&lt;0,"Here prices fall, so the opposite holds: to keep the buying power of "&amp;$C$8&amp;IF(AND(ABS($C$9)&lt;100,$C$9&lt;&gt;ROUND($C$9,0)),TEXT($C$9,"#,##0.00"),TEXT($C$9,"#,##0"))&amp;", a balance could shrink to about "&amp;$C$8&amp;IF(AND(ABS(_Engine!$B$5)&lt;100,_Engine!$B$5&lt;&gt;ROUND(_Engine!$B$5,0)),TEXT(_Engine!$B$5,"#,##0.00"),TEXT(_Engine!$B$5,"#,##0"))&amp;" in "&amp;$C$10&amp;IF($C$10=1," year"," years")&amp;".","To keep the buying power of "&amp;$C$8&amp;IF(AND(ABS($C$9)&lt;100,$C$9&lt;&gt;ROUND($C$9,0)),TEXT($C$9,"#,##0.00"),TEXT($C$9,"#,##0"))&amp;", a balance would need to reach about "&amp;$C$8&amp;IF(AND(ABS(_Engine!$B$5)&lt;100,_Engine!$B$5&lt;&gt;ROUND(_Engine!$B$5,0)),TEXT(_Engine!$B$5,"#,##0.00"),TEXT(_Engine!$B$5,"#,##0"))&amp;" in "&amp;$C$10&amp;IF($C$10=1," year"," years")&amp;"."))</f>
        <v>To keep the buying power of $10,000, a balance would need to reach about $12,801 in 10 years.</v>
      </c>
      <c r="C34" s="22"/>
      <c r="D34" s="22"/>
      <c r="E34" s="22"/>
      <c r="F34" s="22"/>
      <c r="G34" s="22"/>
      <c r="H34" s="1"/>
    </row>
    <row r="35" spans="1:8" x14ac:dyDescent="0.25">
      <c r="A35" s="1"/>
      <c r="B35" s="1"/>
      <c r="C35" s="1"/>
      <c r="D35" s="1"/>
      <c r="E35" s="1"/>
      <c r="F35" s="1"/>
      <c r="G35" s="1"/>
      <c r="H35" s="1"/>
    </row>
    <row r="36" spans="1:8" ht="36" customHeight="1" x14ac:dyDescent="0.25">
      <c r="A36" s="1"/>
      <c r="B36" s="30" t="str">
        <f>"Inflation compounds: it isn't as simple as multiplying the yearly rate by the number of years"</f>
        <v>Inflation compounds: it isn't as simple as multiplying the yearly rate by the number of years</v>
      </c>
      <c r="C36" s="22"/>
      <c r="D36" s="22"/>
      <c r="E36" s="22"/>
      <c r="F36" s="22"/>
      <c r="G36" s="22"/>
      <c r="H36" s="1"/>
    </row>
    <row r="37" spans="1:8" ht="44.1" customHeight="1" x14ac:dyDescent="0.25">
      <c r="A37" s="1"/>
      <c r="B37" s="28" t="str">
        <f>"A 3% rate for one year is 3%. A 3% rate for twenty years isn't 60%, it's closer to 81%, because each year's increase applies to a price that's already higher than the year before."</f>
        <v>A 3% rate for one year is 3%. A 3% rate for twenty years isn't 60%, it's closer to 81%, because each year's increase applies to a price that's already higher than the year before.</v>
      </c>
      <c r="C37" s="22"/>
      <c r="D37" s="22"/>
      <c r="E37" s="22"/>
      <c r="F37" s="22"/>
      <c r="G37" s="22"/>
      <c r="H37" s="1"/>
    </row>
    <row r="38" spans="1:8" ht="24" customHeight="1" x14ac:dyDescent="0.25">
      <c r="A38" s="1"/>
      <c r="B38" s="29" t="str">
        <f>IF(OR(_Engine!$B$9=1,$C$10&lt;=1,$C$11=0,ABS(_Engine!$B$6-_Engine!$B$8)&lt;0.5),"",IF($C$11&lt;0,"With prices falling "&amp;ABS($C$11)&amp;"% a year for "&amp;$C$10&amp;IF($C$10=1," year"," years")&amp;", they end up about "&amp;ABS(ROUND(_Engine!$B$6,0))&amp;"% lower in total, not the "&amp;ABS(ROUND(_Engine!$B$8,0))&amp;"% lower that multiplying gives.","At "&amp;$C$11&amp;"% for "&amp;$C$10&amp;IF($C$10=1," year"," years")&amp;", prices rise about "&amp;ROUND(_Engine!$B$6,0)&amp;"% in total, not the "&amp;ROUND(_Engine!$B$8,0)&amp;"% that multiplying gives."))</f>
        <v>At 2.5% for 10 years, prices rise about 28% in total, not the 25% that multiplying gives.</v>
      </c>
      <c r="C38" s="22"/>
      <c r="D38" s="22"/>
      <c r="E38" s="22"/>
      <c r="F38" s="22"/>
      <c r="G38" s="22"/>
      <c r="H38" s="1"/>
    </row>
    <row r="39" spans="1:8" x14ac:dyDescent="0.25">
      <c r="A39" s="1"/>
      <c r="B39" s="1"/>
      <c r="C39" s="1"/>
      <c r="D39" s="1"/>
      <c r="E39" s="1"/>
      <c r="F39" s="1"/>
      <c r="G39" s="1"/>
      <c r="H39" s="1"/>
    </row>
    <row r="40" spans="1:8" ht="26.1" customHeight="1" x14ac:dyDescent="0.25">
      <c r="A40" s="1"/>
      <c r="B40" s="31" t="s">
        <v>17</v>
      </c>
      <c r="C40" s="22"/>
      <c r="D40" s="22"/>
      <c r="E40" s="22"/>
      <c r="F40" s="22"/>
      <c r="G40" s="22"/>
      <c r="H40" s="1"/>
    </row>
    <row r="41" spans="1:8" ht="21" customHeight="1" x14ac:dyDescent="0.25">
      <c r="A41" s="1"/>
      <c r="B41" s="11" t="s">
        <v>12</v>
      </c>
      <c r="C41" s="12">
        <f>$C$11/100</f>
        <v>2.5000000000000001E-2</v>
      </c>
      <c r="D41" s="1"/>
      <c r="E41" s="1"/>
      <c r="F41" s="1"/>
      <c r="G41" s="1"/>
      <c r="H41" s="1"/>
    </row>
    <row r="42" spans="1:8" ht="21" customHeight="1" x14ac:dyDescent="0.25">
      <c r="A42" s="1"/>
      <c r="B42" s="11" t="s">
        <v>18</v>
      </c>
      <c r="C42" s="24" t="str">
        <f>IF($C$11=2.5,"A neutral starting value, not a country figure","Entered by you")</f>
        <v>A neutral starting value, not a country figure</v>
      </c>
      <c r="D42" s="22"/>
      <c r="E42" s="22"/>
      <c r="F42" s="22"/>
      <c r="G42" s="22"/>
      <c r="H42" s="1"/>
    </row>
    <row r="43" spans="1:8" ht="21" customHeight="1" x14ac:dyDescent="0.25">
      <c r="A43" s="1"/>
      <c r="B43" s="11" t="str">
        <f>IF($C$11=2.5,"Starting value set","Rate entered on")</f>
        <v>Starting value set</v>
      </c>
      <c r="C43" s="24" t="str">
        <f ca="1">IF($C$11=2.5,"Oct 1, 2026",TEXT(TODAY(),"mmm d, yyyy"))</f>
        <v>Oct 1, 2026</v>
      </c>
      <c r="D43" s="22"/>
      <c r="E43" s="22"/>
      <c r="F43" s="22"/>
      <c r="G43" s="22"/>
      <c r="H43" s="1"/>
    </row>
    <row r="44" spans="1:8" ht="30" customHeight="1" x14ac:dyDescent="0.25">
      <c r="A44" s="1"/>
      <c r="B44" s="27" t="s">
        <v>19</v>
      </c>
      <c r="C44" s="22"/>
      <c r="D44" s="22"/>
      <c r="E44" s="22"/>
      <c r="F44" s="22"/>
      <c r="G44" s="22"/>
      <c r="H44" s="1"/>
    </row>
    <row r="45" spans="1:8" x14ac:dyDescent="0.25">
      <c r="A45" s="1"/>
      <c r="B45" s="1"/>
      <c r="C45" s="1"/>
      <c r="D45" s="1"/>
      <c r="E45" s="1"/>
      <c r="F45" s="1"/>
      <c r="G45" s="1"/>
      <c r="H45" s="1"/>
    </row>
    <row r="46" spans="1:8" ht="30" customHeight="1" x14ac:dyDescent="0.25">
      <c r="A46" s="1"/>
      <c r="B46" s="32" t="s">
        <v>20</v>
      </c>
      <c r="C46" s="33"/>
      <c r="D46" s="33"/>
      <c r="E46" s="33"/>
      <c r="F46" s="33"/>
      <c r="G46" s="33"/>
      <c r="H46" s="1"/>
    </row>
    <row r="47" spans="1:8" ht="30" customHeight="1" x14ac:dyDescent="0.25">
      <c r="A47" s="1"/>
      <c r="B47" s="34"/>
      <c r="C47" s="22"/>
      <c r="D47" s="22"/>
      <c r="E47" s="22"/>
      <c r="F47" s="22"/>
      <c r="G47" s="22"/>
      <c r="H47" s="1"/>
    </row>
    <row r="48" spans="1:8" x14ac:dyDescent="0.25">
      <c r="A48" s="1"/>
      <c r="B48" s="1"/>
      <c r="C48" s="1"/>
      <c r="D48" s="1"/>
      <c r="E48" s="1"/>
      <c r="F48" s="1"/>
      <c r="G48" s="1"/>
      <c r="H48" s="1"/>
    </row>
    <row r="49" spans="1:8" x14ac:dyDescent="0.25">
      <c r="A49" s="1"/>
      <c r="B49" s="1"/>
      <c r="C49" s="1"/>
      <c r="D49" s="1"/>
      <c r="E49" s="1"/>
      <c r="F49" s="1"/>
      <c r="G49" s="1"/>
      <c r="H49" s="1"/>
    </row>
    <row r="50" spans="1:8" x14ac:dyDescent="0.25">
      <c r="A50" s="1"/>
      <c r="B50" s="1"/>
      <c r="C50" s="1"/>
      <c r="D50" s="1"/>
      <c r="E50" s="1"/>
      <c r="F50" s="1"/>
      <c r="G50" s="1"/>
      <c r="H50" s="1"/>
    </row>
    <row r="51" spans="1:8" x14ac:dyDescent="0.25">
      <c r="A51" s="1"/>
      <c r="B51" s="1"/>
      <c r="C51" s="1"/>
      <c r="D51" s="1"/>
      <c r="E51" s="1"/>
      <c r="F51" s="1"/>
      <c r="G51" s="1"/>
      <c r="H51" s="1"/>
    </row>
    <row r="52" spans="1:8" x14ac:dyDescent="0.25">
      <c r="A52" s="1"/>
      <c r="B52" s="1"/>
      <c r="C52" s="1"/>
      <c r="D52" s="1"/>
      <c r="E52" s="1"/>
      <c r="F52" s="1"/>
      <c r="G52" s="1"/>
      <c r="H52" s="1"/>
    </row>
    <row r="53" spans="1:8" x14ac:dyDescent="0.25">
      <c r="A53" s="1"/>
      <c r="B53" s="1"/>
      <c r="C53" s="1"/>
      <c r="D53" s="1"/>
      <c r="E53" s="1"/>
      <c r="F53" s="1"/>
      <c r="G53" s="1"/>
      <c r="H53" s="1"/>
    </row>
    <row r="54" spans="1:8" x14ac:dyDescent="0.25">
      <c r="A54" s="1"/>
      <c r="B54" s="1"/>
      <c r="C54" s="1"/>
      <c r="D54" s="1"/>
      <c r="E54" s="1"/>
      <c r="F54" s="1"/>
      <c r="G54" s="1"/>
      <c r="H54" s="1"/>
    </row>
    <row r="55" spans="1:8" x14ac:dyDescent="0.25">
      <c r="A55" s="1"/>
      <c r="B55" s="1"/>
      <c r="C55" s="1"/>
      <c r="D55" s="1"/>
      <c r="E55" s="1"/>
      <c r="F55" s="1"/>
      <c r="G55" s="1"/>
      <c r="H55" s="1"/>
    </row>
    <row r="56" spans="1:8" x14ac:dyDescent="0.25">
      <c r="A56" s="1"/>
      <c r="B56" s="1"/>
      <c r="C56" s="1"/>
      <c r="D56" s="1"/>
      <c r="E56" s="1"/>
      <c r="F56" s="1"/>
      <c r="G56" s="1"/>
      <c r="H56" s="1"/>
    </row>
    <row r="57" spans="1:8" x14ac:dyDescent="0.25">
      <c r="A57" s="1"/>
      <c r="B57" s="1"/>
      <c r="C57" s="1"/>
      <c r="D57" s="1"/>
      <c r="E57" s="1"/>
      <c r="F57" s="1"/>
      <c r="G57" s="1"/>
      <c r="H57" s="1"/>
    </row>
    <row r="58" spans="1:8" x14ac:dyDescent="0.25">
      <c r="A58" s="1"/>
      <c r="B58" s="1"/>
      <c r="C58" s="1"/>
      <c r="D58" s="1"/>
      <c r="E58" s="1"/>
      <c r="F58" s="1"/>
      <c r="G58" s="1"/>
      <c r="H58" s="1"/>
    </row>
    <row r="59" spans="1:8" x14ac:dyDescent="0.25">
      <c r="A59" s="1"/>
      <c r="B59" s="1"/>
      <c r="C59" s="1"/>
      <c r="D59" s="1"/>
      <c r="E59" s="1"/>
      <c r="F59" s="1"/>
      <c r="G59" s="1"/>
      <c r="H59" s="1"/>
    </row>
    <row r="60" spans="1:8" x14ac:dyDescent="0.25">
      <c r="A60" s="1"/>
      <c r="B60" s="1"/>
      <c r="C60" s="1"/>
      <c r="D60" s="1"/>
      <c r="E60" s="1"/>
      <c r="F60" s="1"/>
      <c r="G60" s="1"/>
      <c r="H60" s="1"/>
    </row>
    <row r="61" spans="1:8" x14ac:dyDescent="0.25">
      <c r="A61" s="1"/>
      <c r="B61" s="1"/>
      <c r="C61" s="1"/>
      <c r="D61" s="1"/>
      <c r="E61" s="1"/>
      <c r="F61" s="1"/>
      <c r="G61" s="1"/>
      <c r="H61" s="1"/>
    </row>
    <row r="62" spans="1:8" x14ac:dyDescent="0.25">
      <c r="A62" s="1"/>
      <c r="B62" s="1"/>
      <c r="C62" s="1"/>
      <c r="D62" s="1"/>
      <c r="E62" s="1"/>
      <c r="F62" s="1"/>
      <c r="G62" s="1"/>
      <c r="H62" s="1"/>
    </row>
    <row r="63" spans="1:8" x14ac:dyDescent="0.25">
      <c r="A63" s="1"/>
      <c r="B63" s="1"/>
      <c r="C63" s="1"/>
      <c r="D63" s="1"/>
      <c r="E63" s="1"/>
      <c r="F63" s="1"/>
      <c r="G63" s="1"/>
      <c r="H63" s="1"/>
    </row>
    <row r="64" spans="1:8" x14ac:dyDescent="0.25">
      <c r="A64" s="1"/>
      <c r="B64" s="1"/>
      <c r="C64" s="1"/>
      <c r="D64" s="1"/>
      <c r="E64" s="1"/>
      <c r="F64" s="1"/>
      <c r="G64" s="1"/>
      <c r="H64" s="1"/>
    </row>
    <row r="65" spans="1:8" x14ac:dyDescent="0.25">
      <c r="A65" s="1"/>
      <c r="B65" s="1"/>
      <c r="C65" s="1"/>
      <c r="D65" s="1"/>
      <c r="E65" s="1"/>
      <c r="F65" s="1"/>
      <c r="G65" s="1"/>
      <c r="H65" s="1"/>
    </row>
    <row r="66" spans="1:8" x14ac:dyDescent="0.25">
      <c r="A66" s="1"/>
      <c r="B66" s="1"/>
      <c r="C66" s="1"/>
      <c r="D66" s="1"/>
      <c r="E66" s="1"/>
      <c r="F66" s="1"/>
      <c r="G66" s="1"/>
      <c r="H66" s="1"/>
    </row>
    <row r="67" spans="1:8" x14ac:dyDescent="0.25">
      <c r="A67" s="1"/>
      <c r="B67" s="1"/>
      <c r="C67" s="1"/>
      <c r="D67" s="1"/>
      <c r="E67" s="1"/>
      <c r="F67" s="1"/>
      <c r="G67" s="1"/>
      <c r="H67" s="1"/>
    </row>
    <row r="68" spans="1:8" x14ac:dyDescent="0.25">
      <c r="A68" s="1"/>
      <c r="B68" s="1"/>
      <c r="C68" s="1"/>
      <c r="D68" s="1"/>
      <c r="E68" s="1"/>
      <c r="F68" s="1"/>
      <c r="G68" s="1"/>
      <c r="H68" s="1"/>
    </row>
    <row r="69" spans="1:8" x14ac:dyDescent="0.25">
      <c r="A69" s="1"/>
      <c r="B69" s="1"/>
      <c r="C69" s="1"/>
      <c r="D69" s="1"/>
      <c r="E69" s="1"/>
      <c r="F69" s="1"/>
      <c r="G69" s="1"/>
      <c r="H69" s="1"/>
    </row>
    <row r="70" spans="1:8" x14ac:dyDescent="0.25">
      <c r="A70" s="1"/>
      <c r="B70" s="1"/>
      <c r="C70" s="1"/>
      <c r="D70" s="1"/>
      <c r="E70" s="1"/>
      <c r="F70" s="1"/>
      <c r="G70" s="1"/>
      <c r="H70" s="1"/>
    </row>
    <row r="71" spans="1:8" x14ac:dyDescent="0.25">
      <c r="A71" s="1"/>
      <c r="B71" s="1"/>
      <c r="C71" s="1"/>
      <c r="D71" s="1"/>
      <c r="E71" s="1"/>
      <c r="F71" s="1"/>
      <c r="G71" s="1"/>
      <c r="H71" s="1"/>
    </row>
    <row r="72" spans="1:8" x14ac:dyDescent="0.25">
      <c r="A72" s="1"/>
      <c r="B72" s="1"/>
      <c r="C72" s="1"/>
      <c r="D72" s="1"/>
      <c r="E72" s="1"/>
      <c r="F72" s="1"/>
      <c r="G72" s="1"/>
      <c r="H72" s="1"/>
    </row>
    <row r="73" spans="1:8" x14ac:dyDescent="0.25">
      <c r="A73" s="1"/>
      <c r="B73" s="1"/>
      <c r="C73" s="1"/>
      <c r="D73" s="1"/>
      <c r="E73" s="1"/>
      <c r="F73" s="1"/>
      <c r="G73" s="1"/>
      <c r="H73" s="1"/>
    </row>
    <row r="74" spans="1:8" x14ac:dyDescent="0.25">
      <c r="A74" s="1"/>
      <c r="B74" s="1"/>
      <c r="C74" s="1"/>
      <c r="D74" s="1"/>
      <c r="E74" s="1"/>
      <c r="F74" s="1"/>
      <c r="G74" s="1"/>
      <c r="H74" s="1"/>
    </row>
    <row r="75" spans="1:8" x14ac:dyDescent="0.25">
      <c r="A75" s="1"/>
      <c r="B75" s="1"/>
      <c r="C75" s="1"/>
      <c r="D75" s="1"/>
      <c r="E75" s="1"/>
      <c r="F75" s="1"/>
      <c r="G75" s="1"/>
      <c r="H75" s="1"/>
    </row>
    <row r="76" spans="1:8" x14ac:dyDescent="0.25">
      <c r="A76" s="1"/>
      <c r="B76" s="1"/>
      <c r="C76" s="1"/>
      <c r="D76" s="1"/>
      <c r="E76" s="1"/>
      <c r="F76" s="1"/>
      <c r="G76" s="1"/>
      <c r="H76" s="1"/>
    </row>
    <row r="77" spans="1:8" x14ac:dyDescent="0.25">
      <c r="A77" s="1"/>
      <c r="B77" s="1"/>
      <c r="C77" s="1"/>
      <c r="D77" s="1"/>
      <c r="E77" s="1"/>
      <c r="F77" s="1"/>
      <c r="G77" s="1"/>
      <c r="H77" s="1"/>
    </row>
    <row r="78" spans="1:8" x14ac:dyDescent="0.25">
      <c r="A78" s="1"/>
      <c r="B78" s="1"/>
      <c r="C78" s="1"/>
      <c r="D78" s="1"/>
      <c r="E78" s="1"/>
      <c r="F78" s="1"/>
      <c r="G78" s="1"/>
      <c r="H78" s="1"/>
    </row>
    <row r="79" spans="1:8" x14ac:dyDescent="0.25">
      <c r="A79" s="1"/>
      <c r="B79" s="1"/>
      <c r="C79" s="1"/>
      <c r="D79" s="1"/>
      <c r="E79" s="1"/>
      <c r="F79" s="1"/>
      <c r="G79" s="1"/>
      <c r="H79" s="1"/>
    </row>
    <row r="80" spans="1:8" x14ac:dyDescent="0.25">
      <c r="A80" s="1"/>
      <c r="B80" s="1"/>
      <c r="C80" s="1"/>
      <c r="D80" s="1"/>
      <c r="E80" s="1"/>
      <c r="F80" s="1"/>
      <c r="G80" s="1"/>
      <c r="H80" s="1"/>
    </row>
  </sheetData>
  <sheetProtection sheet="1" formatCells="0"/>
  <mergeCells count="31">
    <mergeCell ref="B2:D2"/>
    <mergeCell ref="B4:G4"/>
    <mergeCell ref="B26:G26"/>
    <mergeCell ref="B7:G7"/>
    <mergeCell ref="B25:G25"/>
    <mergeCell ref="B3:G3"/>
    <mergeCell ref="B16:G16"/>
    <mergeCell ref="E8:G8"/>
    <mergeCell ref="B18:G18"/>
    <mergeCell ref="B46:G47"/>
    <mergeCell ref="C43:G43"/>
    <mergeCell ref="B5:G5"/>
    <mergeCell ref="B36:G36"/>
    <mergeCell ref="B32:G32"/>
    <mergeCell ref="B44:G44"/>
    <mergeCell ref="B29:G29"/>
    <mergeCell ref="B38:G38"/>
    <mergeCell ref="B34:G34"/>
    <mergeCell ref="B28:G28"/>
    <mergeCell ref="B37:G37"/>
    <mergeCell ref="B40:G40"/>
    <mergeCell ref="B30:G30"/>
    <mergeCell ref="B33:G33"/>
    <mergeCell ref="E10:G10"/>
    <mergeCell ref="B14:G14"/>
    <mergeCell ref="C42:G42"/>
    <mergeCell ref="B17:G17"/>
    <mergeCell ref="E9:G9"/>
    <mergeCell ref="B13:G13"/>
    <mergeCell ref="E11:G11"/>
    <mergeCell ref="B24:G24"/>
  </mergeCells>
  <dataValidations count="3">
    <dataValidation type="decimal" showErrorMessage="1" errorTitle="Amount" error="Hi, the amount needs to be between 0 and 900 trillion. Please adjust it." sqref="C9" xr:uid="{00000000-0002-0000-0000-000000000000}">
      <formula1>0</formula1>
      <formula2>900000000000000</formula2>
    </dataValidation>
    <dataValidation type="decimal" showErrorMessage="1" errorTitle="Years from now" error="Hi, years from now needs to be between 1 and 200. Please adjust it." sqref="C10" xr:uid="{00000000-0002-0000-0000-000001000000}">
      <formula1>1</formula1>
      <formula2>200</formula2>
    </dataValidation>
    <dataValidation type="decimal" showErrorMessage="1" errorTitle="Assumed future inflation rate" error="Hi, the inflation rate needs to be between -50% and 100%. A negative rate means prices fall. Please adjust it." sqref="C11" xr:uid="{00000000-0002-0000-0000-000002000000}">
      <formula1>-50</formula1>
      <formula2>100</formula2>
    </dataValidation>
  </dataValidations>
  <hyperlinks>
    <hyperlink ref="B2" r:id="rId1" xr:uid="{00000000-0004-0000-0000-000000000000}"/>
    <hyperlink ref="B5" r:id="rId2" xr:uid="{00000000-0004-0000-0000-000001000000}"/>
  </hyperlinks>
  <pageMargins left="0.75" right="0.75" top="1" bottom="1" header="0.5" footer="0.5"/>
  <pageSetup fitToHeight="0" orientation="portrait"/>
  <headerFooter>
    <oddFooter>&amp;Lneedtheseapps.com&amp;CInflation Calculator&amp;RPage &amp;P of &amp;N</oddFooter>
  </headerFooter>
  <rowBreaks count="1" manualBreakCount="1">
    <brk id="48" max="16383" man="1"/>
  </rowBreak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203"/>
  <sheetViews>
    <sheetView showGridLines="0" workbookViewId="0">
      <pane ySplit="3" topLeftCell="A4" activePane="bottomLeft" state="frozen"/>
      <selection pane="bottomLeft"/>
    </sheetView>
  </sheetViews>
  <sheetFormatPr defaultRowHeight="15" x14ac:dyDescent="0.25"/>
  <cols>
    <col min="1" max="1" width="9" customWidth="1"/>
    <col min="2" max="4" width="24" customWidth="1"/>
    <col min="5" max="5" width="2" customWidth="1"/>
  </cols>
  <sheetData>
    <row r="1" spans="1:4" ht="30" customHeight="1" x14ac:dyDescent="0.25">
      <c r="A1" s="41" t="s">
        <v>21</v>
      </c>
      <c r="B1" s="22"/>
      <c r="C1" s="22"/>
      <c r="D1" s="22"/>
    </row>
    <row r="2" spans="1:4" ht="30" customHeight="1" x14ac:dyDescent="0.25">
      <c r="A2" s="39" t="str">
        <f>"Every year: the amount on paper, and what it buys in today's money. Nothing here needs editing. Amounts are shown in "&amp;Calculator!$C$8&amp;"."</f>
        <v>Every year: the amount on paper, and what it buys in today's money. Nothing here needs editing. Amounts are shown in $.</v>
      </c>
      <c r="B2" s="22"/>
      <c r="C2" s="22"/>
      <c r="D2" s="22"/>
    </row>
    <row r="3" spans="1:4" ht="33.950000000000003" customHeight="1" x14ac:dyDescent="0.25">
      <c r="A3" s="13" t="s">
        <v>22</v>
      </c>
      <c r="B3" s="13" t="s">
        <v>23</v>
      </c>
      <c r="C3" s="13" t="s">
        <v>24</v>
      </c>
      <c r="D3" s="13" t="s">
        <v>25</v>
      </c>
    </row>
    <row r="4" spans="1:4" x14ac:dyDescent="0.25">
      <c r="A4" s="14">
        <f>IF(1&lt;=Calculator!$C$10,1,"")</f>
        <v>1</v>
      </c>
      <c r="B4" s="15">
        <f>IF($A4="","",Calculator!$C$9)</f>
        <v>10000</v>
      </c>
      <c r="C4" s="15">
        <f>IF($A4="","",Calculator!$C$9/POWER(1+_Engine!$B$2,$A4))</f>
        <v>9756.0975609756115</v>
      </c>
      <c r="D4" s="16">
        <f>IF($A4="","",POWER(1+_Engine!$B$2,$A4))</f>
        <v>1.0249999999999999</v>
      </c>
    </row>
    <row r="5" spans="1:4" x14ac:dyDescent="0.25">
      <c r="A5" s="14">
        <f>IF(2&lt;=Calculator!$C$10,2,"")</f>
        <v>2</v>
      </c>
      <c r="B5" s="15">
        <f>IF($A5="","",Calculator!$C$9)</f>
        <v>10000</v>
      </c>
      <c r="C5" s="15">
        <f>IF($A5="","",Calculator!$C$9/POWER(1+_Engine!$B$2,$A5))</f>
        <v>9518.1439619274242</v>
      </c>
      <c r="D5" s="16">
        <f>IF($A5="","",POWER(1+_Engine!$B$2,$A5))</f>
        <v>1.0506249999999999</v>
      </c>
    </row>
    <row r="6" spans="1:4" x14ac:dyDescent="0.25">
      <c r="A6" s="14">
        <f>IF(3&lt;=Calculator!$C$10,3,"")</f>
        <v>3</v>
      </c>
      <c r="B6" s="15">
        <f>IF($A6="","",Calculator!$C$9)</f>
        <v>10000</v>
      </c>
      <c r="C6" s="15">
        <f>IF($A6="","",Calculator!$C$9/POWER(1+_Engine!$B$2,$A6))</f>
        <v>9285.9941091974888</v>
      </c>
      <c r="D6" s="16">
        <f>IF($A6="","",POWER(1+_Engine!$B$2,$A6))</f>
        <v>1.0768906249999999</v>
      </c>
    </row>
    <row r="7" spans="1:4" x14ac:dyDescent="0.25">
      <c r="A7" s="14">
        <f>IF(4&lt;=Calculator!$C$10,4,"")</f>
        <v>4</v>
      </c>
      <c r="B7" s="15">
        <f>IF($A7="","",Calculator!$C$9)</f>
        <v>10000</v>
      </c>
      <c r="C7" s="15">
        <f>IF($A7="","",Calculator!$C$9/POWER(1+_Engine!$B$2,$A7))</f>
        <v>9059.5064479975499</v>
      </c>
      <c r="D7" s="16">
        <f>IF($A7="","",POWER(1+_Engine!$B$2,$A7))</f>
        <v>1.1038128906249998</v>
      </c>
    </row>
    <row r="8" spans="1:4" x14ac:dyDescent="0.25">
      <c r="A8" s="14">
        <f>IF(5&lt;=Calculator!$C$10,5,"")</f>
        <v>5</v>
      </c>
      <c r="B8" s="15">
        <f>IF($A8="","",Calculator!$C$9)</f>
        <v>10000</v>
      </c>
      <c r="C8" s="15">
        <f>IF($A8="","",Calculator!$C$9/POWER(1+_Engine!$B$2,$A8))</f>
        <v>8838.5428760951709</v>
      </c>
      <c r="D8" s="16">
        <f>IF($A8="","",POWER(1+_Engine!$B$2,$A8))</f>
        <v>1.1314082128906247</v>
      </c>
    </row>
    <row r="9" spans="1:4" x14ac:dyDescent="0.25">
      <c r="A9" s="14">
        <f>IF(6&lt;=Calculator!$C$10,6,"")</f>
        <v>6</v>
      </c>
      <c r="B9" s="15">
        <f>IF($A9="","",Calculator!$C$9)</f>
        <v>10000</v>
      </c>
      <c r="C9" s="15">
        <f>IF($A9="","",Calculator!$C$9/POWER(1+_Engine!$B$2,$A9))</f>
        <v>8622.9686596050469</v>
      </c>
      <c r="D9" s="16">
        <f>IF($A9="","",POWER(1+_Engine!$B$2,$A9))</f>
        <v>1.1596934182128902</v>
      </c>
    </row>
    <row r="10" spans="1:4" x14ac:dyDescent="0.25">
      <c r="A10" s="14">
        <f>IF(7&lt;=Calculator!$C$10,7,"")</f>
        <v>7</v>
      </c>
      <c r="B10" s="15">
        <f>IF($A10="","",Calculator!$C$9)</f>
        <v>10000</v>
      </c>
      <c r="C10" s="15">
        <f>IF($A10="","",Calculator!$C$9/POWER(1+_Engine!$B$2,$A10))</f>
        <v>8412.6523508341907</v>
      </c>
      <c r="D10" s="16">
        <f>IF($A10="","",POWER(1+_Engine!$B$2,$A10))</f>
        <v>1.1886857536682125</v>
      </c>
    </row>
    <row r="11" spans="1:4" x14ac:dyDescent="0.25">
      <c r="A11" s="14">
        <f>IF(8&lt;=Calculator!$C$10,8,"")</f>
        <v>8</v>
      </c>
      <c r="B11" s="15">
        <f>IF($A11="","",Calculator!$C$9)</f>
        <v>10000</v>
      </c>
      <c r="C11" s="15">
        <f>IF($A11="","",Calculator!$C$9/POWER(1+_Engine!$B$2,$A11))</f>
        <v>8207.4657081309197</v>
      </c>
      <c r="D11" s="16">
        <f>IF($A11="","",POWER(1+_Engine!$B$2,$A11))</f>
        <v>1.2184028975099177</v>
      </c>
    </row>
    <row r="12" spans="1:4" x14ac:dyDescent="0.25">
      <c r="A12" s="14">
        <f>IF(9&lt;=Calculator!$C$10,9,"")</f>
        <v>9</v>
      </c>
      <c r="B12" s="15">
        <f>IF($A12="","",Calculator!$C$9)</f>
        <v>10000</v>
      </c>
      <c r="C12" s="15">
        <f>IF($A12="","",Calculator!$C$9/POWER(1+_Engine!$B$2,$A12))</f>
        <v>8007.2836176887022</v>
      </c>
      <c r="D12" s="16">
        <f>IF($A12="","",POWER(1+_Engine!$B$2,$A12))</f>
        <v>1.2488629699476654</v>
      </c>
    </row>
    <row r="13" spans="1:4" x14ac:dyDescent="0.25">
      <c r="A13" s="14">
        <f>IF(10&lt;=Calculator!$C$10,10,"")</f>
        <v>10</v>
      </c>
      <c r="B13" s="15">
        <f>IF($A13="","",Calculator!$C$9)</f>
        <v>10000</v>
      </c>
      <c r="C13" s="15">
        <f>IF($A13="","",Calculator!$C$9/POWER(1+_Engine!$B$2,$A13))</f>
        <v>7811.9840172572704</v>
      </c>
      <c r="D13" s="16">
        <f>IF($A13="","",POWER(1+_Engine!$B$2,$A13))</f>
        <v>1.2800845441963571</v>
      </c>
    </row>
    <row r="14" spans="1:4" x14ac:dyDescent="0.25">
      <c r="A14" s="14" t="str">
        <f>IF(11&lt;=Calculator!$C$10,11,"")</f>
        <v/>
      </c>
      <c r="B14" s="15" t="str">
        <f>IF($A14="","",Calculator!$C$9)</f>
        <v/>
      </c>
      <c r="C14" s="15" t="str">
        <f>IF($A14="","",Calculator!$C$9/POWER(1+_Engine!$B$2,$A14))</f>
        <v/>
      </c>
      <c r="D14" s="16" t="str">
        <f>IF($A14="","",POWER(1+_Engine!$B$2,$A14))</f>
        <v/>
      </c>
    </row>
    <row r="15" spans="1:4" x14ac:dyDescent="0.25">
      <c r="A15" s="14" t="str">
        <f>IF(12&lt;=Calculator!$C$10,12,"")</f>
        <v/>
      </c>
      <c r="B15" s="15" t="str">
        <f>IF($A15="","",Calculator!$C$9)</f>
        <v/>
      </c>
      <c r="C15" s="15" t="str">
        <f>IF($A15="","",Calculator!$C$9/POWER(1+_Engine!$B$2,$A15))</f>
        <v/>
      </c>
      <c r="D15" s="16" t="str">
        <f>IF($A15="","",POWER(1+_Engine!$B$2,$A15))</f>
        <v/>
      </c>
    </row>
    <row r="16" spans="1:4" x14ac:dyDescent="0.25">
      <c r="A16" s="14" t="str">
        <f>IF(13&lt;=Calculator!$C$10,13,"")</f>
        <v/>
      </c>
      <c r="B16" s="15" t="str">
        <f>IF($A16="","",Calculator!$C$9)</f>
        <v/>
      </c>
      <c r="C16" s="15" t="str">
        <f>IF($A16="","",Calculator!$C$9/POWER(1+_Engine!$B$2,$A16))</f>
        <v/>
      </c>
      <c r="D16" s="16" t="str">
        <f>IF($A16="","",POWER(1+_Engine!$B$2,$A16))</f>
        <v/>
      </c>
    </row>
    <row r="17" spans="1:4" x14ac:dyDescent="0.25">
      <c r="A17" s="14" t="str">
        <f>IF(14&lt;=Calculator!$C$10,14,"")</f>
        <v/>
      </c>
      <c r="B17" s="15" t="str">
        <f>IF($A17="","",Calculator!$C$9)</f>
        <v/>
      </c>
      <c r="C17" s="15" t="str">
        <f>IF($A17="","",Calculator!$C$9/POWER(1+_Engine!$B$2,$A17))</f>
        <v/>
      </c>
      <c r="D17" s="16" t="str">
        <f>IF($A17="","",POWER(1+_Engine!$B$2,$A17))</f>
        <v/>
      </c>
    </row>
    <row r="18" spans="1:4" x14ac:dyDescent="0.25">
      <c r="A18" s="14" t="str">
        <f>IF(15&lt;=Calculator!$C$10,15,"")</f>
        <v/>
      </c>
      <c r="B18" s="15" t="str">
        <f>IF($A18="","",Calculator!$C$9)</f>
        <v/>
      </c>
      <c r="C18" s="15" t="str">
        <f>IF($A18="","",Calculator!$C$9/POWER(1+_Engine!$B$2,$A18))</f>
        <v/>
      </c>
      <c r="D18" s="16" t="str">
        <f>IF($A18="","",POWER(1+_Engine!$B$2,$A18))</f>
        <v/>
      </c>
    </row>
    <row r="19" spans="1:4" x14ac:dyDescent="0.25">
      <c r="A19" s="14" t="str">
        <f>IF(16&lt;=Calculator!$C$10,16,"")</f>
        <v/>
      </c>
      <c r="B19" s="15" t="str">
        <f>IF($A19="","",Calculator!$C$9)</f>
        <v/>
      </c>
      <c r="C19" s="15" t="str">
        <f>IF($A19="","",Calculator!$C$9/POWER(1+_Engine!$B$2,$A19))</f>
        <v/>
      </c>
      <c r="D19" s="16" t="str">
        <f>IF($A19="","",POWER(1+_Engine!$B$2,$A19))</f>
        <v/>
      </c>
    </row>
    <row r="20" spans="1:4" x14ac:dyDescent="0.25">
      <c r="A20" s="14" t="str">
        <f>IF(17&lt;=Calculator!$C$10,17,"")</f>
        <v/>
      </c>
      <c r="B20" s="15" t="str">
        <f>IF($A20="","",Calculator!$C$9)</f>
        <v/>
      </c>
      <c r="C20" s="15" t="str">
        <f>IF($A20="","",Calculator!$C$9/POWER(1+_Engine!$B$2,$A20))</f>
        <v/>
      </c>
      <c r="D20" s="16" t="str">
        <f>IF($A20="","",POWER(1+_Engine!$B$2,$A20))</f>
        <v/>
      </c>
    </row>
    <row r="21" spans="1:4" x14ac:dyDescent="0.25">
      <c r="A21" s="14" t="str">
        <f>IF(18&lt;=Calculator!$C$10,18,"")</f>
        <v/>
      </c>
      <c r="B21" s="15" t="str">
        <f>IF($A21="","",Calculator!$C$9)</f>
        <v/>
      </c>
      <c r="C21" s="15" t="str">
        <f>IF($A21="","",Calculator!$C$9/POWER(1+_Engine!$B$2,$A21))</f>
        <v/>
      </c>
      <c r="D21" s="16" t="str">
        <f>IF($A21="","",POWER(1+_Engine!$B$2,$A21))</f>
        <v/>
      </c>
    </row>
    <row r="22" spans="1:4" x14ac:dyDescent="0.25">
      <c r="A22" s="14" t="str">
        <f>IF(19&lt;=Calculator!$C$10,19,"")</f>
        <v/>
      </c>
      <c r="B22" s="15" t="str">
        <f>IF($A22="","",Calculator!$C$9)</f>
        <v/>
      </c>
      <c r="C22" s="15" t="str">
        <f>IF($A22="","",Calculator!$C$9/POWER(1+_Engine!$B$2,$A22))</f>
        <v/>
      </c>
      <c r="D22" s="16" t="str">
        <f>IF($A22="","",POWER(1+_Engine!$B$2,$A22))</f>
        <v/>
      </c>
    </row>
    <row r="23" spans="1:4" x14ac:dyDescent="0.25">
      <c r="A23" s="14" t="str">
        <f>IF(20&lt;=Calculator!$C$10,20,"")</f>
        <v/>
      </c>
      <c r="B23" s="15" t="str">
        <f>IF($A23="","",Calculator!$C$9)</f>
        <v/>
      </c>
      <c r="C23" s="15" t="str">
        <f>IF($A23="","",Calculator!$C$9/POWER(1+_Engine!$B$2,$A23))</f>
        <v/>
      </c>
      <c r="D23" s="16" t="str">
        <f>IF($A23="","",POWER(1+_Engine!$B$2,$A23))</f>
        <v/>
      </c>
    </row>
    <row r="24" spans="1:4" x14ac:dyDescent="0.25">
      <c r="A24" s="14" t="str">
        <f>IF(21&lt;=Calculator!$C$10,21,"")</f>
        <v/>
      </c>
      <c r="B24" s="15" t="str">
        <f>IF($A24="","",Calculator!$C$9)</f>
        <v/>
      </c>
      <c r="C24" s="15" t="str">
        <f>IF($A24="","",Calculator!$C$9/POWER(1+_Engine!$B$2,$A24))</f>
        <v/>
      </c>
      <c r="D24" s="16" t="str">
        <f>IF($A24="","",POWER(1+_Engine!$B$2,$A24))</f>
        <v/>
      </c>
    </row>
    <row r="25" spans="1:4" x14ac:dyDescent="0.25">
      <c r="A25" s="14" t="str">
        <f>IF(22&lt;=Calculator!$C$10,22,"")</f>
        <v/>
      </c>
      <c r="B25" s="15" t="str">
        <f>IF($A25="","",Calculator!$C$9)</f>
        <v/>
      </c>
      <c r="C25" s="15" t="str">
        <f>IF($A25="","",Calculator!$C$9/POWER(1+_Engine!$B$2,$A25))</f>
        <v/>
      </c>
      <c r="D25" s="16" t="str">
        <f>IF($A25="","",POWER(1+_Engine!$B$2,$A25))</f>
        <v/>
      </c>
    </row>
    <row r="26" spans="1:4" x14ac:dyDescent="0.25">
      <c r="A26" s="14" t="str">
        <f>IF(23&lt;=Calculator!$C$10,23,"")</f>
        <v/>
      </c>
      <c r="B26" s="15" t="str">
        <f>IF($A26="","",Calculator!$C$9)</f>
        <v/>
      </c>
      <c r="C26" s="15" t="str">
        <f>IF($A26="","",Calculator!$C$9/POWER(1+_Engine!$B$2,$A26))</f>
        <v/>
      </c>
      <c r="D26" s="16" t="str">
        <f>IF($A26="","",POWER(1+_Engine!$B$2,$A26))</f>
        <v/>
      </c>
    </row>
    <row r="27" spans="1:4" x14ac:dyDescent="0.25">
      <c r="A27" s="14" t="str">
        <f>IF(24&lt;=Calculator!$C$10,24,"")</f>
        <v/>
      </c>
      <c r="B27" s="15" t="str">
        <f>IF($A27="","",Calculator!$C$9)</f>
        <v/>
      </c>
      <c r="C27" s="15" t="str">
        <f>IF($A27="","",Calculator!$C$9/POWER(1+_Engine!$B$2,$A27))</f>
        <v/>
      </c>
      <c r="D27" s="16" t="str">
        <f>IF($A27="","",POWER(1+_Engine!$B$2,$A27))</f>
        <v/>
      </c>
    </row>
    <row r="28" spans="1:4" x14ac:dyDescent="0.25">
      <c r="A28" s="14" t="str">
        <f>IF(25&lt;=Calculator!$C$10,25,"")</f>
        <v/>
      </c>
      <c r="B28" s="15" t="str">
        <f>IF($A28="","",Calculator!$C$9)</f>
        <v/>
      </c>
      <c r="C28" s="15" t="str">
        <f>IF($A28="","",Calculator!$C$9/POWER(1+_Engine!$B$2,$A28))</f>
        <v/>
      </c>
      <c r="D28" s="16" t="str">
        <f>IF($A28="","",POWER(1+_Engine!$B$2,$A28))</f>
        <v/>
      </c>
    </row>
    <row r="29" spans="1:4" x14ac:dyDescent="0.25">
      <c r="A29" s="14" t="str">
        <f>IF(26&lt;=Calculator!$C$10,26,"")</f>
        <v/>
      </c>
      <c r="B29" s="15" t="str">
        <f>IF($A29="","",Calculator!$C$9)</f>
        <v/>
      </c>
      <c r="C29" s="15" t="str">
        <f>IF($A29="","",Calculator!$C$9/POWER(1+_Engine!$B$2,$A29))</f>
        <v/>
      </c>
      <c r="D29" s="16" t="str">
        <f>IF($A29="","",POWER(1+_Engine!$B$2,$A29))</f>
        <v/>
      </c>
    </row>
    <row r="30" spans="1:4" x14ac:dyDescent="0.25">
      <c r="A30" s="14" t="str">
        <f>IF(27&lt;=Calculator!$C$10,27,"")</f>
        <v/>
      </c>
      <c r="B30" s="15" t="str">
        <f>IF($A30="","",Calculator!$C$9)</f>
        <v/>
      </c>
      <c r="C30" s="15" t="str">
        <f>IF($A30="","",Calculator!$C$9/POWER(1+_Engine!$B$2,$A30))</f>
        <v/>
      </c>
      <c r="D30" s="16" t="str">
        <f>IF($A30="","",POWER(1+_Engine!$B$2,$A30))</f>
        <v/>
      </c>
    </row>
    <row r="31" spans="1:4" x14ac:dyDescent="0.25">
      <c r="A31" s="14" t="str">
        <f>IF(28&lt;=Calculator!$C$10,28,"")</f>
        <v/>
      </c>
      <c r="B31" s="15" t="str">
        <f>IF($A31="","",Calculator!$C$9)</f>
        <v/>
      </c>
      <c r="C31" s="15" t="str">
        <f>IF($A31="","",Calculator!$C$9/POWER(1+_Engine!$B$2,$A31))</f>
        <v/>
      </c>
      <c r="D31" s="16" t="str">
        <f>IF($A31="","",POWER(1+_Engine!$B$2,$A31))</f>
        <v/>
      </c>
    </row>
    <row r="32" spans="1:4" x14ac:dyDescent="0.25">
      <c r="A32" s="14" t="str">
        <f>IF(29&lt;=Calculator!$C$10,29,"")</f>
        <v/>
      </c>
      <c r="B32" s="15" t="str">
        <f>IF($A32="","",Calculator!$C$9)</f>
        <v/>
      </c>
      <c r="C32" s="15" t="str">
        <f>IF($A32="","",Calculator!$C$9/POWER(1+_Engine!$B$2,$A32))</f>
        <v/>
      </c>
      <c r="D32" s="16" t="str">
        <f>IF($A32="","",POWER(1+_Engine!$B$2,$A32))</f>
        <v/>
      </c>
    </row>
    <row r="33" spans="1:4" x14ac:dyDescent="0.25">
      <c r="A33" s="14" t="str">
        <f>IF(30&lt;=Calculator!$C$10,30,"")</f>
        <v/>
      </c>
      <c r="B33" s="15" t="str">
        <f>IF($A33="","",Calculator!$C$9)</f>
        <v/>
      </c>
      <c r="C33" s="15" t="str">
        <f>IF($A33="","",Calculator!$C$9/POWER(1+_Engine!$B$2,$A33))</f>
        <v/>
      </c>
      <c r="D33" s="16" t="str">
        <f>IF($A33="","",POWER(1+_Engine!$B$2,$A33))</f>
        <v/>
      </c>
    </row>
    <row r="34" spans="1:4" x14ac:dyDescent="0.25">
      <c r="A34" s="14" t="str">
        <f>IF(31&lt;=Calculator!$C$10,31,"")</f>
        <v/>
      </c>
      <c r="B34" s="15" t="str">
        <f>IF($A34="","",Calculator!$C$9)</f>
        <v/>
      </c>
      <c r="C34" s="15" t="str">
        <f>IF($A34="","",Calculator!$C$9/POWER(1+_Engine!$B$2,$A34))</f>
        <v/>
      </c>
      <c r="D34" s="16" t="str">
        <f>IF($A34="","",POWER(1+_Engine!$B$2,$A34))</f>
        <v/>
      </c>
    </row>
    <row r="35" spans="1:4" x14ac:dyDescent="0.25">
      <c r="A35" s="14" t="str">
        <f>IF(32&lt;=Calculator!$C$10,32,"")</f>
        <v/>
      </c>
      <c r="B35" s="15" t="str">
        <f>IF($A35="","",Calculator!$C$9)</f>
        <v/>
      </c>
      <c r="C35" s="15" t="str">
        <f>IF($A35="","",Calculator!$C$9/POWER(1+_Engine!$B$2,$A35))</f>
        <v/>
      </c>
      <c r="D35" s="16" t="str">
        <f>IF($A35="","",POWER(1+_Engine!$B$2,$A35))</f>
        <v/>
      </c>
    </row>
    <row r="36" spans="1:4" x14ac:dyDescent="0.25">
      <c r="A36" s="14" t="str">
        <f>IF(33&lt;=Calculator!$C$10,33,"")</f>
        <v/>
      </c>
      <c r="B36" s="15" t="str">
        <f>IF($A36="","",Calculator!$C$9)</f>
        <v/>
      </c>
      <c r="C36" s="15" t="str">
        <f>IF($A36="","",Calculator!$C$9/POWER(1+_Engine!$B$2,$A36))</f>
        <v/>
      </c>
      <c r="D36" s="16" t="str">
        <f>IF($A36="","",POWER(1+_Engine!$B$2,$A36))</f>
        <v/>
      </c>
    </row>
    <row r="37" spans="1:4" x14ac:dyDescent="0.25">
      <c r="A37" s="14" t="str">
        <f>IF(34&lt;=Calculator!$C$10,34,"")</f>
        <v/>
      </c>
      <c r="B37" s="15" t="str">
        <f>IF($A37="","",Calculator!$C$9)</f>
        <v/>
      </c>
      <c r="C37" s="15" t="str">
        <f>IF($A37="","",Calculator!$C$9/POWER(1+_Engine!$B$2,$A37))</f>
        <v/>
      </c>
      <c r="D37" s="16" t="str">
        <f>IF($A37="","",POWER(1+_Engine!$B$2,$A37))</f>
        <v/>
      </c>
    </row>
    <row r="38" spans="1:4" x14ac:dyDescent="0.25">
      <c r="A38" s="14" t="str">
        <f>IF(35&lt;=Calculator!$C$10,35,"")</f>
        <v/>
      </c>
      <c r="B38" s="15" t="str">
        <f>IF($A38="","",Calculator!$C$9)</f>
        <v/>
      </c>
      <c r="C38" s="15" t="str">
        <f>IF($A38="","",Calculator!$C$9/POWER(1+_Engine!$B$2,$A38))</f>
        <v/>
      </c>
      <c r="D38" s="16" t="str">
        <f>IF($A38="","",POWER(1+_Engine!$B$2,$A38))</f>
        <v/>
      </c>
    </row>
    <row r="39" spans="1:4" x14ac:dyDescent="0.25">
      <c r="A39" s="14" t="str">
        <f>IF(36&lt;=Calculator!$C$10,36,"")</f>
        <v/>
      </c>
      <c r="B39" s="15" t="str">
        <f>IF($A39="","",Calculator!$C$9)</f>
        <v/>
      </c>
      <c r="C39" s="15" t="str">
        <f>IF($A39="","",Calculator!$C$9/POWER(1+_Engine!$B$2,$A39))</f>
        <v/>
      </c>
      <c r="D39" s="16" t="str">
        <f>IF($A39="","",POWER(1+_Engine!$B$2,$A39))</f>
        <v/>
      </c>
    </row>
    <row r="40" spans="1:4" x14ac:dyDescent="0.25">
      <c r="A40" s="14" t="str">
        <f>IF(37&lt;=Calculator!$C$10,37,"")</f>
        <v/>
      </c>
      <c r="B40" s="15" t="str">
        <f>IF($A40="","",Calculator!$C$9)</f>
        <v/>
      </c>
      <c r="C40" s="15" t="str">
        <f>IF($A40="","",Calculator!$C$9/POWER(1+_Engine!$B$2,$A40))</f>
        <v/>
      </c>
      <c r="D40" s="16" t="str">
        <f>IF($A40="","",POWER(1+_Engine!$B$2,$A40))</f>
        <v/>
      </c>
    </row>
    <row r="41" spans="1:4" x14ac:dyDescent="0.25">
      <c r="A41" s="14" t="str">
        <f>IF(38&lt;=Calculator!$C$10,38,"")</f>
        <v/>
      </c>
      <c r="B41" s="15" t="str">
        <f>IF($A41="","",Calculator!$C$9)</f>
        <v/>
      </c>
      <c r="C41" s="15" t="str">
        <f>IF($A41="","",Calculator!$C$9/POWER(1+_Engine!$B$2,$A41))</f>
        <v/>
      </c>
      <c r="D41" s="16" t="str">
        <f>IF($A41="","",POWER(1+_Engine!$B$2,$A41))</f>
        <v/>
      </c>
    </row>
    <row r="42" spans="1:4" x14ac:dyDescent="0.25">
      <c r="A42" s="14" t="str">
        <f>IF(39&lt;=Calculator!$C$10,39,"")</f>
        <v/>
      </c>
      <c r="B42" s="15" t="str">
        <f>IF($A42="","",Calculator!$C$9)</f>
        <v/>
      </c>
      <c r="C42" s="15" t="str">
        <f>IF($A42="","",Calculator!$C$9/POWER(1+_Engine!$B$2,$A42))</f>
        <v/>
      </c>
      <c r="D42" s="16" t="str">
        <f>IF($A42="","",POWER(1+_Engine!$B$2,$A42))</f>
        <v/>
      </c>
    </row>
    <row r="43" spans="1:4" x14ac:dyDescent="0.25">
      <c r="A43" s="14" t="str">
        <f>IF(40&lt;=Calculator!$C$10,40,"")</f>
        <v/>
      </c>
      <c r="B43" s="15" t="str">
        <f>IF($A43="","",Calculator!$C$9)</f>
        <v/>
      </c>
      <c r="C43" s="15" t="str">
        <f>IF($A43="","",Calculator!$C$9/POWER(1+_Engine!$B$2,$A43))</f>
        <v/>
      </c>
      <c r="D43" s="16" t="str">
        <f>IF($A43="","",POWER(1+_Engine!$B$2,$A43))</f>
        <v/>
      </c>
    </row>
    <row r="44" spans="1:4" x14ac:dyDescent="0.25">
      <c r="A44" s="14" t="str">
        <f>IF(41&lt;=Calculator!$C$10,41,"")</f>
        <v/>
      </c>
      <c r="B44" s="15" t="str">
        <f>IF($A44="","",Calculator!$C$9)</f>
        <v/>
      </c>
      <c r="C44" s="15" t="str">
        <f>IF($A44="","",Calculator!$C$9/POWER(1+_Engine!$B$2,$A44))</f>
        <v/>
      </c>
      <c r="D44" s="16" t="str">
        <f>IF($A44="","",POWER(1+_Engine!$B$2,$A44))</f>
        <v/>
      </c>
    </row>
    <row r="45" spans="1:4" x14ac:dyDescent="0.25">
      <c r="A45" s="14" t="str">
        <f>IF(42&lt;=Calculator!$C$10,42,"")</f>
        <v/>
      </c>
      <c r="B45" s="15" t="str">
        <f>IF($A45="","",Calculator!$C$9)</f>
        <v/>
      </c>
      <c r="C45" s="15" t="str">
        <f>IF($A45="","",Calculator!$C$9/POWER(1+_Engine!$B$2,$A45))</f>
        <v/>
      </c>
      <c r="D45" s="16" t="str">
        <f>IF($A45="","",POWER(1+_Engine!$B$2,$A45))</f>
        <v/>
      </c>
    </row>
    <row r="46" spans="1:4" x14ac:dyDescent="0.25">
      <c r="A46" s="14" t="str">
        <f>IF(43&lt;=Calculator!$C$10,43,"")</f>
        <v/>
      </c>
      <c r="B46" s="15" t="str">
        <f>IF($A46="","",Calculator!$C$9)</f>
        <v/>
      </c>
      <c r="C46" s="15" t="str">
        <f>IF($A46="","",Calculator!$C$9/POWER(1+_Engine!$B$2,$A46))</f>
        <v/>
      </c>
      <c r="D46" s="16" t="str">
        <f>IF($A46="","",POWER(1+_Engine!$B$2,$A46))</f>
        <v/>
      </c>
    </row>
    <row r="47" spans="1:4" x14ac:dyDescent="0.25">
      <c r="A47" s="14" t="str">
        <f>IF(44&lt;=Calculator!$C$10,44,"")</f>
        <v/>
      </c>
      <c r="B47" s="15" t="str">
        <f>IF($A47="","",Calculator!$C$9)</f>
        <v/>
      </c>
      <c r="C47" s="15" t="str">
        <f>IF($A47="","",Calculator!$C$9/POWER(1+_Engine!$B$2,$A47))</f>
        <v/>
      </c>
      <c r="D47" s="16" t="str">
        <f>IF($A47="","",POWER(1+_Engine!$B$2,$A47))</f>
        <v/>
      </c>
    </row>
    <row r="48" spans="1:4" x14ac:dyDescent="0.25">
      <c r="A48" s="14" t="str">
        <f>IF(45&lt;=Calculator!$C$10,45,"")</f>
        <v/>
      </c>
      <c r="B48" s="15" t="str">
        <f>IF($A48="","",Calculator!$C$9)</f>
        <v/>
      </c>
      <c r="C48" s="15" t="str">
        <f>IF($A48="","",Calculator!$C$9/POWER(1+_Engine!$B$2,$A48))</f>
        <v/>
      </c>
      <c r="D48" s="16" t="str">
        <f>IF($A48="","",POWER(1+_Engine!$B$2,$A48))</f>
        <v/>
      </c>
    </row>
    <row r="49" spans="1:4" x14ac:dyDescent="0.25">
      <c r="A49" s="14" t="str">
        <f>IF(46&lt;=Calculator!$C$10,46,"")</f>
        <v/>
      </c>
      <c r="B49" s="15" t="str">
        <f>IF($A49="","",Calculator!$C$9)</f>
        <v/>
      </c>
      <c r="C49" s="15" t="str">
        <f>IF($A49="","",Calculator!$C$9/POWER(1+_Engine!$B$2,$A49))</f>
        <v/>
      </c>
      <c r="D49" s="16" t="str">
        <f>IF($A49="","",POWER(1+_Engine!$B$2,$A49))</f>
        <v/>
      </c>
    </row>
    <row r="50" spans="1:4" x14ac:dyDescent="0.25">
      <c r="A50" s="14" t="str">
        <f>IF(47&lt;=Calculator!$C$10,47,"")</f>
        <v/>
      </c>
      <c r="B50" s="15" t="str">
        <f>IF($A50="","",Calculator!$C$9)</f>
        <v/>
      </c>
      <c r="C50" s="15" t="str">
        <f>IF($A50="","",Calculator!$C$9/POWER(1+_Engine!$B$2,$A50))</f>
        <v/>
      </c>
      <c r="D50" s="16" t="str">
        <f>IF($A50="","",POWER(1+_Engine!$B$2,$A50))</f>
        <v/>
      </c>
    </row>
    <row r="51" spans="1:4" x14ac:dyDescent="0.25">
      <c r="A51" s="14" t="str">
        <f>IF(48&lt;=Calculator!$C$10,48,"")</f>
        <v/>
      </c>
      <c r="B51" s="15" t="str">
        <f>IF($A51="","",Calculator!$C$9)</f>
        <v/>
      </c>
      <c r="C51" s="15" t="str">
        <f>IF($A51="","",Calculator!$C$9/POWER(1+_Engine!$B$2,$A51))</f>
        <v/>
      </c>
      <c r="D51" s="16" t="str">
        <f>IF($A51="","",POWER(1+_Engine!$B$2,$A51))</f>
        <v/>
      </c>
    </row>
    <row r="52" spans="1:4" x14ac:dyDescent="0.25">
      <c r="A52" s="14" t="str">
        <f>IF(49&lt;=Calculator!$C$10,49,"")</f>
        <v/>
      </c>
      <c r="B52" s="15" t="str">
        <f>IF($A52="","",Calculator!$C$9)</f>
        <v/>
      </c>
      <c r="C52" s="15" t="str">
        <f>IF($A52="","",Calculator!$C$9/POWER(1+_Engine!$B$2,$A52))</f>
        <v/>
      </c>
      <c r="D52" s="16" t="str">
        <f>IF($A52="","",POWER(1+_Engine!$B$2,$A52))</f>
        <v/>
      </c>
    </row>
    <row r="53" spans="1:4" x14ac:dyDescent="0.25">
      <c r="A53" s="14" t="str">
        <f>IF(50&lt;=Calculator!$C$10,50,"")</f>
        <v/>
      </c>
      <c r="B53" s="15" t="str">
        <f>IF($A53="","",Calculator!$C$9)</f>
        <v/>
      </c>
      <c r="C53" s="15" t="str">
        <f>IF($A53="","",Calculator!$C$9/POWER(1+_Engine!$B$2,$A53))</f>
        <v/>
      </c>
      <c r="D53" s="16" t="str">
        <f>IF($A53="","",POWER(1+_Engine!$B$2,$A53))</f>
        <v/>
      </c>
    </row>
    <row r="54" spans="1:4" x14ac:dyDescent="0.25">
      <c r="A54" s="14" t="str">
        <f>IF(51&lt;=Calculator!$C$10,51,"")</f>
        <v/>
      </c>
      <c r="B54" s="15" t="str">
        <f>IF($A54="","",Calculator!$C$9)</f>
        <v/>
      </c>
      <c r="C54" s="15" t="str">
        <f>IF($A54="","",Calculator!$C$9/POWER(1+_Engine!$B$2,$A54))</f>
        <v/>
      </c>
      <c r="D54" s="16" t="str">
        <f>IF($A54="","",POWER(1+_Engine!$B$2,$A54))</f>
        <v/>
      </c>
    </row>
    <row r="55" spans="1:4" x14ac:dyDescent="0.25">
      <c r="A55" s="14" t="str">
        <f>IF(52&lt;=Calculator!$C$10,52,"")</f>
        <v/>
      </c>
      <c r="B55" s="15" t="str">
        <f>IF($A55="","",Calculator!$C$9)</f>
        <v/>
      </c>
      <c r="C55" s="15" t="str">
        <f>IF($A55="","",Calculator!$C$9/POWER(1+_Engine!$B$2,$A55))</f>
        <v/>
      </c>
      <c r="D55" s="16" t="str">
        <f>IF($A55="","",POWER(1+_Engine!$B$2,$A55))</f>
        <v/>
      </c>
    </row>
    <row r="56" spans="1:4" x14ac:dyDescent="0.25">
      <c r="A56" s="14" t="str">
        <f>IF(53&lt;=Calculator!$C$10,53,"")</f>
        <v/>
      </c>
      <c r="B56" s="15" t="str">
        <f>IF($A56="","",Calculator!$C$9)</f>
        <v/>
      </c>
      <c r="C56" s="15" t="str">
        <f>IF($A56="","",Calculator!$C$9/POWER(1+_Engine!$B$2,$A56))</f>
        <v/>
      </c>
      <c r="D56" s="16" t="str">
        <f>IF($A56="","",POWER(1+_Engine!$B$2,$A56))</f>
        <v/>
      </c>
    </row>
    <row r="57" spans="1:4" x14ac:dyDescent="0.25">
      <c r="A57" s="14" t="str">
        <f>IF(54&lt;=Calculator!$C$10,54,"")</f>
        <v/>
      </c>
      <c r="B57" s="15" t="str">
        <f>IF($A57="","",Calculator!$C$9)</f>
        <v/>
      </c>
      <c r="C57" s="15" t="str">
        <f>IF($A57="","",Calculator!$C$9/POWER(1+_Engine!$B$2,$A57))</f>
        <v/>
      </c>
      <c r="D57" s="16" t="str">
        <f>IF($A57="","",POWER(1+_Engine!$B$2,$A57))</f>
        <v/>
      </c>
    </row>
    <row r="58" spans="1:4" x14ac:dyDescent="0.25">
      <c r="A58" s="14" t="str">
        <f>IF(55&lt;=Calculator!$C$10,55,"")</f>
        <v/>
      </c>
      <c r="B58" s="15" t="str">
        <f>IF($A58="","",Calculator!$C$9)</f>
        <v/>
      </c>
      <c r="C58" s="15" t="str">
        <f>IF($A58="","",Calculator!$C$9/POWER(1+_Engine!$B$2,$A58))</f>
        <v/>
      </c>
      <c r="D58" s="16" t="str">
        <f>IF($A58="","",POWER(1+_Engine!$B$2,$A58))</f>
        <v/>
      </c>
    </row>
    <row r="59" spans="1:4" x14ac:dyDescent="0.25">
      <c r="A59" s="14" t="str">
        <f>IF(56&lt;=Calculator!$C$10,56,"")</f>
        <v/>
      </c>
      <c r="B59" s="15" t="str">
        <f>IF($A59="","",Calculator!$C$9)</f>
        <v/>
      </c>
      <c r="C59" s="15" t="str">
        <f>IF($A59="","",Calculator!$C$9/POWER(1+_Engine!$B$2,$A59))</f>
        <v/>
      </c>
      <c r="D59" s="16" t="str">
        <f>IF($A59="","",POWER(1+_Engine!$B$2,$A59))</f>
        <v/>
      </c>
    </row>
    <row r="60" spans="1:4" x14ac:dyDescent="0.25">
      <c r="A60" s="14" t="str">
        <f>IF(57&lt;=Calculator!$C$10,57,"")</f>
        <v/>
      </c>
      <c r="B60" s="15" t="str">
        <f>IF($A60="","",Calculator!$C$9)</f>
        <v/>
      </c>
      <c r="C60" s="15" t="str">
        <f>IF($A60="","",Calculator!$C$9/POWER(1+_Engine!$B$2,$A60))</f>
        <v/>
      </c>
      <c r="D60" s="16" t="str">
        <f>IF($A60="","",POWER(1+_Engine!$B$2,$A60))</f>
        <v/>
      </c>
    </row>
    <row r="61" spans="1:4" x14ac:dyDescent="0.25">
      <c r="A61" s="14" t="str">
        <f>IF(58&lt;=Calculator!$C$10,58,"")</f>
        <v/>
      </c>
      <c r="B61" s="15" t="str">
        <f>IF($A61="","",Calculator!$C$9)</f>
        <v/>
      </c>
      <c r="C61" s="15" t="str">
        <f>IF($A61="","",Calculator!$C$9/POWER(1+_Engine!$B$2,$A61))</f>
        <v/>
      </c>
      <c r="D61" s="16" t="str">
        <f>IF($A61="","",POWER(1+_Engine!$B$2,$A61))</f>
        <v/>
      </c>
    </row>
    <row r="62" spans="1:4" x14ac:dyDescent="0.25">
      <c r="A62" s="14" t="str">
        <f>IF(59&lt;=Calculator!$C$10,59,"")</f>
        <v/>
      </c>
      <c r="B62" s="15" t="str">
        <f>IF($A62="","",Calculator!$C$9)</f>
        <v/>
      </c>
      <c r="C62" s="15" t="str">
        <f>IF($A62="","",Calculator!$C$9/POWER(1+_Engine!$B$2,$A62))</f>
        <v/>
      </c>
      <c r="D62" s="16" t="str">
        <f>IF($A62="","",POWER(1+_Engine!$B$2,$A62))</f>
        <v/>
      </c>
    </row>
    <row r="63" spans="1:4" x14ac:dyDescent="0.25">
      <c r="A63" s="14" t="str">
        <f>IF(60&lt;=Calculator!$C$10,60,"")</f>
        <v/>
      </c>
      <c r="B63" s="15" t="str">
        <f>IF($A63="","",Calculator!$C$9)</f>
        <v/>
      </c>
      <c r="C63" s="15" t="str">
        <f>IF($A63="","",Calculator!$C$9/POWER(1+_Engine!$B$2,$A63))</f>
        <v/>
      </c>
      <c r="D63" s="16" t="str">
        <f>IF($A63="","",POWER(1+_Engine!$B$2,$A63))</f>
        <v/>
      </c>
    </row>
    <row r="64" spans="1:4" x14ac:dyDescent="0.25">
      <c r="A64" s="14" t="str">
        <f>IF(61&lt;=Calculator!$C$10,61,"")</f>
        <v/>
      </c>
      <c r="B64" s="15" t="str">
        <f>IF($A64="","",Calculator!$C$9)</f>
        <v/>
      </c>
      <c r="C64" s="15" t="str">
        <f>IF($A64="","",Calculator!$C$9/POWER(1+_Engine!$B$2,$A64))</f>
        <v/>
      </c>
      <c r="D64" s="16" t="str">
        <f>IF($A64="","",POWER(1+_Engine!$B$2,$A64))</f>
        <v/>
      </c>
    </row>
    <row r="65" spans="1:4" x14ac:dyDescent="0.25">
      <c r="A65" s="14" t="str">
        <f>IF(62&lt;=Calculator!$C$10,62,"")</f>
        <v/>
      </c>
      <c r="B65" s="15" t="str">
        <f>IF($A65="","",Calculator!$C$9)</f>
        <v/>
      </c>
      <c r="C65" s="15" t="str">
        <f>IF($A65="","",Calculator!$C$9/POWER(1+_Engine!$B$2,$A65))</f>
        <v/>
      </c>
      <c r="D65" s="16" t="str">
        <f>IF($A65="","",POWER(1+_Engine!$B$2,$A65))</f>
        <v/>
      </c>
    </row>
    <row r="66" spans="1:4" x14ac:dyDescent="0.25">
      <c r="A66" s="14" t="str">
        <f>IF(63&lt;=Calculator!$C$10,63,"")</f>
        <v/>
      </c>
      <c r="B66" s="15" t="str">
        <f>IF($A66="","",Calculator!$C$9)</f>
        <v/>
      </c>
      <c r="C66" s="15" t="str">
        <f>IF($A66="","",Calculator!$C$9/POWER(1+_Engine!$B$2,$A66))</f>
        <v/>
      </c>
      <c r="D66" s="16" t="str">
        <f>IF($A66="","",POWER(1+_Engine!$B$2,$A66))</f>
        <v/>
      </c>
    </row>
    <row r="67" spans="1:4" x14ac:dyDescent="0.25">
      <c r="A67" s="14" t="str">
        <f>IF(64&lt;=Calculator!$C$10,64,"")</f>
        <v/>
      </c>
      <c r="B67" s="15" t="str">
        <f>IF($A67="","",Calculator!$C$9)</f>
        <v/>
      </c>
      <c r="C67" s="15" t="str">
        <f>IF($A67="","",Calculator!$C$9/POWER(1+_Engine!$B$2,$A67))</f>
        <v/>
      </c>
      <c r="D67" s="16" t="str">
        <f>IF($A67="","",POWER(1+_Engine!$B$2,$A67))</f>
        <v/>
      </c>
    </row>
    <row r="68" spans="1:4" x14ac:dyDescent="0.25">
      <c r="A68" s="14" t="str">
        <f>IF(65&lt;=Calculator!$C$10,65,"")</f>
        <v/>
      </c>
      <c r="B68" s="15" t="str">
        <f>IF($A68="","",Calculator!$C$9)</f>
        <v/>
      </c>
      <c r="C68" s="15" t="str">
        <f>IF($A68="","",Calculator!$C$9/POWER(1+_Engine!$B$2,$A68))</f>
        <v/>
      </c>
      <c r="D68" s="16" t="str">
        <f>IF($A68="","",POWER(1+_Engine!$B$2,$A68))</f>
        <v/>
      </c>
    </row>
    <row r="69" spans="1:4" x14ac:dyDescent="0.25">
      <c r="A69" s="14" t="str">
        <f>IF(66&lt;=Calculator!$C$10,66,"")</f>
        <v/>
      </c>
      <c r="B69" s="15" t="str">
        <f>IF($A69="","",Calculator!$C$9)</f>
        <v/>
      </c>
      <c r="C69" s="15" t="str">
        <f>IF($A69="","",Calculator!$C$9/POWER(1+_Engine!$B$2,$A69))</f>
        <v/>
      </c>
      <c r="D69" s="16" t="str">
        <f>IF($A69="","",POWER(1+_Engine!$B$2,$A69))</f>
        <v/>
      </c>
    </row>
    <row r="70" spans="1:4" x14ac:dyDescent="0.25">
      <c r="A70" s="14" t="str">
        <f>IF(67&lt;=Calculator!$C$10,67,"")</f>
        <v/>
      </c>
      <c r="B70" s="15" t="str">
        <f>IF($A70="","",Calculator!$C$9)</f>
        <v/>
      </c>
      <c r="C70" s="15" t="str">
        <f>IF($A70="","",Calculator!$C$9/POWER(1+_Engine!$B$2,$A70))</f>
        <v/>
      </c>
      <c r="D70" s="16" t="str">
        <f>IF($A70="","",POWER(1+_Engine!$B$2,$A70))</f>
        <v/>
      </c>
    </row>
    <row r="71" spans="1:4" x14ac:dyDescent="0.25">
      <c r="A71" s="14" t="str">
        <f>IF(68&lt;=Calculator!$C$10,68,"")</f>
        <v/>
      </c>
      <c r="B71" s="15" t="str">
        <f>IF($A71="","",Calculator!$C$9)</f>
        <v/>
      </c>
      <c r="C71" s="15" t="str">
        <f>IF($A71="","",Calculator!$C$9/POWER(1+_Engine!$B$2,$A71))</f>
        <v/>
      </c>
      <c r="D71" s="16" t="str">
        <f>IF($A71="","",POWER(1+_Engine!$B$2,$A71))</f>
        <v/>
      </c>
    </row>
    <row r="72" spans="1:4" x14ac:dyDescent="0.25">
      <c r="A72" s="14" t="str">
        <f>IF(69&lt;=Calculator!$C$10,69,"")</f>
        <v/>
      </c>
      <c r="B72" s="15" t="str">
        <f>IF($A72="","",Calculator!$C$9)</f>
        <v/>
      </c>
      <c r="C72" s="15" t="str">
        <f>IF($A72="","",Calculator!$C$9/POWER(1+_Engine!$B$2,$A72))</f>
        <v/>
      </c>
      <c r="D72" s="16" t="str">
        <f>IF($A72="","",POWER(1+_Engine!$B$2,$A72))</f>
        <v/>
      </c>
    </row>
    <row r="73" spans="1:4" x14ac:dyDescent="0.25">
      <c r="A73" s="14" t="str">
        <f>IF(70&lt;=Calculator!$C$10,70,"")</f>
        <v/>
      </c>
      <c r="B73" s="15" t="str">
        <f>IF($A73="","",Calculator!$C$9)</f>
        <v/>
      </c>
      <c r="C73" s="15" t="str">
        <f>IF($A73="","",Calculator!$C$9/POWER(1+_Engine!$B$2,$A73))</f>
        <v/>
      </c>
      <c r="D73" s="16" t="str">
        <f>IF($A73="","",POWER(1+_Engine!$B$2,$A73))</f>
        <v/>
      </c>
    </row>
    <row r="74" spans="1:4" x14ac:dyDescent="0.25">
      <c r="A74" s="14" t="str">
        <f>IF(71&lt;=Calculator!$C$10,71,"")</f>
        <v/>
      </c>
      <c r="B74" s="15" t="str">
        <f>IF($A74="","",Calculator!$C$9)</f>
        <v/>
      </c>
      <c r="C74" s="15" t="str">
        <f>IF($A74="","",Calculator!$C$9/POWER(1+_Engine!$B$2,$A74))</f>
        <v/>
      </c>
      <c r="D74" s="16" t="str">
        <f>IF($A74="","",POWER(1+_Engine!$B$2,$A74))</f>
        <v/>
      </c>
    </row>
    <row r="75" spans="1:4" x14ac:dyDescent="0.25">
      <c r="A75" s="14" t="str">
        <f>IF(72&lt;=Calculator!$C$10,72,"")</f>
        <v/>
      </c>
      <c r="B75" s="15" t="str">
        <f>IF($A75="","",Calculator!$C$9)</f>
        <v/>
      </c>
      <c r="C75" s="15" t="str">
        <f>IF($A75="","",Calculator!$C$9/POWER(1+_Engine!$B$2,$A75))</f>
        <v/>
      </c>
      <c r="D75" s="16" t="str">
        <f>IF($A75="","",POWER(1+_Engine!$B$2,$A75))</f>
        <v/>
      </c>
    </row>
    <row r="76" spans="1:4" x14ac:dyDescent="0.25">
      <c r="A76" s="14" t="str">
        <f>IF(73&lt;=Calculator!$C$10,73,"")</f>
        <v/>
      </c>
      <c r="B76" s="15" t="str">
        <f>IF($A76="","",Calculator!$C$9)</f>
        <v/>
      </c>
      <c r="C76" s="15" t="str">
        <f>IF($A76="","",Calculator!$C$9/POWER(1+_Engine!$B$2,$A76))</f>
        <v/>
      </c>
      <c r="D76" s="16" t="str">
        <f>IF($A76="","",POWER(1+_Engine!$B$2,$A76))</f>
        <v/>
      </c>
    </row>
    <row r="77" spans="1:4" x14ac:dyDescent="0.25">
      <c r="A77" s="14" t="str">
        <f>IF(74&lt;=Calculator!$C$10,74,"")</f>
        <v/>
      </c>
      <c r="B77" s="15" t="str">
        <f>IF($A77="","",Calculator!$C$9)</f>
        <v/>
      </c>
      <c r="C77" s="15" t="str">
        <f>IF($A77="","",Calculator!$C$9/POWER(1+_Engine!$B$2,$A77))</f>
        <v/>
      </c>
      <c r="D77" s="16" t="str">
        <f>IF($A77="","",POWER(1+_Engine!$B$2,$A77))</f>
        <v/>
      </c>
    </row>
    <row r="78" spans="1:4" x14ac:dyDescent="0.25">
      <c r="A78" s="14" t="str">
        <f>IF(75&lt;=Calculator!$C$10,75,"")</f>
        <v/>
      </c>
      <c r="B78" s="15" t="str">
        <f>IF($A78="","",Calculator!$C$9)</f>
        <v/>
      </c>
      <c r="C78" s="15" t="str">
        <f>IF($A78="","",Calculator!$C$9/POWER(1+_Engine!$B$2,$A78))</f>
        <v/>
      </c>
      <c r="D78" s="16" t="str">
        <f>IF($A78="","",POWER(1+_Engine!$B$2,$A78))</f>
        <v/>
      </c>
    </row>
    <row r="79" spans="1:4" x14ac:dyDescent="0.25">
      <c r="A79" s="14" t="str">
        <f>IF(76&lt;=Calculator!$C$10,76,"")</f>
        <v/>
      </c>
      <c r="B79" s="15" t="str">
        <f>IF($A79="","",Calculator!$C$9)</f>
        <v/>
      </c>
      <c r="C79" s="15" t="str">
        <f>IF($A79="","",Calculator!$C$9/POWER(1+_Engine!$B$2,$A79))</f>
        <v/>
      </c>
      <c r="D79" s="16" t="str">
        <f>IF($A79="","",POWER(1+_Engine!$B$2,$A79))</f>
        <v/>
      </c>
    </row>
    <row r="80" spans="1:4" x14ac:dyDescent="0.25">
      <c r="A80" s="14" t="str">
        <f>IF(77&lt;=Calculator!$C$10,77,"")</f>
        <v/>
      </c>
      <c r="B80" s="15" t="str">
        <f>IF($A80="","",Calculator!$C$9)</f>
        <v/>
      </c>
      <c r="C80" s="15" t="str">
        <f>IF($A80="","",Calculator!$C$9/POWER(1+_Engine!$B$2,$A80))</f>
        <v/>
      </c>
      <c r="D80" s="16" t="str">
        <f>IF($A80="","",POWER(1+_Engine!$B$2,$A80))</f>
        <v/>
      </c>
    </row>
    <row r="81" spans="1:4" x14ac:dyDescent="0.25">
      <c r="A81" s="14" t="str">
        <f>IF(78&lt;=Calculator!$C$10,78,"")</f>
        <v/>
      </c>
      <c r="B81" s="15" t="str">
        <f>IF($A81="","",Calculator!$C$9)</f>
        <v/>
      </c>
      <c r="C81" s="15" t="str">
        <f>IF($A81="","",Calculator!$C$9/POWER(1+_Engine!$B$2,$A81))</f>
        <v/>
      </c>
      <c r="D81" s="16" t="str">
        <f>IF($A81="","",POWER(1+_Engine!$B$2,$A81))</f>
        <v/>
      </c>
    </row>
    <row r="82" spans="1:4" x14ac:dyDescent="0.25">
      <c r="A82" s="14" t="str">
        <f>IF(79&lt;=Calculator!$C$10,79,"")</f>
        <v/>
      </c>
      <c r="B82" s="15" t="str">
        <f>IF($A82="","",Calculator!$C$9)</f>
        <v/>
      </c>
      <c r="C82" s="15" t="str">
        <f>IF($A82="","",Calculator!$C$9/POWER(1+_Engine!$B$2,$A82))</f>
        <v/>
      </c>
      <c r="D82" s="16" t="str">
        <f>IF($A82="","",POWER(1+_Engine!$B$2,$A82))</f>
        <v/>
      </c>
    </row>
    <row r="83" spans="1:4" x14ac:dyDescent="0.25">
      <c r="A83" s="14" t="str">
        <f>IF(80&lt;=Calculator!$C$10,80,"")</f>
        <v/>
      </c>
      <c r="B83" s="15" t="str">
        <f>IF($A83="","",Calculator!$C$9)</f>
        <v/>
      </c>
      <c r="C83" s="15" t="str">
        <f>IF($A83="","",Calculator!$C$9/POWER(1+_Engine!$B$2,$A83))</f>
        <v/>
      </c>
      <c r="D83" s="16" t="str">
        <f>IF($A83="","",POWER(1+_Engine!$B$2,$A83))</f>
        <v/>
      </c>
    </row>
    <row r="84" spans="1:4" x14ac:dyDescent="0.25">
      <c r="A84" s="14" t="str">
        <f>IF(81&lt;=Calculator!$C$10,81,"")</f>
        <v/>
      </c>
      <c r="B84" s="15" t="str">
        <f>IF($A84="","",Calculator!$C$9)</f>
        <v/>
      </c>
      <c r="C84" s="15" t="str">
        <f>IF($A84="","",Calculator!$C$9/POWER(1+_Engine!$B$2,$A84))</f>
        <v/>
      </c>
      <c r="D84" s="16" t="str">
        <f>IF($A84="","",POWER(1+_Engine!$B$2,$A84))</f>
        <v/>
      </c>
    </row>
    <row r="85" spans="1:4" x14ac:dyDescent="0.25">
      <c r="A85" s="14" t="str">
        <f>IF(82&lt;=Calculator!$C$10,82,"")</f>
        <v/>
      </c>
      <c r="B85" s="15" t="str">
        <f>IF($A85="","",Calculator!$C$9)</f>
        <v/>
      </c>
      <c r="C85" s="15" t="str">
        <f>IF($A85="","",Calculator!$C$9/POWER(1+_Engine!$B$2,$A85))</f>
        <v/>
      </c>
      <c r="D85" s="16" t="str">
        <f>IF($A85="","",POWER(1+_Engine!$B$2,$A85))</f>
        <v/>
      </c>
    </row>
    <row r="86" spans="1:4" x14ac:dyDescent="0.25">
      <c r="A86" s="14" t="str">
        <f>IF(83&lt;=Calculator!$C$10,83,"")</f>
        <v/>
      </c>
      <c r="B86" s="15" t="str">
        <f>IF($A86="","",Calculator!$C$9)</f>
        <v/>
      </c>
      <c r="C86" s="15" t="str">
        <f>IF($A86="","",Calculator!$C$9/POWER(1+_Engine!$B$2,$A86))</f>
        <v/>
      </c>
      <c r="D86" s="16" t="str">
        <f>IF($A86="","",POWER(1+_Engine!$B$2,$A86))</f>
        <v/>
      </c>
    </row>
    <row r="87" spans="1:4" x14ac:dyDescent="0.25">
      <c r="A87" s="14" t="str">
        <f>IF(84&lt;=Calculator!$C$10,84,"")</f>
        <v/>
      </c>
      <c r="B87" s="15" t="str">
        <f>IF($A87="","",Calculator!$C$9)</f>
        <v/>
      </c>
      <c r="C87" s="15" t="str">
        <f>IF($A87="","",Calculator!$C$9/POWER(1+_Engine!$B$2,$A87))</f>
        <v/>
      </c>
      <c r="D87" s="16" t="str">
        <f>IF($A87="","",POWER(1+_Engine!$B$2,$A87))</f>
        <v/>
      </c>
    </row>
    <row r="88" spans="1:4" x14ac:dyDescent="0.25">
      <c r="A88" s="14" t="str">
        <f>IF(85&lt;=Calculator!$C$10,85,"")</f>
        <v/>
      </c>
      <c r="B88" s="15" t="str">
        <f>IF($A88="","",Calculator!$C$9)</f>
        <v/>
      </c>
      <c r="C88" s="15" t="str">
        <f>IF($A88="","",Calculator!$C$9/POWER(1+_Engine!$B$2,$A88))</f>
        <v/>
      </c>
      <c r="D88" s="16" t="str">
        <f>IF($A88="","",POWER(1+_Engine!$B$2,$A88))</f>
        <v/>
      </c>
    </row>
    <row r="89" spans="1:4" x14ac:dyDescent="0.25">
      <c r="A89" s="14" t="str">
        <f>IF(86&lt;=Calculator!$C$10,86,"")</f>
        <v/>
      </c>
      <c r="B89" s="15" t="str">
        <f>IF($A89="","",Calculator!$C$9)</f>
        <v/>
      </c>
      <c r="C89" s="15" t="str">
        <f>IF($A89="","",Calculator!$C$9/POWER(1+_Engine!$B$2,$A89))</f>
        <v/>
      </c>
      <c r="D89" s="16" t="str">
        <f>IF($A89="","",POWER(1+_Engine!$B$2,$A89))</f>
        <v/>
      </c>
    </row>
    <row r="90" spans="1:4" x14ac:dyDescent="0.25">
      <c r="A90" s="14" t="str">
        <f>IF(87&lt;=Calculator!$C$10,87,"")</f>
        <v/>
      </c>
      <c r="B90" s="15" t="str">
        <f>IF($A90="","",Calculator!$C$9)</f>
        <v/>
      </c>
      <c r="C90" s="15" t="str">
        <f>IF($A90="","",Calculator!$C$9/POWER(1+_Engine!$B$2,$A90))</f>
        <v/>
      </c>
      <c r="D90" s="16" t="str">
        <f>IF($A90="","",POWER(1+_Engine!$B$2,$A90))</f>
        <v/>
      </c>
    </row>
    <row r="91" spans="1:4" x14ac:dyDescent="0.25">
      <c r="A91" s="14" t="str">
        <f>IF(88&lt;=Calculator!$C$10,88,"")</f>
        <v/>
      </c>
      <c r="B91" s="15" t="str">
        <f>IF($A91="","",Calculator!$C$9)</f>
        <v/>
      </c>
      <c r="C91" s="15" t="str">
        <f>IF($A91="","",Calculator!$C$9/POWER(1+_Engine!$B$2,$A91))</f>
        <v/>
      </c>
      <c r="D91" s="16" t="str">
        <f>IF($A91="","",POWER(1+_Engine!$B$2,$A91))</f>
        <v/>
      </c>
    </row>
    <row r="92" spans="1:4" x14ac:dyDescent="0.25">
      <c r="A92" s="14" t="str">
        <f>IF(89&lt;=Calculator!$C$10,89,"")</f>
        <v/>
      </c>
      <c r="B92" s="15" t="str">
        <f>IF($A92="","",Calculator!$C$9)</f>
        <v/>
      </c>
      <c r="C92" s="15" t="str">
        <f>IF($A92="","",Calculator!$C$9/POWER(1+_Engine!$B$2,$A92))</f>
        <v/>
      </c>
      <c r="D92" s="16" t="str">
        <f>IF($A92="","",POWER(1+_Engine!$B$2,$A92))</f>
        <v/>
      </c>
    </row>
    <row r="93" spans="1:4" x14ac:dyDescent="0.25">
      <c r="A93" s="14" t="str">
        <f>IF(90&lt;=Calculator!$C$10,90,"")</f>
        <v/>
      </c>
      <c r="B93" s="15" t="str">
        <f>IF($A93="","",Calculator!$C$9)</f>
        <v/>
      </c>
      <c r="C93" s="15" t="str">
        <f>IF($A93="","",Calculator!$C$9/POWER(1+_Engine!$B$2,$A93))</f>
        <v/>
      </c>
      <c r="D93" s="16" t="str">
        <f>IF($A93="","",POWER(1+_Engine!$B$2,$A93))</f>
        <v/>
      </c>
    </row>
    <row r="94" spans="1:4" x14ac:dyDescent="0.25">
      <c r="A94" s="14" t="str">
        <f>IF(91&lt;=Calculator!$C$10,91,"")</f>
        <v/>
      </c>
      <c r="B94" s="15" t="str">
        <f>IF($A94="","",Calculator!$C$9)</f>
        <v/>
      </c>
      <c r="C94" s="15" t="str">
        <f>IF($A94="","",Calculator!$C$9/POWER(1+_Engine!$B$2,$A94))</f>
        <v/>
      </c>
      <c r="D94" s="16" t="str">
        <f>IF($A94="","",POWER(1+_Engine!$B$2,$A94))</f>
        <v/>
      </c>
    </row>
    <row r="95" spans="1:4" x14ac:dyDescent="0.25">
      <c r="A95" s="14" t="str">
        <f>IF(92&lt;=Calculator!$C$10,92,"")</f>
        <v/>
      </c>
      <c r="B95" s="15" t="str">
        <f>IF($A95="","",Calculator!$C$9)</f>
        <v/>
      </c>
      <c r="C95" s="15" t="str">
        <f>IF($A95="","",Calculator!$C$9/POWER(1+_Engine!$B$2,$A95))</f>
        <v/>
      </c>
      <c r="D95" s="16" t="str">
        <f>IF($A95="","",POWER(1+_Engine!$B$2,$A95))</f>
        <v/>
      </c>
    </row>
    <row r="96" spans="1:4" x14ac:dyDescent="0.25">
      <c r="A96" s="14" t="str">
        <f>IF(93&lt;=Calculator!$C$10,93,"")</f>
        <v/>
      </c>
      <c r="B96" s="15" t="str">
        <f>IF($A96="","",Calculator!$C$9)</f>
        <v/>
      </c>
      <c r="C96" s="15" t="str">
        <f>IF($A96="","",Calculator!$C$9/POWER(1+_Engine!$B$2,$A96))</f>
        <v/>
      </c>
      <c r="D96" s="16" t="str">
        <f>IF($A96="","",POWER(1+_Engine!$B$2,$A96))</f>
        <v/>
      </c>
    </row>
    <row r="97" spans="1:4" x14ac:dyDescent="0.25">
      <c r="A97" s="14" t="str">
        <f>IF(94&lt;=Calculator!$C$10,94,"")</f>
        <v/>
      </c>
      <c r="B97" s="15" t="str">
        <f>IF($A97="","",Calculator!$C$9)</f>
        <v/>
      </c>
      <c r="C97" s="15" t="str">
        <f>IF($A97="","",Calculator!$C$9/POWER(1+_Engine!$B$2,$A97))</f>
        <v/>
      </c>
      <c r="D97" s="16" t="str">
        <f>IF($A97="","",POWER(1+_Engine!$B$2,$A97))</f>
        <v/>
      </c>
    </row>
    <row r="98" spans="1:4" x14ac:dyDescent="0.25">
      <c r="A98" s="14" t="str">
        <f>IF(95&lt;=Calculator!$C$10,95,"")</f>
        <v/>
      </c>
      <c r="B98" s="15" t="str">
        <f>IF($A98="","",Calculator!$C$9)</f>
        <v/>
      </c>
      <c r="C98" s="15" t="str">
        <f>IF($A98="","",Calculator!$C$9/POWER(1+_Engine!$B$2,$A98))</f>
        <v/>
      </c>
      <c r="D98" s="16" t="str">
        <f>IF($A98="","",POWER(1+_Engine!$B$2,$A98))</f>
        <v/>
      </c>
    </row>
    <row r="99" spans="1:4" x14ac:dyDescent="0.25">
      <c r="A99" s="14" t="str">
        <f>IF(96&lt;=Calculator!$C$10,96,"")</f>
        <v/>
      </c>
      <c r="B99" s="15" t="str">
        <f>IF($A99="","",Calculator!$C$9)</f>
        <v/>
      </c>
      <c r="C99" s="15" t="str">
        <f>IF($A99="","",Calculator!$C$9/POWER(1+_Engine!$B$2,$A99))</f>
        <v/>
      </c>
      <c r="D99" s="16" t="str">
        <f>IF($A99="","",POWER(1+_Engine!$B$2,$A99))</f>
        <v/>
      </c>
    </row>
    <row r="100" spans="1:4" x14ac:dyDescent="0.25">
      <c r="A100" s="14" t="str">
        <f>IF(97&lt;=Calculator!$C$10,97,"")</f>
        <v/>
      </c>
      <c r="B100" s="15" t="str">
        <f>IF($A100="","",Calculator!$C$9)</f>
        <v/>
      </c>
      <c r="C100" s="15" t="str">
        <f>IF($A100="","",Calculator!$C$9/POWER(1+_Engine!$B$2,$A100))</f>
        <v/>
      </c>
      <c r="D100" s="16" t="str">
        <f>IF($A100="","",POWER(1+_Engine!$B$2,$A100))</f>
        <v/>
      </c>
    </row>
    <row r="101" spans="1:4" x14ac:dyDescent="0.25">
      <c r="A101" s="14" t="str">
        <f>IF(98&lt;=Calculator!$C$10,98,"")</f>
        <v/>
      </c>
      <c r="B101" s="15" t="str">
        <f>IF($A101="","",Calculator!$C$9)</f>
        <v/>
      </c>
      <c r="C101" s="15" t="str">
        <f>IF($A101="","",Calculator!$C$9/POWER(1+_Engine!$B$2,$A101))</f>
        <v/>
      </c>
      <c r="D101" s="16" t="str">
        <f>IF($A101="","",POWER(1+_Engine!$B$2,$A101))</f>
        <v/>
      </c>
    </row>
    <row r="102" spans="1:4" x14ac:dyDescent="0.25">
      <c r="A102" s="14" t="str">
        <f>IF(99&lt;=Calculator!$C$10,99,"")</f>
        <v/>
      </c>
      <c r="B102" s="15" t="str">
        <f>IF($A102="","",Calculator!$C$9)</f>
        <v/>
      </c>
      <c r="C102" s="15" t="str">
        <f>IF($A102="","",Calculator!$C$9/POWER(1+_Engine!$B$2,$A102))</f>
        <v/>
      </c>
      <c r="D102" s="16" t="str">
        <f>IF($A102="","",POWER(1+_Engine!$B$2,$A102))</f>
        <v/>
      </c>
    </row>
    <row r="103" spans="1:4" x14ac:dyDescent="0.25">
      <c r="A103" s="14" t="str">
        <f>IF(100&lt;=Calculator!$C$10,100,"")</f>
        <v/>
      </c>
      <c r="B103" s="15" t="str">
        <f>IF($A103="","",Calculator!$C$9)</f>
        <v/>
      </c>
      <c r="C103" s="15" t="str">
        <f>IF($A103="","",Calculator!$C$9/POWER(1+_Engine!$B$2,$A103))</f>
        <v/>
      </c>
      <c r="D103" s="16" t="str">
        <f>IF($A103="","",POWER(1+_Engine!$B$2,$A103))</f>
        <v/>
      </c>
    </row>
    <row r="104" spans="1:4" x14ac:dyDescent="0.25">
      <c r="A104" s="14" t="str">
        <f>IF(101&lt;=Calculator!$C$10,101,"")</f>
        <v/>
      </c>
      <c r="B104" s="15" t="str">
        <f>IF($A104="","",Calculator!$C$9)</f>
        <v/>
      </c>
      <c r="C104" s="15" t="str">
        <f>IF($A104="","",Calculator!$C$9/POWER(1+_Engine!$B$2,$A104))</f>
        <v/>
      </c>
      <c r="D104" s="16" t="str">
        <f>IF($A104="","",POWER(1+_Engine!$B$2,$A104))</f>
        <v/>
      </c>
    </row>
    <row r="105" spans="1:4" x14ac:dyDescent="0.25">
      <c r="A105" s="14" t="str">
        <f>IF(102&lt;=Calculator!$C$10,102,"")</f>
        <v/>
      </c>
      <c r="B105" s="15" t="str">
        <f>IF($A105="","",Calculator!$C$9)</f>
        <v/>
      </c>
      <c r="C105" s="15" t="str">
        <f>IF($A105="","",Calculator!$C$9/POWER(1+_Engine!$B$2,$A105))</f>
        <v/>
      </c>
      <c r="D105" s="16" t="str">
        <f>IF($A105="","",POWER(1+_Engine!$B$2,$A105))</f>
        <v/>
      </c>
    </row>
    <row r="106" spans="1:4" x14ac:dyDescent="0.25">
      <c r="A106" s="14" t="str">
        <f>IF(103&lt;=Calculator!$C$10,103,"")</f>
        <v/>
      </c>
      <c r="B106" s="15" t="str">
        <f>IF($A106="","",Calculator!$C$9)</f>
        <v/>
      </c>
      <c r="C106" s="15" t="str">
        <f>IF($A106="","",Calculator!$C$9/POWER(1+_Engine!$B$2,$A106))</f>
        <v/>
      </c>
      <c r="D106" s="16" t="str">
        <f>IF($A106="","",POWER(1+_Engine!$B$2,$A106))</f>
        <v/>
      </c>
    </row>
    <row r="107" spans="1:4" x14ac:dyDescent="0.25">
      <c r="A107" s="14" t="str">
        <f>IF(104&lt;=Calculator!$C$10,104,"")</f>
        <v/>
      </c>
      <c r="B107" s="15" t="str">
        <f>IF($A107="","",Calculator!$C$9)</f>
        <v/>
      </c>
      <c r="C107" s="15" t="str">
        <f>IF($A107="","",Calculator!$C$9/POWER(1+_Engine!$B$2,$A107))</f>
        <v/>
      </c>
      <c r="D107" s="16" t="str">
        <f>IF($A107="","",POWER(1+_Engine!$B$2,$A107))</f>
        <v/>
      </c>
    </row>
    <row r="108" spans="1:4" x14ac:dyDescent="0.25">
      <c r="A108" s="14" t="str">
        <f>IF(105&lt;=Calculator!$C$10,105,"")</f>
        <v/>
      </c>
      <c r="B108" s="15" t="str">
        <f>IF($A108="","",Calculator!$C$9)</f>
        <v/>
      </c>
      <c r="C108" s="15" t="str">
        <f>IF($A108="","",Calculator!$C$9/POWER(1+_Engine!$B$2,$A108))</f>
        <v/>
      </c>
      <c r="D108" s="16" t="str">
        <f>IF($A108="","",POWER(1+_Engine!$B$2,$A108))</f>
        <v/>
      </c>
    </row>
    <row r="109" spans="1:4" x14ac:dyDescent="0.25">
      <c r="A109" s="14" t="str">
        <f>IF(106&lt;=Calculator!$C$10,106,"")</f>
        <v/>
      </c>
      <c r="B109" s="15" t="str">
        <f>IF($A109="","",Calculator!$C$9)</f>
        <v/>
      </c>
      <c r="C109" s="15" t="str">
        <f>IF($A109="","",Calculator!$C$9/POWER(1+_Engine!$B$2,$A109))</f>
        <v/>
      </c>
      <c r="D109" s="16" t="str">
        <f>IF($A109="","",POWER(1+_Engine!$B$2,$A109))</f>
        <v/>
      </c>
    </row>
    <row r="110" spans="1:4" x14ac:dyDescent="0.25">
      <c r="A110" s="14" t="str">
        <f>IF(107&lt;=Calculator!$C$10,107,"")</f>
        <v/>
      </c>
      <c r="B110" s="15" t="str">
        <f>IF($A110="","",Calculator!$C$9)</f>
        <v/>
      </c>
      <c r="C110" s="15" t="str">
        <f>IF($A110="","",Calculator!$C$9/POWER(1+_Engine!$B$2,$A110))</f>
        <v/>
      </c>
      <c r="D110" s="16" t="str">
        <f>IF($A110="","",POWER(1+_Engine!$B$2,$A110))</f>
        <v/>
      </c>
    </row>
    <row r="111" spans="1:4" x14ac:dyDescent="0.25">
      <c r="A111" s="14" t="str">
        <f>IF(108&lt;=Calculator!$C$10,108,"")</f>
        <v/>
      </c>
      <c r="B111" s="15" t="str">
        <f>IF($A111="","",Calculator!$C$9)</f>
        <v/>
      </c>
      <c r="C111" s="15" t="str">
        <f>IF($A111="","",Calculator!$C$9/POWER(1+_Engine!$B$2,$A111))</f>
        <v/>
      </c>
      <c r="D111" s="16" t="str">
        <f>IF($A111="","",POWER(1+_Engine!$B$2,$A111))</f>
        <v/>
      </c>
    </row>
    <row r="112" spans="1:4" x14ac:dyDescent="0.25">
      <c r="A112" s="14" t="str">
        <f>IF(109&lt;=Calculator!$C$10,109,"")</f>
        <v/>
      </c>
      <c r="B112" s="15" t="str">
        <f>IF($A112="","",Calculator!$C$9)</f>
        <v/>
      </c>
      <c r="C112" s="15" t="str">
        <f>IF($A112="","",Calculator!$C$9/POWER(1+_Engine!$B$2,$A112))</f>
        <v/>
      </c>
      <c r="D112" s="16" t="str">
        <f>IF($A112="","",POWER(1+_Engine!$B$2,$A112))</f>
        <v/>
      </c>
    </row>
    <row r="113" spans="1:4" x14ac:dyDescent="0.25">
      <c r="A113" s="14" t="str">
        <f>IF(110&lt;=Calculator!$C$10,110,"")</f>
        <v/>
      </c>
      <c r="B113" s="15" t="str">
        <f>IF($A113="","",Calculator!$C$9)</f>
        <v/>
      </c>
      <c r="C113" s="15" t="str">
        <f>IF($A113="","",Calculator!$C$9/POWER(1+_Engine!$B$2,$A113))</f>
        <v/>
      </c>
      <c r="D113" s="16" t="str">
        <f>IF($A113="","",POWER(1+_Engine!$B$2,$A113))</f>
        <v/>
      </c>
    </row>
    <row r="114" spans="1:4" x14ac:dyDescent="0.25">
      <c r="A114" s="14" t="str">
        <f>IF(111&lt;=Calculator!$C$10,111,"")</f>
        <v/>
      </c>
      <c r="B114" s="15" t="str">
        <f>IF($A114="","",Calculator!$C$9)</f>
        <v/>
      </c>
      <c r="C114" s="15" t="str">
        <f>IF($A114="","",Calculator!$C$9/POWER(1+_Engine!$B$2,$A114))</f>
        <v/>
      </c>
      <c r="D114" s="16" t="str">
        <f>IF($A114="","",POWER(1+_Engine!$B$2,$A114))</f>
        <v/>
      </c>
    </row>
    <row r="115" spans="1:4" x14ac:dyDescent="0.25">
      <c r="A115" s="14" t="str">
        <f>IF(112&lt;=Calculator!$C$10,112,"")</f>
        <v/>
      </c>
      <c r="B115" s="15" t="str">
        <f>IF($A115="","",Calculator!$C$9)</f>
        <v/>
      </c>
      <c r="C115" s="15" t="str">
        <f>IF($A115="","",Calculator!$C$9/POWER(1+_Engine!$B$2,$A115))</f>
        <v/>
      </c>
      <c r="D115" s="16" t="str">
        <f>IF($A115="","",POWER(1+_Engine!$B$2,$A115))</f>
        <v/>
      </c>
    </row>
    <row r="116" spans="1:4" x14ac:dyDescent="0.25">
      <c r="A116" s="14" t="str">
        <f>IF(113&lt;=Calculator!$C$10,113,"")</f>
        <v/>
      </c>
      <c r="B116" s="15" t="str">
        <f>IF($A116="","",Calculator!$C$9)</f>
        <v/>
      </c>
      <c r="C116" s="15" t="str">
        <f>IF($A116="","",Calculator!$C$9/POWER(1+_Engine!$B$2,$A116))</f>
        <v/>
      </c>
      <c r="D116" s="16" t="str">
        <f>IF($A116="","",POWER(1+_Engine!$B$2,$A116))</f>
        <v/>
      </c>
    </row>
    <row r="117" spans="1:4" x14ac:dyDescent="0.25">
      <c r="A117" s="14" t="str">
        <f>IF(114&lt;=Calculator!$C$10,114,"")</f>
        <v/>
      </c>
      <c r="B117" s="15" t="str">
        <f>IF($A117="","",Calculator!$C$9)</f>
        <v/>
      </c>
      <c r="C117" s="15" t="str">
        <f>IF($A117="","",Calculator!$C$9/POWER(1+_Engine!$B$2,$A117))</f>
        <v/>
      </c>
      <c r="D117" s="16" t="str">
        <f>IF($A117="","",POWER(1+_Engine!$B$2,$A117))</f>
        <v/>
      </c>
    </row>
    <row r="118" spans="1:4" x14ac:dyDescent="0.25">
      <c r="A118" s="14" t="str">
        <f>IF(115&lt;=Calculator!$C$10,115,"")</f>
        <v/>
      </c>
      <c r="B118" s="15" t="str">
        <f>IF($A118="","",Calculator!$C$9)</f>
        <v/>
      </c>
      <c r="C118" s="15" t="str">
        <f>IF($A118="","",Calculator!$C$9/POWER(1+_Engine!$B$2,$A118))</f>
        <v/>
      </c>
      <c r="D118" s="16" t="str">
        <f>IF($A118="","",POWER(1+_Engine!$B$2,$A118))</f>
        <v/>
      </c>
    </row>
    <row r="119" spans="1:4" x14ac:dyDescent="0.25">
      <c r="A119" s="14" t="str">
        <f>IF(116&lt;=Calculator!$C$10,116,"")</f>
        <v/>
      </c>
      <c r="B119" s="15" t="str">
        <f>IF($A119="","",Calculator!$C$9)</f>
        <v/>
      </c>
      <c r="C119" s="15" t="str">
        <f>IF($A119="","",Calculator!$C$9/POWER(1+_Engine!$B$2,$A119))</f>
        <v/>
      </c>
      <c r="D119" s="16" t="str">
        <f>IF($A119="","",POWER(1+_Engine!$B$2,$A119))</f>
        <v/>
      </c>
    </row>
    <row r="120" spans="1:4" x14ac:dyDescent="0.25">
      <c r="A120" s="14" t="str">
        <f>IF(117&lt;=Calculator!$C$10,117,"")</f>
        <v/>
      </c>
      <c r="B120" s="15" t="str">
        <f>IF($A120="","",Calculator!$C$9)</f>
        <v/>
      </c>
      <c r="C120" s="15" t="str">
        <f>IF($A120="","",Calculator!$C$9/POWER(1+_Engine!$B$2,$A120))</f>
        <v/>
      </c>
      <c r="D120" s="16" t="str">
        <f>IF($A120="","",POWER(1+_Engine!$B$2,$A120))</f>
        <v/>
      </c>
    </row>
    <row r="121" spans="1:4" x14ac:dyDescent="0.25">
      <c r="A121" s="14" t="str">
        <f>IF(118&lt;=Calculator!$C$10,118,"")</f>
        <v/>
      </c>
      <c r="B121" s="15" t="str">
        <f>IF($A121="","",Calculator!$C$9)</f>
        <v/>
      </c>
      <c r="C121" s="15" t="str">
        <f>IF($A121="","",Calculator!$C$9/POWER(1+_Engine!$B$2,$A121))</f>
        <v/>
      </c>
      <c r="D121" s="16" t="str">
        <f>IF($A121="","",POWER(1+_Engine!$B$2,$A121))</f>
        <v/>
      </c>
    </row>
    <row r="122" spans="1:4" x14ac:dyDescent="0.25">
      <c r="A122" s="14" t="str">
        <f>IF(119&lt;=Calculator!$C$10,119,"")</f>
        <v/>
      </c>
      <c r="B122" s="15" t="str">
        <f>IF($A122="","",Calculator!$C$9)</f>
        <v/>
      </c>
      <c r="C122" s="15" t="str">
        <f>IF($A122="","",Calculator!$C$9/POWER(1+_Engine!$B$2,$A122))</f>
        <v/>
      </c>
      <c r="D122" s="16" t="str">
        <f>IF($A122="","",POWER(1+_Engine!$B$2,$A122))</f>
        <v/>
      </c>
    </row>
    <row r="123" spans="1:4" x14ac:dyDescent="0.25">
      <c r="A123" s="14" t="str">
        <f>IF(120&lt;=Calculator!$C$10,120,"")</f>
        <v/>
      </c>
      <c r="B123" s="15" t="str">
        <f>IF($A123="","",Calculator!$C$9)</f>
        <v/>
      </c>
      <c r="C123" s="15" t="str">
        <f>IF($A123="","",Calculator!$C$9/POWER(1+_Engine!$B$2,$A123))</f>
        <v/>
      </c>
      <c r="D123" s="16" t="str">
        <f>IF($A123="","",POWER(1+_Engine!$B$2,$A123))</f>
        <v/>
      </c>
    </row>
    <row r="124" spans="1:4" x14ac:dyDescent="0.25">
      <c r="A124" s="14" t="str">
        <f>IF(121&lt;=Calculator!$C$10,121,"")</f>
        <v/>
      </c>
      <c r="B124" s="15" t="str">
        <f>IF($A124="","",Calculator!$C$9)</f>
        <v/>
      </c>
      <c r="C124" s="15" t="str">
        <f>IF($A124="","",Calculator!$C$9/POWER(1+_Engine!$B$2,$A124))</f>
        <v/>
      </c>
      <c r="D124" s="16" t="str">
        <f>IF($A124="","",POWER(1+_Engine!$B$2,$A124))</f>
        <v/>
      </c>
    </row>
    <row r="125" spans="1:4" x14ac:dyDescent="0.25">
      <c r="A125" s="14" t="str">
        <f>IF(122&lt;=Calculator!$C$10,122,"")</f>
        <v/>
      </c>
      <c r="B125" s="15" t="str">
        <f>IF($A125="","",Calculator!$C$9)</f>
        <v/>
      </c>
      <c r="C125" s="15" t="str">
        <f>IF($A125="","",Calculator!$C$9/POWER(1+_Engine!$B$2,$A125))</f>
        <v/>
      </c>
      <c r="D125" s="16" t="str">
        <f>IF($A125="","",POWER(1+_Engine!$B$2,$A125))</f>
        <v/>
      </c>
    </row>
    <row r="126" spans="1:4" x14ac:dyDescent="0.25">
      <c r="A126" s="14" t="str">
        <f>IF(123&lt;=Calculator!$C$10,123,"")</f>
        <v/>
      </c>
      <c r="B126" s="15" t="str">
        <f>IF($A126="","",Calculator!$C$9)</f>
        <v/>
      </c>
      <c r="C126" s="15" t="str">
        <f>IF($A126="","",Calculator!$C$9/POWER(1+_Engine!$B$2,$A126))</f>
        <v/>
      </c>
      <c r="D126" s="16" t="str">
        <f>IF($A126="","",POWER(1+_Engine!$B$2,$A126))</f>
        <v/>
      </c>
    </row>
    <row r="127" spans="1:4" x14ac:dyDescent="0.25">
      <c r="A127" s="14" t="str">
        <f>IF(124&lt;=Calculator!$C$10,124,"")</f>
        <v/>
      </c>
      <c r="B127" s="15" t="str">
        <f>IF($A127="","",Calculator!$C$9)</f>
        <v/>
      </c>
      <c r="C127" s="15" t="str">
        <f>IF($A127="","",Calculator!$C$9/POWER(1+_Engine!$B$2,$A127))</f>
        <v/>
      </c>
      <c r="D127" s="16" t="str">
        <f>IF($A127="","",POWER(1+_Engine!$B$2,$A127))</f>
        <v/>
      </c>
    </row>
    <row r="128" spans="1:4" x14ac:dyDescent="0.25">
      <c r="A128" s="14" t="str">
        <f>IF(125&lt;=Calculator!$C$10,125,"")</f>
        <v/>
      </c>
      <c r="B128" s="15" t="str">
        <f>IF($A128="","",Calculator!$C$9)</f>
        <v/>
      </c>
      <c r="C128" s="15" t="str">
        <f>IF($A128="","",Calculator!$C$9/POWER(1+_Engine!$B$2,$A128))</f>
        <v/>
      </c>
      <c r="D128" s="16" t="str">
        <f>IF($A128="","",POWER(1+_Engine!$B$2,$A128))</f>
        <v/>
      </c>
    </row>
    <row r="129" spans="1:4" x14ac:dyDescent="0.25">
      <c r="A129" s="14" t="str">
        <f>IF(126&lt;=Calculator!$C$10,126,"")</f>
        <v/>
      </c>
      <c r="B129" s="15" t="str">
        <f>IF($A129="","",Calculator!$C$9)</f>
        <v/>
      </c>
      <c r="C129" s="15" t="str">
        <f>IF($A129="","",Calculator!$C$9/POWER(1+_Engine!$B$2,$A129))</f>
        <v/>
      </c>
      <c r="D129" s="16" t="str">
        <f>IF($A129="","",POWER(1+_Engine!$B$2,$A129))</f>
        <v/>
      </c>
    </row>
    <row r="130" spans="1:4" x14ac:dyDescent="0.25">
      <c r="A130" s="14" t="str">
        <f>IF(127&lt;=Calculator!$C$10,127,"")</f>
        <v/>
      </c>
      <c r="B130" s="15" t="str">
        <f>IF($A130="","",Calculator!$C$9)</f>
        <v/>
      </c>
      <c r="C130" s="15" t="str">
        <f>IF($A130="","",Calculator!$C$9/POWER(1+_Engine!$B$2,$A130))</f>
        <v/>
      </c>
      <c r="D130" s="16" t="str">
        <f>IF($A130="","",POWER(1+_Engine!$B$2,$A130))</f>
        <v/>
      </c>
    </row>
    <row r="131" spans="1:4" x14ac:dyDescent="0.25">
      <c r="A131" s="14" t="str">
        <f>IF(128&lt;=Calculator!$C$10,128,"")</f>
        <v/>
      </c>
      <c r="B131" s="15" t="str">
        <f>IF($A131="","",Calculator!$C$9)</f>
        <v/>
      </c>
      <c r="C131" s="15" t="str">
        <f>IF($A131="","",Calculator!$C$9/POWER(1+_Engine!$B$2,$A131))</f>
        <v/>
      </c>
      <c r="D131" s="16" t="str">
        <f>IF($A131="","",POWER(1+_Engine!$B$2,$A131))</f>
        <v/>
      </c>
    </row>
    <row r="132" spans="1:4" x14ac:dyDescent="0.25">
      <c r="A132" s="14" t="str">
        <f>IF(129&lt;=Calculator!$C$10,129,"")</f>
        <v/>
      </c>
      <c r="B132" s="15" t="str">
        <f>IF($A132="","",Calculator!$C$9)</f>
        <v/>
      </c>
      <c r="C132" s="15" t="str">
        <f>IF($A132="","",Calculator!$C$9/POWER(1+_Engine!$B$2,$A132))</f>
        <v/>
      </c>
      <c r="D132" s="16" t="str">
        <f>IF($A132="","",POWER(1+_Engine!$B$2,$A132))</f>
        <v/>
      </c>
    </row>
    <row r="133" spans="1:4" x14ac:dyDescent="0.25">
      <c r="A133" s="14" t="str">
        <f>IF(130&lt;=Calculator!$C$10,130,"")</f>
        <v/>
      </c>
      <c r="B133" s="15" t="str">
        <f>IF($A133="","",Calculator!$C$9)</f>
        <v/>
      </c>
      <c r="C133" s="15" t="str">
        <f>IF($A133="","",Calculator!$C$9/POWER(1+_Engine!$B$2,$A133))</f>
        <v/>
      </c>
      <c r="D133" s="16" t="str">
        <f>IF($A133="","",POWER(1+_Engine!$B$2,$A133))</f>
        <v/>
      </c>
    </row>
    <row r="134" spans="1:4" x14ac:dyDescent="0.25">
      <c r="A134" s="14" t="str">
        <f>IF(131&lt;=Calculator!$C$10,131,"")</f>
        <v/>
      </c>
      <c r="B134" s="15" t="str">
        <f>IF($A134="","",Calculator!$C$9)</f>
        <v/>
      </c>
      <c r="C134" s="15" t="str">
        <f>IF($A134="","",Calculator!$C$9/POWER(1+_Engine!$B$2,$A134))</f>
        <v/>
      </c>
      <c r="D134" s="16" t="str">
        <f>IF($A134="","",POWER(1+_Engine!$B$2,$A134))</f>
        <v/>
      </c>
    </row>
    <row r="135" spans="1:4" x14ac:dyDescent="0.25">
      <c r="A135" s="14" t="str">
        <f>IF(132&lt;=Calculator!$C$10,132,"")</f>
        <v/>
      </c>
      <c r="B135" s="15" t="str">
        <f>IF($A135="","",Calculator!$C$9)</f>
        <v/>
      </c>
      <c r="C135" s="15" t="str">
        <f>IF($A135="","",Calculator!$C$9/POWER(1+_Engine!$B$2,$A135))</f>
        <v/>
      </c>
      <c r="D135" s="16" t="str">
        <f>IF($A135="","",POWER(1+_Engine!$B$2,$A135))</f>
        <v/>
      </c>
    </row>
    <row r="136" spans="1:4" x14ac:dyDescent="0.25">
      <c r="A136" s="14" t="str">
        <f>IF(133&lt;=Calculator!$C$10,133,"")</f>
        <v/>
      </c>
      <c r="B136" s="15" t="str">
        <f>IF($A136="","",Calculator!$C$9)</f>
        <v/>
      </c>
      <c r="C136" s="15" t="str">
        <f>IF($A136="","",Calculator!$C$9/POWER(1+_Engine!$B$2,$A136))</f>
        <v/>
      </c>
      <c r="D136" s="16" t="str">
        <f>IF($A136="","",POWER(1+_Engine!$B$2,$A136))</f>
        <v/>
      </c>
    </row>
    <row r="137" spans="1:4" x14ac:dyDescent="0.25">
      <c r="A137" s="14" t="str">
        <f>IF(134&lt;=Calculator!$C$10,134,"")</f>
        <v/>
      </c>
      <c r="B137" s="15" t="str">
        <f>IF($A137="","",Calculator!$C$9)</f>
        <v/>
      </c>
      <c r="C137" s="15" t="str">
        <f>IF($A137="","",Calculator!$C$9/POWER(1+_Engine!$B$2,$A137))</f>
        <v/>
      </c>
      <c r="D137" s="16" t="str">
        <f>IF($A137="","",POWER(1+_Engine!$B$2,$A137))</f>
        <v/>
      </c>
    </row>
    <row r="138" spans="1:4" x14ac:dyDescent="0.25">
      <c r="A138" s="14" t="str">
        <f>IF(135&lt;=Calculator!$C$10,135,"")</f>
        <v/>
      </c>
      <c r="B138" s="15" t="str">
        <f>IF($A138="","",Calculator!$C$9)</f>
        <v/>
      </c>
      <c r="C138" s="15" t="str">
        <f>IF($A138="","",Calculator!$C$9/POWER(1+_Engine!$B$2,$A138))</f>
        <v/>
      </c>
      <c r="D138" s="16" t="str">
        <f>IF($A138="","",POWER(1+_Engine!$B$2,$A138))</f>
        <v/>
      </c>
    </row>
    <row r="139" spans="1:4" x14ac:dyDescent="0.25">
      <c r="A139" s="14" t="str">
        <f>IF(136&lt;=Calculator!$C$10,136,"")</f>
        <v/>
      </c>
      <c r="B139" s="15" t="str">
        <f>IF($A139="","",Calculator!$C$9)</f>
        <v/>
      </c>
      <c r="C139" s="15" t="str">
        <f>IF($A139="","",Calculator!$C$9/POWER(1+_Engine!$B$2,$A139))</f>
        <v/>
      </c>
      <c r="D139" s="16" t="str">
        <f>IF($A139="","",POWER(1+_Engine!$B$2,$A139))</f>
        <v/>
      </c>
    </row>
    <row r="140" spans="1:4" x14ac:dyDescent="0.25">
      <c r="A140" s="14" t="str">
        <f>IF(137&lt;=Calculator!$C$10,137,"")</f>
        <v/>
      </c>
      <c r="B140" s="15" t="str">
        <f>IF($A140="","",Calculator!$C$9)</f>
        <v/>
      </c>
      <c r="C140" s="15" t="str">
        <f>IF($A140="","",Calculator!$C$9/POWER(1+_Engine!$B$2,$A140))</f>
        <v/>
      </c>
      <c r="D140" s="16" t="str">
        <f>IF($A140="","",POWER(1+_Engine!$B$2,$A140))</f>
        <v/>
      </c>
    </row>
    <row r="141" spans="1:4" x14ac:dyDescent="0.25">
      <c r="A141" s="14" t="str">
        <f>IF(138&lt;=Calculator!$C$10,138,"")</f>
        <v/>
      </c>
      <c r="B141" s="15" t="str">
        <f>IF($A141="","",Calculator!$C$9)</f>
        <v/>
      </c>
      <c r="C141" s="15" t="str">
        <f>IF($A141="","",Calculator!$C$9/POWER(1+_Engine!$B$2,$A141))</f>
        <v/>
      </c>
      <c r="D141" s="16" t="str">
        <f>IF($A141="","",POWER(1+_Engine!$B$2,$A141))</f>
        <v/>
      </c>
    </row>
    <row r="142" spans="1:4" x14ac:dyDescent="0.25">
      <c r="A142" s="14" t="str">
        <f>IF(139&lt;=Calculator!$C$10,139,"")</f>
        <v/>
      </c>
      <c r="B142" s="15" t="str">
        <f>IF($A142="","",Calculator!$C$9)</f>
        <v/>
      </c>
      <c r="C142" s="15" t="str">
        <f>IF($A142="","",Calculator!$C$9/POWER(1+_Engine!$B$2,$A142))</f>
        <v/>
      </c>
      <c r="D142" s="16" t="str">
        <f>IF($A142="","",POWER(1+_Engine!$B$2,$A142))</f>
        <v/>
      </c>
    </row>
    <row r="143" spans="1:4" x14ac:dyDescent="0.25">
      <c r="A143" s="14" t="str">
        <f>IF(140&lt;=Calculator!$C$10,140,"")</f>
        <v/>
      </c>
      <c r="B143" s="15" t="str">
        <f>IF($A143="","",Calculator!$C$9)</f>
        <v/>
      </c>
      <c r="C143" s="15" t="str">
        <f>IF($A143="","",Calculator!$C$9/POWER(1+_Engine!$B$2,$A143))</f>
        <v/>
      </c>
      <c r="D143" s="16" t="str">
        <f>IF($A143="","",POWER(1+_Engine!$B$2,$A143))</f>
        <v/>
      </c>
    </row>
    <row r="144" spans="1:4" x14ac:dyDescent="0.25">
      <c r="A144" s="14" t="str">
        <f>IF(141&lt;=Calculator!$C$10,141,"")</f>
        <v/>
      </c>
      <c r="B144" s="15" t="str">
        <f>IF($A144="","",Calculator!$C$9)</f>
        <v/>
      </c>
      <c r="C144" s="15" t="str">
        <f>IF($A144="","",Calculator!$C$9/POWER(1+_Engine!$B$2,$A144))</f>
        <v/>
      </c>
      <c r="D144" s="16" t="str">
        <f>IF($A144="","",POWER(1+_Engine!$B$2,$A144))</f>
        <v/>
      </c>
    </row>
    <row r="145" spans="1:4" x14ac:dyDescent="0.25">
      <c r="A145" s="14" t="str">
        <f>IF(142&lt;=Calculator!$C$10,142,"")</f>
        <v/>
      </c>
      <c r="B145" s="15" t="str">
        <f>IF($A145="","",Calculator!$C$9)</f>
        <v/>
      </c>
      <c r="C145" s="15" t="str">
        <f>IF($A145="","",Calculator!$C$9/POWER(1+_Engine!$B$2,$A145))</f>
        <v/>
      </c>
      <c r="D145" s="16" t="str">
        <f>IF($A145="","",POWER(1+_Engine!$B$2,$A145))</f>
        <v/>
      </c>
    </row>
    <row r="146" spans="1:4" x14ac:dyDescent="0.25">
      <c r="A146" s="14" t="str">
        <f>IF(143&lt;=Calculator!$C$10,143,"")</f>
        <v/>
      </c>
      <c r="B146" s="15" t="str">
        <f>IF($A146="","",Calculator!$C$9)</f>
        <v/>
      </c>
      <c r="C146" s="15" t="str">
        <f>IF($A146="","",Calculator!$C$9/POWER(1+_Engine!$B$2,$A146))</f>
        <v/>
      </c>
      <c r="D146" s="16" t="str">
        <f>IF($A146="","",POWER(1+_Engine!$B$2,$A146))</f>
        <v/>
      </c>
    </row>
    <row r="147" spans="1:4" x14ac:dyDescent="0.25">
      <c r="A147" s="14" t="str">
        <f>IF(144&lt;=Calculator!$C$10,144,"")</f>
        <v/>
      </c>
      <c r="B147" s="15" t="str">
        <f>IF($A147="","",Calculator!$C$9)</f>
        <v/>
      </c>
      <c r="C147" s="15" t="str">
        <f>IF($A147="","",Calculator!$C$9/POWER(1+_Engine!$B$2,$A147))</f>
        <v/>
      </c>
      <c r="D147" s="16" t="str">
        <f>IF($A147="","",POWER(1+_Engine!$B$2,$A147))</f>
        <v/>
      </c>
    </row>
    <row r="148" spans="1:4" x14ac:dyDescent="0.25">
      <c r="A148" s="14" t="str">
        <f>IF(145&lt;=Calculator!$C$10,145,"")</f>
        <v/>
      </c>
      <c r="B148" s="15" t="str">
        <f>IF($A148="","",Calculator!$C$9)</f>
        <v/>
      </c>
      <c r="C148" s="15" t="str">
        <f>IF($A148="","",Calculator!$C$9/POWER(1+_Engine!$B$2,$A148))</f>
        <v/>
      </c>
      <c r="D148" s="16" t="str">
        <f>IF($A148="","",POWER(1+_Engine!$B$2,$A148))</f>
        <v/>
      </c>
    </row>
    <row r="149" spans="1:4" x14ac:dyDescent="0.25">
      <c r="A149" s="14" t="str">
        <f>IF(146&lt;=Calculator!$C$10,146,"")</f>
        <v/>
      </c>
      <c r="B149" s="15" t="str">
        <f>IF($A149="","",Calculator!$C$9)</f>
        <v/>
      </c>
      <c r="C149" s="15" t="str">
        <f>IF($A149="","",Calculator!$C$9/POWER(1+_Engine!$B$2,$A149))</f>
        <v/>
      </c>
      <c r="D149" s="16" t="str">
        <f>IF($A149="","",POWER(1+_Engine!$B$2,$A149))</f>
        <v/>
      </c>
    </row>
    <row r="150" spans="1:4" x14ac:dyDescent="0.25">
      <c r="A150" s="14" t="str">
        <f>IF(147&lt;=Calculator!$C$10,147,"")</f>
        <v/>
      </c>
      <c r="B150" s="15" t="str">
        <f>IF($A150="","",Calculator!$C$9)</f>
        <v/>
      </c>
      <c r="C150" s="15" t="str">
        <f>IF($A150="","",Calculator!$C$9/POWER(1+_Engine!$B$2,$A150))</f>
        <v/>
      </c>
      <c r="D150" s="16" t="str">
        <f>IF($A150="","",POWER(1+_Engine!$B$2,$A150))</f>
        <v/>
      </c>
    </row>
    <row r="151" spans="1:4" x14ac:dyDescent="0.25">
      <c r="A151" s="14" t="str">
        <f>IF(148&lt;=Calculator!$C$10,148,"")</f>
        <v/>
      </c>
      <c r="B151" s="15" t="str">
        <f>IF($A151="","",Calculator!$C$9)</f>
        <v/>
      </c>
      <c r="C151" s="15" t="str">
        <f>IF($A151="","",Calculator!$C$9/POWER(1+_Engine!$B$2,$A151))</f>
        <v/>
      </c>
      <c r="D151" s="16" t="str">
        <f>IF($A151="","",POWER(1+_Engine!$B$2,$A151))</f>
        <v/>
      </c>
    </row>
    <row r="152" spans="1:4" x14ac:dyDescent="0.25">
      <c r="A152" s="14" t="str">
        <f>IF(149&lt;=Calculator!$C$10,149,"")</f>
        <v/>
      </c>
      <c r="B152" s="15" t="str">
        <f>IF($A152="","",Calculator!$C$9)</f>
        <v/>
      </c>
      <c r="C152" s="15" t="str">
        <f>IF($A152="","",Calculator!$C$9/POWER(1+_Engine!$B$2,$A152))</f>
        <v/>
      </c>
      <c r="D152" s="16" t="str">
        <f>IF($A152="","",POWER(1+_Engine!$B$2,$A152))</f>
        <v/>
      </c>
    </row>
    <row r="153" spans="1:4" x14ac:dyDescent="0.25">
      <c r="A153" s="14" t="str">
        <f>IF(150&lt;=Calculator!$C$10,150,"")</f>
        <v/>
      </c>
      <c r="B153" s="15" t="str">
        <f>IF($A153="","",Calculator!$C$9)</f>
        <v/>
      </c>
      <c r="C153" s="15" t="str">
        <f>IF($A153="","",Calculator!$C$9/POWER(1+_Engine!$B$2,$A153))</f>
        <v/>
      </c>
      <c r="D153" s="16" t="str">
        <f>IF($A153="","",POWER(1+_Engine!$B$2,$A153))</f>
        <v/>
      </c>
    </row>
    <row r="154" spans="1:4" x14ac:dyDescent="0.25">
      <c r="A154" s="14" t="str">
        <f>IF(151&lt;=Calculator!$C$10,151,"")</f>
        <v/>
      </c>
      <c r="B154" s="15" t="str">
        <f>IF($A154="","",Calculator!$C$9)</f>
        <v/>
      </c>
      <c r="C154" s="15" t="str">
        <f>IF($A154="","",Calculator!$C$9/POWER(1+_Engine!$B$2,$A154))</f>
        <v/>
      </c>
      <c r="D154" s="16" t="str">
        <f>IF($A154="","",POWER(1+_Engine!$B$2,$A154))</f>
        <v/>
      </c>
    </row>
    <row r="155" spans="1:4" x14ac:dyDescent="0.25">
      <c r="A155" s="14" t="str">
        <f>IF(152&lt;=Calculator!$C$10,152,"")</f>
        <v/>
      </c>
      <c r="B155" s="15" t="str">
        <f>IF($A155="","",Calculator!$C$9)</f>
        <v/>
      </c>
      <c r="C155" s="15" t="str">
        <f>IF($A155="","",Calculator!$C$9/POWER(1+_Engine!$B$2,$A155))</f>
        <v/>
      </c>
      <c r="D155" s="16" t="str">
        <f>IF($A155="","",POWER(1+_Engine!$B$2,$A155))</f>
        <v/>
      </c>
    </row>
    <row r="156" spans="1:4" x14ac:dyDescent="0.25">
      <c r="A156" s="14" t="str">
        <f>IF(153&lt;=Calculator!$C$10,153,"")</f>
        <v/>
      </c>
      <c r="B156" s="15" t="str">
        <f>IF($A156="","",Calculator!$C$9)</f>
        <v/>
      </c>
      <c r="C156" s="15" t="str">
        <f>IF($A156="","",Calculator!$C$9/POWER(1+_Engine!$B$2,$A156))</f>
        <v/>
      </c>
      <c r="D156" s="16" t="str">
        <f>IF($A156="","",POWER(1+_Engine!$B$2,$A156))</f>
        <v/>
      </c>
    </row>
    <row r="157" spans="1:4" x14ac:dyDescent="0.25">
      <c r="A157" s="14" t="str">
        <f>IF(154&lt;=Calculator!$C$10,154,"")</f>
        <v/>
      </c>
      <c r="B157" s="15" t="str">
        <f>IF($A157="","",Calculator!$C$9)</f>
        <v/>
      </c>
      <c r="C157" s="15" t="str">
        <f>IF($A157="","",Calculator!$C$9/POWER(1+_Engine!$B$2,$A157))</f>
        <v/>
      </c>
      <c r="D157" s="16" t="str">
        <f>IF($A157="","",POWER(1+_Engine!$B$2,$A157))</f>
        <v/>
      </c>
    </row>
    <row r="158" spans="1:4" x14ac:dyDescent="0.25">
      <c r="A158" s="14" t="str">
        <f>IF(155&lt;=Calculator!$C$10,155,"")</f>
        <v/>
      </c>
      <c r="B158" s="15" t="str">
        <f>IF($A158="","",Calculator!$C$9)</f>
        <v/>
      </c>
      <c r="C158" s="15" t="str">
        <f>IF($A158="","",Calculator!$C$9/POWER(1+_Engine!$B$2,$A158))</f>
        <v/>
      </c>
      <c r="D158" s="16" t="str">
        <f>IF($A158="","",POWER(1+_Engine!$B$2,$A158))</f>
        <v/>
      </c>
    </row>
    <row r="159" spans="1:4" x14ac:dyDescent="0.25">
      <c r="A159" s="14" t="str">
        <f>IF(156&lt;=Calculator!$C$10,156,"")</f>
        <v/>
      </c>
      <c r="B159" s="15" t="str">
        <f>IF($A159="","",Calculator!$C$9)</f>
        <v/>
      </c>
      <c r="C159" s="15" t="str">
        <f>IF($A159="","",Calculator!$C$9/POWER(1+_Engine!$B$2,$A159))</f>
        <v/>
      </c>
      <c r="D159" s="16" t="str">
        <f>IF($A159="","",POWER(1+_Engine!$B$2,$A159))</f>
        <v/>
      </c>
    </row>
    <row r="160" spans="1:4" x14ac:dyDescent="0.25">
      <c r="A160" s="14" t="str">
        <f>IF(157&lt;=Calculator!$C$10,157,"")</f>
        <v/>
      </c>
      <c r="B160" s="15" t="str">
        <f>IF($A160="","",Calculator!$C$9)</f>
        <v/>
      </c>
      <c r="C160" s="15" t="str">
        <f>IF($A160="","",Calculator!$C$9/POWER(1+_Engine!$B$2,$A160))</f>
        <v/>
      </c>
      <c r="D160" s="16" t="str">
        <f>IF($A160="","",POWER(1+_Engine!$B$2,$A160))</f>
        <v/>
      </c>
    </row>
    <row r="161" spans="1:4" x14ac:dyDescent="0.25">
      <c r="A161" s="14" t="str">
        <f>IF(158&lt;=Calculator!$C$10,158,"")</f>
        <v/>
      </c>
      <c r="B161" s="15" t="str">
        <f>IF($A161="","",Calculator!$C$9)</f>
        <v/>
      </c>
      <c r="C161" s="15" t="str">
        <f>IF($A161="","",Calculator!$C$9/POWER(1+_Engine!$B$2,$A161))</f>
        <v/>
      </c>
      <c r="D161" s="16" t="str">
        <f>IF($A161="","",POWER(1+_Engine!$B$2,$A161))</f>
        <v/>
      </c>
    </row>
    <row r="162" spans="1:4" x14ac:dyDescent="0.25">
      <c r="A162" s="14" t="str">
        <f>IF(159&lt;=Calculator!$C$10,159,"")</f>
        <v/>
      </c>
      <c r="B162" s="15" t="str">
        <f>IF($A162="","",Calculator!$C$9)</f>
        <v/>
      </c>
      <c r="C162" s="15" t="str">
        <f>IF($A162="","",Calculator!$C$9/POWER(1+_Engine!$B$2,$A162))</f>
        <v/>
      </c>
      <c r="D162" s="16" t="str">
        <f>IF($A162="","",POWER(1+_Engine!$B$2,$A162))</f>
        <v/>
      </c>
    </row>
    <row r="163" spans="1:4" x14ac:dyDescent="0.25">
      <c r="A163" s="14" t="str">
        <f>IF(160&lt;=Calculator!$C$10,160,"")</f>
        <v/>
      </c>
      <c r="B163" s="15" t="str">
        <f>IF($A163="","",Calculator!$C$9)</f>
        <v/>
      </c>
      <c r="C163" s="15" t="str">
        <f>IF($A163="","",Calculator!$C$9/POWER(1+_Engine!$B$2,$A163))</f>
        <v/>
      </c>
      <c r="D163" s="16" t="str">
        <f>IF($A163="","",POWER(1+_Engine!$B$2,$A163))</f>
        <v/>
      </c>
    </row>
    <row r="164" spans="1:4" x14ac:dyDescent="0.25">
      <c r="A164" s="14" t="str">
        <f>IF(161&lt;=Calculator!$C$10,161,"")</f>
        <v/>
      </c>
      <c r="B164" s="15" t="str">
        <f>IF($A164="","",Calculator!$C$9)</f>
        <v/>
      </c>
      <c r="C164" s="15" t="str">
        <f>IF($A164="","",Calculator!$C$9/POWER(1+_Engine!$B$2,$A164))</f>
        <v/>
      </c>
      <c r="D164" s="16" t="str">
        <f>IF($A164="","",POWER(1+_Engine!$B$2,$A164))</f>
        <v/>
      </c>
    </row>
    <row r="165" spans="1:4" x14ac:dyDescent="0.25">
      <c r="A165" s="14" t="str">
        <f>IF(162&lt;=Calculator!$C$10,162,"")</f>
        <v/>
      </c>
      <c r="B165" s="15" t="str">
        <f>IF($A165="","",Calculator!$C$9)</f>
        <v/>
      </c>
      <c r="C165" s="15" t="str">
        <f>IF($A165="","",Calculator!$C$9/POWER(1+_Engine!$B$2,$A165))</f>
        <v/>
      </c>
      <c r="D165" s="16" t="str">
        <f>IF($A165="","",POWER(1+_Engine!$B$2,$A165))</f>
        <v/>
      </c>
    </row>
    <row r="166" spans="1:4" x14ac:dyDescent="0.25">
      <c r="A166" s="14" t="str">
        <f>IF(163&lt;=Calculator!$C$10,163,"")</f>
        <v/>
      </c>
      <c r="B166" s="15" t="str">
        <f>IF($A166="","",Calculator!$C$9)</f>
        <v/>
      </c>
      <c r="C166" s="15" t="str">
        <f>IF($A166="","",Calculator!$C$9/POWER(1+_Engine!$B$2,$A166))</f>
        <v/>
      </c>
      <c r="D166" s="16" t="str">
        <f>IF($A166="","",POWER(1+_Engine!$B$2,$A166))</f>
        <v/>
      </c>
    </row>
    <row r="167" spans="1:4" x14ac:dyDescent="0.25">
      <c r="A167" s="14" t="str">
        <f>IF(164&lt;=Calculator!$C$10,164,"")</f>
        <v/>
      </c>
      <c r="B167" s="15" t="str">
        <f>IF($A167="","",Calculator!$C$9)</f>
        <v/>
      </c>
      <c r="C167" s="15" t="str">
        <f>IF($A167="","",Calculator!$C$9/POWER(1+_Engine!$B$2,$A167))</f>
        <v/>
      </c>
      <c r="D167" s="16" t="str">
        <f>IF($A167="","",POWER(1+_Engine!$B$2,$A167))</f>
        <v/>
      </c>
    </row>
    <row r="168" spans="1:4" x14ac:dyDescent="0.25">
      <c r="A168" s="14" t="str">
        <f>IF(165&lt;=Calculator!$C$10,165,"")</f>
        <v/>
      </c>
      <c r="B168" s="15" t="str">
        <f>IF($A168="","",Calculator!$C$9)</f>
        <v/>
      </c>
      <c r="C168" s="15" t="str">
        <f>IF($A168="","",Calculator!$C$9/POWER(1+_Engine!$B$2,$A168))</f>
        <v/>
      </c>
      <c r="D168" s="16" t="str">
        <f>IF($A168="","",POWER(1+_Engine!$B$2,$A168))</f>
        <v/>
      </c>
    </row>
    <row r="169" spans="1:4" x14ac:dyDescent="0.25">
      <c r="A169" s="14" t="str">
        <f>IF(166&lt;=Calculator!$C$10,166,"")</f>
        <v/>
      </c>
      <c r="B169" s="15" t="str">
        <f>IF($A169="","",Calculator!$C$9)</f>
        <v/>
      </c>
      <c r="C169" s="15" t="str">
        <f>IF($A169="","",Calculator!$C$9/POWER(1+_Engine!$B$2,$A169))</f>
        <v/>
      </c>
      <c r="D169" s="16" t="str">
        <f>IF($A169="","",POWER(1+_Engine!$B$2,$A169))</f>
        <v/>
      </c>
    </row>
    <row r="170" spans="1:4" x14ac:dyDescent="0.25">
      <c r="A170" s="14" t="str">
        <f>IF(167&lt;=Calculator!$C$10,167,"")</f>
        <v/>
      </c>
      <c r="B170" s="15" t="str">
        <f>IF($A170="","",Calculator!$C$9)</f>
        <v/>
      </c>
      <c r="C170" s="15" t="str">
        <f>IF($A170="","",Calculator!$C$9/POWER(1+_Engine!$B$2,$A170))</f>
        <v/>
      </c>
      <c r="D170" s="16" t="str">
        <f>IF($A170="","",POWER(1+_Engine!$B$2,$A170))</f>
        <v/>
      </c>
    </row>
    <row r="171" spans="1:4" x14ac:dyDescent="0.25">
      <c r="A171" s="14" t="str">
        <f>IF(168&lt;=Calculator!$C$10,168,"")</f>
        <v/>
      </c>
      <c r="B171" s="15" t="str">
        <f>IF($A171="","",Calculator!$C$9)</f>
        <v/>
      </c>
      <c r="C171" s="15" t="str">
        <f>IF($A171="","",Calculator!$C$9/POWER(1+_Engine!$B$2,$A171))</f>
        <v/>
      </c>
      <c r="D171" s="16" t="str">
        <f>IF($A171="","",POWER(1+_Engine!$B$2,$A171))</f>
        <v/>
      </c>
    </row>
    <row r="172" spans="1:4" x14ac:dyDescent="0.25">
      <c r="A172" s="14" t="str">
        <f>IF(169&lt;=Calculator!$C$10,169,"")</f>
        <v/>
      </c>
      <c r="B172" s="15" t="str">
        <f>IF($A172="","",Calculator!$C$9)</f>
        <v/>
      </c>
      <c r="C172" s="15" t="str">
        <f>IF($A172="","",Calculator!$C$9/POWER(1+_Engine!$B$2,$A172))</f>
        <v/>
      </c>
      <c r="D172" s="16" t="str">
        <f>IF($A172="","",POWER(1+_Engine!$B$2,$A172))</f>
        <v/>
      </c>
    </row>
    <row r="173" spans="1:4" x14ac:dyDescent="0.25">
      <c r="A173" s="14" t="str">
        <f>IF(170&lt;=Calculator!$C$10,170,"")</f>
        <v/>
      </c>
      <c r="B173" s="15" t="str">
        <f>IF($A173="","",Calculator!$C$9)</f>
        <v/>
      </c>
      <c r="C173" s="15" t="str">
        <f>IF($A173="","",Calculator!$C$9/POWER(1+_Engine!$B$2,$A173))</f>
        <v/>
      </c>
      <c r="D173" s="16" t="str">
        <f>IF($A173="","",POWER(1+_Engine!$B$2,$A173))</f>
        <v/>
      </c>
    </row>
    <row r="174" spans="1:4" x14ac:dyDescent="0.25">
      <c r="A174" s="14" t="str">
        <f>IF(171&lt;=Calculator!$C$10,171,"")</f>
        <v/>
      </c>
      <c r="B174" s="15" t="str">
        <f>IF($A174="","",Calculator!$C$9)</f>
        <v/>
      </c>
      <c r="C174" s="15" t="str">
        <f>IF($A174="","",Calculator!$C$9/POWER(1+_Engine!$B$2,$A174))</f>
        <v/>
      </c>
      <c r="D174" s="16" t="str">
        <f>IF($A174="","",POWER(1+_Engine!$B$2,$A174))</f>
        <v/>
      </c>
    </row>
    <row r="175" spans="1:4" x14ac:dyDescent="0.25">
      <c r="A175" s="14" t="str">
        <f>IF(172&lt;=Calculator!$C$10,172,"")</f>
        <v/>
      </c>
      <c r="B175" s="15" t="str">
        <f>IF($A175="","",Calculator!$C$9)</f>
        <v/>
      </c>
      <c r="C175" s="15" t="str">
        <f>IF($A175="","",Calculator!$C$9/POWER(1+_Engine!$B$2,$A175))</f>
        <v/>
      </c>
      <c r="D175" s="16" t="str">
        <f>IF($A175="","",POWER(1+_Engine!$B$2,$A175))</f>
        <v/>
      </c>
    </row>
    <row r="176" spans="1:4" x14ac:dyDescent="0.25">
      <c r="A176" s="14" t="str">
        <f>IF(173&lt;=Calculator!$C$10,173,"")</f>
        <v/>
      </c>
      <c r="B176" s="15" t="str">
        <f>IF($A176="","",Calculator!$C$9)</f>
        <v/>
      </c>
      <c r="C176" s="15" t="str">
        <f>IF($A176="","",Calculator!$C$9/POWER(1+_Engine!$B$2,$A176))</f>
        <v/>
      </c>
      <c r="D176" s="16" t="str">
        <f>IF($A176="","",POWER(1+_Engine!$B$2,$A176))</f>
        <v/>
      </c>
    </row>
    <row r="177" spans="1:4" x14ac:dyDescent="0.25">
      <c r="A177" s="14" t="str">
        <f>IF(174&lt;=Calculator!$C$10,174,"")</f>
        <v/>
      </c>
      <c r="B177" s="15" t="str">
        <f>IF($A177="","",Calculator!$C$9)</f>
        <v/>
      </c>
      <c r="C177" s="15" t="str">
        <f>IF($A177="","",Calculator!$C$9/POWER(1+_Engine!$B$2,$A177))</f>
        <v/>
      </c>
      <c r="D177" s="16" t="str">
        <f>IF($A177="","",POWER(1+_Engine!$B$2,$A177))</f>
        <v/>
      </c>
    </row>
    <row r="178" spans="1:4" x14ac:dyDescent="0.25">
      <c r="A178" s="14" t="str">
        <f>IF(175&lt;=Calculator!$C$10,175,"")</f>
        <v/>
      </c>
      <c r="B178" s="15" t="str">
        <f>IF($A178="","",Calculator!$C$9)</f>
        <v/>
      </c>
      <c r="C178" s="15" t="str">
        <f>IF($A178="","",Calculator!$C$9/POWER(1+_Engine!$B$2,$A178))</f>
        <v/>
      </c>
      <c r="D178" s="16" t="str">
        <f>IF($A178="","",POWER(1+_Engine!$B$2,$A178))</f>
        <v/>
      </c>
    </row>
    <row r="179" spans="1:4" x14ac:dyDescent="0.25">
      <c r="A179" s="14" t="str">
        <f>IF(176&lt;=Calculator!$C$10,176,"")</f>
        <v/>
      </c>
      <c r="B179" s="15" t="str">
        <f>IF($A179="","",Calculator!$C$9)</f>
        <v/>
      </c>
      <c r="C179" s="15" t="str">
        <f>IF($A179="","",Calculator!$C$9/POWER(1+_Engine!$B$2,$A179))</f>
        <v/>
      </c>
      <c r="D179" s="16" t="str">
        <f>IF($A179="","",POWER(1+_Engine!$B$2,$A179))</f>
        <v/>
      </c>
    </row>
    <row r="180" spans="1:4" x14ac:dyDescent="0.25">
      <c r="A180" s="14" t="str">
        <f>IF(177&lt;=Calculator!$C$10,177,"")</f>
        <v/>
      </c>
      <c r="B180" s="15" t="str">
        <f>IF($A180="","",Calculator!$C$9)</f>
        <v/>
      </c>
      <c r="C180" s="15" t="str">
        <f>IF($A180="","",Calculator!$C$9/POWER(1+_Engine!$B$2,$A180))</f>
        <v/>
      </c>
      <c r="D180" s="16" t="str">
        <f>IF($A180="","",POWER(1+_Engine!$B$2,$A180))</f>
        <v/>
      </c>
    </row>
    <row r="181" spans="1:4" x14ac:dyDescent="0.25">
      <c r="A181" s="14" t="str">
        <f>IF(178&lt;=Calculator!$C$10,178,"")</f>
        <v/>
      </c>
      <c r="B181" s="15" t="str">
        <f>IF($A181="","",Calculator!$C$9)</f>
        <v/>
      </c>
      <c r="C181" s="15" t="str">
        <f>IF($A181="","",Calculator!$C$9/POWER(1+_Engine!$B$2,$A181))</f>
        <v/>
      </c>
      <c r="D181" s="16" t="str">
        <f>IF($A181="","",POWER(1+_Engine!$B$2,$A181))</f>
        <v/>
      </c>
    </row>
    <row r="182" spans="1:4" x14ac:dyDescent="0.25">
      <c r="A182" s="14" t="str">
        <f>IF(179&lt;=Calculator!$C$10,179,"")</f>
        <v/>
      </c>
      <c r="B182" s="15" t="str">
        <f>IF($A182="","",Calculator!$C$9)</f>
        <v/>
      </c>
      <c r="C182" s="15" t="str">
        <f>IF($A182="","",Calculator!$C$9/POWER(1+_Engine!$B$2,$A182))</f>
        <v/>
      </c>
      <c r="D182" s="16" t="str">
        <f>IF($A182="","",POWER(1+_Engine!$B$2,$A182))</f>
        <v/>
      </c>
    </row>
    <row r="183" spans="1:4" x14ac:dyDescent="0.25">
      <c r="A183" s="14" t="str">
        <f>IF(180&lt;=Calculator!$C$10,180,"")</f>
        <v/>
      </c>
      <c r="B183" s="15" t="str">
        <f>IF($A183="","",Calculator!$C$9)</f>
        <v/>
      </c>
      <c r="C183" s="15" t="str">
        <f>IF($A183="","",Calculator!$C$9/POWER(1+_Engine!$B$2,$A183))</f>
        <v/>
      </c>
      <c r="D183" s="16" t="str">
        <f>IF($A183="","",POWER(1+_Engine!$B$2,$A183))</f>
        <v/>
      </c>
    </row>
    <row r="184" spans="1:4" x14ac:dyDescent="0.25">
      <c r="A184" s="14" t="str">
        <f>IF(181&lt;=Calculator!$C$10,181,"")</f>
        <v/>
      </c>
      <c r="B184" s="15" t="str">
        <f>IF($A184="","",Calculator!$C$9)</f>
        <v/>
      </c>
      <c r="C184" s="15" t="str">
        <f>IF($A184="","",Calculator!$C$9/POWER(1+_Engine!$B$2,$A184))</f>
        <v/>
      </c>
      <c r="D184" s="16" t="str">
        <f>IF($A184="","",POWER(1+_Engine!$B$2,$A184))</f>
        <v/>
      </c>
    </row>
    <row r="185" spans="1:4" x14ac:dyDescent="0.25">
      <c r="A185" s="14" t="str">
        <f>IF(182&lt;=Calculator!$C$10,182,"")</f>
        <v/>
      </c>
      <c r="B185" s="15" t="str">
        <f>IF($A185="","",Calculator!$C$9)</f>
        <v/>
      </c>
      <c r="C185" s="15" t="str">
        <f>IF($A185="","",Calculator!$C$9/POWER(1+_Engine!$B$2,$A185))</f>
        <v/>
      </c>
      <c r="D185" s="16" t="str">
        <f>IF($A185="","",POWER(1+_Engine!$B$2,$A185))</f>
        <v/>
      </c>
    </row>
    <row r="186" spans="1:4" x14ac:dyDescent="0.25">
      <c r="A186" s="14" t="str">
        <f>IF(183&lt;=Calculator!$C$10,183,"")</f>
        <v/>
      </c>
      <c r="B186" s="15" t="str">
        <f>IF($A186="","",Calculator!$C$9)</f>
        <v/>
      </c>
      <c r="C186" s="15" t="str">
        <f>IF($A186="","",Calculator!$C$9/POWER(1+_Engine!$B$2,$A186))</f>
        <v/>
      </c>
      <c r="D186" s="16" t="str">
        <f>IF($A186="","",POWER(1+_Engine!$B$2,$A186))</f>
        <v/>
      </c>
    </row>
    <row r="187" spans="1:4" x14ac:dyDescent="0.25">
      <c r="A187" s="14" t="str">
        <f>IF(184&lt;=Calculator!$C$10,184,"")</f>
        <v/>
      </c>
      <c r="B187" s="15" t="str">
        <f>IF($A187="","",Calculator!$C$9)</f>
        <v/>
      </c>
      <c r="C187" s="15" t="str">
        <f>IF($A187="","",Calculator!$C$9/POWER(1+_Engine!$B$2,$A187))</f>
        <v/>
      </c>
      <c r="D187" s="16" t="str">
        <f>IF($A187="","",POWER(1+_Engine!$B$2,$A187))</f>
        <v/>
      </c>
    </row>
    <row r="188" spans="1:4" x14ac:dyDescent="0.25">
      <c r="A188" s="14" t="str">
        <f>IF(185&lt;=Calculator!$C$10,185,"")</f>
        <v/>
      </c>
      <c r="B188" s="15" t="str">
        <f>IF($A188="","",Calculator!$C$9)</f>
        <v/>
      </c>
      <c r="C188" s="15" t="str">
        <f>IF($A188="","",Calculator!$C$9/POWER(1+_Engine!$B$2,$A188))</f>
        <v/>
      </c>
      <c r="D188" s="16" t="str">
        <f>IF($A188="","",POWER(1+_Engine!$B$2,$A188))</f>
        <v/>
      </c>
    </row>
    <row r="189" spans="1:4" x14ac:dyDescent="0.25">
      <c r="A189" s="14" t="str">
        <f>IF(186&lt;=Calculator!$C$10,186,"")</f>
        <v/>
      </c>
      <c r="B189" s="15" t="str">
        <f>IF($A189="","",Calculator!$C$9)</f>
        <v/>
      </c>
      <c r="C189" s="15" t="str">
        <f>IF($A189="","",Calculator!$C$9/POWER(1+_Engine!$B$2,$A189))</f>
        <v/>
      </c>
      <c r="D189" s="16" t="str">
        <f>IF($A189="","",POWER(1+_Engine!$B$2,$A189))</f>
        <v/>
      </c>
    </row>
    <row r="190" spans="1:4" x14ac:dyDescent="0.25">
      <c r="A190" s="14" t="str">
        <f>IF(187&lt;=Calculator!$C$10,187,"")</f>
        <v/>
      </c>
      <c r="B190" s="15" t="str">
        <f>IF($A190="","",Calculator!$C$9)</f>
        <v/>
      </c>
      <c r="C190" s="15" t="str">
        <f>IF($A190="","",Calculator!$C$9/POWER(1+_Engine!$B$2,$A190))</f>
        <v/>
      </c>
      <c r="D190" s="16" t="str">
        <f>IF($A190="","",POWER(1+_Engine!$B$2,$A190))</f>
        <v/>
      </c>
    </row>
    <row r="191" spans="1:4" x14ac:dyDescent="0.25">
      <c r="A191" s="14" t="str">
        <f>IF(188&lt;=Calculator!$C$10,188,"")</f>
        <v/>
      </c>
      <c r="B191" s="15" t="str">
        <f>IF($A191="","",Calculator!$C$9)</f>
        <v/>
      </c>
      <c r="C191" s="15" t="str">
        <f>IF($A191="","",Calculator!$C$9/POWER(1+_Engine!$B$2,$A191))</f>
        <v/>
      </c>
      <c r="D191" s="16" t="str">
        <f>IF($A191="","",POWER(1+_Engine!$B$2,$A191))</f>
        <v/>
      </c>
    </row>
    <row r="192" spans="1:4" x14ac:dyDescent="0.25">
      <c r="A192" s="14" t="str">
        <f>IF(189&lt;=Calculator!$C$10,189,"")</f>
        <v/>
      </c>
      <c r="B192" s="15" t="str">
        <f>IF($A192="","",Calculator!$C$9)</f>
        <v/>
      </c>
      <c r="C192" s="15" t="str">
        <f>IF($A192="","",Calculator!$C$9/POWER(1+_Engine!$B$2,$A192))</f>
        <v/>
      </c>
      <c r="D192" s="16" t="str">
        <f>IF($A192="","",POWER(1+_Engine!$B$2,$A192))</f>
        <v/>
      </c>
    </row>
    <row r="193" spans="1:4" x14ac:dyDescent="0.25">
      <c r="A193" s="14" t="str">
        <f>IF(190&lt;=Calculator!$C$10,190,"")</f>
        <v/>
      </c>
      <c r="B193" s="15" t="str">
        <f>IF($A193="","",Calculator!$C$9)</f>
        <v/>
      </c>
      <c r="C193" s="15" t="str">
        <f>IF($A193="","",Calculator!$C$9/POWER(1+_Engine!$B$2,$A193))</f>
        <v/>
      </c>
      <c r="D193" s="16" t="str">
        <f>IF($A193="","",POWER(1+_Engine!$B$2,$A193))</f>
        <v/>
      </c>
    </row>
    <row r="194" spans="1:4" x14ac:dyDescent="0.25">
      <c r="A194" s="14" t="str">
        <f>IF(191&lt;=Calculator!$C$10,191,"")</f>
        <v/>
      </c>
      <c r="B194" s="15" t="str">
        <f>IF($A194="","",Calculator!$C$9)</f>
        <v/>
      </c>
      <c r="C194" s="15" t="str">
        <f>IF($A194="","",Calculator!$C$9/POWER(1+_Engine!$B$2,$A194))</f>
        <v/>
      </c>
      <c r="D194" s="16" t="str">
        <f>IF($A194="","",POWER(1+_Engine!$B$2,$A194))</f>
        <v/>
      </c>
    </row>
    <row r="195" spans="1:4" x14ac:dyDescent="0.25">
      <c r="A195" s="14" t="str">
        <f>IF(192&lt;=Calculator!$C$10,192,"")</f>
        <v/>
      </c>
      <c r="B195" s="15" t="str">
        <f>IF($A195="","",Calculator!$C$9)</f>
        <v/>
      </c>
      <c r="C195" s="15" t="str">
        <f>IF($A195="","",Calculator!$C$9/POWER(1+_Engine!$B$2,$A195))</f>
        <v/>
      </c>
      <c r="D195" s="16" t="str">
        <f>IF($A195="","",POWER(1+_Engine!$B$2,$A195))</f>
        <v/>
      </c>
    </row>
    <row r="196" spans="1:4" x14ac:dyDescent="0.25">
      <c r="A196" s="14" t="str">
        <f>IF(193&lt;=Calculator!$C$10,193,"")</f>
        <v/>
      </c>
      <c r="B196" s="15" t="str">
        <f>IF($A196="","",Calculator!$C$9)</f>
        <v/>
      </c>
      <c r="C196" s="15" t="str">
        <f>IF($A196="","",Calculator!$C$9/POWER(1+_Engine!$B$2,$A196))</f>
        <v/>
      </c>
      <c r="D196" s="16" t="str">
        <f>IF($A196="","",POWER(1+_Engine!$B$2,$A196))</f>
        <v/>
      </c>
    </row>
    <row r="197" spans="1:4" x14ac:dyDescent="0.25">
      <c r="A197" s="14" t="str">
        <f>IF(194&lt;=Calculator!$C$10,194,"")</f>
        <v/>
      </c>
      <c r="B197" s="15" t="str">
        <f>IF($A197="","",Calculator!$C$9)</f>
        <v/>
      </c>
      <c r="C197" s="15" t="str">
        <f>IF($A197="","",Calculator!$C$9/POWER(1+_Engine!$B$2,$A197))</f>
        <v/>
      </c>
      <c r="D197" s="16" t="str">
        <f>IF($A197="","",POWER(1+_Engine!$B$2,$A197))</f>
        <v/>
      </c>
    </row>
    <row r="198" spans="1:4" x14ac:dyDescent="0.25">
      <c r="A198" s="14" t="str">
        <f>IF(195&lt;=Calculator!$C$10,195,"")</f>
        <v/>
      </c>
      <c r="B198" s="15" t="str">
        <f>IF($A198="","",Calculator!$C$9)</f>
        <v/>
      </c>
      <c r="C198" s="15" t="str">
        <f>IF($A198="","",Calculator!$C$9/POWER(1+_Engine!$B$2,$A198))</f>
        <v/>
      </c>
      <c r="D198" s="16" t="str">
        <f>IF($A198="","",POWER(1+_Engine!$B$2,$A198))</f>
        <v/>
      </c>
    </row>
    <row r="199" spans="1:4" x14ac:dyDescent="0.25">
      <c r="A199" s="14" t="str">
        <f>IF(196&lt;=Calculator!$C$10,196,"")</f>
        <v/>
      </c>
      <c r="B199" s="15" t="str">
        <f>IF($A199="","",Calculator!$C$9)</f>
        <v/>
      </c>
      <c r="C199" s="15" t="str">
        <f>IF($A199="","",Calculator!$C$9/POWER(1+_Engine!$B$2,$A199))</f>
        <v/>
      </c>
      <c r="D199" s="16" t="str">
        <f>IF($A199="","",POWER(1+_Engine!$B$2,$A199))</f>
        <v/>
      </c>
    </row>
    <row r="200" spans="1:4" x14ac:dyDescent="0.25">
      <c r="A200" s="14" t="str">
        <f>IF(197&lt;=Calculator!$C$10,197,"")</f>
        <v/>
      </c>
      <c r="B200" s="15" t="str">
        <f>IF($A200="","",Calculator!$C$9)</f>
        <v/>
      </c>
      <c r="C200" s="15" t="str">
        <f>IF($A200="","",Calculator!$C$9/POWER(1+_Engine!$B$2,$A200))</f>
        <v/>
      </c>
      <c r="D200" s="16" t="str">
        <f>IF($A200="","",POWER(1+_Engine!$B$2,$A200))</f>
        <v/>
      </c>
    </row>
    <row r="201" spans="1:4" x14ac:dyDescent="0.25">
      <c r="A201" s="14" t="str">
        <f>IF(198&lt;=Calculator!$C$10,198,"")</f>
        <v/>
      </c>
      <c r="B201" s="15" t="str">
        <f>IF($A201="","",Calculator!$C$9)</f>
        <v/>
      </c>
      <c r="C201" s="15" t="str">
        <f>IF($A201="","",Calculator!$C$9/POWER(1+_Engine!$B$2,$A201))</f>
        <v/>
      </c>
      <c r="D201" s="16" t="str">
        <f>IF($A201="","",POWER(1+_Engine!$B$2,$A201))</f>
        <v/>
      </c>
    </row>
    <row r="202" spans="1:4" x14ac:dyDescent="0.25">
      <c r="A202" s="14" t="str">
        <f>IF(199&lt;=Calculator!$C$10,199,"")</f>
        <v/>
      </c>
      <c r="B202" s="15" t="str">
        <f>IF($A202="","",Calculator!$C$9)</f>
        <v/>
      </c>
      <c r="C202" s="15" t="str">
        <f>IF($A202="","",Calculator!$C$9/POWER(1+_Engine!$B$2,$A202))</f>
        <v/>
      </c>
      <c r="D202" s="16" t="str">
        <f>IF($A202="","",POWER(1+_Engine!$B$2,$A202))</f>
        <v/>
      </c>
    </row>
    <row r="203" spans="1:4" x14ac:dyDescent="0.25">
      <c r="A203" s="14" t="str">
        <f>IF(200&lt;=Calculator!$C$10,200,"")</f>
        <v/>
      </c>
      <c r="B203" s="15" t="str">
        <f>IF($A203="","",Calculator!$C$9)</f>
        <v/>
      </c>
      <c r="C203" s="15" t="str">
        <f>IF($A203="","",Calculator!$C$9/POWER(1+_Engine!$B$2,$A203))</f>
        <v/>
      </c>
      <c r="D203" s="16" t="str">
        <f>IF($A203="","",POWER(1+_Engine!$B$2,$A203))</f>
        <v/>
      </c>
    </row>
  </sheetData>
  <sheetProtection sheet="1" formatCells="0"/>
  <mergeCells count="2">
    <mergeCell ref="A1:D1"/>
    <mergeCell ref="A2:D2"/>
  </mergeCells>
  <conditionalFormatting sqref="A4:D203">
    <cfRule type="expression" dxfId="1" priority="1">
      <formula>AND($A4&lt;&gt;"",MOD(ROW(),2)=1)</formula>
    </cfRule>
    <cfRule type="expression" dxfId="0" priority="2">
      <formula>$A4&lt;&gt;""</formula>
    </cfRule>
  </conditionalFormatting>
  <pageMargins left="0.75" right="0.75" top="1" bottom="1" header="0.5" footer="0.5"/>
  <pageSetup fitToHeight="0" orientation="portrait"/>
  <headerFooter>
    <oddFooter>&amp;Lneedtheseapps.com&amp;CInflation Calculator&amp;RPage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D43"/>
  <sheetViews>
    <sheetView showGridLines="0" workbookViewId="0"/>
  </sheetViews>
  <sheetFormatPr defaultRowHeight="15" x14ac:dyDescent="0.25"/>
  <cols>
    <col min="1" max="1" width="2.140625" customWidth="1"/>
    <col min="2" max="2" width="40" customWidth="1"/>
    <col min="3" max="3" width="56" customWidth="1"/>
    <col min="4" max="4" width="2.140625" customWidth="1"/>
  </cols>
  <sheetData>
    <row r="1" spans="1:4" x14ac:dyDescent="0.25">
      <c r="A1" s="1"/>
      <c r="B1" s="1"/>
      <c r="C1" s="1"/>
      <c r="D1" s="1"/>
    </row>
    <row r="2" spans="1:4" ht="32.1" customHeight="1" x14ac:dyDescent="0.25">
      <c r="A2" s="1"/>
      <c r="B2" s="42" t="s">
        <v>26</v>
      </c>
      <c r="C2" s="22"/>
      <c r="D2" s="1"/>
    </row>
    <row r="3" spans="1:4" x14ac:dyDescent="0.25">
      <c r="A3" s="1"/>
      <c r="B3" s="1"/>
      <c r="C3" s="1"/>
      <c r="D3" s="1"/>
    </row>
    <row r="4" spans="1:4" ht="26.1" customHeight="1" x14ac:dyDescent="0.25">
      <c r="A4" s="1"/>
      <c r="B4" s="31" t="s">
        <v>27</v>
      </c>
      <c r="C4" s="22"/>
      <c r="D4" s="1"/>
    </row>
    <row r="5" spans="1:4" ht="27" customHeight="1" x14ac:dyDescent="0.25">
      <c r="A5" s="1"/>
      <c r="B5" s="43" t="s">
        <v>28</v>
      </c>
      <c r="C5" s="22"/>
      <c r="D5" s="1"/>
    </row>
    <row r="6" spans="1:4" ht="27" customHeight="1" x14ac:dyDescent="0.25">
      <c r="A6" s="1"/>
      <c r="B6" s="22"/>
      <c r="C6" s="22"/>
      <c r="D6" s="1"/>
    </row>
    <row r="7" spans="1:4" x14ac:dyDescent="0.25">
      <c r="A7" s="1"/>
      <c r="B7" s="1"/>
      <c r="C7" s="1"/>
      <c r="D7" s="1"/>
    </row>
    <row r="8" spans="1:4" ht="26.1" customHeight="1" x14ac:dyDescent="0.25">
      <c r="A8" s="1"/>
      <c r="B8" s="31" t="s">
        <v>29</v>
      </c>
      <c r="C8" s="22"/>
      <c r="D8" s="1"/>
    </row>
    <row r="9" spans="1:4" ht="21" customHeight="1" x14ac:dyDescent="0.25">
      <c r="A9" s="1"/>
      <c r="B9" s="17" t="s">
        <v>30</v>
      </c>
      <c r="C9" s="18" t="s">
        <v>31</v>
      </c>
      <c r="D9" s="1"/>
    </row>
    <row r="10" spans="1:4" ht="32.1" customHeight="1" x14ac:dyDescent="0.25">
      <c r="A10" s="1"/>
      <c r="B10" s="17" t="s">
        <v>32</v>
      </c>
      <c r="C10" s="18" t="s">
        <v>33</v>
      </c>
      <c r="D10" s="1"/>
    </row>
    <row r="11" spans="1:4" ht="30" customHeight="1" x14ac:dyDescent="0.25">
      <c r="A11" s="1"/>
      <c r="B11" s="17" t="s">
        <v>34</v>
      </c>
      <c r="C11" s="18" t="s">
        <v>35</v>
      </c>
      <c r="D11" s="1"/>
    </row>
    <row r="12" spans="1:4" ht="30" customHeight="1" x14ac:dyDescent="0.25">
      <c r="A12" s="1"/>
      <c r="B12" s="17" t="s">
        <v>36</v>
      </c>
      <c r="C12" s="18" t="s">
        <v>37</v>
      </c>
      <c r="D12" s="1"/>
    </row>
    <row r="13" spans="1:4" ht="30" customHeight="1" x14ac:dyDescent="0.25">
      <c r="A13" s="1"/>
      <c r="B13" s="17" t="s">
        <v>38</v>
      </c>
      <c r="C13" s="18" t="s">
        <v>39</v>
      </c>
      <c r="D13" s="1"/>
    </row>
    <row r="14" spans="1:4" ht="21" customHeight="1" x14ac:dyDescent="0.25">
      <c r="A14" s="1"/>
      <c r="B14" s="17" t="s">
        <v>40</v>
      </c>
      <c r="C14" s="18" t="s">
        <v>41</v>
      </c>
      <c r="D14" s="1"/>
    </row>
    <row r="15" spans="1:4" x14ac:dyDescent="0.25">
      <c r="A15" s="1"/>
      <c r="B15" s="1"/>
      <c r="C15" s="1"/>
      <c r="D15" s="1"/>
    </row>
    <row r="16" spans="1:4" ht="26.1" customHeight="1" x14ac:dyDescent="0.25">
      <c r="A16" s="1"/>
      <c r="B16" s="31" t="s">
        <v>42</v>
      </c>
      <c r="C16" s="22"/>
      <c r="D16" s="1"/>
    </row>
    <row r="17" spans="1:4" ht="32.1" customHeight="1" x14ac:dyDescent="0.25">
      <c r="A17" s="1"/>
      <c r="B17" s="17" t="s">
        <v>43</v>
      </c>
      <c r="C17" s="18" t="s">
        <v>44</v>
      </c>
      <c r="D17" s="1"/>
    </row>
    <row r="18" spans="1:4" ht="32.1" customHeight="1" x14ac:dyDescent="0.25">
      <c r="A18" s="1"/>
      <c r="B18" s="17" t="s">
        <v>45</v>
      </c>
      <c r="C18" s="18" t="s">
        <v>46</v>
      </c>
      <c r="D18" s="1"/>
    </row>
    <row r="19" spans="1:4" ht="21" customHeight="1" x14ac:dyDescent="0.25">
      <c r="A19" s="1"/>
      <c r="B19" s="17" t="s">
        <v>47</v>
      </c>
      <c r="C19" s="18" t="s">
        <v>48</v>
      </c>
      <c r="D19" s="1"/>
    </row>
    <row r="20" spans="1:4" ht="21" customHeight="1" x14ac:dyDescent="0.25">
      <c r="A20" s="1"/>
      <c r="B20" s="17" t="s">
        <v>49</v>
      </c>
      <c r="C20" s="18" t="s">
        <v>50</v>
      </c>
      <c r="D20" s="1"/>
    </row>
    <row r="21" spans="1:4" x14ac:dyDescent="0.25">
      <c r="A21" s="1"/>
      <c r="B21" s="1"/>
      <c r="C21" s="1"/>
      <c r="D21" s="1"/>
    </row>
    <row r="22" spans="1:4" ht="24" customHeight="1" x14ac:dyDescent="0.25">
      <c r="A22" s="1"/>
      <c r="B22" s="44" t="s">
        <v>3</v>
      </c>
      <c r="C22" s="22"/>
      <c r="D22" s="1"/>
    </row>
    <row r="23" spans="1:4" x14ac:dyDescent="0.25">
      <c r="A23" s="1"/>
      <c r="B23" s="1"/>
      <c r="C23" s="1"/>
      <c r="D23" s="1"/>
    </row>
    <row r="24" spans="1:4" ht="26.1" customHeight="1" x14ac:dyDescent="0.25">
      <c r="A24" s="1"/>
      <c r="B24" s="31" t="s">
        <v>51</v>
      </c>
      <c r="C24" s="22"/>
      <c r="D24" s="1"/>
    </row>
    <row r="25" spans="1:4" ht="21" customHeight="1" x14ac:dyDescent="0.25">
      <c r="A25" s="1"/>
      <c r="B25" s="17" t="s">
        <v>52</v>
      </c>
      <c r="C25" s="18" t="s">
        <v>53</v>
      </c>
      <c r="D25" s="1"/>
    </row>
    <row r="26" spans="1:4" ht="21" customHeight="1" x14ac:dyDescent="0.25">
      <c r="A26" s="1"/>
      <c r="B26" s="17" t="s">
        <v>54</v>
      </c>
      <c r="C26" s="18" t="s">
        <v>55</v>
      </c>
      <c r="D26" s="1"/>
    </row>
    <row r="27" spans="1:4" ht="21" customHeight="1" x14ac:dyDescent="0.25">
      <c r="A27" s="1"/>
      <c r="B27" s="17" t="s">
        <v>56</v>
      </c>
      <c r="C27" s="18" t="s">
        <v>57</v>
      </c>
      <c r="D27" s="1"/>
    </row>
    <row r="28" spans="1:4" ht="44.1" customHeight="1" x14ac:dyDescent="0.25">
      <c r="A28" s="1"/>
      <c r="B28" s="17" t="s">
        <v>58</v>
      </c>
      <c r="C28" s="18" t="s">
        <v>59</v>
      </c>
      <c r="D28" s="1"/>
    </row>
    <row r="29" spans="1:4" ht="21" customHeight="1" x14ac:dyDescent="0.25">
      <c r="A29" s="1"/>
      <c r="B29" s="17" t="s">
        <v>60</v>
      </c>
      <c r="C29" s="18" t="s">
        <v>61</v>
      </c>
      <c r="D29" s="1"/>
    </row>
    <row r="30" spans="1:4" ht="30" customHeight="1" x14ac:dyDescent="0.25">
      <c r="A30" s="1"/>
      <c r="B30" s="17" t="s">
        <v>62</v>
      </c>
      <c r="C30" s="18" t="s">
        <v>63</v>
      </c>
      <c r="D30" s="1"/>
    </row>
    <row r="31" spans="1:4" x14ac:dyDescent="0.25">
      <c r="A31" s="1"/>
      <c r="B31" s="1"/>
      <c r="C31" s="1"/>
      <c r="D31" s="1"/>
    </row>
    <row r="32" spans="1:4" ht="26.1" customHeight="1" x14ac:dyDescent="0.25">
      <c r="A32" s="1"/>
      <c r="B32" s="31" t="s">
        <v>64</v>
      </c>
      <c r="C32" s="22"/>
      <c r="D32" s="1"/>
    </row>
    <row r="33" spans="1:4" ht="21" customHeight="1" x14ac:dyDescent="0.25">
      <c r="A33" s="1"/>
      <c r="B33" s="17" t="s">
        <v>65</v>
      </c>
      <c r="C33" s="18" t="s">
        <v>66</v>
      </c>
      <c r="D33" s="1"/>
    </row>
    <row r="34" spans="1:4" ht="21" customHeight="1" x14ac:dyDescent="0.25">
      <c r="A34" s="1"/>
      <c r="B34" s="17" t="s">
        <v>67</v>
      </c>
      <c r="C34" s="18" t="s">
        <v>68</v>
      </c>
      <c r="D34" s="1"/>
    </row>
    <row r="35" spans="1:4" ht="21" customHeight="1" x14ac:dyDescent="0.25">
      <c r="A35" s="1"/>
      <c r="B35" s="17" t="s">
        <v>69</v>
      </c>
      <c r="C35" s="18" t="s">
        <v>70</v>
      </c>
      <c r="D35" s="1"/>
    </row>
    <row r="36" spans="1:4" ht="21" customHeight="1" x14ac:dyDescent="0.25">
      <c r="A36" s="1"/>
      <c r="B36" s="17" t="s">
        <v>71</v>
      </c>
      <c r="C36" s="18" t="s">
        <v>72</v>
      </c>
      <c r="D36" s="1"/>
    </row>
    <row r="37" spans="1:4" ht="21" customHeight="1" x14ac:dyDescent="0.25">
      <c r="A37" s="1"/>
      <c r="B37" s="17" t="s">
        <v>73</v>
      </c>
      <c r="C37" s="18" t="str">
        <f>"Shown in "&amp;Calculator!$C$8&amp;", which you set on the Calculator sheet."</f>
        <v>Shown in $, which you set on the Calculator sheet.</v>
      </c>
      <c r="D37" s="1"/>
    </row>
    <row r="38" spans="1:4" x14ac:dyDescent="0.25">
      <c r="A38" s="1"/>
      <c r="B38" s="1"/>
      <c r="C38" s="1"/>
      <c r="D38" s="1"/>
    </row>
    <row r="39" spans="1:4" ht="24" customHeight="1" x14ac:dyDescent="0.25">
      <c r="A39" s="1"/>
      <c r="B39" s="37" t="s">
        <v>74</v>
      </c>
      <c r="C39" s="22"/>
      <c r="D39" s="1"/>
    </row>
    <row r="40" spans="1:4" x14ac:dyDescent="0.25">
      <c r="A40" s="1"/>
      <c r="B40" s="1"/>
      <c r="C40" s="1"/>
      <c r="D40" s="1"/>
    </row>
    <row r="41" spans="1:4" x14ac:dyDescent="0.25">
      <c r="A41" s="1"/>
      <c r="B41" s="1"/>
      <c r="C41" s="1"/>
      <c r="D41" s="1"/>
    </row>
    <row r="42" spans="1:4" x14ac:dyDescent="0.25">
      <c r="A42" s="1"/>
      <c r="B42" s="1"/>
      <c r="C42" s="1"/>
      <c r="D42" s="1"/>
    </row>
    <row r="43" spans="1:4" x14ac:dyDescent="0.25">
      <c r="A43" s="1"/>
      <c r="B43" s="1"/>
      <c r="C43" s="1"/>
      <c r="D43" s="1"/>
    </row>
  </sheetData>
  <sheetProtection sheet="1" formatCells="0"/>
  <mergeCells count="9">
    <mergeCell ref="B39:C39"/>
    <mergeCell ref="B24:C24"/>
    <mergeCell ref="B16:C16"/>
    <mergeCell ref="B2:C2"/>
    <mergeCell ref="B5:C6"/>
    <mergeCell ref="B22:C22"/>
    <mergeCell ref="B32:C32"/>
    <mergeCell ref="B8:C8"/>
    <mergeCell ref="B4:C4"/>
  </mergeCells>
  <hyperlinks>
    <hyperlink ref="B22" r:id="rId1" xr:uid="{00000000-0004-0000-0200-000000000000}"/>
  </hyperlinks>
  <pageMargins left="0.75" right="0.75" top="1" bottom="1" header="0.5" footer="0.5"/>
  <pageSetup fitToHeight="0" orientation="portrait"/>
  <headerFooter>
    <oddFooter>&amp;Lneedtheseapps.com&amp;CInflation Calculator&amp;RPage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11"/>
  <sheetViews>
    <sheetView workbookViewId="0"/>
  </sheetViews>
  <sheetFormatPr defaultRowHeight="15" x14ac:dyDescent="0.25"/>
  <cols>
    <col min="1" max="1" width="34" customWidth="1"/>
    <col min="4" max="7" width="16" customWidth="1"/>
  </cols>
  <sheetData>
    <row r="1" spans="1:6" ht="16.5" x14ac:dyDescent="0.25">
      <c r="A1" s="19" t="s">
        <v>75</v>
      </c>
    </row>
    <row r="2" spans="1:6" ht="16.5" x14ac:dyDescent="0.25">
      <c r="A2" s="20" t="s">
        <v>76</v>
      </c>
      <c r="B2" s="20">
        <f>Calculator!$C$11/100</f>
        <v>2.5000000000000001E-2</v>
      </c>
    </row>
    <row r="3" spans="1:6" ht="16.5" x14ac:dyDescent="0.25">
      <c r="A3" s="20" t="s">
        <v>77</v>
      </c>
      <c r="B3" s="20">
        <f>POWER(1+$B$2,Calculator!$C$10)</f>
        <v>1.2800845441963571</v>
      </c>
    </row>
    <row r="4" spans="1:6" ht="16.5" x14ac:dyDescent="0.25">
      <c r="A4" s="20" t="s">
        <v>78</v>
      </c>
      <c r="B4" s="20">
        <f>Calculator!$C$9/$B$3</f>
        <v>7811.9840172572704</v>
      </c>
    </row>
    <row r="5" spans="1:6" ht="16.5" x14ac:dyDescent="0.25">
      <c r="A5" s="20" t="s">
        <v>79</v>
      </c>
      <c r="B5" s="20">
        <f>Calculator!$C$9*$B$3</f>
        <v>12800.845441963571</v>
      </c>
    </row>
    <row r="6" spans="1:6" ht="16.5" x14ac:dyDescent="0.25">
      <c r="A6" s="20" t="s">
        <v>80</v>
      </c>
      <c r="B6" s="20">
        <f>($B$3-1)*100</f>
        <v>28.008454419635708</v>
      </c>
    </row>
    <row r="7" spans="1:6" ht="16.5" x14ac:dyDescent="0.25">
      <c r="A7" s="20" t="s">
        <v>81</v>
      </c>
      <c r="B7" s="20">
        <f>(1-1/$B$3)*100</f>
        <v>21.880159827427292</v>
      </c>
    </row>
    <row r="8" spans="1:6" ht="16.5" x14ac:dyDescent="0.25">
      <c r="A8" s="20" t="s">
        <v>82</v>
      </c>
      <c r="B8" s="20">
        <f>Calculator!$C$11*Calculator!$C$10</f>
        <v>25</v>
      </c>
    </row>
    <row r="9" spans="1:6" ht="16.5" x14ac:dyDescent="0.25">
      <c r="A9" s="20" t="s">
        <v>83</v>
      </c>
      <c r="B9" s="20">
        <f>IF(OR($B$4&gt;900000000000000,$B$5&gt;900000000000000,$B$6&gt;900000000000000),1,0)</f>
        <v>0</v>
      </c>
    </row>
    <row r="10" spans="1:6" ht="16.5" x14ac:dyDescent="0.25">
      <c r="D10" s="19" t="s">
        <v>22</v>
      </c>
      <c r="E10" s="19" t="s">
        <v>23</v>
      </c>
      <c r="F10" s="19" t="s">
        <v>24</v>
      </c>
    </row>
    <row r="11" spans="1:6" ht="16.5" x14ac:dyDescent="0.25">
      <c r="D11" s="20">
        <v>0</v>
      </c>
      <c r="E11" s="20">
        <f>Calculator!$C$9</f>
        <v>10000</v>
      </c>
      <c r="F11" s="20">
        <f>Calculator!$C$9/POWER(1+$B$2,$D11)</f>
        <v>10000</v>
      </c>
    </row>
    <row r="12" spans="1:6" ht="16.5" x14ac:dyDescent="0.25">
      <c r="D12" s="20">
        <v>1</v>
      </c>
      <c r="E12" s="20">
        <f>Calculator!$C$9</f>
        <v>10000</v>
      </c>
      <c r="F12" s="20">
        <f>Calculator!$C$9/POWER(1+$B$2,$D12)</f>
        <v>9756.0975609756115</v>
      </c>
    </row>
    <row r="13" spans="1:6" ht="16.5" x14ac:dyDescent="0.25">
      <c r="D13" s="20">
        <v>2</v>
      </c>
      <c r="E13" s="20">
        <f>Calculator!$C$9</f>
        <v>10000</v>
      </c>
      <c r="F13" s="20">
        <f>Calculator!$C$9/POWER(1+$B$2,$D13)</f>
        <v>9518.1439619274242</v>
      </c>
    </row>
    <row r="14" spans="1:6" ht="16.5" x14ac:dyDescent="0.25">
      <c r="D14" s="20">
        <v>3</v>
      </c>
      <c r="E14" s="20">
        <f>Calculator!$C$9</f>
        <v>10000</v>
      </c>
      <c r="F14" s="20">
        <f>Calculator!$C$9/POWER(1+$B$2,$D14)</f>
        <v>9285.9941091974888</v>
      </c>
    </row>
    <row r="15" spans="1:6" ht="16.5" x14ac:dyDescent="0.25">
      <c r="D15" s="20">
        <v>4</v>
      </c>
      <c r="E15" s="20">
        <f>Calculator!$C$9</f>
        <v>10000</v>
      </c>
      <c r="F15" s="20">
        <f>Calculator!$C$9/POWER(1+$B$2,$D15)</f>
        <v>9059.5064479975499</v>
      </c>
    </row>
    <row r="16" spans="1:6" ht="16.5" x14ac:dyDescent="0.25">
      <c r="D16" s="20">
        <v>5</v>
      </c>
      <c r="E16" s="20">
        <f>Calculator!$C$9</f>
        <v>10000</v>
      </c>
      <c r="F16" s="20">
        <f>Calculator!$C$9/POWER(1+$B$2,$D16)</f>
        <v>8838.5428760951709</v>
      </c>
    </row>
    <row r="17" spans="4:6" ht="16.5" x14ac:dyDescent="0.25">
      <c r="D17" s="20">
        <v>6</v>
      </c>
      <c r="E17" s="20">
        <f>Calculator!$C$9</f>
        <v>10000</v>
      </c>
      <c r="F17" s="20">
        <f>Calculator!$C$9/POWER(1+$B$2,$D17)</f>
        <v>8622.9686596050469</v>
      </c>
    </row>
    <row r="18" spans="4:6" ht="16.5" x14ac:dyDescent="0.25">
      <c r="D18" s="20">
        <v>7</v>
      </c>
      <c r="E18" s="20">
        <f>Calculator!$C$9</f>
        <v>10000</v>
      </c>
      <c r="F18" s="20">
        <f>Calculator!$C$9/POWER(1+$B$2,$D18)</f>
        <v>8412.6523508341907</v>
      </c>
    </row>
    <row r="19" spans="4:6" ht="16.5" x14ac:dyDescent="0.25">
      <c r="D19" s="20">
        <v>8</v>
      </c>
      <c r="E19" s="20">
        <f>Calculator!$C$9</f>
        <v>10000</v>
      </c>
      <c r="F19" s="20">
        <f>Calculator!$C$9/POWER(1+$B$2,$D19)</f>
        <v>8207.4657081309197</v>
      </c>
    </row>
    <row r="20" spans="4:6" ht="16.5" x14ac:dyDescent="0.25">
      <c r="D20" s="20">
        <v>9</v>
      </c>
      <c r="E20" s="20">
        <f>Calculator!$C$9</f>
        <v>10000</v>
      </c>
      <c r="F20" s="20">
        <f>Calculator!$C$9/POWER(1+$B$2,$D20)</f>
        <v>8007.2836176887022</v>
      </c>
    </row>
    <row r="21" spans="4:6" ht="16.5" x14ac:dyDescent="0.25">
      <c r="D21" s="20">
        <v>10</v>
      </c>
      <c r="E21" s="20">
        <f>Calculator!$C$9</f>
        <v>10000</v>
      </c>
      <c r="F21" s="20">
        <f>Calculator!$C$9/POWER(1+$B$2,$D21)</f>
        <v>7811.9840172572704</v>
      </c>
    </row>
    <row r="22" spans="4:6" ht="16.5" x14ac:dyDescent="0.25">
      <c r="D22" s="20">
        <v>11</v>
      </c>
      <c r="E22" s="20">
        <f>Calculator!$C$9</f>
        <v>10000</v>
      </c>
      <c r="F22" s="20">
        <f>Calculator!$C$9/POWER(1+$B$2,$D22)</f>
        <v>7621.4478217144106</v>
      </c>
    </row>
    <row r="23" spans="4:6" ht="16.5" x14ac:dyDescent="0.25">
      <c r="D23" s="20">
        <v>12</v>
      </c>
      <c r="E23" s="20">
        <f>Calculator!$C$9</f>
        <v>10000</v>
      </c>
      <c r="F23" s="20">
        <f>Calculator!$C$9/POWER(1+$B$2,$D23)</f>
        <v>7435.5588504530842</v>
      </c>
    </row>
    <row r="24" spans="4:6" ht="16.5" x14ac:dyDescent="0.25">
      <c r="D24" s="20">
        <v>13</v>
      </c>
      <c r="E24" s="20">
        <f>Calculator!$C$9</f>
        <v>10000</v>
      </c>
      <c r="F24" s="20">
        <f>Calculator!$C$9/POWER(1+$B$2,$D24)</f>
        <v>7254.2037565395949</v>
      </c>
    </row>
    <row r="25" spans="4:6" ht="16.5" x14ac:dyDescent="0.25">
      <c r="D25" s="20">
        <v>14</v>
      </c>
      <c r="E25" s="20">
        <f>Calculator!$C$9</f>
        <v>10000</v>
      </c>
      <c r="F25" s="20">
        <f>Calculator!$C$9/POWER(1+$B$2,$D25)</f>
        <v>7077.2719575996052</v>
      </c>
    </row>
    <row r="26" spans="4:6" ht="16.5" x14ac:dyDescent="0.25">
      <c r="D26" s="20">
        <v>15</v>
      </c>
      <c r="E26" s="20">
        <f>Calculator!$C$9</f>
        <v>10000</v>
      </c>
      <c r="F26" s="20">
        <f>Calculator!$C$9/POWER(1+$B$2,$D26)</f>
        <v>6904.6555683898578</v>
      </c>
    </row>
    <row r="27" spans="4:6" ht="16.5" x14ac:dyDescent="0.25">
      <c r="D27" s="20">
        <v>16</v>
      </c>
      <c r="E27" s="20">
        <f>Calculator!$C$9</f>
        <v>10000</v>
      </c>
      <c r="F27" s="20">
        <f>Calculator!$C$9/POWER(1+$B$2,$D27)</f>
        <v>6736.249335014496</v>
      </c>
    </row>
    <row r="28" spans="4:6" ht="16.5" x14ac:dyDescent="0.25">
      <c r="D28" s="20">
        <v>17</v>
      </c>
      <c r="E28" s="20">
        <f>Calculator!$C$9</f>
        <v>10000</v>
      </c>
      <c r="F28" s="20">
        <f>Calculator!$C$9/POWER(1+$B$2,$D28)</f>
        <v>6571.9505707458511</v>
      </c>
    </row>
    <row r="29" spans="4:6" ht="16.5" x14ac:dyDescent="0.25">
      <c r="D29" s="20">
        <v>18</v>
      </c>
      <c r="E29" s="20">
        <f>Calculator!$C$9</f>
        <v>10000</v>
      </c>
      <c r="F29" s="20">
        <f>Calculator!$C$9/POWER(1+$B$2,$D29)</f>
        <v>6411.6590934105861</v>
      </c>
    </row>
    <row r="30" spans="4:6" ht="16.5" x14ac:dyDescent="0.25">
      <c r="D30" s="20">
        <v>19</v>
      </c>
      <c r="E30" s="20">
        <f>Calculator!$C$9</f>
        <v>10000</v>
      </c>
      <c r="F30" s="20">
        <f>Calculator!$C$9/POWER(1+$B$2,$D30)</f>
        <v>6255.2771643030101</v>
      </c>
    </row>
    <row r="31" spans="4:6" ht="16.5" x14ac:dyDescent="0.25">
      <c r="D31" s="20">
        <v>20</v>
      </c>
      <c r="E31" s="20">
        <f>Calculator!$C$9</f>
        <v>10000</v>
      </c>
      <c r="F31" s="20">
        <f>Calculator!$C$9/POWER(1+$B$2,$D31)</f>
        <v>6102.709428588304</v>
      </c>
    </row>
    <row r="32" spans="4:6" ht="16.5" x14ac:dyDescent="0.25">
      <c r="D32" s="20">
        <v>21</v>
      </c>
      <c r="E32" s="20">
        <f>Calculator!$C$9</f>
        <v>10000</v>
      </c>
      <c r="F32" s="20">
        <f>Calculator!$C$9/POWER(1+$B$2,$D32)</f>
        <v>5953.8628571593217</v>
      </c>
    </row>
    <row r="33" spans="4:6" ht="16.5" x14ac:dyDescent="0.25">
      <c r="D33" s="20">
        <v>22</v>
      </c>
      <c r="E33" s="20">
        <f>Calculator!$C$9</f>
        <v>10000</v>
      </c>
      <c r="F33" s="20">
        <f>Calculator!$C$9/POWER(1+$B$2,$D33)</f>
        <v>5808.646689911533</v>
      </c>
    </row>
    <row r="34" spans="4:6" ht="16.5" x14ac:dyDescent="0.25">
      <c r="D34" s="20">
        <v>23</v>
      </c>
      <c r="E34" s="20">
        <f>Calculator!$C$9</f>
        <v>10000</v>
      </c>
      <c r="F34" s="20">
        <f>Calculator!$C$9/POWER(1+$B$2,$D34)</f>
        <v>5666.9723804014957</v>
      </c>
    </row>
    <row r="35" spans="4:6" ht="16.5" x14ac:dyDescent="0.25">
      <c r="D35" s="20">
        <v>24</v>
      </c>
      <c r="E35" s="20">
        <f>Calculator!$C$9</f>
        <v>10000</v>
      </c>
      <c r="F35" s="20">
        <f>Calculator!$C$9/POWER(1+$B$2,$D35)</f>
        <v>5528.7535418551179</v>
      </c>
    </row>
    <row r="36" spans="4:6" ht="16.5" x14ac:dyDescent="0.25">
      <c r="D36" s="20">
        <v>25</v>
      </c>
      <c r="E36" s="20">
        <f>Calculator!$C$9</f>
        <v>10000</v>
      </c>
      <c r="F36" s="20">
        <f>Calculator!$C$9/POWER(1+$B$2,$D36)</f>
        <v>5393.9058944927992</v>
      </c>
    </row>
    <row r="37" spans="4:6" ht="16.5" x14ac:dyDescent="0.25">
      <c r="D37" s="20">
        <v>26</v>
      </c>
      <c r="E37" s="20">
        <f>Calculator!$C$9</f>
        <v>10000</v>
      </c>
      <c r="F37" s="20">
        <f>Calculator!$C$9/POWER(1+$B$2,$D37)</f>
        <v>5262.3472141393158</v>
      </c>
    </row>
    <row r="38" spans="4:6" ht="16.5" x14ac:dyDescent="0.25">
      <c r="D38" s="20">
        <v>27</v>
      </c>
      <c r="E38" s="20">
        <f>Calculator!$C$9</f>
        <v>10000</v>
      </c>
      <c r="F38" s="20">
        <f>Calculator!$C$9/POWER(1+$B$2,$D38)</f>
        <v>5133.997282087138</v>
      </c>
    </row>
    <row r="39" spans="4:6" ht="16.5" x14ac:dyDescent="0.25">
      <c r="D39" s="20">
        <v>28</v>
      </c>
      <c r="E39" s="20">
        <f>Calculator!$C$9</f>
        <v>10000</v>
      </c>
      <c r="F39" s="20">
        <f>Calculator!$C$9/POWER(1+$B$2,$D39)</f>
        <v>5008.777836182574</v>
      </c>
    </row>
    <row r="40" spans="4:6" ht="16.5" x14ac:dyDescent="0.25">
      <c r="D40" s="20">
        <v>29</v>
      </c>
      <c r="E40" s="20">
        <f>Calculator!$C$9</f>
        <v>10000</v>
      </c>
      <c r="F40" s="20">
        <f>Calculator!$C$9/POWER(1+$B$2,$D40)</f>
        <v>4886.61252310495</v>
      </c>
    </row>
    <row r="41" spans="4:6" ht="16.5" x14ac:dyDescent="0.25">
      <c r="D41" s="20">
        <v>30</v>
      </c>
      <c r="E41" s="20">
        <f>Calculator!$C$9</f>
        <v>10000</v>
      </c>
      <c r="F41" s="20">
        <f>Calculator!$C$9/POWER(1+$B$2,$D41)</f>
        <v>4767.4268518097078</v>
      </c>
    </row>
    <row r="42" spans="4:6" ht="16.5" x14ac:dyDescent="0.25">
      <c r="D42" s="20">
        <v>31</v>
      </c>
      <c r="E42" s="20">
        <f>Calculator!$C$9</f>
        <v>10000</v>
      </c>
      <c r="F42" s="20">
        <f>Calculator!$C$9/POWER(1+$B$2,$D42)</f>
        <v>4651.1481481070314</v>
      </c>
    </row>
    <row r="43" spans="4:6" ht="16.5" x14ac:dyDescent="0.25">
      <c r="D43" s="20">
        <v>32</v>
      </c>
      <c r="E43" s="20">
        <f>Calculator!$C$9</f>
        <v>10000</v>
      </c>
      <c r="F43" s="20">
        <f>Calculator!$C$9/POWER(1+$B$2,$D43)</f>
        <v>4537.7055103483244</v>
      </c>
    </row>
    <row r="44" spans="4:6" ht="16.5" x14ac:dyDescent="0.25">
      <c r="D44" s="20">
        <v>33</v>
      </c>
      <c r="E44" s="20">
        <f>Calculator!$C$9</f>
        <v>10000</v>
      </c>
      <c r="F44" s="20">
        <f>Calculator!$C$9/POWER(1+$B$2,$D44)</f>
        <v>4427.0297661934874</v>
      </c>
    </row>
    <row r="45" spans="4:6" ht="16.5" x14ac:dyDescent="0.25">
      <c r="D45" s="20">
        <v>34</v>
      </c>
      <c r="E45" s="20">
        <f>Calculator!$C$9</f>
        <v>10000</v>
      </c>
      <c r="F45" s="20">
        <f>Calculator!$C$9/POWER(1+$B$2,$D45)</f>
        <v>4319.0534304326702</v>
      </c>
    </row>
    <row r="46" spans="4:6" ht="16.5" x14ac:dyDescent="0.25">
      <c r="D46" s="20">
        <v>35</v>
      </c>
      <c r="E46" s="20">
        <f>Calculator!$C$9</f>
        <v>10000</v>
      </c>
      <c r="F46" s="20">
        <f>Calculator!$C$9/POWER(1+$B$2,$D46)</f>
        <v>4213.7106638367522</v>
      </c>
    </row>
    <row r="47" spans="4:6" ht="16.5" x14ac:dyDescent="0.25">
      <c r="D47" s="20">
        <v>36</v>
      </c>
      <c r="E47" s="20">
        <f>Calculator!$C$9</f>
        <v>10000</v>
      </c>
      <c r="F47" s="20">
        <f>Calculator!$C$9/POWER(1+$B$2,$D47)</f>
        <v>4110.9372330114657</v>
      </c>
    </row>
    <row r="48" spans="4:6" ht="16.5" x14ac:dyDescent="0.25">
      <c r="D48" s="20">
        <v>37</v>
      </c>
      <c r="E48" s="20">
        <f>Calculator!$C$9</f>
        <v>10000</v>
      </c>
      <c r="F48" s="20">
        <f>Calculator!$C$9/POWER(1+$B$2,$D48)</f>
        <v>4010.6704712306982</v>
      </c>
    </row>
    <row r="49" spans="4:6" ht="16.5" x14ac:dyDescent="0.25">
      <c r="D49" s="20">
        <v>38</v>
      </c>
      <c r="E49" s="20">
        <f>Calculator!$C$9</f>
        <v>10000</v>
      </c>
      <c r="F49" s="20">
        <f>Calculator!$C$9/POWER(1+$B$2,$D49)</f>
        <v>3912.8492402250722</v>
      </c>
    </row>
    <row r="50" spans="4:6" ht="16.5" x14ac:dyDescent="0.25">
      <c r="D50" s="20">
        <v>39</v>
      </c>
      <c r="E50" s="20">
        <f>Calculator!$C$9</f>
        <v>10000</v>
      </c>
      <c r="F50" s="20">
        <f>Calculator!$C$9/POWER(1+$B$2,$D50)</f>
        <v>3817.4138929025094</v>
      </c>
    </row>
    <row r="51" spans="4:6" ht="16.5" x14ac:dyDescent="0.25">
      <c r="D51" s="20">
        <v>40</v>
      </c>
      <c r="E51" s="20">
        <f>Calculator!$C$9</f>
        <v>10000</v>
      </c>
      <c r="F51" s="20">
        <f>Calculator!$C$9/POWER(1+$B$2,$D51)</f>
        <v>3724.3062369780582</v>
      </c>
    </row>
    <row r="52" spans="4:6" ht="16.5" x14ac:dyDescent="0.25">
      <c r="D52" s="20">
        <v>41</v>
      </c>
      <c r="E52" s="20">
        <f>Calculator!$C$9</f>
        <v>10000</v>
      </c>
      <c r="F52" s="20">
        <f>Calculator!$C$9/POWER(1+$B$2,$D52)</f>
        <v>3633.4694994907886</v>
      </c>
    </row>
    <row r="53" spans="4:6" ht="16.5" x14ac:dyDescent="0.25">
      <c r="D53" s="20">
        <v>42</v>
      </c>
      <c r="E53" s="20">
        <f>Calculator!$C$9</f>
        <v>10000</v>
      </c>
      <c r="F53" s="20">
        <f>Calculator!$C$9/POWER(1+$B$2,$D53)</f>
        <v>3544.8482921861355</v>
      </c>
    </row>
    <row r="54" spans="4:6" ht="16.5" x14ac:dyDescent="0.25">
      <c r="D54" s="20">
        <v>43</v>
      </c>
      <c r="E54" s="20">
        <f>Calculator!$C$9</f>
        <v>10000</v>
      </c>
      <c r="F54" s="20">
        <f>Calculator!$C$9/POWER(1+$B$2,$D54)</f>
        <v>3458.3885777425712</v>
      </c>
    </row>
    <row r="55" spans="4:6" ht="16.5" x14ac:dyDescent="0.25">
      <c r="D55" s="20">
        <v>44</v>
      </c>
      <c r="E55" s="20">
        <f>Calculator!$C$9</f>
        <v>10000</v>
      </c>
      <c r="F55" s="20">
        <f>Calculator!$C$9/POWER(1+$B$2,$D55)</f>
        <v>3374.0376368220213</v>
      </c>
    </row>
    <row r="56" spans="4:6" ht="16.5" x14ac:dyDescent="0.25">
      <c r="D56" s="20">
        <v>45</v>
      </c>
      <c r="E56" s="20">
        <f>Calculator!$C$9</f>
        <v>10000</v>
      </c>
      <c r="F56" s="20">
        <f>Calculator!$C$9/POWER(1+$B$2,$D56)</f>
        <v>3291.7440359239231</v>
      </c>
    </row>
    <row r="57" spans="4:6" ht="16.5" x14ac:dyDescent="0.25">
      <c r="D57" s="20">
        <v>46</v>
      </c>
      <c r="E57" s="20">
        <f>Calculator!$C$9</f>
        <v>10000</v>
      </c>
      <c r="F57" s="20">
        <f>Calculator!$C$9/POWER(1+$B$2,$D57)</f>
        <v>3211.4575960233401</v>
      </c>
    </row>
    <row r="58" spans="4:6" ht="16.5" x14ac:dyDescent="0.25">
      <c r="D58" s="20">
        <v>47</v>
      </c>
      <c r="E58" s="20">
        <f>Calculator!$C$9</f>
        <v>10000</v>
      </c>
      <c r="F58" s="20">
        <f>Calculator!$C$9/POWER(1+$B$2,$D58)</f>
        <v>3133.1293619739899</v>
      </c>
    </row>
    <row r="59" spans="4:6" ht="16.5" x14ac:dyDescent="0.25">
      <c r="D59" s="20">
        <v>48</v>
      </c>
      <c r="E59" s="20">
        <f>Calculator!$C$9</f>
        <v>10000</v>
      </c>
      <c r="F59" s="20">
        <f>Calculator!$C$9/POWER(1+$B$2,$D59)</f>
        <v>3056.7115726575512</v>
      </c>
    </row>
    <row r="60" spans="4:6" ht="16.5" x14ac:dyDescent="0.25">
      <c r="D60" s="20">
        <v>49</v>
      </c>
      <c r="E60" s="20">
        <f>Calculator!$C$9</f>
        <v>10000</v>
      </c>
      <c r="F60" s="20">
        <f>Calculator!$C$9/POWER(1+$B$2,$D60)</f>
        <v>2982.1576318610259</v>
      </c>
    </row>
    <row r="61" spans="4:6" ht="16.5" x14ac:dyDescent="0.25">
      <c r="D61" s="20">
        <v>50</v>
      </c>
      <c r="E61" s="20">
        <f>Calculator!$C$9</f>
        <v>10000</v>
      </c>
      <c r="F61" s="20">
        <f>Calculator!$C$9/POWER(1+$B$2,$D61)</f>
        <v>2909.4220798644155</v>
      </c>
    </row>
    <row r="62" spans="4:6" ht="16.5" x14ac:dyDescent="0.25">
      <c r="D62" s="20">
        <v>51</v>
      </c>
      <c r="E62" s="20">
        <f>Calculator!$C$9</f>
        <v>10000</v>
      </c>
      <c r="F62" s="20">
        <f>Calculator!$C$9/POWER(1+$B$2,$D62)</f>
        <v>2838.460565721381</v>
      </c>
    </row>
    <row r="63" spans="4:6" ht="16.5" x14ac:dyDescent="0.25">
      <c r="D63" s="20">
        <v>52</v>
      </c>
      <c r="E63" s="20">
        <f>Calculator!$C$9</f>
        <v>10000</v>
      </c>
      <c r="F63" s="20">
        <f>Calculator!$C$9/POWER(1+$B$2,$D63)</f>
        <v>2769.2298202159818</v>
      </c>
    </row>
    <row r="64" spans="4:6" ht="16.5" x14ac:dyDescent="0.25">
      <c r="D64" s="20">
        <v>53</v>
      </c>
      <c r="E64" s="20">
        <f>Calculator!$C$9</f>
        <v>10000</v>
      </c>
      <c r="F64" s="20">
        <f>Calculator!$C$9/POWER(1+$B$2,$D64)</f>
        <v>2701.6876294790068</v>
      </c>
    </row>
    <row r="65" spans="4:6" ht="16.5" x14ac:dyDescent="0.25">
      <c r="D65" s="20">
        <v>54</v>
      </c>
      <c r="E65" s="20">
        <f>Calculator!$C$9</f>
        <v>10000</v>
      </c>
      <c r="F65" s="20">
        <f>Calculator!$C$9/POWER(1+$B$2,$D65)</f>
        <v>2635.7928092478119</v>
      </c>
    </row>
    <row r="66" spans="4:6" ht="16.5" x14ac:dyDescent="0.25">
      <c r="D66" s="20">
        <v>55</v>
      </c>
      <c r="E66" s="20">
        <f>Calculator!$C$9</f>
        <v>10000</v>
      </c>
      <c r="F66" s="20">
        <f>Calculator!$C$9/POWER(1+$B$2,$D66)</f>
        <v>2571.5051797539627</v>
      </c>
    </row>
    <row r="67" spans="4:6" ht="16.5" x14ac:dyDescent="0.25">
      <c r="D67" s="20">
        <v>56</v>
      </c>
      <c r="E67" s="20">
        <f>Calculator!$C$9</f>
        <v>10000</v>
      </c>
      <c r="F67" s="20">
        <f>Calculator!$C$9/POWER(1+$B$2,$D67)</f>
        <v>2508.785541223378</v>
      </c>
    </row>
    <row r="68" spans="4:6" ht="16.5" x14ac:dyDescent="0.25">
      <c r="D68" s="20">
        <v>57</v>
      </c>
      <c r="E68" s="20">
        <f>Calculator!$C$9</f>
        <v>10000</v>
      </c>
      <c r="F68" s="20">
        <f>Calculator!$C$9/POWER(1+$B$2,$D68)</f>
        <v>2447.5956499740278</v>
      </c>
    </row>
    <row r="69" spans="4:6" ht="16.5" x14ac:dyDescent="0.25">
      <c r="D69" s="20">
        <v>58</v>
      </c>
      <c r="E69" s="20">
        <f>Calculator!$C$9</f>
        <v>10000</v>
      </c>
      <c r="F69" s="20">
        <f>Calculator!$C$9/POWER(1+$B$2,$D69)</f>
        <v>2387.8981950966127</v>
      </c>
    </row>
    <row r="70" spans="4:6" ht="16.5" x14ac:dyDescent="0.25">
      <c r="D70" s="20">
        <v>59</v>
      </c>
      <c r="E70" s="20">
        <f>Calculator!$C$9</f>
        <v>10000</v>
      </c>
      <c r="F70" s="20">
        <f>Calculator!$C$9/POWER(1+$B$2,$D70)</f>
        <v>2329.6567757040125</v>
      </c>
    </row>
    <row r="71" spans="4:6" ht="16.5" x14ac:dyDescent="0.25">
      <c r="D71" s="20">
        <v>60</v>
      </c>
      <c r="E71" s="20">
        <f>Calculator!$C$9</f>
        <v>10000</v>
      </c>
      <c r="F71" s="20">
        <f>Calculator!$C$9/POWER(1+$B$2,$D71)</f>
        <v>2272.8358787356219</v>
      </c>
    </row>
    <row r="72" spans="4:6" ht="16.5" x14ac:dyDescent="0.25">
      <c r="D72" s="20">
        <v>61</v>
      </c>
      <c r="E72" s="20">
        <f>Calculator!$C$9</f>
        <v>10000</v>
      </c>
      <c r="F72" s="20">
        <f>Calculator!$C$9/POWER(1+$B$2,$D72)</f>
        <v>2217.4008573030455</v>
      </c>
    </row>
    <row r="73" spans="4:6" ht="16.5" x14ac:dyDescent="0.25">
      <c r="D73" s="20">
        <v>62</v>
      </c>
      <c r="E73" s="20">
        <f>Calculator!$C$9</f>
        <v>10000</v>
      </c>
      <c r="F73" s="20">
        <f>Calculator!$C$9/POWER(1+$B$2,$D73)</f>
        <v>2163.3179095639475</v>
      </c>
    </row>
    <row r="74" spans="4:6" ht="16.5" x14ac:dyDescent="0.25">
      <c r="D74" s="20">
        <v>63</v>
      </c>
      <c r="E74" s="20">
        <f>Calculator!$C$9</f>
        <v>10000</v>
      </c>
      <c r="F74" s="20">
        <f>Calculator!$C$9/POWER(1+$B$2,$D74)</f>
        <v>2110.5540581111677</v>
      </c>
    </row>
    <row r="75" spans="4:6" ht="16.5" x14ac:dyDescent="0.25">
      <c r="D75" s="20">
        <v>64</v>
      </c>
      <c r="E75" s="20">
        <f>Calculator!$C$9</f>
        <v>10000</v>
      </c>
      <c r="F75" s="20">
        <f>Calculator!$C$9/POWER(1+$B$2,$D75)</f>
        <v>2059.0771298645545</v>
      </c>
    </row>
    <row r="76" spans="4:6" ht="16.5" x14ac:dyDescent="0.25">
      <c r="D76" s="20">
        <v>65</v>
      </c>
      <c r="E76" s="20">
        <f>Calculator!$C$9</f>
        <v>10000</v>
      </c>
      <c r="F76" s="20">
        <f>Calculator!$C$9/POWER(1+$B$2,$D76)</f>
        <v>2008.8557364532242</v>
      </c>
    </row>
    <row r="77" spans="4:6" ht="16.5" x14ac:dyDescent="0.25">
      <c r="D77" s="20">
        <v>66</v>
      </c>
      <c r="E77" s="20">
        <f>Calculator!$C$9</f>
        <v>10000</v>
      </c>
      <c r="F77" s="20">
        <f>Calculator!$C$9/POWER(1+$B$2,$D77)</f>
        <v>1959.859255076316</v>
      </c>
    </row>
    <row r="78" spans="4:6" ht="16.5" x14ac:dyDescent="0.25">
      <c r="D78" s="20">
        <v>67</v>
      </c>
      <c r="E78" s="20">
        <f>Calculator!$C$9</f>
        <v>10000</v>
      </c>
      <c r="F78" s="20">
        <f>Calculator!$C$9/POWER(1+$B$2,$D78)</f>
        <v>1912.0578098305523</v>
      </c>
    </row>
    <row r="79" spans="4:6" ht="16.5" x14ac:dyDescent="0.25">
      <c r="D79" s="20">
        <v>68</v>
      </c>
      <c r="E79" s="20">
        <f>Calculator!$C$9</f>
        <v>10000</v>
      </c>
      <c r="F79" s="20">
        <f>Calculator!$C$9/POWER(1+$B$2,$D79)</f>
        <v>1865.4222534932219</v>
      </c>
    </row>
    <row r="80" spans="4:6" ht="16.5" x14ac:dyDescent="0.25">
      <c r="D80" s="20">
        <v>69</v>
      </c>
      <c r="E80" s="20">
        <f>Calculator!$C$9</f>
        <v>10000</v>
      </c>
      <c r="F80" s="20">
        <f>Calculator!$C$9/POWER(1+$B$2,$D80)</f>
        <v>1819.9241497494852</v>
      </c>
    </row>
    <row r="81" spans="4:6" ht="16.5" x14ac:dyDescent="0.25">
      <c r="D81" s="20">
        <v>70</v>
      </c>
      <c r="E81" s="20">
        <f>Calculator!$C$9</f>
        <v>10000</v>
      </c>
      <c r="F81" s="20">
        <f>Calculator!$C$9/POWER(1+$B$2,$D81)</f>
        <v>1775.5357558531564</v>
      </c>
    </row>
    <row r="82" spans="4:6" ht="16.5" x14ac:dyDescent="0.25">
      <c r="D82" s="20">
        <v>71</v>
      </c>
      <c r="E82" s="20">
        <f>Calculator!$C$9</f>
        <v>10000</v>
      </c>
      <c r="F82" s="20">
        <f>Calculator!$C$9/POWER(1+$B$2,$D82)</f>
        <v>1732.2300057103962</v>
      </c>
    </row>
    <row r="83" spans="4:6" ht="16.5" x14ac:dyDescent="0.25">
      <c r="D83" s="20">
        <v>72</v>
      </c>
      <c r="E83" s="20">
        <f>Calculator!$C$9</f>
        <v>10000</v>
      </c>
      <c r="F83" s="20">
        <f>Calculator!$C$9/POWER(1+$B$2,$D83)</f>
        <v>1689.9804933759965</v>
      </c>
    </row>
    <row r="84" spans="4:6" ht="16.5" x14ac:dyDescent="0.25">
      <c r="D84" s="20">
        <v>73</v>
      </c>
      <c r="E84" s="20">
        <f>Calculator!$C$9</f>
        <v>10000</v>
      </c>
      <c r="F84" s="20">
        <f>Calculator!$C$9/POWER(1+$B$2,$D84)</f>
        <v>1648.761456952192</v>
      </c>
    </row>
    <row r="85" spans="4:6" ht="16.5" x14ac:dyDescent="0.25">
      <c r="D85" s="20">
        <v>74</v>
      </c>
      <c r="E85" s="20">
        <f>Calculator!$C$9</f>
        <v>10000</v>
      </c>
      <c r="F85" s="20">
        <f>Calculator!$C$9/POWER(1+$B$2,$D85)</f>
        <v>1608.5477628801873</v>
      </c>
    </row>
    <row r="86" spans="4:6" ht="16.5" x14ac:dyDescent="0.25">
      <c r="D86" s="20">
        <v>75</v>
      </c>
      <c r="E86" s="20">
        <f>Calculator!$C$9</f>
        <v>10000</v>
      </c>
      <c r="F86" s="20">
        <f>Calculator!$C$9/POWER(1+$B$2,$D86)</f>
        <v>1569.3148906148167</v>
      </c>
    </row>
    <row r="87" spans="4:6" ht="16.5" x14ac:dyDescent="0.25">
      <c r="D87" s="20">
        <v>76</v>
      </c>
      <c r="E87" s="20">
        <f>Calculator!$C$9</f>
        <v>10000</v>
      </c>
      <c r="F87" s="20">
        <f>Calculator!$C$9/POWER(1+$B$2,$D87)</f>
        <v>1531.0389176729923</v>
      </c>
    </row>
    <row r="88" spans="4:6" ht="16.5" x14ac:dyDescent="0.25">
      <c r="D88" s="20">
        <v>77</v>
      </c>
      <c r="E88" s="20">
        <f>Calculator!$C$9</f>
        <v>10000</v>
      </c>
      <c r="F88" s="20">
        <f>Calculator!$C$9/POWER(1+$B$2,$D88)</f>
        <v>1493.6965050468218</v>
      </c>
    </row>
    <row r="89" spans="4:6" ht="16.5" x14ac:dyDescent="0.25">
      <c r="D89" s="20">
        <v>78</v>
      </c>
      <c r="E89" s="20">
        <f>Calculator!$C$9</f>
        <v>10000</v>
      </c>
      <c r="F89" s="20">
        <f>Calculator!$C$9/POWER(1+$B$2,$D89)</f>
        <v>1457.2648829725092</v>
      </c>
    </row>
    <row r="90" spans="4:6" ht="16.5" x14ac:dyDescent="0.25">
      <c r="D90" s="20">
        <v>79</v>
      </c>
      <c r="E90" s="20">
        <f>Calculator!$C$9</f>
        <v>10000</v>
      </c>
      <c r="F90" s="20">
        <f>Calculator!$C$9/POWER(1+$B$2,$D90)</f>
        <v>1421.7218370463502</v>
      </c>
    </row>
    <row r="91" spans="4:6" ht="16.5" x14ac:dyDescent="0.25">
      <c r="D91" s="20">
        <v>80</v>
      </c>
      <c r="E91" s="20">
        <f>Calculator!$C$9</f>
        <v>10000</v>
      </c>
      <c r="F91" s="20">
        <f>Calculator!$C$9/POWER(1+$B$2,$D91)</f>
        <v>1387.0456946793663</v>
      </c>
    </row>
    <row r="92" spans="4:6" ht="16.5" x14ac:dyDescent="0.25">
      <c r="D92" s="20">
        <v>81</v>
      </c>
      <c r="E92" s="20">
        <f>Calculator!$C$9</f>
        <v>10000</v>
      </c>
      <c r="F92" s="20">
        <f>Calculator!$C$9/POWER(1+$B$2,$D92)</f>
        <v>1353.2153118823087</v>
      </c>
    </row>
    <row r="93" spans="4:6" ht="16.5" x14ac:dyDescent="0.25">
      <c r="D93" s="20">
        <v>82</v>
      </c>
      <c r="E93" s="20">
        <f>Calculator!$C$9</f>
        <v>10000</v>
      </c>
      <c r="F93" s="20">
        <f>Calculator!$C$9/POWER(1+$B$2,$D93)</f>
        <v>1320.2100603729839</v>
      </c>
    </row>
    <row r="94" spans="4:6" ht="16.5" x14ac:dyDescent="0.25">
      <c r="D94" s="20">
        <v>83</v>
      </c>
      <c r="E94" s="20">
        <f>Calculator!$C$9</f>
        <v>10000</v>
      </c>
      <c r="F94" s="20">
        <f>Calculator!$C$9/POWER(1+$B$2,$D94)</f>
        <v>1288.0098149980331</v>
      </c>
    </row>
    <row r="95" spans="4:6" ht="16.5" x14ac:dyDescent="0.25">
      <c r="D95" s="20">
        <v>84</v>
      </c>
      <c r="E95" s="20">
        <f>Calculator!$C$9</f>
        <v>10000</v>
      </c>
      <c r="F95" s="20">
        <f>Calculator!$C$9/POWER(1+$B$2,$D95)</f>
        <v>1256.5949414614959</v>
      </c>
    </row>
    <row r="96" spans="4:6" ht="16.5" x14ac:dyDescent="0.25">
      <c r="D96" s="20">
        <v>85</v>
      </c>
      <c r="E96" s="20">
        <f>Calculator!$C$9</f>
        <v>10000</v>
      </c>
      <c r="F96" s="20">
        <f>Calculator!$C$9/POWER(1+$B$2,$D96)</f>
        <v>1225.946284352679</v>
      </c>
    </row>
    <row r="97" spans="4:6" ht="16.5" x14ac:dyDescent="0.25">
      <c r="D97" s="20">
        <v>86</v>
      </c>
      <c r="E97" s="20">
        <f>Calculator!$C$9</f>
        <v>10000</v>
      </c>
      <c r="F97" s="20">
        <f>Calculator!$C$9/POWER(1+$B$2,$D97)</f>
        <v>1196.0451554660283</v>
      </c>
    </row>
    <row r="98" spans="4:6" ht="16.5" x14ac:dyDescent="0.25">
      <c r="D98" s="20">
        <v>87</v>
      </c>
      <c r="E98" s="20">
        <f>Calculator!$C$9</f>
        <v>10000</v>
      </c>
      <c r="F98" s="20">
        <f>Calculator!$C$9/POWER(1+$B$2,$D98)</f>
        <v>1166.8733224058813</v>
      </c>
    </row>
    <row r="99" spans="4:6" ht="16.5" x14ac:dyDescent="0.25">
      <c r="D99" s="20">
        <v>88</v>
      </c>
      <c r="E99" s="20">
        <f>Calculator!$C$9</f>
        <v>10000</v>
      </c>
      <c r="F99" s="20">
        <f>Calculator!$C$9/POWER(1+$B$2,$D99)</f>
        <v>1138.4129974691525</v>
      </c>
    </row>
    <row r="100" spans="4:6" ht="16.5" x14ac:dyDescent="0.25">
      <c r="D100" s="20">
        <v>89</v>
      </c>
      <c r="E100" s="20">
        <f>Calculator!$C$9</f>
        <v>10000</v>
      </c>
      <c r="F100" s="20">
        <f>Calculator!$C$9/POWER(1+$B$2,$D100)</f>
        <v>1110.6468267991736</v>
      </c>
    </row>
    <row r="101" spans="4:6" ht="16.5" x14ac:dyDescent="0.25">
      <c r="D101" s="20">
        <v>90</v>
      </c>
      <c r="E101" s="20">
        <f>Calculator!$C$9</f>
        <v>10000</v>
      </c>
      <c r="F101" s="20">
        <f>Calculator!$C$9/POWER(1+$B$2,$D101)</f>
        <v>1083.5578798040717</v>
      </c>
    </row>
    <row r="102" spans="4:6" ht="16.5" x14ac:dyDescent="0.25">
      <c r="D102" s="20">
        <v>91</v>
      </c>
      <c r="E102" s="20">
        <f>Calculator!$C$9</f>
        <v>10000</v>
      </c>
      <c r="F102" s="20">
        <f>Calculator!$C$9/POWER(1+$B$2,$D102)</f>
        <v>1057.1296388332407</v>
      </c>
    </row>
    <row r="103" spans="4:6" ht="16.5" x14ac:dyDescent="0.25">
      <c r="D103" s="20">
        <v>92</v>
      </c>
      <c r="E103" s="20">
        <f>Calculator!$C$9</f>
        <v>10000</v>
      </c>
      <c r="F103" s="20">
        <f>Calculator!$C$9/POWER(1+$B$2,$D103)</f>
        <v>1031.3459891056009</v>
      </c>
    </row>
    <row r="104" spans="4:6" ht="16.5" x14ac:dyDescent="0.25">
      <c r="D104" s="20">
        <v>93</v>
      </c>
      <c r="E104" s="20">
        <f>Calculator!$C$9</f>
        <v>10000</v>
      </c>
      <c r="F104" s="20">
        <f>Calculator!$C$9/POWER(1+$B$2,$D104)</f>
        <v>1006.1912088835129</v>
      </c>
    </row>
    <row r="105" spans="4:6" ht="16.5" x14ac:dyDescent="0.25">
      <c r="D105" s="20">
        <v>94</v>
      </c>
      <c r="E105" s="20">
        <f>Calculator!$C$9</f>
        <v>10000</v>
      </c>
      <c r="F105" s="20">
        <f>Calculator!$C$9/POWER(1+$B$2,$D105)</f>
        <v>981.64995988635417</v>
      </c>
    </row>
    <row r="106" spans="4:6" ht="16.5" x14ac:dyDescent="0.25">
      <c r="D106" s="20">
        <v>95</v>
      </c>
      <c r="E106" s="20">
        <f>Calculator!$C$9</f>
        <v>10000</v>
      </c>
      <c r="F106" s="20">
        <f>Calculator!$C$9/POWER(1+$B$2,$D106)</f>
        <v>957.70727793790627</v>
      </c>
    </row>
    <row r="107" spans="4:6" ht="16.5" x14ac:dyDescent="0.25">
      <c r="D107" s="20">
        <v>96</v>
      </c>
      <c r="E107" s="20">
        <f>Calculator!$C$9</f>
        <v>10000</v>
      </c>
      <c r="F107" s="20">
        <f>Calculator!$C$9/POWER(1+$B$2,$D107)</f>
        <v>934.34856384186003</v>
      </c>
    </row>
    <row r="108" spans="4:6" ht="16.5" x14ac:dyDescent="0.25">
      <c r="D108" s="20">
        <v>97</v>
      </c>
      <c r="E108" s="20">
        <f>Calculator!$C$9</f>
        <v>10000</v>
      </c>
      <c r="F108" s="20">
        <f>Calculator!$C$9/POWER(1+$B$2,$D108)</f>
        <v>911.5595744798635</v>
      </c>
    </row>
    <row r="109" spans="4:6" ht="16.5" x14ac:dyDescent="0.25">
      <c r="D109" s="20">
        <v>98</v>
      </c>
      <c r="E109" s="20">
        <f>Calculator!$C$9</f>
        <v>10000</v>
      </c>
      <c r="F109" s="20">
        <f>Calculator!$C$9/POWER(1+$B$2,$D109)</f>
        <v>889.32641412669614</v>
      </c>
    </row>
    <row r="110" spans="4:6" ht="16.5" x14ac:dyDescent="0.25">
      <c r="D110" s="20">
        <v>99</v>
      </c>
      <c r="E110" s="20">
        <f>Calculator!$C$9</f>
        <v>10000</v>
      </c>
      <c r="F110" s="20">
        <f>Calculator!$C$9/POWER(1+$B$2,$D110)</f>
        <v>867.63552597726459</v>
      </c>
    </row>
    <row r="111" spans="4:6" ht="16.5" x14ac:dyDescent="0.25">
      <c r="D111" s="20">
        <v>100</v>
      </c>
      <c r="E111" s="20">
        <f>Calculator!$C$9</f>
        <v>10000</v>
      </c>
      <c r="F111" s="20">
        <f>Calculator!$C$9/POWER(1+$B$2,$D111)</f>
        <v>846.47368388025814</v>
      </c>
    </row>
    <row r="112" spans="4:6" ht="16.5" x14ac:dyDescent="0.25">
      <c r="D112" s="20">
        <v>101</v>
      </c>
      <c r="E112" s="20">
        <f>Calculator!$C$9</f>
        <v>10000</v>
      </c>
      <c r="F112" s="20">
        <f>Calculator!$C$9/POWER(1+$B$2,$D112)</f>
        <v>825.82798427342254</v>
      </c>
    </row>
    <row r="113" spans="4:6" ht="16.5" x14ac:dyDescent="0.25">
      <c r="D113" s="20">
        <v>102</v>
      </c>
      <c r="E113" s="20">
        <f>Calculator!$C$9</f>
        <v>10000</v>
      </c>
      <c r="F113" s="20">
        <f>Calculator!$C$9/POWER(1+$B$2,$D113)</f>
        <v>805.68583831553451</v>
      </c>
    </row>
    <row r="114" spans="4:6" ht="16.5" x14ac:dyDescent="0.25">
      <c r="D114" s="20">
        <v>103</v>
      </c>
      <c r="E114" s="20">
        <f>Calculator!$C$9</f>
        <v>10000</v>
      </c>
      <c r="F114" s="20">
        <f>Calculator!$C$9/POWER(1+$B$2,$D114)</f>
        <v>786.03496421027739</v>
      </c>
    </row>
    <row r="115" spans="4:6" ht="16.5" x14ac:dyDescent="0.25">
      <c r="D115" s="20">
        <v>104</v>
      </c>
      <c r="E115" s="20">
        <f>Calculator!$C$9</f>
        <v>10000</v>
      </c>
      <c r="F115" s="20">
        <f>Calculator!$C$9/POWER(1+$B$2,$D115)</f>
        <v>766.86337971734395</v>
      </c>
    </row>
    <row r="116" spans="4:6" ht="16.5" x14ac:dyDescent="0.25">
      <c r="D116" s="20">
        <v>105</v>
      </c>
      <c r="E116" s="20">
        <f>Calculator!$C$9</f>
        <v>10000</v>
      </c>
      <c r="F116" s="20">
        <f>Calculator!$C$9/POWER(1+$B$2,$D116)</f>
        <v>748.15939484618923</v>
      </c>
    </row>
    <row r="117" spans="4:6" ht="16.5" x14ac:dyDescent="0.25">
      <c r="D117" s="20">
        <v>106</v>
      </c>
      <c r="E117" s="20">
        <f>Calculator!$C$9</f>
        <v>10000</v>
      </c>
      <c r="F117" s="20">
        <f>Calculator!$C$9/POWER(1+$B$2,$D117)</f>
        <v>729.91160472798958</v>
      </c>
    </row>
    <row r="118" spans="4:6" ht="16.5" x14ac:dyDescent="0.25">
      <c r="D118" s="20">
        <v>107</v>
      </c>
      <c r="E118" s="20">
        <f>Calculator!$C$9</f>
        <v>10000</v>
      </c>
      <c r="F118" s="20">
        <f>Calculator!$C$9/POWER(1+$B$2,$D118)</f>
        <v>712.10888266145309</v>
      </c>
    </row>
    <row r="119" spans="4:6" ht="16.5" x14ac:dyDescent="0.25">
      <c r="D119" s="20">
        <v>108</v>
      </c>
      <c r="E119" s="20">
        <f>Calculator!$C$9</f>
        <v>10000</v>
      </c>
      <c r="F119" s="20">
        <f>Calculator!$C$9/POWER(1+$B$2,$D119)</f>
        <v>694.74037332824719</v>
      </c>
    </row>
    <row r="120" spans="4:6" ht="16.5" x14ac:dyDescent="0.25">
      <c r="D120" s="20">
        <v>109</v>
      </c>
      <c r="E120" s="20">
        <f>Calculator!$C$9</f>
        <v>10000</v>
      </c>
      <c r="F120" s="20">
        <f>Calculator!$C$9/POWER(1+$B$2,$D120)</f>
        <v>677.79548617389958</v>
      </c>
    </row>
    <row r="121" spans="4:6" ht="16.5" x14ac:dyDescent="0.25">
      <c r="D121" s="20">
        <v>110</v>
      </c>
      <c r="E121" s="20">
        <f>Calculator!$C$9</f>
        <v>10000</v>
      </c>
      <c r="F121" s="20">
        <f>Calculator!$C$9/POWER(1+$B$2,$D121)</f>
        <v>661.26388895014611</v>
      </c>
    </row>
    <row r="122" spans="4:6" ht="16.5" x14ac:dyDescent="0.25">
      <c r="D122" s="20">
        <v>111</v>
      </c>
      <c r="E122" s="20">
        <f>Calculator!$C$9</f>
        <v>10000</v>
      </c>
      <c r="F122" s="20">
        <f>Calculator!$C$9/POWER(1+$B$2,$D122)</f>
        <v>645.13550141477651</v>
      </c>
    </row>
    <row r="123" spans="4:6" ht="16.5" x14ac:dyDescent="0.25">
      <c r="D123" s="20">
        <v>112</v>
      </c>
      <c r="E123" s="20">
        <f>Calculator!$C$9</f>
        <v>10000</v>
      </c>
      <c r="F123" s="20">
        <f>Calculator!$C$9/POWER(1+$B$2,$D123)</f>
        <v>629.40048918514799</v>
      </c>
    </row>
    <row r="124" spans="4:6" ht="16.5" x14ac:dyDescent="0.25">
      <c r="D124" s="20">
        <v>113</v>
      </c>
      <c r="E124" s="20">
        <f>Calculator!$C$9</f>
        <v>10000</v>
      </c>
      <c r="F124" s="20">
        <f>Calculator!$C$9/POWER(1+$B$2,$D124)</f>
        <v>614.04925774160779</v>
      </c>
    </row>
    <row r="125" spans="4:6" ht="16.5" x14ac:dyDescent="0.25">
      <c r="D125" s="20">
        <v>114</v>
      </c>
      <c r="E125" s="20">
        <f>Calculator!$C$9</f>
        <v>10000</v>
      </c>
      <c r="F125" s="20">
        <f>Calculator!$C$9/POWER(1+$B$2,$D125)</f>
        <v>599.07244657717831</v>
      </c>
    </row>
    <row r="126" spans="4:6" ht="16.5" x14ac:dyDescent="0.25">
      <c r="D126" s="20">
        <v>115</v>
      </c>
      <c r="E126" s="20">
        <f>Calculator!$C$9</f>
        <v>10000</v>
      </c>
      <c r="F126" s="20">
        <f>Calculator!$C$9/POWER(1+$B$2,$D126)</f>
        <v>584.46092348993</v>
      </c>
    </row>
    <row r="127" spans="4:6" ht="16.5" x14ac:dyDescent="0.25">
      <c r="D127" s="20">
        <v>116</v>
      </c>
      <c r="E127" s="20">
        <f>Calculator!$C$9</f>
        <v>10000</v>
      </c>
      <c r="F127" s="20">
        <f>Calculator!$C$9/POWER(1+$B$2,$D127)</f>
        <v>570.20577901456602</v>
      </c>
    </row>
    <row r="128" spans="4:6" ht="16.5" x14ac:dyDescent="0.25">
      <c r="D128" s="20">
        <v>117</v>
      </c>
      <c r="E128" s="20">
        <f>Calculator!$C$9</f>
        <v>10000</v>
      </c>
      <c r="F128" s="20">
        <f>Calculator!$C$9/POWER(1+$B$2,$D128)</f>
        <v>556.29832098982047</v>
      </c>
    </row>
    <row r="129" spans="4:6" ht="16.5" x14ac:dyDescent="0.25">
      <c r="D129" s="20">
        <v>118</v>
      </c>
      <c r="E129" s="20">
        <f>Calculator!$C$9</f>
        <v>10000</v>
      </c>
      <c r="F129" s="20">
        <f>Calculator!$C$9/POWER(1+$B$2,$D129)</f>
        <v>542.73006925836148</v>
      </c>
    </row>
    <row r="130" spans="4:6" ht="16.5" x14ac:dyDescent="0.25">
      <c r="D130" s="20">
        <v>119</v>
      </c>
      <c r="E130" s="20">
        <f>Calculator!$C$9</f>
        <v>10000</v>
      </c>
      <c r="F130" s="20">
        <f>Calculator!$C$9/POWER(1+$B$2,$D130)</f>
        <v>529.49275049596247</v>
      </c>
    </row>
    <row r="131" spans="4:6" ht="16.5" x14ac:dyDescent="0.25">
      <c r="D131" s="20">
        <v>120</v>
      </c>
      <c r="E131" s="20">
        <f>Calculator!$C$9</f>
        <v>10000</v>
      </c>
      <c r="F131" s="20">
        <f>Calculator!$C$9/POWER(1+$B$2,$D131)</f>
        <v>516.57829316679261</v>
      </c>
    </row>
    <row r="132" spans="4:6" ht="16.5" x14ac:dyDescent="0.25">
      <c r="D132" s="20">
        <v>121</v>
      </c>
      <c r="E132" s="20">
        <f>Calculator!$C$9</f>
        <v>10000</v>
      </c>
      <c r="F132" s="20">
        <f>Calculator!$C$9/POWER(1+$B$2,$D132)</f>
        <v>503.9788226017489</v>
      </c>
    </row>
    <row r="133" spans="4:6" ht="16.5" x14ac:dyDescent="0.25">
      <c r="D133" s="20">
        <v>122</v>
      </c>
      <c r="E133" s="20">
        <f>Calculator!$C$9</f>
        <v>10000</v>
      </c>
      <c r="F133" s="20">
        <f>Calculator!$C$9/POWER(1+$B$2,$D133)</f>
        <v>491.68665619682827</v>
      </c>
    </row>
    <row r="134" spans="4:6" ht="16.5" x14ac:dyDescent="0.25">
      <c r="D134" s="20">
        <v>123</v>
      </c>
      <c r="E134" s="20">
        <f>Calculator!$C$9</f>
        <v>10000</v>
      </c>
      <c r="F134" s="20">
        <f>Calculator!$C$9/POWER(1+$B$2,$D134)</f>
        <v>479.69429872861303</v>
      </c>
    </row>
    <row r="135" spans="4:6" ht="16.5" x14ac:dyDescent="0.25">
      <c r="D135" s="20">
        <v>124</v>
      </c>
      <c r="E135" s="20">
        <f>Calculator!$C$9</f>
        <v>10000</v>
      </c>
      <c r="F135" s="20">
        <f>Calculator!$C$9/POWER(1+$B$2,$D135)</f>
        <v>467.99443778401275</v>
      </c>
    </row>
    <row r="136" spans="4:6" ht="16.5" x14ac:dyDescent="0.25">
      <c r="D136" s="20">
        <v>125</v>
      </c>
      <c r="E136" s="20">
        <f>Calculator!$C$9</f>
        <v>10000</v>
      </c>
      <c r="F136" s="20">
        <f>Calculator!$C$9/POWER(1+$B$2,$D136)</f>
        <v>456.57993930147575</v>
      </c>
    </row>
    <row r="137" spans="4:6" ht="16.5" x14ac:dyDescent="0.25">
      <c r="D137" s="20">
        <v>126</v>
      </c>
      <c r="E137" s="20">
        <f>Calculator!$C$9</f>
        <v>10000</v>
      </c>
      <c r="F137" s="20">
        <f>Calculator!$C$9/POWER(1+$B$2,$D137)</f>
        <v>445.44384322095209</v>
      </c>
    </row>
    <row r="138" spans="4:6" ht="16.5" x14ac:dyDescent="0.25">
      <c r="D138" s="20">
        <v>127</v>
      </c>
      <c r="E138" s="20">
        <f>Calculator!$C$9</f>
        <v>10000</v>
      </c>
      <c r="F138" s="20">
        <f>Calculator!$C$9/POWER(1+$B$2,$D138)</f>
        <v>434.57935923995313</v>
      </c>
    </row>
    <row r="139" spans="4:6" ht="16.5" x14ac:dyDescent="0.25">
      <c r="D139" s="20">
        <v>128</v>
      </c>
      <c r="E139" s="20">
        <f>Calculator!$C$9</f>
        <v>10000</v>
      </c>
      <c r="F139" s="20">
        <f>Calculator!$C$9/POWER(1+$B$2,$D139)</f>
        <v>423.97986267312513</v>
      </c>
    </row>
    <row r="140" spans="4:6" ht="16.5" x14ac:dyDescent="0.25">
      <c r="D140" s="20">
        <v>129</v>
      </c>
      <c r="E140" s="20">
        <f>Calculator!$C$9</f>
        <v>10000</v>
      </c>
      <c r="F140" s="20">
        <f>Calculator!$C$9/POWER(1+$B$2,$D140)</f>
        <v>413.63889041280498</v>
      </c>
    </row>
    <row r="141" spans="4:6" ht="16.5" x14ac:dyDescent="0.25">
      <c r="D141" s="20">
        <v>130</v>
      </c>
      <c r="E141" s="20">
        <f>Calculator!$C$9</f>
        <v>10000</v>
      </c>
      <c r="F141" s="20">
        <f>Calculator!$C$9/POWER(1+$B$2,$D141)</f>
        <v>403.55013698810245</v>
      </c>
    </row>
    <row r="142" spans="4:6" ht="16.5" x14ac:dyDescent="0.25">
      <c r="D142" s="20">
        <v>131</v>
      </c>
      <c r="E142" s="20">
        <f>Calculator!$C$9</f>
        <v>10000</v>
      </c>
      <c r="F142" s="20">
        <f>Calculator!$C$9/POWER(1+$B$2,$D142)</f>
        <v>393.70745072009993</v>
      </c>
    </row>
    <row r="143" spans="4:6" ht="16.5" x14ac:dyDescent="0.25">
      <c r="D143" s="20">
        <v>132</v>
      </c>
      <c r="E143" s="20">
        <f>Calculator!$C$9</f>
        <v>10000</v>
      </c>
      <c r="F143" s="20">
        <f>Calculator!$C$9/POWER(1+$B$2,$D143)</f>
        <v>384.10482997082926</v>
      </c>
    </row>
    <row r="144" spans="4:6" ht="16.5" x14ac:dyDescent="0.25">
      <c r="D144" s="20">
        <v>133</v>
      </c>
      <c r="E144" s="20">
        <f>Calculator!$C$9</f>
        <v>10000</v>
      </c>
      <c r="F144" s="20">
        <f>Calculator!$C$9/POWER(1+$B$2,$D144)</f>
        <v>374.73641948373592</v>
      </c>
    </row>
    <row r="145" spans="4:6" ht="16.5" x14ac:dyDescent="0.25">
      <c r="D145" s="20">
        <v>134</v>
      </c>
      <c r="E145" s="20">
        <f>Calculator!$C$9</f>
        <v>10000</v>
      </c>
      <c r="F145" s="20">
        <f>Calculator!$C$9/POWER(1+$B$2,$D145)</f>
        <v>365.59650681340094</v>
      </c>
    </row>
    <row r="146" spans="4:6" ht="16.5" x14ac:dyDescent="0.25">
      <c r="D146" s="20">
        <v>135</v>
      </c>
      <c r="E146" s="20">
        <f>Calculator!$C$9</f>
        <v>10000</v>
      </c>
      <c r="F146" s="20">
        <f>Calculator!$C$9/POWER(1+$B$2,$D146)</f>
        <v>356.6795188423423</v>
      </c>
    </row>
    <row r="147" spans="4:6" ht="16.5" x14ac:dyDescent="0.25">
      <c r="D147" s="20">
        <v>136</v>
      </c>
      <c r="E147" s="20">
        <f>Calculator!$C$9</f>
        <v>10000</v>
      </c>
      <c r="F147" s="20">
        <f>Calculator!$C$9/POWER(1+$B$2,$D147)</f>
        <v>347.98001838277304</v>
      </c>
    </row>
    <row r="148" spans="4:6" ht="16.5" x14ac:dyDescent="0.25">
      <c r="D148" s="20">
        <v>137</v>
      </c>
      <c r="E148" s="20">
        <f>Calculator!$C$9</f>
        <v>10000</v>
      </c>
      <c r="F148" s="20">
        <f>Calculator!$C$9/POWER(1+$B$2,$D148)</f>
        <v>339.49270086124204</v>
      </c>
    </row>
    <row r="149" spans="4:6" ht="16.5" x14ac:dyDescent="0.25">
      <c r="D149" s="20">
        <v>138</v>
      </c>
      <c r="E149" s="20">
        <f>Calculator!$C$9</f>
        <v>10000</v>
      </c>
      <c r="F149" s="20">
        <f>Calculator!$C$9/POWER(1+$B$2,$D149)</f>
        <v>331.21239108413857</v>
      </c>
    </row>
    <row r="150" spans="4:6" ht="16.5" x14ac:dyDescent="0.25">
      <c r="D150" s="20">
        <v>139</v>
      </c>
      <c r="E150" s="20">
        <f>Calculator!$C$9</f>
        <v>10000</v>
      </c>
      <c r="F150" s="20">
        <f>Calculator!$C$9/POWER(1+$B$2,$D150)</f>
        <v>323.13404008208641</v>
      </c>
    </row>
    <row r="151" spans="4:6" ht="16.5" x14ac:dyDescent="0.25">
      <c r="D151" s="20">
        <v>140</v>
      </c>
      <c r="E151" s="20">
        <f>Calculator!$C$9</f>
        <v>10000</v>
      </c>
      <c r="F151" s="20">
        <f>Calculator!$C$9/POWER(1+$B$2,$D151)</f>
        <v>315.25272203130385</v>
      </c>
    </row>
    <row r="152" spans="4:6" ht="16.5" x14ac:dyDescent="0.25">
      <c r="D152" s="20">
        <v>141</v>
      </c>
      <c r="E152" s="20">
        <f>Calculator!$C$9</f>
        <v>10000</v>
      </c>
      <c r="F152" s="20">
        <f>Calculator!$C$9/POWER(1+$B$2,$D152)</f>
        <v>307.56363125005254</v>
      </c>
    </row>
    <row r="153" spans="4:6" ht="16.5" x14ac:dyDescent="0.25">
      <c r="D153" s="20">
        <v>142</v>
      </c>
      <c r="E153" s="20">
        <f>Calculator!$C$9</f>
        <v>10000</v>
      </c>
      <c r="F153" s="20">
        <f>Calculator!$C$9/POWER(1+$B$2,$D153)</f>
        <v>300.06207926834401</v>
      </c>
    </row>
    <row r="154" spans="4:6" ht="16.5" x14ac:dyDescent="0.25">
      <c r="D154" s="20">
        <v>143</v>
      </c>
      <c r="E154" s="20">
        <f>Calculator!$C$9</f>
        <v>10000</v>
      </c>
      <c r="F154" s="20">
        <f>Calculator!$C$9/POWER(1+$B$2,$D154)</f>
        <v>292.74349196911606</v>
      </c>
    </row>
    <row r="155" spans="4:6" ht="16.5" x14ac:dyDescent="0.25">
      <c r="D155" s="20">
        <v>144</v>
      </c>
      <c r="E155" s="20">
        <f>Calculator!$C$9</f>
        <v>10000</v>
      </c>
      <c r="F155" s="20">
        <f>Calculator!$C$9/POWER(1+$B$2,$D155)</f>
        <v>285.60340679913759</v>
      </c>
    </row>
    <row r="156" spans="4:6" ht="16.5" x14ac:dyDescent="0.25">
      <c r="D156" s="20">
        <v>145</v>
      </c>
      <c r="E156" s="20">
        <f>Calculator!$C$9</f>
        <v>10000</v>
      </c>
      <c r="F156" s="20">
        <f>Calculator!$C$9/POWER(1+$B$2,$D156)</f>
        <v>278.63747004793919</v>
      </c>
    </row>
    <row r="157" spans="4:6" ht="16.5" x14ac:dyDescent="0.25">
      <c r="D157" s="20">
        <v>146</v>
      </c>
      <c r="E157" s="20">
        <f>Calculator!$C$9</f>
        <v>10000</v>
      </c>
      <c r="F157" s="20">
        <f>Calculator!$C$9/POWER(1+$B$2,$D157)</f>
        <v>271.84143419311141</v>
      </c>
    </row>
    <row r="158" spans="4:6" ht="16.5" x14ac:dyDescent="0.25">
      <c r="D158" s="20">
        <v>147</v>
      </c>
      <c r="E158" s="20">
        <f>Calculator!$C$9</f>
        <v>10000</v>
      </c>
      <c r="F158" s="20">
        <f>Calculator!$C$9/POWER(1+$B$2,$D158)</f>
        <v>265.21115531035258</v>
      </c>
    </row>
    <row r="159" spans="4:6" ht="16.5" x14ac:dyDescent="0.25">
      <c r="D159" s="20">
        <v>148</v>
      </c>
      <c r="E159" s="20">
        <f>Calculator!$C$9</f>
        <v>10000</v>
      </c>
      <c r="F159" s="20">
        <f>Calculator!$C$9/POWER(1+$B$2,$D159)</f>
        <v>258.74259054668551</v>
      </c>
    </row>
    <row r="160" spans="4:6" ht="16.5" x14ac:dyDescent="0.25">
      <c r="D160" s="20">
        <v>149</v>
      </c>
      <c r="E160" s="20">
        <f>Calculator!$C$9</f>
        <v>10000</v>
      </c>
      <c r="F160" s="20">
        <f>Calculator!$C$9/POWER(1+$B$2,$D160)</f>
        <v>252.43179565530292</v>
      </c>
    </row>
    <row r="161" spans="4:6" ht="16.5" x14ac:dyDescent="0.25">
      <c r="D161" s="20">
        <v>150</v>
      </c>
      <c r="E161" s="20">
        <f>Calculator!$C$9</f>
        <v>10000</v>
      </c>
      <c r="F161" s="20">
        <f>Calculator!$C$9/POWER(1+$B$2,$D161)</f>
        <v>246.27492259053946</v>
      </c>
    </row>
    <row r="162" spans="4:6" ht="16.5" x14ac:dyDescent="0.25">
      <c r="D162" s="20">
        <v>151</v>
      </c>
      <c r="E162" s="20">
        <f>Calculator!$C$9</f>
        <v>10000</v>
      </c>
      <c r="F162" s="20">
        <f>Calculator!$C$9/POWER(1+$B$2,$D162)</f>
        <v>240.26821716150189</v>
      </c>
    </row>
    <row r="163" spans="4:6" ht="16.5" x14ac:dyDescent="0.25">
      <c r="D163" s="20">
        <v>152</v>
      </c>
      <c r="E163" s="20">
        <f>Calculator!$C$9</f>
        <v>10000</v>
      </c>
      <c r="F163" s="20">
        <f>Calculator!$C$9/POWER(1+$B$2,$D163)</f>
        <v>234.40801674292871</v>
      </c>
    </row>
    <row r="164" spans="4:6" ht="16.5" x14ac:dyDescent="0.25">
      <c r="D164" s="20">
        <v>153</v>
      </c>
      <c r="E164" s="20">
        <f>Calculator!$C$9</f>
        <v>10000</v>
      </c>
      <c r="F164" s="20">
        <f>Calculator!$C$9/POWER(1+$B$2,$D164)</f>
        <v>228.69074804188168</v>
      </c>
    </row>
    <row r="165" spans="4:6" ht="16.5" x14ac:dyDescent="0.25">
      <c r="D165" s="20">
        <v>154</v>
      </c>
      <c r="E165" s="20">
        <f>Calculator!$C$9</f>
        <v>10000</v>
      </c>
      <c r="F165" s="20">
        <f>Calculator!$C$9/POWER(1+$B$2,$D165)</f>
        <v>223.11292491890899</v>
      </c>
    </row>
    <row r="166" spans="4:6" ht="16.5" x14ac:dyDescent="0.25">
      <c r="D166" s="20">
        <v>155</v>
      </c>
      <c r="E166" s="20">
        <f>Calculator!$C$9</f>
        <v>10000</v>
      </c>
      <c r="F166" s="20">
        <f>Calculator!$C$9/POWER(1+$B$2,$D166)</f>
        <v>217.67114626235025</v>
      </c>
    </row>
    <row r="167" spans="4:6" ht="16.5" x14ac:dyDescent="0.25">
      <c r="D167" s="20">
        <v>156</v>
      </c>
      <c r="E167" s="20">
        <f>Calculator!$C$9</f>
        <v>10000</v>
      </c>
      <c r="F167" s="20">
        <f>Calculator!$C$9/POWER(1+$B$2,$D167)</f>
        <v>212.36209391448804</v>
      </c>
    </row>
    <row r="168" spans="4:6" ht="16.5" x14ac:dyDescent="0.25">
      <c r="D168" s="20">
        <v>157</v>
      </c>
      <c r="E168" s="20">
        <f>Calculator!$C$9</f>
        <v>10000</v>
      </c>
      <c r="F168" s="20">
        <f>Calculator!$C$9/POWER(1+$B$2,$D168)</f>
        <v>207.18253064828099</v>
      </c>
    </row>
    <row r="169" spans="4:6" ht="16.5" x14ac:dyDescent="0.25">
      <c r="D169" s="20">
        <v>158</v>
      </c>
      <c r="E169" s="20">
        <f>Calculator!$C$9</f>
        <v>10000</v>
      </c>
      <c r="F169" s="20">
        <f>Calculator!$C$9/POWER(1+$B$2,$D169)</f>
        <v>202.12929819344492</v>
      </c>
    </row>
    <row r="170" spans="4:6" ht="16.5" x14ac:dyDescent="0.25">
      <c r="D170" s="20">
        <v>159</v>
      </c>
      <c r="E170" s="20">
        <f>Calculator!$C$9</f>
        <v>10000</v>
      </c>
      <c r="F170" s="20">
        <f>Calculator!$C$9/POWER(1+$B$2,$D170)</f>
        <v>197.19931531067792</v>
      </c>
    </row>
    <row r="171" spans="4:6" ht="16.5" x14ac:dyDescent="0.25">
      <c r="D171" s="20">
        <v>160</v>
      </c>
      <c r="E171" s="20">
        <f>Calculator!$C$9</f>
        <v>10000</v>
      </c>
      <c r="F171" s="20">
        <f>Calculator!$C$9/POWER(1+$B$2,$D171)</f>
        <v>192.38957591285654</v>
      </c>
    </row>
    <row r="172" spans="4:6" ht="16.5" x14ac:dyDescent="0.25">
      <c r="D172" s="20">
        <v>161</v>
      </c>
      <c r="E172" s="20">
        <f>Calculator!$C$9</f>
        <v>10000</v>
      </c>
      <c r="F172" s="20">
        <f>Calculator!$C$9/POWER(1+$B$2,$D172)</f>
        <v>187.69714723205519</v>
      </c>
    </row>
    <row r="173" spans="4:6" ht="16.5" x14ac:dyDescent="0.25">
      <c r="D173" s="20">
        <v>162</v>
      </c>
      <c r="E173" s="20">
        <f>Calculator!$C$9</f>
        <v>10000</v>
      </c>
      <c r="F173" s="20">
        <f>Calculator!$C$9/POWER(1+$B$2,$D173)</f>
        <v>183.11916803127335</v>
      </c>
    </row>
    <row r="174" spans="4:6" ht="16.5" x14ac:dyDescent="0.25">
      <c r="D174" s="20">
        <v>163</v>
      </c>
      <c r="E174" s="20">
        <f>Calculator!$C$9</f>
        <v>10000</v>
      </c>
      <c r="F174" s="20">
        <f>Calculator!$C$9/POWER(1+$B$2,$D174)</f>
        <v>178.65284685977889</v>
      </c>
    </row>
    <row r="175" spans="4:6" ht="16.5" x14ac:dyDescent="0.25">
      <c r="D175" s="20">
        <v>164</v>
      </c>
      <c r="E175" s="20">
        <f>Calculator!$C$9</f>
        <v>10000</v>
      </c>
      <c r="F175" s="20">
        <f>Calculator!$C$9/POWER(1+$B$2,$D175)</f>
        <v>174.29546035100378</v>
      </c>
    </row>
    <row r="176" spans="4:6" ht="16.5" x14ac:dyDescent="0.25">
      <c r="D176" s="20">
        <v>165</v>
      </c>
      <c r="E176" s="20">
        <f>Calculator!$C$9</f>
        <v>10000</v>
      </c>
      <c r="F176" s="20">
        <f>Calculator!$C$9/POWER(1+$B$2,$D176)</f>
        <v>170.04435156195493</v>
      </c>
    </row>
    <row r="177" spans="4:6" ht="16.5" x14ac:dyDescent="0.25">
      <c r="D177" s="20">
        <v>166</v>
      </c>
      <c r="E177" s="20">
        <f>Calculator!$C$9</f>
        <v>10000</v>
      </c>
      <c r="F177" s="20">
        <f>Calculator!$C$9/POWER(1+$B$2,$D177)</f>
        <v>165.89692835312681</v>
      </c>
    </row>
    <row r="178" spans="4:6" ht="16.5" x14ac:dyDescent="0.25">
      <c r="D178" s="20">
        <v>167</v>
      </c>
      <c r="E178" s="20">
        <f>Calculator!$C$9</f>
        <v>10000</v>
      </c>
      <c r="F178" s="20">
        <f>Calculator!$C$9/POWER(1+$B$2,$D178)</f>
        <v>161.85066180792859</v>
      </c>
    </row>
    <row r="179" spans="4:6" ht="16.5" x14ac:dyDescent="0.25">
      <c r="D179" s="20">
        <v>168</v>
      </c>
      <c r="E179" s="20">
        <f>Calculator!$C$9</f>
        <v>10000</v>
      </c>
      <c r="F179" s="20">
        <f>Calculator!$C$9/POWER(1+$B$2,$D179)</f>
        <v>157.90308469066204</v>
      </c>
    </row>
    <row r="180" spans="4:6" ht="16.5" x14ac:dyDescent="0.25">
      <c r="D180" s="20">
        <v>169</v>
      </c>
      <c r="E180" s="20">
        <f>Calculator!$C$9</f>
        <v>10000</v>
      </c>
      <c r="F180" s="20">
        <f>Calculator!$C$9/POWER(1+$B$2,$D180)</f>
        <v>154.05178994210934</v>
      </c>
    </row>
    <row r="181" spans="4:6" ht="16.5" x14ac:dyDescent="0.25">
      <c r="D181" s="20">
        <v>170</v>
      </c>
      <c r="E181" s="20">
        <f>Calculator!$C$9</f>
        <v>10000</v>
      </c>
      <c r="F181" s="20">
        <f>Calculator!$C$9/POWER(1+$B$2,$D181)</f>
        <v>150.29442921181396</v>
      </c>
    </row>
    <row r="182" spans="4:6" ht="16.5" x14ac:dyDescent="0.25">
      <c r="D182" s="20">
        <v>171</v>
      </c>
      <c r="E182" s="20">
        <f>Calculator!$C$9</f>
        <v>10000</v>
      </c>
      <c r="F182" s="20">
        <f>Calculator!$C$9/POWER(1+$B$2,$D182)</f>
        <v>146.62871142615995</v>
      </c>
    </row>
    <row r="183" spans="4:6" ht="16.5" x14ac:dyDescent="0.25">
      <c r="D183" s="20">
        <v>172</v>
      </c>
      <c r="E183" s="20">
        <f>Calculator!$C$9</f>
        <v>10000</v>
      </c>
      <c r="F183" s="20">
        <f>Calculator!$C$9/POWER(1+$B$2,$D183)</f>
        <v>143.05240139137564</v>
      </c>
    </row>
    <row r="184" spans="4:6" ht="16.5" x14ac:dyDescent="0.25">
      <c r="D184" s="20">
        <v>173</v>
      </c>
      <c r="E184" s="20">
        <f>Calculator!$C$9</f>
        <v>10000</v>
      </c>
      <c r="F184" s="20">
        <f>Calculator!$C$9/POWER(1+$B$2,$D184)</f>
        <v>139.56331843061037</v>
      </c>
    </row>
    <row r="185" spans="4:6" ht="16.5" x14ac:dyDescent="0.25">
      <c r="D185" s="20">
        <v>174</v>
      </c>
      <c r="E185" s="20">
        <f>Calculator!$C$9</f>
        <v>10000</v>
      </c>
      <c r="F185" s="20">
        <f>Calculator!$C$9/POWER(1+$B$2,$D185)</f>
        <v>136.15933505425403</v>
      </c>
    </row>
    <row r="186" spans="4:6" ht="16.5" x14ac:dyDescent="0.25">
      <c r="D186" s="20">
        <v>175</v>
      </c>
      <c r="E186" s="20">
        <f>Calculator!$C$9</f>
        <v>10000</v>
      </c>
      <c r="F186" s="20">
        <f>Calculator!$C$9/POWER(1+$B$2,$D186)</f>
        <v>132.83837566268681</v>
      </c>
    </row>
    <row r="187" spans="4:6" ht="16.5" x14ac:dyDescent="0.25">
      <c r="D187" s="20">
        <v>176</v>
      </c>
      <c r="E187" s="20">
        <f>Calculator!$C$9</f>
        <v>10000</v>
      </c>
      <c r="F187" s="20">
        <f>Calculator!$C$9/POWER(1+$B$2,$D187)</f>
        <v>129.59841528067008</v>
      </c>
    </row>
    <row r="188" spans="4:6" ht="16.5" x14ac:dyDescent="0.25">
      <c r="D188" s="20">
        <v>177</v>
      </c>
      <c r="E188" s="20">
        <f>Calculator!$C$9</f>
        <v>10000</v>
      </c>
      <c r="F188" s="20">
        <f>Calculator!$C$9/POWER(1+$B$2,$D188)</f>
        <v>126.43747832260497</v>
      </c>
    </row>
    <row r="189" spans="4:6" ht="16.5" x14ac:dyDescent="0.25">
      <c r="D189" s="20">
        <v>178</v>
      </c>
      <c r="E189" s="20">
        <f>Calculator!$C$9</f>
        <v>10000</v>
      </c>
      <c r="F189" s="20">
        <f>Calculator!$C$9/POWER(1+$B$2,$D189)</f>
        <v>123.3536373879073</v>
      </c>
    </row>
    <row r="190" spans="4:6" ht="16.5" x14ac:dyDescent="0.25">
      <c r="D190" s="20">
        <v>179</v>
      </c>
      <c r="E190" s="20">
        <f>Calculator!$C$9</f>
        <v>10000</v>
      </c>
      <c r="F190" s="20">
        <f>Calculator!$C$9/POWER(1+$B$2,$D190)</f>
        <v>120.3450120857632</v>
      </c>
    </row>
    <row r="191" spans="4:6" ht="16.5" x14ac:dyDescent="0.25">
      <c r="D191" s="20">
        <v>180</v>
      </c>
      <c r="E191" s="20">
        <f>Calculator!$C$9</f>
        <v>10000</v>
      </c>
      <c r="F191" s="20">
        <f>Calculator!$C$9/POWER(1+$B$2,$D191)</f>
        <v>117.4097678885495</v>
      </c>
    </row>
    <row r="192" spans="4:6" ht="16.5" x14ac:dyDescent="0.25">
      <c r="D192" s="20">
        <v>181</v>
      </c>
      <c r="E192" s="20">
        <f>Calculator!$C$9</f>
        <v>10000</v>
      </c>
      <c r="F192" s="20">
        <f>Calculator!$C$9/POWER(1+$B$2,$D192)</f>
        <v>114.54611501321902</v>
      </c>
    </row>
    <row r="193" spans="4:6" ht="16.5" x14ac:dyDescent="0.25">
      <c r="D193" s="20">
        <v>182</v>
      </c>
      <c r="E193" s="20">
        <f>Calculator!$C$9</f>
        <v>10000</v>
      </c>
      <c r="F193" s="20">
        <f>Calculator!$C$9/POWER(1+$B$2,$D193)</f>
        <v>111.7523073299698</v>
      </c>
    </row>
    <row r="194" spans="4:6" ht="16.5" x14ac:dyDescent="0.25">
      <c r="D194" s="20">
        <v>183</v>
      </c>
      <c r="E194" s="20">
        <f>Calculator!$C$9</f>
        <v>10000</v>
      </c>
      <c r="F194" s="20">
        <f>Calculator!$C$9/POWER(1+$B$2,$D194)</f>
        <v>109.0266412975315</v>
      </c>
    </row>
    <row r="195" spans="4:6" ht="16.5" x14ac:dyDescent="0.25">
      <c r="D195" s="20">
        <v>184</v>
      </c>
      <c r="E195" s="20">
        <f>Calculator!$C$9</f>
        <v>10000</v>
      </c>
      <c r="F195" s="20">
        <f>Calculator!$C$9/POWER(1+$B$2,$D195)</f>
        <v>106.36745492442097</v>
      </c>
    </row>
    <row r="196" spans="4:6" ht="16.5" x14ac:dyDescent="0.25">
      <c r="D196" s="20">
        <v>185</v>
      </c>
      <c r="E196" s="20">
        <f>Calculator!$C$9</f>
        <v>10000</v>
      </c>
      <c r="F196" s="20">
        <f>Calculator!$C$9/POWER(1+$B$2,$D196)</f>
        <v>103.77312675553267</v>
      </c>
    </row>
    <row r="197" spans="4:6" ht="16.5" x14ac:dyDescent="0.25">
      <c r="D197" s="20">
        <v>186</v>
      </c>
      <c r="E197" s="20">
        <f>Calculator!$C$9</f>
        <v>10000</v>
      </c>
      <c r="F197" s="20">
        <f>Calculator!$C$9/POWER(1+$B$2,$D197)</f>
        <v>101.24207488344652</v>
      </c>
    </row>
    <row r="198" spans="4:6" ht="16.5" x14ac:dyDescent="0.25">
      <c r="D198" s="20">
        <v>187</v>
      </c>
      <c r="E198" s="20">
        <f>Calculator!$C$9</f>
        <v>10000</v>
      </c>
      <c r="F198" s="20">
        <f>Calculator!$C$9/POWER(1+$B$2,$D198)</f>
        <v>98.77275598385026</v>
      </c>
    </row>
    <row r="199" spans="4:6" ht="16.5" x14ac:dyDescent="0.25">
      <c r="D199" s="20">
        <v>188</v>
      </c>
      <c r="E199" s="20">
        <f>Calculator!$C$9</f>
        <v>10000</v>
      </c>
      <c r="F199" s="20">
        <f>Calculator!$C$9/POWER(1+$B$2,$D199)</f>
        <v>96.363664374488067</v>
      </c>
    </row>
    <row r="200" spans="4:6" ht="16.5" x14ac:dyDescent="0.25">
      <c r="D200" s="20">
        <v>189</v>
      </c>
      <c r="E200" s="20">
        <f>Calculator!$C$9</f>
        <v>10000</v>
      </c>
      <c r="F200" s="20">
        <f>Calculator!$C$9/POWER(1+$B$2,$D200)</f>
        <v>94.013331097061524</v>
      </c>
    </row>
    <row r="201" spans="4:6" ht="16.5" x14ac:dyDescent="0.25">
      <c r="D201" s="20">
        <v>190</v>
      </c>
      <c r="E201" s="20">
        <f>Calculator!$C$9</f>
        <v>10000</v>
      </c>
      <c r="F201" s="20">
        <f>Calculator!$C$9/POWER(1+$B$2,$D201)</f>
        <v>91.720323021523456</v>
      </c>
    </row>
    <row r="202" spans="4:6" ht="16.5" x14ac:dyDescent="0.25">
      <c r="D202" s="20">
        <v>191</v>
      </c>
      <c r="E202" s="20">
        <f>Calculator!$C$9</f>
        <v>10000</v>
      </c>
      <c r="F202" s="20">
        <f>Calculator!$C$9/POWER(1+$B$2,$D202)</f>
        <v>89.483241972217968</v>
      </c>
    </row>
    <row r="203" spans="4:6" ht="16.5" x14ac:dyDescent="0.25">
      <c r="D203" s="20">
        <v>192</v>
      </c>
      <c r="E203" s="20">
        <f>Calculator!$C$9</f>
        <v>10000</v>
      </c>
      <c r="F203" s="20">
        <f>Calculator!$C$9/POWER(1+$B$2,$D203)</f>
        <v>87.30072387533464</v>
      </c>
    </row>
    <row r="204" spans="4:6" ht="16.5" x14ac:dyDescent="0.25">
      <c r="D204" s="20">
        <v>193</v>
      </c>
      <c r="E204" s="20">
        <f>Calculator!$C$9</f>
        <v>10000</v>
      </c>
      <c r="F204" s="20">
        <f>Calculator!$C$9/POWER(1+$B$2,$D204)</f>
        <v>85.171437927155765</v>
      </c>
    </row>
    <row r="205" spans="4:6" ht="16.5" x14ac:dyDescent="0.25">
      <c r="D205" s="20">
        <v>194</v>
      </c>
      <c r="E205" s="20">
        <f>Calculator!$C$9</f>
        <v>10000</v>
      </c>
      <c r="F205" s="20">
        <f>Calculator!$C$9/POWER(1+$B$2,$D205)</f>
        <v>83.09408578259098</v>
      </c>
    </row>
    <row r="206" spans="4:6" ht="16.5" x14ac:dyDescent="0.25">
      <c r="D206" s="20">
        <v>195</v>
      </c>
      <c r="E206" s="20">
        <f>Calculator!$C$9</f>
        <v>10000</v>
      </c>
      <c r="F206" s="20">
        <f>Calculator!$C$9/POWER(1+$B$2,$D206)</f>
        <v>81.067400763503386</v>
      </c>
    </row>
    <row r="207" spans="4:6" ht="16.5" x14ac:dyDescent="0.25">
      <c r="D207" s="20">
        <v>196</v>
      </c>
      <c r="E207" s="20">
        <f>Calculator!$C$9</f>
        <v>10000</v>
      </c>
      <c r="F207" s="20">
        <f>Calculator!$C$9/POWER(1+$B$2,$D207)</f>
        <v>79.090147086344786</v>
      </c>
    </row>
    <row r="208" spans="4:6" ht="16.5" x14ac:dyDescent="0.25">
      <c r="D208" s="20">
        <v>197</v>
      </c>
      <c r="E208" s="20">
        <f>Calculator!$C$9</f>
        <v>10000</v>
      </c>
      <c r="F208" s="20">
        <f>Calculator!$C$9/POWER(1+$B$2,$D208)</f>
        <v>77.161119108629066</v>
      </c>
    </row>
    <row r="209" spans="4:6" ht="16.5" x14ac:dyDescent="0.25">
      <c r="D209" s="20">
        <v>198</v>
      </c>
      <c r="E209" s="20">
        <f>Calculator!$C$9</f>
        <v>10000</v>
      </c>
      <c r="F209" s="20">
        <f>Calculator!$C$9/POWER(1+$B$2,$D209)</f>
        <v>75.279140593784462</v>
      </c>
    </row>
    <row r="210" spans="4:6" ht="16.5" x14ac:dyDescent="0.25">
      <c r="D210" s="20">
        <v>199</v>
      </c>
      <c r="E210" s="20">
        <f>Calculator!$C$9</f>
        <v>10000</v>
      </c>
      <c r="F210" s="20">
        <f>Calculator!$C$9/POWER(1+$B$2,$D210)</f>
        <v>73.44306399393605</v>
      </c>
    </row>
    <row r="211" spans="4:6" ht="16.5" x14ac:dyDescent="0.25">
      <c r="D211" s="20">
        <v>200</v>
      </c>
      <c r="E211" s="20">
        <f>Calculator!$C$9</f>
        <v>10000</v>
      </c>
      <c r="F211" s="20">
        <f>Calculator!$C$9/POWER(1+$B$2,$D211)</f>
        <v>71.651769750181529</v>
      </c>
    </row>
  </sheetData>
  <sheetProtection sheet="1" formatCells="0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Calculator</vt:lpstr>
      <vt:lpstr>Breakdown</vt:lpstr>
      <vt:lpstr>About &amp; Assumptions</vt:lpstr>
      <vt:lpstr>_Engine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Eyal Doron</cp:lastModifiedBy>
  <dcterms:created xsi:type="dcterms:W3CDTF">2026-10-01T06:28:13Z</dcterms:created>
  <dcterms:modified xsi:type="dcterms:W3CDTF">2026-10-07T15:42:03Z</dcterms:modified>
</cp:coreProperties>
</file>