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yal\AppData\Local\Temp\tmp4meofkwn\"/>
    </mc:Choice>
  </mc:AlternateContent>
  <xr:revisionPtr revIDLastSave="0" documentId="13_ncr:1_{BD731C80-4B9F-4EC3-9033-059161DE9424}" xr6:coauthVersionLast="47" xr6:coauthVersionMax="47" xr10:uidLastSave="{00000000-0000-0000-0000-000000000000}"/>
  <bookViews>
    <workbookView xWindow="28815" yWindow="-1170" windowWidth="28770" windowHeight="15450" xr2:uid="{00000000-000D-0000-FFFF-FFFF00000000}"/>
  </bookViews>
  <sheets>
    <sheet name="Calculator" sheetId="1" r:id="rId1"/>
    <sheet name="Breakdown" sheetId="2" r:id="rId2"/>
    <sheet name="About &amp; Assumptions" sheetId="3" r:id="rId3"/>
    <sheet name="_Engine" sheetId="4" state="hidden" r:id="rId4"/>
  </sheets>
  <definedNames>
    <definedName name="ch_a" localSheetId="3">OFFSET(_Engine!$Z$50,0,0,_Engine!$B$30,1)</definedName>
    <definedName name="ch_b" localSheetId="3">OFFSET(_Engine!$AA$50,0,0,_Engine!$B$30,1)</definedName>
    <definedName name="ch_c" localSheetId="3">OFFSET(_Engine!$AB$50,0,0,_Engine!$B$30,1)</definedName>
    <definedName name="ch_n" localSheetId="3">OFFSET(_Engine!$Y$50,0,0,_Engine!$B$30,1)</definedName>
    <definedName name="ch_y" localSheetId="3">OFFSET(_Engine!$D$50,0,0,_Engine!$B$30,1)</definedName>
    <definedName name="_xlnm.Print_Area" localSheetId="1">OFFSET(Breakdown!$A$1,0,0,Calculator!$C$11+1+3,8)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10" i="4" l="1"/>
  <c r="Y110" i="4"/>
  <c r="Z109" i="4"/>
  <c r="Y109" i="4"/>
  <c r="Z108" i="4"/>
  <c r="Y108" i="4"/>
  <c r="Z107" i="4"/>
  <c r="Y107" i="4"/>
  <c r="Z106" i="4"/>
  <c r="Y106" i="4"/>
  <c r="Z105" i="4"/>
  <c r="Y105" i="4"/>
  <c r="Z104" i="4"/>
  <c r="Y104" i="4"/>
  <c r="Z103" i="4"/>
  <c r="Y103" i="4"/>
  <c r="Z102" i="4"/>
  <c r="Y102" i="4"/>
  <c r="Z101" i="4"/>
  <c r="Y101" i="4"/>
  <c r="Z100" i="4"/>
  <c r="Y100" i="4"/>
  <c r="Z99" i="4"/>
  <c r="Y99" i="4"/>
  <c r="Z98" i="4"/>
  <c r="Y98" i="4"/>
  <c r="Z97" i="4"/>
  <c r="Y97" i="4"/>
  <c r="Z96" i="4"/>
  <c r="Y96" i="4"/>
  <c r="Z95" i="4"/>
  <c r="Y95" i="4"/>
  <c r="Z94" i="4"/>
  <c r="Y94" i="4"/>
  <c r="Z93" i="4"/>
  <c r="Y93" i="4"/>
  <c r="Z92" i="4"/>
  <c r="Y92" i="4"/>
  <c r="Z91" i="4"/>
  <c r="Y91" i="4"/>
  <c r="Z90" i="4"/>
  <c r="Y90" i="4"/>
  <c r="Z89" i="4"/>
  <c r="Y89" i="4"/>
  <c r="Z88" i="4"/>
  <c r="Y88" i="4"/>
  <c r="Z87" i="4"/>
  <c r="Y87" i="4"/>
  <c r="Z86" i="4"/>
  <c r="Y86" i="4"/>
  <c r="Z85" i="4"/>
  <c r="Y85" i="4"/>
  <c r="Z84" i="4"/>
  <c r="Y84" i="4"/>
  <c r="Z83" i="4"/>
  <c r="Y83" i="4"/>
  <c r="Z82" i="4"/>
  <c r="Y82" i="4"/>
  <c r="Z81" i="4"/>
  <c r="Y81" i="4"/>
  <c r="Z80" i="4"/>
  <c r="Y80" i="4"/>
  <c r="Z79" i="4"/>
  <c r="Y79" i="4"/>
  <c r="Z78" i="4"/>
  <c r="Y78" i="4"/>
  <c r="Z77" i="4"/>
  <c r="Y77" i="4"/>
  <c r="Z76" i="4"/>
  <c r="Y76" i="4"/>
  <c r="Z75" i="4"/>
  <c r="Y75" i="4"/>
  <c r="Z74" i="4"/>
  <c r="Y74" i="4"/>
  <c r="Z73" i="4"/>
  <c r="Y73" i="4"/>
  <c r="Z72" i="4"/>
  <c r="Y72" i="4"/>
  <c r="Z71" i="4"/>
  <c r="Y71" i="4"/>
  <c r="Y50" i="4"/>
  <c r="X50" i="4"/>
  <c r="H50" i="4"/>
  <c r="B31" i="4"/>
  <c r="B30" i="4"/>
  <c r="B14" i="4"/>
  <c r="B12" i="4"/>
  <c r="T50" i="4" s="1"/>
  <c r="B11" i="4"/>
  <c r="B10" i="4"/>
  <c r="B13" i="4" s="1"/>
  <c r="B7" i="4"/>
  <c r="C28" i="1" s="1"/>
  <c r="B6" i="4"/>
  <c r="B5" i="4"/>
  <c r="D32" i="2" s="1"/>
  <c r="B2" i="4"/>
  <c r="C35" i="3"/>
  <c r="B64" i="2"/>
  <c r="A64" i="2"/>
  <c r="A63" i="2"/>
  <c r="G63" i="2" s="1"/>
  <c r="A62" i="2"/>
  <c r="C62" i="2" s="1"/>
  <c r="A61" i="2"/>
  <c r="F61" i="2" s="1"/>
  <c r="A60" i="2"/>
  <c r="A59" i="2"/>
  <c r="D59" i="2" s="1"/>
  <c r="A58" i="2"/>
  <c r="F58" i="2" s="1"/>
  <c r="A57" i="2"/>
  <c r="F57" i="2" s="1"/>
  <c r="A56" i="2"/>
  <c r="B56" i="2" s="1"/>
  <c r="F55" i="2"/>
  <c r="B55" i="2"/>
  <c r="A55" i="2"/>
  <c r="H54" i="2"/>
  <c r="A54" i="2"/>
  <c r="B54" i="2" s="1"/>
  <c r="A53" i="2"/>
  <c r="F53" i="2" s="1"/>
  <c r="A52" i="2"/>
  <c r="A51" i="2"/>
  <c r="C50" i="2"/>
  <c r="B50" i="2"/>
  <c r="A50" i="2"/>
  <c r="A49" i="2"/>
  <c r="B49" i="2" s="1"/>
  <c r="A48" i="2"/>
  <c r="A47" i="2"/>
  <c r="A46" i="2"/>
  <c r="A45" i="2"/>
  <c r="B45" i="2" s="1"/>
  <c r="G44" i="2"/>
  <c r="C44" i="2"/>
  <c r="A44" i="2"/>
  <c r="B44" i="2" s="1"/>
  <c r="A43" i="2"/>
  <c r="F43" i="2" s="1"/>
  <c r="A42" i="2"/>
  <c r="A41" i="2"/>
  <c r="E41" i="2" s="1"/>
  <c r="A40" i="2"/>
  <c r="G39" i="2"/>
  <c r="F39" i="2"/>
  <c r="B39" i="2"/>
  <c r="A39" i="2"/>
  <c r="A38" i="2"/>
  <c r="G38" i="2" s="1"/>
  <c r="A37" i="2"/>
  <c r="A36" i="2"/>
  <c r="H36" i="2" s="1"/>
  <c r="A35" i="2"/>
  <c r="A34" i="2"/>
  <c r="A33" i="2"/>
  <c r="C32" i="2"/>
  <c r="B32" i="2"/>
  <c r="A32" i="2"/>
  <c r="G32" i="2" s="1"/>
  <c r="A31" i="2"/>
  <c r="A30" i="2"/>
  <c r="H30" i="2" s="1"/>
  <c r="A29" i="2"/>
  <c r="E29" i="2" s="1"/>
  <c r="A28" i="2"/>
  <c r="A27" i="2"/>
  <c r="A26" i="2"/>
  <c r="B26" i="2" s="1"/>
  <c r="A25" i="2"/>
  <c r="B25" i="2" s="1"/>
  <c r="A24" i="2"/>
  <c r="A23" i="2"/>
  <c r="A22" i="2"/>
  <c r="A21" i="2"/>
  <c r="A20" i="2"/>
  <c r="A19" i="2"/>
  <c r="A18" i="2"/>
  <c r="A17" i="2"/>
  <c r="A16" i="2"/>
  <c r="A15" i="2"/>
  <c r="A14" i="2"/>
  <c r="A13" i="2"/>
  <c r="A12" i="2"/>
  <c r="A11" i="2"/>
  <c r="A10" i="2"/>
  <c r="A9" i="2"/>
  <c r="A8" i="2"/>
  <c r="A7" i="2"/>
  <c r="A6" i="2"/>
  <c r="A5" i="2"/>
  <c r="A4" i="2"/>
  <c r="A2" i="2"/>
  <c r="C33" i="1"/>
  <c r="B23" i="1"/>
  <c r="B19" i="1"/>
  <c r="C29" i="2" l="1"/>
  <c r="D44" i="2"/>
  <c r="B58" i="2"/>
  <c r="B62" i="2"/>
  <c r="E55" i="2"/>
  <c r="F29" i="2"/>
  <c r="G50" i="2"/>
  <c r="G51" i="2"/>
  <c r="B59" i="2"/>
  <c r="F63" i="2"/>
  <c r="C59" i="2"/>
  <c r="H63" i="2"/>
  <c r="E31" i="2"/>
  <c r="C56" i="2"/>
  <c r="C26" i="2"/>
  <c r="B38" i="2"/>
  <c r="B43" i="2"/>
  <c r="C53" i="2"/>
  <c r="D56" i="2"/>
  <c r="F59" i="2"/>
  <c r="D50" i="2"/>
  <c r="D26" i="2"/>
  <c r="C38" i="2"/>
  <c r="E43" i="2"/>
  <c r="H48" i="2"/>
  <c r="E53" i="2"/>
  <c r="G56" i="2"/>
  <c r="G26" i="2"/>
  <c r="D38" i="2"/>
  <c r="E64" i="2"/>
  <c r="B57" i="2"/>
  <c r="B61" i="2"/>
  <c r="L50" i="4"/>
  <c r="Z50" i="4" s="1"/>
  <c r="G27" i="2"/>
  <c r="P50" i="4"/>
  <c r="AA50" i="4" s="1"/>
  <c r="H47" i="2"/>
  <c r="G47" i="2"/>
  <c r="D47" i="2"/>
  <c r="H37" i="2"/>
  <c r="G37" i="2"/>
  <c r="D37" i="2"/>
  <c r="C37" i="2"/>
  <c r="D33" i="2"/>
  <c r="C33" i="2"/>
  <c r="H33" i="2"/>
  <c r="E33" i="2"/>
  <c r="B47" i="2"/>
  <c r="B33" i="2"/>
  <c r="B37" i="2"/>
  <c r="C47" i="2"/>
  <c r="D57" i="2"/>
  <c r="C57" i="2"/>
  <c r="H57" i="2"/>
  <c r="E57" i="2"/>
  <c r="D60" i="2"/>
  <c r="C60" i="2"/>
  <c r="H60" i="2"/>
  <c r="G60" i="2"/>
  <c r="F60" i="2"/>
  <c r="E60" i="2"/>
  <c r="B60" i="2"/>
  <c r="B27" i="2"/>
  <c r="B31" i="2"/>
  <c r="C41" i="2"/>
  <c r="B51" i="2"/>
  <c r="H55" i="2"/>
  <c r="G55" i="2"/>
  <c r="D55" i="2"/>
  <c r="C55" i="2"/>
  <c r="G57" i="2"/>
  <c r="E61" i="2"/>
  <c r="AB50" i="4"/>
  <c r="F33" i="2"/>
  <c r="F51" i="2"/>
  <c r="H35" i="2"/>
  <c r="G35" i="2"/>
  <c r="D35" i="2"/>
  <c r="H25" i="2"/>
  <c r="G25" i="2"/>
  <c r="D25" i="2"/>
  <c r="C25" i="2"/>
  <c r="F31" i="2"/>
  <c r="B35" i="2"/>
  <c r="F41" i="2"/>
  <c r="D45" i="2"/>
  <c r="C45" i="2"/>
  <c r="H45" i="2"/>
  <c r="E45" i="2"/>
  <c r="H49" i="2"/>
  <c r="G49" i="2"/>
  <c r="D49" i="2"/>
  <c r="C49" i="2"/>
  <c r="D27" i="2"/>
  <c r="C27" i="2"/>
  <c r="H27" i="2"/>
  <c r="E27" i="2"/>
  <c r="G33" i="2"/>
  <c r="F37" i="2"/>
  <c r="B41" i="2"/>
  <c r="F47" i="2"/>
  <c r="F27" i="2"/>
  <c r="C35" i="2"/>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E56" i="2"/>
  <c r="E50" i="2"/>
  <c r="E44" i="2"/>
  <c r="E38" i="2"/>
  <c r="E32" i="2"/>
  <c r="E26" i="2"/>
  <c r="E58" i="2"/>
  <c r="E59" i="2"/>
  <c r="H41" i="2"/>
  <c r="G41" i="2"/>
  <c r="D41" i="2"/>
  <c r="E47" i="2"/>
  <c r="H31" i="2"/>
  <c r="G31" i="2"/>
  <c r="D31" i="2"/>
  <c r="C31" i="2"/>
  <c r="H53" i="2"/>
  <c r="G53" i="2"/>
  <c r="D53" i="2"/>
  <c r="H4" i="2"/>
  <c r="G4" i="2"/>
  <c r="D4" i="2"/>
  <c r="F4" i="2"/>
  <c r="E4" i="2"/>
  <c r="E37" i="2"/>
  <c r="B4" i="2"/>
  <c r="D51" i="2"/>
  <c r="C51" i="2"/>
  <c r="H51" i="2"/>
  <c r="E51" i="2"/>
  <c r="E25" i="2"/>
  <c r="H29" i="2"/>
  <c r="G29" i="2"/>
  <c r="D29" i="2"/>
  <c r="E35" i="2"/>
  <c r="H42" i="2"/>
  <c r="F45" i="2"/>
  <c r="E49" i="2"/>
  <c r="F25" i="2"/>
  <c r="B29" i="2"/>
  <c r="F35" i="2"/>
  <c r="D39" i="2"/>
  <c r="C39" i="2"/>
  <c r="H39" i="2"/>
  <c r="E39" i="2"/>
  <c r="H43" i="2"/>
  <c r="G43" i="2"/>
  <c r="D43" i="2"/>
  <c r="C43" i="2"/>
  <c r="G45" i="2"/>
  <c r="F49" i="2"/>
  <c r="B53" i="2"/>
  <c r="B9" i="4"/>
  <c r="H62" i="2"/>
  <c r="G62" i="2"/>
  <c r="H64" i="2"/>
  <c r="G64" i="2"/>
  <c r="D64" i="2"/>
  <c r="C64" i="2"/>
  <c r="H26" i="2"/>
  <c r="H32" i="2"/>
  <c r="H38" i="2"/>
  <c r="H44" i="2"/>
  <c r="H50" i="2"/>
  <c r="H56" i="2"/>
  <c r="D62" i="2"/>
  <c r="F64" i="2"/>
  <c r="H28" i="2"/>
  <c r="G28" i="2"/>
  <c r="D28" i="2"/>
  <c r="D30" i="2"/>
  <c r="C30" i="2"/>
  <c r="H34" i="2"/>
  <c r="G34" i="2"/>
  <c r="D34" i="2"/>
  <c r="D36" i="2"/>
  <c r="C36" i="2"/>
  <c r="H40" i="2"/>
  <c r="G40" i="2"/>
  <c r="D40" i="2"/>
  <c r="D42" i="2"/>
  <c r="C42" i="2"/>
  <c r="H46" i="2"/>
  <c r="G46" i="2"/>
  <c r="D46" i="2"/>
  <c r="D48" i="2"/>
  <c r="C48" i="2"/>
  <c r="H52" i="2"/>
  <c r="G52" i="2"/>
  <c r="D52" i="2"/>
  <c r="D54" i="2"/>
  <c r="C54" i="2"/>
  <c r="H58" i="2"/>
  <c r="G58" i="2"/>
  <c r="D58" i="2"/>
  <c r="C58" i="2"/>
  <c r="E62" i="2"/>
  <c r="B28" i="2"/>
  <c r="B30" i="2"/>
  <c r="B34" i="2"/>
  <c r="B36" i="2"/>
  <c r="B40" i="2"/>
  <c r="B42" i="2"/>
  <c r="B46" i="2"/>
  <c r="B48" i="2"/>
  <c r="B52" i="2"/>
  <c r="F62" i="2"/>
  <c r="C34" i="2"/>
  <c r="E36" i="2"/>
  <c r="C40" i="2"/>
  <c r="E48" i="2"/>
  <c r="C52" i="2"/>
  <c r="E54" i="2"/>
  <c r="D63" i="2"/>
  <c r="C63" i="2"/>
  <c r="B3" i="4"/>
  <c r="B4" i="4" s="1"/>
  <c r="C46" i="2"/>
  <c r="E28" i="2"/>
  <c r="F30" i="2"/>
  <c r="E34" i="2"/>
  <c r="F36" i="2"/>
  <c r="E40" i="2"/>
  <c r="F42" i="2"/>
  <c r="E46" i="2"/>
  <c r="F48" i="2"/>
  <c r="E52" i="2"/>
  <c r="F54" i="2"/>
  <c r="C28" i="2"/>
  <c r="E30" i="2"/>
  <c r="E42" i="2"/>
  <c r="B63" i="2"/>
  <c r="F26" i="2"/>
  <c r="F28" i="2"/>
  <c r="G30" i="2"/>
  <c r="F32" i="2"/>
  <c r="F34" i="2"/>
  <c r="G36" i="2"/>
  <c r="F38" i="2"/>
  <c r="F40" i="2"/>
  <c r="G42" i="2"/>
  <c r="F44" i="2"/>
  <c r="F46" i="2"/>
  <c r="G48" i="2"/>
  <c r="F50" i="2"/>
  <c r="F52" i="2"/>
  <c r="G54" i="2"/>
  <c r="F56" i="2"/>
  <c r="H59" i="2"/>
  <c r="G59" i="2"/>
  <c r="H61" i="2"/>
  <c r="G61" i="2"/>
  <c r="D61" i="2"/>
  <c r="C61" i="2"/>
  <c r="E63" i="2"/>
  <c r="AA110" i="4"/>
  <c r="AA109" i="4"/>
  <c r="AA108" i="4"/>
  <c r="AA107" i="4"/>
  <c r="AA106" i="4"/>
  <c r="AA105" i="4"/>
  <c r="AA104" i="4"/>
  <c r="AA103" i="4"/>
  <c r="AA102" i="4"/>
  <c r="AA101" i="4"/>
  <c r="AA100" i="4"/>
  <c r="AA99" i="4"/>
  <c r="AA98" i="4"/>
  <c r="AA97" i="4"/>
  <c r="AA96" i="4"/>
  <c r="AA95" i="4"/>
  <c r="AA94" i="4"/>
  <c r="AA93" i="4"/>
  <c r="AA92" i="4"/>
  <c r="AA91" i="4"/>
  <c r="AA90" i="4"/>
  <c r="AA89" i="4"/>
  <c r="AA88" i="4"/>
  <c r="AA87" i="4"/>
  <c r="AA86" i="4"/>
  <c r="AA85" i="4"/>
  <c r="AA84" i="4"/>
  <c r="AA83" i="4"/>
  <c r="AA82" i="4"/>
  <c r="AA81" i="4"/>
  <c r="AA80" i="4"/>
  <c r="AA79" i="4"/>
  <c r="AA78" i="4"/>
  <c r="AA77" i="4"/>
  <c r="AA76" i="4"/>
  <c r="AA75" i="4"/>
  <c r="AA74" i="4"/>
  <c r="AA73" i="4"/>
  <c r="AA72" i="4"/>
  <c r="AA71" i="4"/>
  <c r="B8" i="4"/>
  <c r="C4" i="2" l="1"/>
  <c r="M51" i="4"/>
  <c r="U51" i="4"/>
  <c r="E51" i="4"/>
  <c r="N51" i="4"/>
  <c r="E28" i="1"/>
  <c r="G28" i="1"/>
  <c r="I51" i="4"/>
  <c r="Q51" i="4"/>
  <c r="J51" i="4" l="1"/>
  <c r="K51" i="4" s="1"/>
  <c r="L51" i="4" s="1"/>
  <c r="F51" i="4"/>
  <c r="V51" i="4"/>
  <c r="W51" i="4" s="1"/>
  <c r="X51" i="4" s="1"/>
  <c r="U52" i="4" s="1"/>
  <c r="R51" i="4"/>
  <c r="O51" i="4"/>
  <c r="P51" i="4" s="1"/>
  <c r="G5" i="2" l="1"/>
  <c r="AA51" i="4"/>
  <c r="D5" i="2"/>
  <c r="M52" i="4"/>
  <c r="V52" i="4"/>
  <c r="I52" i="4"/>
  <c r="Z51" i="4"/>
  <c r="C5" i="2"/>
  <c r="G51" i="4"/>
  <c r="H51" i="4" s="1"/>
  <c r="S51" i="4"/>
  <c r="H5" i="2" s="1"/>
  <c r="F5" i="2"/>
  <c r="T51" i="4" l="1"/>
  <c r="E52" i="4"/>
  <c r="B5" i="2"/>
  <c r="Y51" i="4"/>
  <c r="J52" i="4"/>
  <c r="K52" i="4" s="1"/>
  <c r="W52" i="4"/>
  <c r="X52" i="4" s="1"/>
  <c r="U53" i="4" s="1"/>
  <c r="N52" i="4"/>
  <c r="E5" i="2"/>
  <c r="Q52" i="4"/>
  <c r="AB51" i="4"/>
  <c r="V53" i="4" l="1"/>
  <c r="F6" i="2"/>
  <c r="L52" i="4"/>
  <c r="O52" i="4"/>
  <c r="G6" i="2" s="1"/>
  <c r="R52" i="4"/>
  <c r="S52" i="4" s="1"/>
  <c r="T52" i="4" s="1"/>
  <c r="F52" i="4"/>
  <c r="P52" i="4" l="1"/>
  <c r="Q53" i="4"/>
  <c r="AB52" i="4"/>
  <c r="E6" i="2"/>
  <c r="X53" i="4"/>
  <c r="U54" i="4" s="1"/>
  <c r="Z52" i="4"/>
  <c r="I53" i="4"/>
  <c r="C6" i="2"/>
  <c r="M53" i="4"/>
  <c r="D6" i="2"/>
  <c r="AA52" i="4"/>
  <c r="G52" i="4"/>
  <c r="H52" i="4" s="1"/>
  <c r="W53" i="4"/>
  <c r="H6" i="2"/>
  <c r="Y52" i="4" l="1"/>
  <c r="E53" i="4"/>
  <c r="B6" i="2"/>
  <c r="N53" i="4"/>
  <c r="V54" i="4"/>
  <c r="R53" i="4"/>
  <c r="J53" i="4"/>
  <c r="S53" i="4" l="1"/>
  <c r="T53" i="4" s="1"/>
  <c r="G7" i="2"/>
  <c r="O53" i="4"/>
  <c r="P53" i="4"/>
  <c r="H7" i="2"/>
  <c r="W54" i="4"/>
  <c r="X54" i="4" s="1"/>
  <c r="U55" i="4" s="1"/>
  <c r="K53" i="4"/>
  <c r="L53" i="4" s="1"/>
  <c r="F53" i="4"/>
  <c r="F7" i="2" l="1"/>
  <c r="V55" i="4"/>
  <c r="W55" i="4" s="1"/>
  <c r="X55" i="4" s="1"/>
  <c r="U56" i="4" s="1"/>
  <c r="Q54" i="4"/>
  <c r="AB53" i="4"/>
  <c r="E7" i="2"/>
  <c r="M54" i="4"/>
  <c r="AA53" i="4"/>
  <c r="D7" i="2"/>
  <c r="I54" i="4"/>
  <c r="C7" i="2"/>
  <c r="Z53" i="4"/>
  <c r="G53" i="4"/>
  <c r="H53" i="4" s="1"/>
  <c r="V56" i="4" l="1"/>
  <c r="B7" i="2"/>
  <c r="E54" i="4"/>
  <c r="Y53" i="4"/>
  <c r="N54" i="4"/>
  <c r="J54" i="4"/>
  <c r="R54" i="4"/>
  <c r="O54" i="4" l="1"/>
  <c r="G8" i="2" s="1"/>
  <c r="F54" i="4"/>
  <c r="S54" i="4"/>
  <c r="H8" i="2" s="1"/>
  <c r="W56" i="4"/>
  <c r="X56" i="4" s="1"/>
  <c r="U57" i="4" s="1"/>
  <c r="K54" i="4"/>
  <c r="L54" i="4" s="1"/>
  <c r="T54" i="4" l="1"/>
  <c r="F8" i="2"/>
  <c r="V57" i="4"/>
  <c r="I55" i="4"/>
  <c r="Z54" i="4"/>
  <c r="C8" i="2"/>
  <c r="G54" i="4"/>
  <c r="H54" i="4" s="1"/>
  <c r="P54" i="4"/>
  <c r="Q55" i="4"/>
  <c r="E8" i="2"/>
  <c r="AB54" i="4"/>
  <c r="E55" i="4" l="1"/>
  <c r="B8" i="2"/>
  <c r="Y54" i="4"/>
  <c r="R55" i="4"/>
  <c r="J55" i="4"/>
  <c r="K55" i="4" s="1"/>
  <c r="D8" i="2"/>
  <c r="AA54" i="4"/>
  <c r="M55" i="4"/>
  <c r="W57" i="4"/>
  <c r="X57" i="4" s="1"/>
  <c r="U58" i="4" s="1"/>
  <c r="V58" i="4" l="1"/>
  <c r="L55" i="4"/>
  <c r="S55" i="4"/>
  <c r="H9" i="2" s="1"/>
  <c r="F9" i="2"/>
  <c r="F55" i="4"/>
  <c r="G55" i="4" s="1"/>
  <c r="N55" i="4"/>
  <c r="O55" i="4" s="1"/>
  <c r="H55" i="4" l="1"/>
  <c r="T55" i="4"/>
  <c r="Z55" i="4"/>
  <c r="I56" i="4"/>
  <c r="C9" i="2"/>
  <c r="G9" i="2"/>
  <c r="W58" i="4"/>
  <c r="X58" i="4" s="1"/>
  <c r="U59" i="4" s="1"/>
  <c r="P55" i="4"/>
  <c r="V59" i="4" l="1"/>
  <c r="M56" i="4"/>
  <c r="AA55" i="4"/>
  <c r="D9" i="2"/>
  <c r="Q56" i="4"/>
  <c r="AB55" i="4"/>
  <c r="E9" i="2"/>
  <c r="Y55" i="4"/>
  <c r="E56" i="4"/>
  <c r="B9" i="2"/>
  <c r="J56" i="4"/>
  <c r="N56" i="4" l="1"/>
  <c r="F56" i="4"/>
  <c r="R56" i="4"/>
  <c r="K56" i="4"/>
  <c r="L56" i="4" s="1"/>
  <c r="W59" i="4"/>
  <c r="X59" i="4" s="1"/>
  <c r="U60" i="4" s="1"/>
  <c r="V60" i="4" l="1"/>
  <c r="I57" i="4"/>
  <c r="Z56" i="4"/>
  <c r="C10" i="2"/>
  <c r="F10" i="2"/>
  <c r="S56" i="4"/>
  <c r="H10" i="2" s="1"/>
  <c r="G56" i="4"/>
  <c r="H56" i="4" s="1"/>
  <c r="O56" i="4"/>
  <c r="P56" i="4" s="1"/>
  <c r="E57" i="4" l="1"/>
  <c r="Y56" i="4"/>
  <c r="B10" i="2"/>
  <c r="T56" i="4"/>
  <c r="J57" i="4"/>
  <c r="M57" i="4"/>
  <c r="AA56" i="4"/>
  <c r="D10" i="2"/>
  <c r="W60" i="4"/>
  <c r="X60" i="4" s="1"/>
  <c r="U61" i="4" s="1"/>
  <c r="G10" i="2"/>
  <c r="V61" i="4" l="1"/>
  <c r="K57" i="4"/>
  <c r="L57" i="4" s="1"/>
  <c r="Q57" i="4"/>
  <c r="AB56" i="4"/>
  <c r="E10" i="2"/>
  <c r="N57" i="4"/>
  <c r="F57" i="4"/>
  <c r="G57" i="4" s="1"/>
  <c r="H57" i="4" s="1"/>
  <c r="E58" i="4" l="1"/>
  <c r="Y57" i="4"/>
  <c r="B11" i="2"/>
  <c r="I58" i="4"/>
  <c r="Z57" i="4"/>
  <c r="C11" i="2"/>
  <c r="O57" i="4"/>
  <c r="G11" i="2" s="1"/>
  <c r="R57" i="4"/>
  <c r="S57" i="4" s="1"/>
  <c r="T57" i="4" s="1"/>
  <c r="F11" i="2"/>
  <c r="W61" i="4"/>
  <c r="X61" i="4" s="1"/>
  <c r="U62" i="4" s="1"/>
  <c r="Q58" i="4" l="1"/>
  <c r="AB57" i="4"/>
  <c r="E11" i="2"/>
  <c r="V62" i="4"/>
  <c r="J58" i="4"/>
  <c r="P57" i="4"/>
  <c r="H11" i="2"/>
  <c r="F58" i="4"/>
  <c r="G58" i="4" s="1"/>
  <c r="H58" i="4" s="1"/>
  <c r="Y58" i="4" l="1"/>
  <c r="E59" i="4"/>
  <c r="B12" i="2"/>
  <c r="AA57" i="4"/>
  <c r="M58" i="4"/>
  <c r="D11" i="2"/>
  <c r="W62" i="4"/>
  <c r="X62" i="4" s="1"/>
  <c r="U63" i="4" s="1"/>
  <c r="K58" i="4"/>
  <c r="L58" i="4" s="1"/>
  <c r="R58" i="4"/>
  <c r="Z58" i="4" l="1"/>
  <c r="I59" i="4"/>
  <c r="C12" i="2"/>
  <c r="V63" i="4"/>
  <c r="F12" i="2"/>
  <c r="N58" i="4"/>
  <c r="F59" i="4"/>
  <c r="G59" i="4" s="1"/>
  <c r="H59" i="4" s="1"/>
  <c r="S58" i="4"/>
  <c r="T58" i="4" s="1"/>
  <c r="H12" i="2" l="1"/>
  <c r="Y59" i="4"/>
  <c r="E60" i="4"/>
  <c r="B13" i="2"/>
  <c r="W63" i="4"/>
  <c r="X63" i="4" s="1"/>
  <c r="U64" i="4" s="1"/>
  <c r="Q59" i="4"/>
  <c r="E12" i="2"/>
  <c r="AB58" i="4"/>
  <c r="J59" i="4"/>
  <c r="O58" i="4"/>
  <c r="P58" i="4" s="1"/>
  <c r="G12" i="2" l="1"/>
  <c r="M59" i="4"/>
  <c r="AA58" i="4"/>
  <c r="D12" i="2"/>
  <c r="V64" i="4"/>
  <c r="R59" i="4"/>
  <c r="K59" i="4"/>
  <c r="F13" i="2" s="1"/>
  <c r="F60" i="4"/>
  <c r="L59" i="4" l="1"/>
  <c r="Z59" i="4" s="1"/>
  <c r="S59" i="4"/>
  <c r="H13" i="2" s="1"/>
  <c r="I60" i="4"/>
  <c r="C13" i="2"/>
  <c r="T59" i="4"/>
  <c r="W64" i="4"/>
  <c r="X64" i="4" s="1"/>
  <c r="U65" i="4" s="1"/>
  <c r="G60" i="4"/>
  <c r="H60" i="4" s="1"/>
  <c r="N59" i="4"/>
  <c r="O59" i="4" s="1"/>
  <c r="G13" i="2" l="1"/>
  <c r="E61" i="4"/>
  <c r="B14" i="2"/>
  <c r="Y60" i="4"/>
  <c r="V65" i="4"/>
  <c r="W65" i="4" s="1"/>
  <c r="P59" i="4"/>
  <c r="Q60" i="4"/>
  <c r="AB59" i="4"/>
  <c r="E13" i="2"/>
  <c r="J60" i="4"/>
  <c r="K60" i="4" s="1"/>
  <c r="L60" i="4" s="1"/>
  <c r="I61" i="4" l="1"/>
  <c r="C14" i="2"/>
  <c r="Z60" i="4"/>
  <c r="R60" i="4"/>
  <c r="X65" i="4"/>
  <c r="U66" i="4" s="1"/>
  <c r="M60" i="4"/>
  <c r="AA59" i="4"/>
  <c r="D13" i="2"/>
  <c r="F14" i="2"/>
  <c r="F61" i="4"/>
  <c r="G61" i="4" s="1"/>
  <c r="H61" i="4" s="1"/>
  <c r="Y61" i="4" l="1"/>
  <c r="E62" i="4"/>
  <c r="B15" i="2"/>
  <c r="N60" i="4"/>
  <c r="V66" i="4"/>
  <c r="S60" i="4"/>
  <c r="H14" i="2" s="1"/>
  <c r="J61" i="4"/>
  <c r="W66" i="4" l="1"/>
  <c r="X66" i="4" s="1"/>
  <c r="U67" i="4" s="1"/>
  <c r="T60" i="4"/>
  <c r="O60" i="4"/>
  <c r="P60" i="4" s="1"/>
  <c r="K61" i="4"/>
  <c r="L61" i="4" s="1"/>
  <c r="F62" i="4"/>
  <c r="Z61" i="4" l="1"/>
  <c r="I62" i="4"/>
  <c r="C15" i="2"/>
  <c r="D14" i="2"/>
  <c r="AA60" i="4"/>
  <c r="M61" i="4"/>
  <c r="V67" i="4"/>
  <c r="F15" i="2"/>
  <c r="G62" i="4"/>
  <c r="H62" i="4" s="1"/>
  <c r="G14" i="2"/>
  <c r="Q61" i="4"/>
  <c r="E14" i="2"/>
  <c r="AB60" i="4"/>
  <c r="Y62" i="4" l="1"/>
  <c r="E63" i="4"/>
  <c r="B16" i="2"/>
  <c r="N61" i="4"/>
  <c r="J62" i="4"/>
  <c r="W67" i="4"/>
  <c r="X67" i="4" s="1"/>
  <c r="U68" i="4" s="1"/>
  <c r="R61" i="4"/>
  <c r="V68" i="4" l="1"/>
  <c r="W68" i="4"/>
  <c r="K62" i="4"/>
  <c r="F16" i="2" s="1"/>
  <c r="L62" i="4"/>
  <c r="O61" i="4"/>
  <c r="P61" i="4" s="1"/>
  <c r="H15" i="2"/>
  <c r="F63" i="4"/>
  <c r="G63" i="4" s="1"/>
  <c r="H63" i="4" s="1"/>
  <c r="S61" i="4"/>
  <c r="T61" i="4" s="1"/>
  <c r="G15" i="2" l="1"/>
  <c r="X68" i="4"/>
  <c r="U69" i="4" s="1"/>
  <c r="E64" i="4"/>
  <c r="B17" i="2"/>
  <c r="Y63" i="4"/>
  <c r="M62" i="4"/>
  <c r="AA61" i="4"/>
  <c r="D15" i="2"/>
  <c r="V69" i="4"/>
  <c r="W69" i="4" s="1"/>
  <c r="I63" i="4"/>
  <c r="Z62" i="4"/>
  <c r="C16" i="2"/>
  <c r="Q62" i="4"/>
  <c r="AB61" i="4"/>
  <c r="E15" i="2"/>
  <c r="X69" i="4" l="1"/>
  <c r="U70" i="4" s="1"/>
  <c r="N62" i="4"/>
  <c r="O62" i="4" s="1"/>
  <c r="J63" i="4"/>
  <c r="K63" i="4" s="1"/>
  <c r="R62" i="4"/>
  <c r="F64" i="4"/>
  <c r="G64" i="4" s="1"/>
  <c r="H64" i="4" s="1"/>
  <c r="Y64" i="4" l="1"/>
  <c r="E65" i="4"/>
  <c r="B18" i="2"/>
  <c r="H16" i="2"/>
  <c r="S62" i="4"/>
  <c r="T62" i="4" s="1"/>
  <c r="G16" i="2"/>
  <c r="P62" i="4"/>
  <c r="F17" i="2"/>
  <c r="L63" i="4"/>
  <c r="V70" i="4"/>
  <c r="W70" i="4" s="1"/>
  <c r="X70" i="4" s="1"/>
  <c r="U71" i="4" l="1"/>
  <c r="B19" i="4"/>
  <c r="Q63" i="4"/>
  <c r="AB62" i="4"/>
  <c r="E16" i="2"/>
  <c r="I64" i="4"/>
  <c r="Z63" i="4"/>
  <c r="C17" i="2"/>
  <c r="F65" i="4"/>
  <c r="M63" i="4"/>
  <c r="AA62" i="4"/>
  <c r="D16" i="2"/>
  <c r="G65" i="4" l="1"/>
  <c r="H65" i="4" s="1"/>
  <c r="N63" i="4"/>
  <c r="R63" i="4"/>
  <c r="J64" i="4"/>
  <c r="V71" i="4"/>
  <c r="W71" i="4" s="1"/>
  <c r="X71" i="4" s="1"/>
  <c r="U72" i="4" s="1"/>
  <c r="V72" i="4" l="1"/>
  <c r="E66" i="4"/>
  <c r="Y65" i="4"/>
  <c r="B19" i="2"/>
  <c r="K64" i="4"/>
  <c r="L64" i="4" s="1"/>
  <c r="S63" i="4"/>
  <c r="T63" i="4" s="1"/>
  <c r="O63" i="4"/>
  <c r="G17" i="2" s="1"/>
  <c r="E17" i="2" l="1"/>
  <c r="Q64" i="4"/>
  <c r="AB63" i="4"/>
  <c r="Z64" i="4"/>
  <c r="I65" i="4"/>
  <c r="C18" i="2"/>
  <c r="F18" i="2"/>
  <c r="H17" i="2"/>
  <c r="F66" i="4"/>
  <c r="P63" i="4"/>
  <c r="W72" i="4"/>
  <c r="X72" i="4" s="1"/>
  <c r="U73" i="4" s="1"/>
  <c r="G66" i="4" l="1"/>
  <c r="H66" i="4" s="1"/>
  <c r="V73" i="4"/>
  <c r="W73" i="4" s="1"/>
  <c r="X73" i="4" s="1"/>
  <c r="U74" i="4" s="1"/>
  <c r="J65" i="4"/>
  <c r="R64" i="4"/>
  <c r="AA63" i="4"/>
  <c r="M64" i="4"/>
  <c r="D17" i="2"/>
  <c r="V74" i="4" l="1"/>
  <c r="S64" i="4"/>
  <c r="T64" i="4" s="1"/>
  <c r="K65" i="4"/>
  <c r="L65" i="4" s="1"/>
  <c r="N64" i="4"/>
  <c r="E67" i="4"/>
  <c r="Y66" i="4"/>
  <c r="B20" i="2"/>
  <c r="I66" i="4" l="1"/>
  <c r="Z65" i="4"/>
  <c r="C19" i="2"/>
  <c r="Q65" i="4"/>
  <c r="AB64" i="4"/>
  <c r="E18" i="2"/>
  <c r="H18" i="2"/>
  <c r="F19" i="2"/>
  <c r="O64" i="4"/>
  <c r="G18" i="2" s="1"/>
  <c r="W74" i="4"/>
  <c r="X74" i="4" s="1"/>
  <c r="U75" i="4" s="1"/>
  <c r="F67" i="4"/>
  <c r="P64" i="4" l="1"/>
  <c r="R65" i="4"/>
  <c r="G67" i="4"/>
  <c r="H67" i="4" s="1"/>
  <c r="V75" i="4"/>
  <c r="W75" i="4" s="1"/>
  <c r="J66" i="4"/>
  <c r="S65" i="4" l="1"/>
  <c r="T65" i="4" s="1"/>
  <c r="Y67" i="4"/>
  <c r="E68" i="4"/>
  <c r="B21" i="2"/>
  <c r="Q66" i="4"/>
  <c r="E19" i="2"/>
  <c r="AB65" i="4"/>
  <c r="X75" i="4"/>
  <c r="U76" i="4" s="1"/>
  <c r="K66" i="4"/>
  <c r="L66" i="4" s="1"/>
  <c r="M65" i="4"/>
  <c r="AA64" i="4"/>
  <c r="D18" i="2"/>
  <c r="H19" i="2" l="1"/>
  <c r="I67" i="4"/>
  <c r="C20" i="2"/>
  <c r="Z66" i="4"/>
  <c r="N65" i="4"/>
  <c r="R66" i="4"/>
  <c r="F20" i="2"/>
  <c r="V76" i="4"/>
  <c r="W76" i="4" s="1"/>
  <c r="X76" i="4" s="1"/>
  <c r="U77" i="4" s="1"/>
  <c r="F68" i="4"/>
  <c r="G68" i="4" s="1"/>
  <c r="H68" i="4" s="1"/>
  <c r="Y68" i="4" l="1"/>
  <c r="E69" i="4"/>
  <c r="B22" i="2"/>
  <c r="V77" i="4"/>
  <c r="O65" i="4"/>
  <c r="P65" i="4" s="1"/>
  <c r="H20" i="2"/>
  <c r="S66" i="4"/>
  <c r="T66" i="4"/>
  <c r="J67" i="4"/>
  <c r="M66" i="4" l="1"/>
  <c r="AA65" i="4"/>
  <c r="D19" i="2"/>
  <c r="W77" i="4"/>
  <c r="X77" i="4" s="1"/>
  <c r="U78" i="4" s="1"/>
  <c r="Q67" i="4"/>
  <c r="AB66" i="4"/>
  <c r="E20" i="2"/>
  <c r="G19" i="2"/>
  <c r="K67" i="4"/>
  <c r="L67" i="4" s="1"/>
  <c r="F69" i="4"/>
  <c r="G69" i="4" s="1"/>
  <c r="Z67" i="4" l="1"/>
  <c r="I68" i="4"/>
  <c r="C21" i="2"/>
  <c r="V78" i="4"/>
  <c r="F21" i="2"/>
  <c r="H69" i="4"/>
  <c r="R67" i="4"/>
  <c r="S67" i="4" s="1"/>
  <c r="T67" i="4" s="1"/>
  <c r="N66" i="4"/>
  <c r="O66" i="4" s="1"/>
  <c r="Q68" i="4" l="1"/>
  <c r="AB67" i="4"/>
  <c r="E21" i="2"/>
  <c r="W78" i="4"/>
  <c r="X78" i="4" s="1"/>
  <c r="U79" i="4" s="1"/>
  <c r="Y69" i="4"/>
  <c r="E70" i="4"/>
  <c r="B23" i="2"/>
  <c r="H21" i="2"/>
  <c r="J68" i="4"/>
  <c r="G20" i="2"/>
  <c r="P66" i="4"/>
  <c r="V79" i="4" l="1"/>
  <c r="F70" i="4"/>
  <c r="G70" i="4" s="1"/>
  <c r="K68" i="4"/>
  <c r="L68" i="4" s="1"/>
  <c r="D20" i="2"/>
  <c r="AA66" i="4"/>
  <c r="M67" i="4"/>
  <c r="R68" i="4"/>
  <c r="I69" i="4" l="1"/>
  <c r="Z68" i="4"/>
  <c r="C22" i="2"/>
  <c r="F22" i="2"/>
  <c r="H70" i="4"/>
  <c r="N67" i="4"/>
  <c r="W79" i="4"/>
  <c r="X79" i="4" s="1"/>
  <c r="U80" i="4" s="1"/>
  <c r="S68" i="4"/>
  <c r="T68" i="4" s="1"/>
  <c r="Q69" i="4" l="1"/>
  <c r="AB68" i="4"/>
  <c r="E22" i="2"/>
  <c r="V80" i="4"/>
  <c r="Y70" i="4"/>
  <c r="E71" i="4"/>
  <c r="B15" i="4"/>
  <c r="B24" i="2"/>
  <c r="O67" i="4"/>
  <c r="P67" i="4" s="1"/>
  <c r="H22" i="2"/>
  <c r="J69" i="4"/>
  <c r="G21" i="2" l="1"/>
  <c r="B29" i="4"/>
  <c r="B25" i="1" s="1"/>
  <c r="B28" i="4"/>
  <c r="B36" i="1" s="1"/>
  <c r="W80" i="4"/>
  <c r="X80" i="4" s="1"/>
  <c r="U81" i="4" s="1"/>
  <c r="K69" i="4"/>
  <c r="F23" i="2" s="1"/>
  <c r="M68" i="4"/>
  <c r="AA67" i="4"/>
  <c r="D21" i="2"/>
  <c r="F71" i="4"/>
  <c r="R69" i="4"/>
  <c r="V81" i="4" l="1"/>
  <c r="N68" i="4"/>
  <c r="O68" i="4" s="1"/>
  <c r="P68" i="4" s="1"/>
  <c r="S69" i="4"/>
  <c r="H23" i="2" s="1"/>
  <c r="L69" i="4"/>
  <c r="G71" i="4"/>
  <c r="H71" i="4" s="1"/>
  <c r="E72" i="4" s="1"/>
  <c r="F72" i="4" l="1"/>
  <c r="M69" i="4"/>
  <c r="D22" i="2"/>
  <c r="AA68" i="4"/>
  <c r="T69" i="4"/>
  <c r="I70" i="4"/>
  <c r="Z69" i="4"/>
  <c r="C23" i="2"/>
  <c r="G22" i="2"/>
  <c r="W81" i="4"/>
  <c r="X81" i="4" s="1"/>
  <c r="U82" i="4" s="1"/>
  <c r="J70" i="4" l="1"/>
  <c r="K70" i="4" s="1"/>
  <c r="V82" i="4"/>
  <c r="N69" i="4"/>
  <c r="G72" i="4"/>
  <c r="H72" i="4" s="1"/>
  <c r="E73" i="4" s="1"/>
  <c r="Q70" i="4"/>
  <c r="AB69" i="4"/>
  <c r="E23" i="2"/>
  <c r="F24" i="2" l="1"/>
  <c r="F73" i="4"/>
  <c r="R70" i="4"/>
  <c r="O69" i="4"/>
  <c r="G23" i="2" s="1"/>
  <c r="W82" i="4"/>
  <c r="X82" i="4" s="1"/>
  <c r="U83" i="4" s="1"/>
  <c r="L70" i="4"/>
  <c r="V83" i="4" l="1"/>
  <c r="I71" i="4"/>
  <c r="Z70" i="4"/>
  <c r="B16" i="4"/>
  <c r="C24" i="2"/>
  <c r="S70" i="4"/>
  <c r="T70" i="4" s="1"/>
  <c r="P69" i="4"/>
  <c r="G73" i="4"/>
  <c r="H73" i="4" s="1"/>
  <c r="E74" i="4" s="1"/>
  <c r="B18" i="4" l="1"/>
  <c r="Q71" i="4"/>
  <c r="AB70" i="4"/>
  <c r="E24" i="2"/>
  <c r="H24" i="2"/>
  <c r="F74" i="4"/>
  <c r="W83" i="4"/>
  <c r="X83" i="4" s="1"/>
  <c r="U84" i="4" s="1"/>
  <c r="M70" i="4"/>
  <c r="AA69" i="4"/>
  <c r="D23" i="2"/>
  <c r="C29" i="1"/>
  <c r="B23" i="4"/>
  <c r="B24" i="1"/>
  <c r="J71" i="4"/>
  <c r="V84" i="4" l="1"/>
  <c r="W84" i="4" s="1"/>
  <c r="X84" i="4" s="1"/>
  <c r="U85" i="4" s="1"/>
  <c r="G74" i="4"/>
  <c r="H74" i="4" s="1"/>
  <c r="E75" i="4" s="1"/>
  <c r="N70" i="4"/>
  <c r="C34" i="1"/>
  <c r="C30" i="1"/>
  <c r="B22" i="1"/>
  <c r="K71" i="4"/>
  <c r="L71" i="4" s="1"/>
  <c r="I72" i="4" s="1"/>
  <c r="R71" i="4"/>
  <c r="G29" i="1"/>
  <c r="G33" i="1"/>
  <c r="B25" i="4"/>
  <c r="F75" i="4" l="1"/>
  <c r="G75" i="4" s="1"/>
  <c r="H75" i="4" s="1"/>
  <c r="E76" i="4" s="1"/>
  <c r="J72" i="4"/>
  <c r="K72" i="4"/>
  <c r="V85" i="4"/>
  <c r="G30" i="1"/>
  <c r="G34" i="1"/>
  <c r="O70" i="4"/>
  <c r="P70" i="4" s="1"/>
  <c r="S71" i="4"/>
  <c r="T71" i="4" s="1"/>
  <c r="Q72" i="4" s="1"/>
  <c r="G24" i="2" l="1"/>
  <c r="L72" i="4"/>
  <c r="I73" i="4" s="1"/>
  <c r="J73" i="4" s="1"/>
  <c r="F76" i="4"/>
  <c r="B17" i="4"/>
  <c r="M71" i="4"/>
  <c r="AA70" i="4"/>
  <c r="D24" i="2"/>
  <c r="W85" i="4"/>
  <c r="X85" i="4" s="1"/>
  <c r="U86" i="4" s="1"/>
  <c r="R72" i="4"/>
  <c r="V86" i="4" l="1"/>
  <c r="N71" i="4"/>
  <c r="O71" i="4" s="1"/>
  <c r="K73" i="4"/>
  <c r="L73" i="4" s="1"/>
  <c r="I74" i="4" s="1"/>
  <c r="E33" i="1"/>
  <c r="E29" i="1"/>
  <c r="B24" i="4"/>
  <c r="B27" i="4"/>
  <c r="B26" i="4"/>
  <c r="B37" i="1" s="1"/>
  <c r="G76" i="4"/>
  <c r="H76" i="4" s="1"/>
  <c r="E77" i="4" s="1"/>
  <c r="S72" i="4"/>
  <c r="T72" i="4" s="1"/>
  <c r="Q73" i="4" s="1"/>
  <c r="F77" i="4" l="1"/>
  <c r="R73" i="4"/>
  <c r="J74" i="4"/>
  <c r="P71" i="4"/>
  <c r="M72" i="4" s="1"/>
  <c r="W86" i="4"/>
  <c r="X86" i="4" s="1"/>
  <c r="U87" i="4" s="1"/>
  <c r="E34" i="1"/>
  <c r="E30" i="1"/>
  <c r="V87" i="4" l="1"/>
  <c r="W87" i="4" s="1"/>
  <c r="X87" i="4" s="1"/>
  <c r="U88" i="4" s="1"/>
  <c r="K74" i="4"/>
  <c r="L74" i="4" s="1"/>
  <c r="I75" i="4" s="1"/>
  <c r="S73" i="4"/>
  <c r="T73" i="4" s="1"/>
  <c r="Q74" i="4" s="1"/>
  <c r="G77" i="4"/>
  <c r="H77" i="4" s="1"/>
  <c r="E78" i="4" s="1"/>
  <c r="N72" i="4"/>
  <c r="O72" i="4" s="1"/>
  <c r="R74" i="4" l="1"/>
  <c r="F78" i="4"/>
  <c r="J75" i="4"/>
  <c r="K75" i="4"/>
  <c r="V88" i="4"/>
  <c r="W88" i="4" s="1"/>
  <c r="P72" i="4"/>
  <c r="M73" i="4" s="1"/>
  <c r="L75" i="4" l="1"/>
  <c r="I76" i="4" s="1"/>
  <c r="J76" i="4"/>
  <c r="X88" i="4"/>
  <c r="U89" i="4" s="1"/>
  <c r="G78" i="4"/>
  <c r="H78" i="4" s="1"/>
  <c r="E79" i="4" s="1"/>
  <c r="S74" i="4"/>
  <c r="T74" i="4" s="1"/>
  <c r="Q75" i="4" s="1"/>
  <c r="N73" i="4"/>
  <c r="R75" i="4" l="1"/>
  <c r="F79" i="4"/>
  <c r="O73" i="4"/>
  <c r="P73" i="4" s="1"/>
  <c r="M74" i="4" s="1"/>
  <c r="V89" i="4"/>
  <c r="K76" i="4"/>
  <c r="L76" i="4" s="1"/>
  <c r="I77" i="4" s="1"/>
  <c r="S75" i="4" l="1"/>
  <c r="T75" i="4" s="1"/>
  <c r="Q76" i="4" s="1"/>
  <c r="R76" i="4" s="1"/>
  <c r="J77" i="4"/>
  <c r="K77" i="4" s="1"/>
  <c r="L77" i="4" s="1"/>
  <c r="I78" i="4" s="1"/>
  <c r="N74" i="4"/>
  <c r="G79" i="4"/>
  <c r="H79" i="4" s="1"/>
  <c r="E80" i="4" s="1"/>
  <c r="W89" i="4"/>
  <c r="X89" i="4" s="1"/>
  <c r="U90" i="4" s="1"/>
  <c r="V90" i="4" l="1"/>
  <c r="W90" i="4" s="1"/>
  <c r="X90" i="4" s="1"/>
  <c r="U91" i="4" s="1"/>
  <c r="F80" i="4"/>
  <c r="J78" i="4"/>
  <c r="S76" i="4"/>
  <c r="T76" i="4" s="1"/>
  <c r="Q77" i="4" s="1"/>
  <c r="O74" i="4"/>
  <c r="P74" i="4" s="1"/>
  <c r="M75" i="4" s="1"/>
  <c r="N75" i="4" l="1"/>
  <c r="O75" i="4" s="1"/>
  <c r="P75" i="4" s="1"/>
  <c r="M76" i="4" s="1"/>
  <c r="R77" i="4"/>
  <c r="V91" i="4"/>
  <c r="K78" i="4"/>
  <c r="L78" i="4" s="1"/>
  <c r="I79" i="4" s="1"/>
  <c r="G80" i="4"/>
  <c r="H80" i="4" s="1"/>
  <c r="E81" i="4" s="1"/>
  <c r="F81" i="4" l="1"/>
  <c r="G81" i="4" s="1"/>
  <c r="N76" i="4"/>
  <c r="J79" i="4"/>
  <c r="K79" i="4" s="1"/>
  <c r="W91" i="4"/>
  <c r="X91" i="4" s="1"/>
  <c r="U92" i="4" s="1"/>
  <c r="S77" i="4"/>
  <c r="T77" i="4" s="1"/>
  <c r="Q78" i="4" s="1"/>
  <c r="R78" i="4" l="1"/>
  <c r="V92" i="4"/>
  <c r="H81" i="4"/>
  <c r="E82" i="4" s="1"/>
  <c r="L79" i="4"/>
  <c r="I80" i="4" s="1"/>
  <c r="O76" i="4"/>
  <c r="P76" i="4" s="1"/>
  <c r="M77" i="4" s="1"/>
  <c r="S78" i="4" l="1"/>
  <c r="T78" i="4" s="1"/>
  <c r="Q79" i="4" s="1"/>
  <c r="R79" i="4" s="1"/>
  <c r="N77" i="4"/>
  <c r="O77" i="4" s="1"/>
  <c r="P77" i="4" s="1"/>
  <c r="M78" i="4" s="1"/>
  <c r="J80" i="4"/>
  <c r="W92" i="4"/>
  <c r="X92" i="4" s="1"/>
  <c r="U93" i="4" s="1"/>
  <c r="F82" i="4"/>
  <c r="V93" i="4" l="1"/>
  <c r="N78" i="4"/>
  <c r="O78" i="4" s="1"/>
  <c r="G82" i="4"/>
  <c r="H82" i="4" s="1"/>
  <c r="E83" i="4" s="1"/>
  <c r="K80" i="4"/>
  <c r="L80" i="4" s="1"/>
  <c r="I81" i="4" s="1"/>
  <c r="S79" i="4"/>
  <c r="T79" i="4" s="1"/>
  <c r="Q80" i="4" s="1"/>
  <c r="R80" i="4" l="1"/>
  <c r="J81" i="4"/>
  <c r="K81" i="4"/>
  <c r="F83" i="4"/>
  <c r="P78" i="4"/>
  <c r="M79" i="4" s="1"/>
  <c r="W93" i="4"/>
  <c r="X93" i="4" s="1"/>
  <c r="U94" i="4" s="1"/>
  <c r="L81" i="4" l="1"/>
  <c r="I82" i="4" s="1"/>
  <c r="V94" i="4"/>
  <c r="J82" i="4"/>
  <c r="K82" i="4" s="1"/>
  <c r="N79" i="4"/>
  <c r="G83" i="4"/>
  <c r="H83" i="4" s="1"/>
  <c r="E84" i="4" s="1"/>
  <c r="S80" i="4"/>
  <c r="T80" i="4" s="1"/>
  <c r="Q81" i="4" s="1"/>
  <c r="F84" i="4" l="1"/>
  <c r="O79" i="4"/>
  <c r="P79" i="4" s="1"/>
  <c r="M80" i="4" s="1"/>
  <c r="L82" i="4"/>
  <c r="I83" i="4" s="1"/>
  <c r="W94" i="4"/>
  <c r="X94" i="4" s="1"/>
  <c r="U95" i="4" s="1"/>
  <c r="R81" i="4"/>
  <c r="S81" i="4" s="1"/>
  <c r="T81" i="4" s="1"/>
  <c r="Q82" i="4" s="1"/>
  <c r="R82" i="4" l="1"/>
  <c r="V95" i="4"/>
  <c r="W95" i="4" s="1"/>
  <c r="X95" i="4" s="1"/>
  <c r="U96" i="4" s="1"/>
  <c r="N80" i="4"/>
  <c r="O80" i="4" s="1"/>
  <c r="J83" i="4"/>
  <c r="K83" i="4" s="1"/>
  <c r="L83" i="4" s="1"/>
  <c r="I84" i="4" s="1"/>
  <c r="G84" i="4"/>
  <c r="H84" i="4" s="1"/>
  <c r="E85" i="4" s="1"/>
  <c r="S82" i="4" l="1"/>
  <c r="T82" i="4" s="1"/>
  <c r="Q83" i="4" s="1"/>
  <c r="R83" i="4" s="1"/>
  <c r="J84" i="4"/>
  <c r="K84" i="4"/>
  <c r="V96" i="4"/>
  <c r="P80" i="4"/>
  <c r="M81" i="4" s="1"/>
  <c r="F85" i="4"/>
  <c r="G85" i="4" s="1"/>
  <c r="H85" i="4" s="1"/>
  <c r="E86" i="4" s="1"/>
  <c r="L84" i="4" l="1"/>
  <c r="I85" i="4" s="1"/>
  <c r="J85" i="4" s="1"/>
  <c r="F86" i="4"/>
  <c r="X96" i="4"/>
  <c r="U97" i="4" s="1"/>
  <c r="W96" i="4"/>
  <c r="S83" i="4"/>
  <c r="T83" i="4" s="1"/>
  <c r="Q84" i="4" s="1"/>
  <c r="N81" i="4"/>
  <c r="K85" i="4" l="1"/>
  <c r="L85" i="4" s="1"/>
  <c r="I86" i="4" s="1"/>
  <c r="J86" i="4" s="1"/>
  <c r="R84" i="4"/>
  <c r="V97" i="4"/>
  <c r="G86" i="4"/>
  <c r="H86" i="4" s="1"/>
  <c r="E87" i="4" s="1"/>
  <c r="O81" i="4"/>
  <c r="P81" i="4" s="1"/>
  <c r="M82" i="4" s="1"/>
  <c r="N82" i="4" l="1"/>
  <c r="F87" i="4"/>
  <c r="W97" i="4"/>
  <c r="X97" i="4" s="1"/>
  <c r="U98" i="4" s="1"/>
  <c r="S84" i="4"/>
  <c r="T84" i="4" s="1"/>
  <c r="Q85" i="4" s="1"/>
  <c r="K86" i="4"/>
  <c r="L86" i="4" s="1"/>
  <c r="I87" i="4" s="1"/>
  <c r="J87" i="4" l="1"/>
  <c r="R85" i="4"/>
  <c r="V98" i="4"/>
  <c r="G87" i="4"/>
  <c r="H87" i="4" s="1"/>
  <c r="E88" i="4" s="1"/>
  <c r="O82" i="4"/>
  <c r="P82" i="4" s="1"/>
  <c r="M83" i="4" s="1"/>
  <c r="L87" i="4" l="1"/>
  <c r="I88" i="4" s="1"/>
  <c r="J88" i="4" s="1"/>
  <c r="K87" i="4"/>
  <c r="F88" i="4"/>
  <c r="W98" i="4"/>
  <c r="X98" i="4" s="1"/>
  <c r="U99" i="4" s="1"/>
  <c r="S85" i="4"/>
  <c r="T85" i="4" s="1"/>
  <c r="Q86" i="4" s="1"/>
  <c r="N83" i="4"/>
  <c r="O83" i="4" s="1"/>
  <c r="P83" i="4" s="1"/>
  <c r="M84" i="4" s="1"/>
  <c r="N84" i="4" l="1"/>
  <c r="V99" i="4"/>
  <c r="R86" i="4"/>
  <c r="S86" i="4" s="1"/>
  <c r="K88" i="4"/>
  <c r="L88" i="4" s="1"/>
  <c r="I89" i="4" s="1"/>
  <c r="G88" i="4"/>
  <c r="H88" i="4" s="1"/>
  <c r="E89" i="4" s="1"/>
  <c r="J89" i="4" l="1"/>
  <c r="F89" i="4"/>
  <c r="W99" i="4"/>
  <c r="X99" i="4" s="1"/>
  <c r="U100" i="4" s="1"/>
  <c r="T86" i="4"/>
  <c r="Q87" i="4" s="1"/>
  <c r="O84" i="4"/>
  <c r="P84" i="4" s="1"/>
  <c r="M85" i="4" s="1"/>
  <c r="V100" i="4" l="1"/>
  <c r="W100" i="4" s="1"/>
  <c r="X100" i="4" s="1"/>
  <c r="U101" i="4" s="1"/>
  <c r="N85" i="4"/>
  <c r="R87" i="4"/>
  <c r="G89" i="4"/>
  <c r="H89" i="4" s="1"/>
  <c r="E90" i="4" s="1"/>
  <c r="K89" i="4"/>
  <c r="L89" i="4" s="1"/>
  <c r="I90" i="4" s="1"/>
  <c r="J90" i="4" l="1"/>
  <c r="F90" i="4"/>
  <c r="G90" i="4" s="1"/>
  <c r="V101" i="4"/>
  <c r="W101" i="4" s="1"/>
  <c r="S87" i="4"/>
  <c r="T87" i="4" s="1"/>
  <c r="Q88" i="4" s="1"/>
  <c r="O85" i="4"/>
  <c r="P85" i="4" s="1"/>
  <c r="M86" i="4" s="1"/>
  <c r="R88" i="4" l="1"/>
  <c r="X101" i="4"/>
  <c r="U102" i="4" s="1"/>
  <c r="H90" i="4"/>
  <c r="E91" i="4" s="1"/>
  <c r="K90" i="4"/>
  <c r="L90" i="4" s="1"/>
  <c r="I91" i="4" s="1"/>
  <c r="N86" i="4"/>
  <c r="O86" i="4" s="1"/>
  <c r="J91" i="4" l="1"/>
  <c r="K91" i="4" s="1"/>
  <c r="L91" i="4" s="1"/>
  <c r="I92" i="4" s="1"/>
  <c r="P86" i="4"/>
  <c r="M87" i="4" s="1"/>
  <c r="V102" i="4"/>
  <c r="F91" i="4"/>
  <c r="S88" i="4"/>
  <c r="T88" i="4" s="1"/>
  <c r="Q89" i="4" s="1"/>
  <c r="R89" i="4" l="1"/>
  <c r="J92" i="4"/>
  <c r="G91" i="4"/>
  <c r="H91" i="4" s="1"/>
  <c r="E92" i="4" s="1"/>
  <c r="W102" i="4"/>
  <c r="X102" i="4" s="1"/>
  <c r="U103" i="4" s="1"/>
  <c r="N87" i="4"/>
  <c r="O87" i="4" s="1"/>
  <c r="P87" i="4" s="1"/>
  <c r="M88" i="4" s="1"/>
  <c r="N88" i="4" l="1"/>
  <c r="F92" i="4"/>
  <c r="V103" i="4"/>
  <c r="S89" i="4"/>
  <c r="T89" i="4" s="1"/>
  <c r="Q90" i="4" s="1"/>
  <c r="K92" i="4"/>
  <c r="L92" i="4" s="1"/>
  <c r="I93" i="4" s="1"/>
  <c r="O88" i="4" l="1"/>
  <c r="P88" i="4" s="1"/>
  <c r="M89" i="4" s="1"/>
  <c r="N89" i="4" s="1"/>
  <c r="O89" i="4" s="1"/>
  <c r="R90" i="4"/>
  <c r="J93" i="4"/>
  <c r="K93" i="4" s="1"/>
  <c r="W103" i="4"/>
  <c r="X103" i="4" s="1"/>
  <c r="U104" i="4" s="1"/>
  <c r="G92" i="4"/>
  <c r="H92" i="4" s="1"/>
  <c r="E93" i="4" s="1"/>
  <c r="S90" i="4" l="1"/>
  <c r="T90" i="4" s="1"/>
  <c r="Q91" i="4" s="1"/>
  <c r="R91" i="4" s="1"/>
  <c r="V104" i="4"/>
  <c r="F93" i="4"/>
  <c r="G93" i="4"/>
  <c r="H93" i="4" s="1"/>
  <c r="E94" i="4" s="1"/>
  <c r="L93" i="4"/>
  <c r="I94" i="4" s="1"/>
  <c r="P89" i="4"/>
  <c r="M90" i="4" s="1"/>
  <c r="F94" i="4" l="1"/>
  <c r="G94" i="4" s="1"/>
  <c r="H94" i="4" s="1"/>
  <c r="E95" i="4" s="1"/>
  <c r="N90" i="4"/>
  <c r="S91" i="4"/>
  <c r="T91" i="4" s="1"/>
  <c r="Q92" i="4" s="1"/>
  <c r="J94" i="4"/>
  <c r="W104" i="4"/>
  <c r="X104" i="4" s="1"/>
  <c r="U105" i="4" s="1"/>
  <c r="V105" i="4" l="1"/>
  <c r="R92" i="4"/>
  <c r="F95" i="4"/>
  <c r="K94" i="4"/>
  <c r="L94" i="4" s="1"/>
  <c r="I95" i="4" s="1"/>
  <c r="O90" i="4"/>
  <c r="P90" i="4" s="1"/>
  <c r="M91" i="4" s="1"/>
  <c r="J95" i="4" l="1"/>
  <c r="N91" i="4"/>
  <c r="O91" i="4" s="1"/>
  <c r="G95" i="4"/>
  <c r="H95" i="4" s="1"/>
  <c r="E96" i="4" s="1"/>
  <c r="S92" i="4"/>
  <c r="T92" i="4" s="1"/>
  <c r="Q93" i="4" s="1"/>
  <c r="W105" i="4"/>
  <c r="X105" i="4" s="1"/>
  <c r="U106" i="4" s="1"/>
  <c r="V106" i="4" l="1"/>
  <c r="R93" i="4"/>
  <c r="F96" i="4"/>
  <c r="P91" i="4"/>
  <c r="M92" i="4" s="1"/>
  <c r="K95" i="4"/>
  <c r="L95" i="4" s="1"/>
  <c r="I96" i="4" s="1"/>
  <c r="J96" i="4" l="1"/>
  <c r="N92" i="4"/>
  <c r="O92" i="4" s="1"/>
  <c r="G96" i="4"/>
  <c r="H96" i="4" s="1"/>
  <c r="E97" i="4" s="1"/>
  <c r="S93" i="4"/>
  <c r="T93" i="4" s="1"/>
  <c r="Q94" i="4" s="1"/>
  <c r="W106" i="4"/>
  <c r="X106" i="4" s="1"/>
  <c r="U107" i="4" s="1"/>
  <c r="V107" i="4" l="1"/>
  <c r="R94" i="4"/>
  <c r="F97" i="4"/>
  <c r="P92" i="4"/>
  <c r="M93" i="4" s="1"/>
  <c r="K96" i="4"/>
  <c r="L96" i="4" s="1"/>
  <c r="I97" i="4" s="1"/>
  <c r="J97" i="4" l="1"/>
  <c r="K97" i="4" s="1"/>
  <c r="N93" i="4"/>
  <c r="G97" i="4"/>
  <c r="H97" i="4" s="1"/>
  <c r="E98" i="4" s="1"/>
  <c r="S94" i="4"/>
  <c r="T94" i="4" s="1"/>
  <c r="Q95" i="4" s="1"/>
  <c r="W107" i="4"/>
  <c r="X107" i="4" s="1"/>
  <c r="U108" i="4" s="1"/>
  <c r="L97" i="4" l="1"/>
  <c r="I98" i="4" s="1"/>
  <c r="V108" i="4"/>
  <c r="W108" i="4" s="1"/>
  <c r="X108" i="4" s="1"/>
  <c r="U109" i="4" s="1"/>
  <c r="F98" i="4"/>
  <c r="R95" i="4"/>
  <c r="J98" i="4"/>
  <c r="O93" i="4"/>
  <c r="P93" i="4" s="1"/>
  <c r="M94" i="4" s="1"/>
  <c r="V109" i="4" l="1"/>
  <c r="W109" i="4" s="1"/>
  <c r="K98" i="4"/>
  <c r="L98" i="4" s="1"/>
  <c r="I99" i="4" s="1"/>
  <c r="S95" i="4"/>
  <c r="T95" i="4" s="1"/>
  <c r="Q96" i="4" s="1"/>
  <c r="G98" i="4"/>
  <c r="H98" i="4" s="1"/>
  <c r="E99" i="4" s="1"/>
  <c r="N94" i="4"/>
  <c r="R96" i="4" l="1"/>
  <c r="F99" i="4"/>
  <c r="J99" i="4"/>
  <c r="O94" i="4"/>
  <c r="P94" i="4" s="1"/>
  <c r="M95" i="4" s="1"/>
  <c r="X109" i="4"/>
  <c r="U110" i="4" s="1"/>
  <c r="N95" i="4" l="1"/>
  <c r="G99" i="4"/>
  <c r="H99" i="4" s="1"/>
  <c r="E100" i="4" s="1"/>
  <c r="V110" i="4"/>
  <c r="W110" i="4"/>
  <c r="K99" i="4"/>
  <c r="L99" i="4" s="1"/>
  <c r="I100" i="4" s="1"/>
  <c r="S96" i="4"/>
  <c r="T96" i="4" s="1"/>
  <c r="Q97" i="4" s="1"/>
  <c r="X110" i="4" l="1"/>
  <c r="J100" i="4"/>
  <c r="R97" i="4"/>
  <c r="F100" i="4"/>
  <c r="G100" i="4" s="1"/>
  <c r="O95" i="4"/>
  <c r="P95" i="4" s="1"/>
  <c r="M96" i="4" s="1"/>
  <c r="N96" i="4" l="1"/>
  <c r="H100" i="4"/>
  <c r="E101" i="4" s="1"/>
  <c r="S97" i="4"/>
  <c r="T97" i="4" s="1"/>
  <c r="Q98" i="4" s="1"/>
  <c r="K100" i="4"/>
  <c r="L100" i="4" s="1"/>
  <c r="I101" i="4" s="1"/>
  <c r="J101" i="4" l="1"/>
  <c r="R98" i="4"/>
  <c r="F101" i="4"/>
  <c r="O96" i="4"/>
  <c r="P96" i="4" s="1"/>
  <c r="M97" i="4" s="1"/>
  <c r="N97" i="4" l="1"/>
  <c r="G101" i="4"/>
  <c r="H101" i="4" s="1"/>
  <c r="E102" i="4" s="1"/>
  <c r="S98" i="4"/>
  <c r="T98" i="4" s="1"/>
  <c r="Q99" i="4" s="1"/>
  <c r="K101" i="4"/>
  <c r="L101" i="4" s="1"/>
  <c r="I102" i="4" s="1"/>
  <c r="R99" i="4" l="1"/>
  <c r="J102" i="4"/>
  <c r="F102" i="4"/>
  <c r="O97" i="4"/>
  <c r="P97" i="4" s="1"/>
  <c r="M98" i="4" s="1"/>
  <c r="N98" i="4" l="1"/>
  <c r="G102" i="4"/>
  <c r="H102" i="4" s="1"/>
  <c r="E103" i="4" s="1"/>
  <c r="K102" i="4"/>
  <c r="L102" i="4" s="1"/>
  <c r="I103" i="4" s="1"/>
  <c r="S99" i="4"/>
  <c r="T99" i="4" s="1"/>
  <c r="Q100" i="4" s="1"/>
  <c r="J103" i="4" l="1"/>
  <c r="R100" i="4"/>
  <c r="F103" i="4"/>
  <c r="O98" i="4"/>
  <c r="P98" i="4" s="1"/>
  <c r="M99" i="4" s="1"/>
  <c r="N99" i="4" l="1"/>
  <c r="O99" i="4" s="1"/>
  <c r="P99" i="4" s="1"/>
  <c r="M100" i="4" s="1"/>
  <c r="S100" i="4"/>
  <c r="T100" i="4" s="1"/>
  <c r="Q101" i="4" s="1"/>
  <c r="G103" i="4"/>
  <c r="H103" i="4" s="1"/>
  <c r="E104" i="4" s="1"/>
  <c r="K103" i="4"/>
  <c r="L103" i="4" s="1"/>
  <c r="I104" i="4" s="1"/>
  <c r="J104" i="4" l="1"/>
  <c r="F104" i="4"/>
  <c r="G104" i="4" s="1"/>
  <c r="R101" i="4"/>
  <c r="N100" i="4"/>
  <c r="S101" i="4" l="1"/>
  <c r="T101" i="4" s="1"/>
  <c r="Q102" i="4" s="1"/>
  <c r="O100" i="4"/>
  <c r="P100" i="4" s="1"/>
  <c r="M101" i="4" s="1"/>
  <c r="H104" i="4"/>
  <c r="E105" i="4" s="1"/>
  <c r="K104" i="4"/>
  <c r="L104" i="4" s="1"/>
  <c r="I105" i="4" s="1"/>
  <c r="N101" i="4" l="1"/>
  <c r="J105" i="4"/>
  <c r="K105" i="4" s="1"/>
  <c r="R102" i="4"/>
  <c r="F105" i="4"/>
  <c r="G105" i="4" l="1"/>
  <c r="H105" i="4" s="1"/>
  <c r="E106" i="4" s="1"/>
  <c r="F106" i="4" s="1"/>
  <c r="L105" i="4"/>
  <c r="I106" i="4" s="1"/>
  <c r="S102" i="4"/>
  <c r="T102" i="4" s="1"/>
  <c r="Q103" i="4" s="1"/>
  <c r="O101" i="4"/>
  <c r="P101" i="4" s="1"/>
  <c r="M102" i="4" s="1"/>
  <c r="N102" i="4" l="1"/>
  <c r="R103" i="4"/>
  <c r="J106" i="4"/>
  <c r="K106" i="4" s="1"/>
  <c r="G106" i="4"/>
  <c r="H106" i="4" s="1"/>
  <c r="E107" i="4" s="1"/>
  <c r="F107" i="4" l="1"/>
  <c r="L106" i="4"/>
  <c r="I107" i="4" s="1"/>
  <c r="S103" i="4"/>
  <c r="T103" i="4" s="1"/>
  <c r="Q104" i="4" s="1"/>
  <c r="O102" i="4"/>
  <c r="P102" i="4" s="1"/>
  <c r="M103" i="4" s="1"/>
  <c r="N103" i="4" l="1"/>
  <c r="R104" i="4"/>
  <c r="J107" i="4"/>
  <c r="G107" i="4"/>
  <c r="H107" i="4" s="1"/>
  <c r="E108" i="4" s="1"/>
  <c r="F108" i="4" l="1"/>
  <c r="G108" i="4" s="1"/>
  <c r="H108" i="4" s="1"/>
  <c r="E109" i="4" s="1"/>
  <c r="S104" i="4"/>
  <c r="T104" i="4" s="1"/>
  <c r="Q105" i="4" s="1"/>
  <c r="K107" i="4"/>
  <c r="L107" i="4" s="1"/>
  <c r="I108" i="4" s="1"/>
  <c r="O103" i="4"/>
  <c r="P103" i="4" s="1"/>
  <c r="M104" i="4" s="1"/>
  <c r="J108" i="4" l="1"/>
  <c r="N104" i="4"/>
  <c r="R105" i="4"/>
  <c r="F109" i="4"/>
  <c r="G109" i="4" l="1"/>
  <c r="H109" i="4" s="1"/>
  <c r="E110" i="4" s="1"/>
  <c r="S105" i="4"/>
  <c r="T105" i="4" s="1"/>
  <c r="Q106" i="4" s="1"/>
  <c r="O104" i="4"/>
  <c r="P104" i="4" s="1"/>
  <c r="M105" i="4" s="1"/>
  <c r="K108" i="4"/>
  <c r="L108" i="4" s="1"/>
  <c r="I109" i="4" s="1"/>
  <c r="J109" i="4" l="1"/>
  <c r="R106" i="4"/>
  <c r="N105" i="4"/>
  <c r="F110" i="4"/>
  <c r="G110" i="4" s="1"/>
  <c r="H110" i="4" l="1"/>
  <c r="O105" i="4"/>
  <c r="P105" i="4" s="1"/>
  <c r="M106" i="4" s="1"/>
  <c r="K109" i="4"/>
  <c r="L109" i="4" s="1"/>
  <c r="I110" i="4" s="1"/>
  <c r="S106" i="4"/>
  <c r="T106" i="4" s="1"/>
  <c r="Q107" i="4" s="1"/>
  <c r="R107" i="4" l="1"/>
  <c r="S107" i="4" s="1"/>
  <c r="J110" i="4"/>
  <c r="N106" i="4"/>
  <c r="O106" i="4" s="1"/>
  <c r="P106" i="4" l="1"/>
  <c r="M107" i="4" s="1"/>
  <c r="K110" i="4"/>
  <c r="L110" i="4" s="1"/>
  <c r="B20" i="4"/>
  <c r="T107" i="4"/>
  <c r="Q108" i="4" s="1"/>
  <c r="R108" i="4" l="1"/>
  <c r="C31" i="1"/>
  <c r="C32" i="1"/>
  <c r="N107" i="4"/>
  <c r="O107" i="4" l="1"/>
  <c r="P107" i="4" s="1"/>
  <c r="M108" i="4" s="1"/>
  <c r="S108" i="4"/>
  <c r="T108" i="4" s="1"/>
  <c r="Q109" i="4" s="1"/>
  <c r="R109" i="4" l="1"/>
  <c r="N108" i="4"/>
  <c r="O108" i="4" l="1"/>
  <c r="P108" i="4" s="1"/>
  <c r="M109" i="4" s="1"/>
  <c r="S109" i="4"/>
  <c r="T109" i="4" s="1"/>
  <c r="Q110" i="4" s="1"/>
  <c r="N109" i="4" l="1"/>
  <c r="R110" i="4"/>
  <c r="O109" i="4" l="1"/>
  <c r="P109" i="4" s="1"/>
  <c r="M110" i="4" s="1"/>
  <c r="N110" i="4" s="1"/>
  <c r="B22" i="4"/>
  <c r="S110" i="4"/>
  <c r="T110" i="4" s="1"/>
  <c r="G31" i="1" l="1"/>
  <c r="G32" i="1"/>
  <c r="B21" i="4"/>
  <c r="O110" i="4"/>
  <c r="P110" i="4" s="1"/>
  <c r="E31" i="1" l="1"/>
  <c r="E32" i="1"/>
</calcChain>
</file>

<file path=xl/sharedStrings.xml><?xml version="1.0" encoding="utf-8"?>
<sst xmlns="http://schemas.openxmlformats.org/spreadsheetml/2006/main" count="152" uniqueCount="147">
  <si>
    <t>NEEDTHESEAPPS.COM</t>
  </si>
  <si>
    <t>Investment Fee Calculator</t>
  </si>
  <si>
    <t>What do fees really take from your savings?</t>
  </si>
  <si>
    <t>Open the full calculator online  ↗</t>
  </si>
  <si>
    <t>YOUR NUMBERS</t>
  </si>
  <si>
    <t>Currency symbol you use</t>
  </si>
  <si>
    <t>$</t>
  </si>
  <si>
    <t>Amount invested today</t>
  </si>
  <si>
    <t>In savings, a pension, a fund or a managed account.</t>
  </si>
  <si>
    <t>Amount you add each month (optional)</t>
  </si>
  <si>
    <t>0 if you add nothing.</t>
  </si>
  <si>
    <t>Number of years</t>
  </si>
  <si>
    <t>A whole number of years, 1 to 60.</t>
  </si>
  <si>
    <t>Estimated yearly growth before fees</t>
  </si>
  <si>
    <t>A rough long-term average, not a promise. The same for every fee.</t>
  </si>
  <si>
    <t>Fee A, the fee you pay (a year)</t>
  </si>
  <si>
    <t>On a statement it may be "management fee", "advisory fee" or "expense ratio".</t>
  </si>
  <si>
    <t>Fee B, to compare (a year)</t>
  </si>
  <si>
    <t>A fee to compare with. Clear the cell to leave it out.</t>
  </si>
  <si>
    <t>Fee C (optional, a year)</t>
  </si>
  <si>
    <t>A third fee. Clear the cell to leave it out.</t>
  </si>
  <si>
    <t>Fee on every deposit</t>
  </si>
  <si>
    <t>A % taken from each amount you add. Leave 0 if you don't see it.</t>
  </si>
  <si>
    <t>Fixed fee each year</t>
  </si>
  <si>
    <t>A set amount, e.g. an account fee. Leave 0 if you don't see it.</t>
  </si>
  <si>
    <t>One-time fee when you join</t>
  </si>
  <si>
    <t>Taken once, from the amount you start with.</t>
  </si>
  <si>
    <t>YOUR RESULT: what does Fee A cost me?</t>
  </si>
  <si>
    <t>FEE BY FEE: questions 2 and 3</t>
  </si>
  <si>
    <t>Balance at the end</t>
  </si>
  <si>
    <t>What the fee takes from you</t>
  </si>
  <si>
    <t xml:space="preserve">   made of: the fees you paid</t>
  </si>
  <si>
    <t xml:space="preserve">   and: the growth they stopped earning</t>
  </si>
  <si>
    <t>Compared with Fee A</t>
  </si>
  <si>
    <t>Compared with no fee</t>
  </si>
  <si>
    <t>Same growth before fees for every fee. Before tax and inflation. Question 1 reads Fee A. Question 2 compares Fee A with Fee B. Question 3 puts the fees side by side.</t>
  </si>
  <si>
    <t>One steady growth rate, the same every year. Real markets rise and fall, and the fee is taken either way.
Each yearly fee is taken from your whole balance at the end of the year. No tax and no inflation are included.
This file is a snapshot of the calculator. The full calculator online also shows the next-year line, a losing-year example and deeper insights.</t>
  </si>
  <si>
    <t>The dashed line is the same money with no fee at all.</t>
  </si>
  <si>
    <t>Year-by-year breakdown</t>
  </si>
  <si>
    <t>Year</t>
  </si>
  <si>
    <t>No fee</t>
  </si>
  <si>
    <t>Fee A</t>
  </si>
  <si>
    <t>Fee B</t>
  </si>
  <si>
    <t>Fee C</t>
  </si>
  <si>
    <t>Fees paid, Fee A</t>
  </si>
  <si>
    <t>Fees paid, Fee B</t>
  </si>
  <si>
    <t>Fees paid, Fee C</t>
  </si>
  <si>
    <t>About this workbook</t>
  </si>
  <si>
    <t>WHAT THIS WORKBOOK DOES</t>
  </si>
  <si>
    <t>It answers the three questions of the Investment Fee Calculator offline, with one table of up to three fees: what does my fee cost me, what do I gain if I lower my fee, and how do fees compare side by side. For each fee it shows the balance at the end, what the fee takes from you, what you keep compared with Fee A and with no fee, what every 0.1% of fee costs, a year-by-year table and a chart.</t>
  </si>
  <si>
    <t>WHAT IT DOES NOT DO</t>
  </si>
  <si>
    <t>A losing year, an example</t>
  </si>
  <si>
    <t>What a fee does in a year the market falls: on the site.</t>
  </si>
  <si>
    <t>Next year alone</t>
  </si>
  <si>
    <t>The difference after the first year only: on the site.</t>
  </si>
  <si>
    <t>The yearly fee in money</t>
  </si>
  <si>
    <t>What you pay in year 1 and in the last year, per month: on the site.</t>
  </si>
  <si>
    <t>Country detection</t>
  </si>
  <si>
    <t>The site suggests your currency: here you type it.</t>
  </si>
  <si>
    <t>The deeper insights</t>
  </si>
  <si>
    <t>"Show me what else my numbers reveal": on the site.</t>
  </si>
  <si>
    <t>The Bigger Picture and the FAQ</t>
  </si>
  <si>
    <t>The guide to what the numbers mean: on the site.</t>
  </si>
  <si>
    <t>Tax and inflation</t>
  </si>
  <si>
    <t>Neither is taken off or adjusted for, as on the site.</t>
  </si>
  <si>
    <t>It is not financial advice</t>
  </si>
  <si>
    <t>It does not name or recommend a provider, a fund or a plan.</t>
  </si>
  <si>
    <t>ASSUMPTIONS USED</t>
  </si>
  <si>
    <t>Growth</t>
  </si>
  <si>
    <t>One yearly growth rate that you enter, the same every year, turned into a monthly one: (1 + yearly growth)^(1/12) − 1.</t>
  </si>
  <si>
    <t>Monthly addition</t>
  </si>
  <si>
    <t>Added at the end of each month, after its fee on deposits, if any.</t>
  </si>
  <si>
    <t>Yearly fee</t>
  </si>
  <si>
    <t>A percentage of your whole balance, taken at the end of each year. Then the fixed fee, never more than what is left.</t>
  </si>
  <si>
    <t>One-time fee</t>
  </si>
  <si>
    <t>The same money with no fee of any kind. What a fee takes from you is the balance with no fee minus the balance with the fee.</t>
  </si>
  <si>
    <t>Fees paid and growth lost</t>
  </si>
  <si>
    <t>What a fee takes is made of the fees you paid plus the growth that money would have earned.</t>
  </si>
  <si>
    <t>Every 0.1% of fee</t>
  </si>
  <si>
    <t>The balance with no fee minus the balance with a 0.1% fee. The other kinds of fees are not part of it.</t>
  </si>
  <si>
    <t>Longest look-ahead</t>
  </si>
  <si>
    <t>60 years.</t>
  </si>
  <si>
    <t>THE WORKBOOK</t>
  </si>
  <si>
    <t>Site</t>
  </si>
  <si>
    <t>needtheseapps.com</t>
  </si>
  <si>
    <t>Sheets</t>
  </si>
  <si>
    <t>Calculator · Breakdown · About &amp; Assumptions</t>
  </si>
  <si>
    <t>Version</t>
  </si>
  <si>
    <t>1.0</t>
  </si>
  <si>
    <t>Generated</t>
  </si>
  <si>
    <t>Oct 7, 2026</t>
  </si>
  <si>
    <t>Currency</t>
  </si>
  <si>
    <t>This file is a snapshot. It does not update itself when the online calculator changes.</t>
  </si>
  <si>
    <t>Helper calculations. Do not edit.</t>
  </si>
  <si>
    <t>Monthly growth</t>
  </si>
  <si>
    <t>Growth over 12 months</t>
  </si>
  <si>
    <t>Sum of the growth of 12 monthly additions</t>
  </si>
  <si>
    <t>Fee B is used (1/0)</t>
  </si>
  <si>
    <t>Fee C is used (1/0)</t>
  </si>
  <si>
    <t>Fee A (percent)</t>
  </si>
  <si>
    <t>Fee B (percent, 0 when not used)</t>
  </si>
  <si>
    <t>Fee C (percent, 0 when not used)</t>
  </si>
  <si>
    <t>Fee on every deposit (fraction)</t>
  </si>
  <si>
    <t>One-time fee (fraction)</t>
  </si>
  <si>
    <t>Monthly addition after its deposit fee</t>
  </si>
  <si>
    <t>Your own money put in (start + every addition)</t>
  </si>
  <si>
    <t>Balance at the end with no fee</t>
  </si>
  <si>
    <t>Balance at the end with Fee A</t>
  </si>
  <si>
    <t>Balance at the end with Fee B</t>
  </si>
  <si>
    <t>Balance at the end with Fee C</t>
  </si>
  <si>
    <t>Balance at the end with a 0.1% fee (no other fee)</t>
  </si>
  <si>
    <t>Fees paid with Fee A (entry + yearly + fixed + on deposits)</t>
  </si>
  <si>
    <t>Fees paid with Fee B (entry + yearly + fixed + on deposits)</t>
  </si>
  <si>
    <t>Fees paid with Fee C (entry + yearly + fixed + on deposits)</t>
  </si>
  <si>
    <t>What Fee A takes from you</t>
  </si>
  <si>
    <t>What Fee B takes from you</t>
  </si>
  <si>
    <t>What Fee C takes from you</t>
  </si>
  <si>
    <t>Highest balance at the end (the lowest used fee)</t>
  </si>
  <si>
    <t>Lowest balance at the end (the highest used fee)</t>
  </si>
  <si>
    <t>What every 0.1% of fee costs</t>
  </si>
  <si>
    <t>The money did not grow (1/0)</t>
  </si>
  <si>
    <t>Chart: number of points (year 0 up to the last year)</t>
  </si>
  <si>
    <t>Nothing to calculate (1/0): no amount and no monthly addition</t>
  </si>
  <si>
    <t>no fee: before fees</t>
  </si>
  <si>
    <t>no fee: yearly fee</t>
  </si>
  <si>
    <t>no fee: fixed fee</t>
  </si>
  <si>
    <t>no fee: balance</t>
  </si>
  <si>
    <t>Fee A: before fees</t>
  </si>
  <si>
    <t>Fee A: yearly fee</t>
  </si>
  <si>
    <t>Fee A: fixed fee</t>
  </si>
  <si>
    <t>Fee A: balance</t>
  </si>
  <si>
    <t>Fee B: before fees</t>
  </si>
  <si>
    <t>Fee B: yearly fee</t>
  </si>
  <si>
    <t>Fee B: fixed fee</t>
  </si>
  <si>
    <t>Fee B: balance</t>
  </si>
  <si>
    <t>Fee C: before fees</t>
  </si>
  <si>
    <t>Fee C: yearly fee</t>
  </si>
  <si>
    <t>Fee C: fixed fee</t>
  </si>
  <si>
    <t>Fee C: balance</t>
  </si>
  <si>
    <t>0.1% fee: before fees</t>
  </si>
  <si>
    <t>0.1% fee: yearly fee</t>
  </si>
  <si>
    <t>0.1% fee: fixed fee</t>
  </si>
  <si>
    <t>0.1% fee: balance</t>
  </si>
  <si>
    <t>Chart: no fee</t>
  </si>
  <si>
    <t>Chart: Fee A</t>
  </si>
  <si>
    <t>Chart: Fee B</t>
  </si>
  <si>
    <t>Chart: Fee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</si>
</sst>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21" x14ac:knownFonts="1">
    <font>
      <sz val="11"/>
      <color theme="1"/>
      <name val="Calibri"/>
      <family val="2"/>
      <scheme val="minor"/>
    </font>
    <font>
      <b/>
      <sz val="11"/>
      <color rgb="FF1B2733"/>
      <name val="Segoe UI"/>
    </font>
    <font>
      <sz val="11"/>
      <color rgb="FF1B2733"/>
      <name val="Segoe UI"/>
    </font>
    <font>
      <b/>
      <sz val="18"/>
      <color rgb="FF12354E"/>
      <name val="Segoe UI"/>
    </font>
    <font>
      <sz val="10"/>
      <color rgb="FF6C6D70"/>
      <name val="Segoe UI"/>
    </font>
    <font>
      <b/>
      <sz val="10"/>
      <color rgb="FFFFFFFF"/>
      <name val="Segoe UI"/>
    </font>
    <font>
      <sz val="10"/>
      <color rgb="FF1B2733"/>
      <name val="Segoe UI"/>
    </font>
    <font>
      <b/>
      <u/>
      <sz val="10"/>
      <color rgb="FF1E5A85"/>
      <name val="Segoe UI"/>
    </font>
    <font>
      <b/>
      <sz val="20"/>
      <color rgb="FF12354E"/>
      <name val="Segoe UI"/>
    </font>
    <font>
      <b/>
      <u/>
      <sz val="11"/>
      <color rgb="FF1E5A85"/>
      <name val="Segoe UI"/>
    </font>
    <font>
      <b/>
      <sz val="12"/>
      <color rgb="FF1E5A85"/>
      <name val="Segoe UI"/>
    </font>
    <font>
      <b/>
      <sz val="12"/>
      <color rgb="FF12354E"/>
      <name val="Segoe UI"/>
    </font>
    <font>
      <sz val="9.5"/>
      <color rgb="FF6C6D70"/>
      <name val="Segoe UI"/>
    </font>
    <font>
      <i/>
      <sz val="10"/>
      <color rgb="FF6C6D70"/>
      <name val="Segoe UI"/>
    </font>
    <font>
      <b/>
      <sz val="22"/>
      <color rgb="FF1E5A85"/>
      <name val="Segoe UI"/>
    </font>
    <font>
      <b/>
      <sz val="10.5"/>
      <color rgb="FFFFFFFF"/>
      <name val="Segoe UI"/>
    </font>
    <font>
      <sz val="10.5"/>
      <color rgb="FF1B2733"/>
      <name val="Segoe UI"/>
    </font>
    <font>
      <i/>
      <sz val="9.5"/>
      <color rgb="FF6C6D70"/>
      <name val="Segoe UI"/>
    </font>
    <font>
      <sz val="11"/>
      <color rgb="FF6C6D70"/>
      <name val="Segoe UI"/>
    </font>
    <font>
      <b/>
      <u/>
      <sz val="12"/>
      <color rgb="FF1E5A85"/>
      <name val="Segoe UI"/>
    </font>
    <font>
      <b/>
      <sz val="11"/>
      <color rgb="FF12354E"/>
      <name val="Segoe UI"/>
    </font>
  </fonts>
  <fills count="7">
    <fill>
      <patternFill patternType="none"/>
    </fill>
    <fill>
      <patternFill patternType="gray125"/>
    </fill>
    <fill>
      <patternFill patternType="solid">
        <fgColor rgb="FFF5F8FB"/>
      </patternFill>
    </fill>
    <fill>
      <patternFill patternType="solid">
        <fgColor rgb="FF1E5A85"/>
      </patternFill>
    </fill>
    <fill>
      <patternFill patternType="solid">
        <fgColor rgb="FFE4EDF5"/>
      </patternFill>
    </fill>
    <fill>
      <patternFill patternType="solid">
        <fgColor rgb="FFC9DEEF"/>
      </patternFill>
    </fill>
    <fill>
      <patternFill patternType="solid">
        <fgColor rgb="FFFFFFFF"/>
      </patternFill>
    </fill>
  </fills>
  <borders count="7">
    <border>
      <left/>
      <right/>
      <top/>
      <bottom/>
      <diagonal/>
    </border>
    <border>
      <left style="thin">
        <color rgb="FF1E5A85"/>
      </left>
      <right style="thin">
        <color rgb="FF1E5A85"/>
      </right>
      <top style="thin">
        <color rgb="FF1E5A85"/>
      </top>
      <bottom style="thin">
        <color rgb="FF1E5A85"/>
      </bottom>
      <diagonal/>
    </border>
    <border>
      <left/>
      <right/>
      <top/>
      <bottom style="thin">
        <color rgb="FF748BA0"/>
      </bottom>
      <diagonal/>
    </border>
    <border>
      <left/>
      <right/>
      <top/>
      <bottom style="thin">
        <color rgb="FFD6E1EA"/>
      </bottom>
      <diagonal/>
    </border>
    <border>
      <left style="medium">
        <color rgb="FFB26A00"/>
      </left>
      <right/>
      <top style="thin">
        <color rgb="FFD6E1EA"/>
      </top>
      <bottom/>
      <diagonal/>
    </border>
    <border>
      <left/>
      <right/>
      <top style="thin">
        <color rgb="FFD6E1EA"/>
      </top>
      <bottom/>
      <diagonal/>
    </border>
    <border>
      <left style="medium">
        <color rgb="FFB26A00"/>
      </left>
      <right/>
      <top/>
      <bottom/>
      <diagonal/>
    </border>
  </borders>
  <cellStyleXfs count="1">
    <xf numFmtId="0" fontId="0" fillId="0" borderId="0"/>
  </cellStyleXfs>
  <cellXfs count="41">
    <xf numFmtId="0" fontId="0" fillId="0" borderId="0" xfId="0"/>
    <xf numFmtId="0" fontId="0" fillId="2" borderId="0" xfId="0" applyFill="1"/>
    <xf numFmtId="0" fontId="2" fillId="2" borderId="0" xfId="0" applyFont="1" applyFill="1" applyAlignment="1">
      <alignment horizontal="left" vertical="center" wrapText="1"/>
    </xf>
    <xf numFmtId="0" fontId="11" fillId="5" borderId="1" xfId="0" applyFont="1" applyFill="1" applyBorder="1" applyAlignment="1" applyProtection="1">
      <alignment horizontal="right" vertical="center"/>
      <protection locked="0"/>
    </xf>
    <xf numFmtId="3" fontId="11" fillId="5" borderId="1" xfId="0" applyNumberFormat="1" applyFont="1" applyFill="1" applyBorder="1" applyAlignment="1" applyProtection="1">
      <alignment horizontal="right" vertical="center"/>
      <protection locked="0"/>
    </xf>
    <xf numFmtId="1" fontId="11" fillId="5" borderId="1" xfId="0" applyNumberFormat="1" applyFont="1" applyFill="1" applyBorder="1" applyAlignment="1" applyProtection="1">
      <alignment horizontal="right" vertical="center"/>
      <protection locked="0"/>
    </xf>
    <xf numFmtId="164" fontId="11" fillId="5" borderId="1" xfId="0" applyNumberFormat="1" applyFont="1" applyFill="1" applyBorder="1" applyAlignment="1" applyProtection="1">
      <alignment horizontal="right" vertical="center"/>
      <protection locked="0"/>
    </xf>
    <xf numFmtId="0" fontId="2" fillId="3" borderId="0" xfId="0" applyFont="1" applyFill="1" applyAlignment="1">
      <alignment horizontal="left" vertical="center" wrapText="1"/>
    </xf>
    <xf numFmtId="0" fontId="15" fillId="3" borderId="1" xfId="0" applyFont="1" applyFill="1" applyBorder="1" applyAlignment="1">
      <alignment horizontal="center" vertical="center" wrapText="1"/>
    </xf>
    <xf numFmtId="0" fontId="2" fillId="6" borderId="3" xfId="0" applyFont="1" applyFill="1" applyBorder="1" applyAlignment="1">
      <alignment horizontal="left" vertical="center" wrapText="1"/>
    </xf>
    <xf numFmtId="3" fontId="2" fillId="6" borderId="3" xfId="0" applyNumberFormat="1" applyFont="1" applyFill="1" applyBorder="1" applyAlignment="1">
      <alignment horizontal="right" vertical="center" wrapText="1"/>
    </xf>
    <xf numFmtId="0" fontId="1" fillId="6" borderId="3" xfId="0" applyFont="1" applyFill="1" applyBorder="1" applyAlignment="1">
      <alignment horizontal="left" vertical="center" wrapText="1"/>
    </xf>
    <xf numFmtId="3" fontId="1" fillId="6" borderId="3" xfId="0" applyNumberFormat="1" applyFont="1" applyFill="1" applyBorder="1" applyAlignment="1">
      <alignment horizontal="right" vertical="center" wrapText="1"/>
    </xf>
    <xf numFmtId="0" fontId="16" fillId="6" borderId="3" xfId="0" applyFont="1" applyFill="1" applyBorder="1" applyAlignment="1">
      <alignment horizontal="left" vertical="center" wrapText="1"/>
    </xf>
    <xf numFmtId="3" fontId="16" fillId="6" borderId="3" xfId="0" applyNumberFormat="1" applyFont="1" applyFill="1" applyBorder="1" applyAlignment="1">
      <alignment horizontal="right" vertical="center" wrapText="1"/>
    </xf>
    <xf numFmtId="0" fontId="16" fillId="6"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1" fontId="6" fillId="0" borderId="0" xfId="0" applyNumberFormat="1" applyFont="1" applyAlignment="1">
      <alignment horizontal="center" vertical="center"/>
    </xf>
    <xf numFmtId="3" fontId="6" fillId="0" borderId="0" xfId="0" applyNumberFormat="1" applyFont="1" applyAlignment="1">
      <alignment horizontal="right" vertical="center"/>
    </xf>
    <xf numFmtId="0" fontId="18" fillId="6" borderId="3" xfId="0" applyFont="1" applyFill="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0" fontId="12" fillId="2" borderId="0" xfId="0" applyFont="1" applyFill="1" applyAlignment="1">
      <alignment horizontal="left" vertical="center" wrapText="1"/>
    </xf>
    <xf numFmtId="0" fontId="0" fillId="0" borderId="0" xfId="0"/>
    <xf numFmtId="0" fontId="2" fillId="2" borderId="0" xfId="0" applyFont="1" applyFill="1" applyAlignment="1">
      <alignment horizontal="left" vertical="top" wrapText="1"/>
    </xf>
    <xf numFmtId="0" fontId="17" fillId="2" borderId="0" xfId="0" applyFont="1" applyFill="1" applyAlignment="1">
      <alignment horizontal="left" vertical="center" wrapText="1"/>
    </xf>
    <xf numFmtId="0" fontId="13" fillId="2" borderId="0" xfId="0" applyFont="1" applyFill="1" applyAlignment="1">
      <alignment horizontal="left" vertical="center" wrapText="1"/>
    </xf>
    <xf numFmtId="0" fontId="4" fillId="6" borderId="4" xfId="0" applyFont="1" applyFill="1" applyBorder="1" applyAlignment="1">
      <alignment horizontal="left" vertical="top" wrapText="1"/>
    </xf>
    <xf numFmtId="0" fontId="0" fillId="0" borderId="5" xfId="0" applyBorder="1"/>
    <xf numFmtId="0" fontId="0" fillId="0" borderId="6" xfId="0" applyBorder="1"/>
    <xf numFmtId="0" fontId="9" fillId="2" borderId="0" xfId="0" applyFont="1" applyFill="1" applyAlignment="1">
      <alignment horizontal="left" vertical="center" wrapText="1"/>
    </xf>
    <xf numFmtId="0" fontId="2" fillId="2" borderId="0" xfId="0" applyFont="1" applyFill="1" applyAlignment="1">
      <alignment horizontal="left" vertical="center" wrapText="1"/>
    </xf>
    <xf numFmtId="0" fontId="10" fillId="4" borderId="2" xfId="0" applyFont="1" applyFill="1" applyBorder="1" applyAlignment="1">
      <alignment horizontal="left" vertical="center" wrapText="1"/>
    </xf>
    <xf numFmtId="0" fontId="8" fillId="2" borderId="0" xfId="0" applyFont="1" applyFill="1" applyAlignment="1">
      <alignment horizontal="left" vertical="center" wrapText="1"/>
    </xf>
    <xf numFmtId="0" fontId="14" fillId="2" borderId="0" xfId="0" applyFont="1" applyFill="1" applyAlignment="1">
      <alignment horizontal="left" vertical="center" shrinkToFit="1"/>
    </xf>
    <xf numFmtId="0" fontId="7" fillId="2" borderId="0" xfId="0" applyFont="1" applyFill="1" applyAlignment="1">
      <alignment horizontal="left" vertical="center" wrapText="1"/>
    </xf>
    <xf numFmtId="0" fontId="4" fillId="2" borderId="0" xfId="0" applyFont="1" applyFill="1" applyAlignment="1">
      <alignment horizontal="left" vertical="center" wrapText="1"/>
    </xf>
    <xf numFmtId="0" fontId="3" fillId="2" borderId="0" xfId="0" applyFont="1" applyFill="1" applyAlignment="1">
      <alignment horizontal="left" vertical="center" wrapText="1"/>
    </xf>
    <xf numFmtId="0" fontId="20" fillId="6" borderId="0" xfId="0" applyFont="1" applyFill="1" applyAlignment="1">
      <alignment horizontal="left" vertical="center" wrapText="1"/>
    </xf>
    <xf numFmtId="0" fontId="2" fillId="6" borderId="0" xfId="0" applyFont="1" applyFill="1" applyAlignment="1">
      <alignment horizontal="left" vertical="top" wrapText="1"/>
    </xf>
    <xf numFmtId="0" fontId="19" fillId="6" borderId="0" xfId="0" applyFont="1" applyFill="1" applyAlignment="1">
      <alignment horizontal="left" vertical="center" wrapText="1"/>
    </xf>
  </cellXfs>
  <cellStyles count="1">
    <cellStyle name="Normal" xfId="0" builtinId="0"/>
  </cellStyles>
  <dxfs count="2">
    <dxf>
      <border>
        <bottom style="thin">
          <color rgb="FFD6E1EA"/>
        </bottom>
      </border>
    </dxf>
    <dxf>
      <fill>
        <patternFill patternType="solid">
          <fgColor rgb="FFFBFDFE"/>
        </patternFill>
      </fill>
      <border>
        <bottom style="thin">
          <color rgb="FFD6E1EA"/>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Your money with each fee</a:t>
            </a:r>
          </a:p>
        </c:rich>
      </c:tx>
      <c:overlay val="0"/>
    </c:title>
    <c:autoTitleDeleted val="0"/>
    <c:plotArea>
      <c:layout/>
      <c:lineChart>
        <c:grouping val="standard"/>
        <c:varyColors val="1"/>
        <c:ser>
          <c:idx val="0"/>
          <c:order val="0"/>
          <c:tx>
            <c:v>With no fee</c:v>
          </c:tx>
          <c:spPr>
            <a:ln w="19050">
              <a:solidFill>
                <a:srgbClr val="6C6D70"/>
              </a:solidFill>
              <a:prstDash val="dash"/>
            </a:ln>
          </c:spPr>
          <c:marker>
            <c:symbol val="none"/>
          </c:marker>
          <c:cat>
            <c:numRef>
              <c:f>_Engine!ch_y</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_Engine!ch_n</c:f>
              <c:numCache>
                <c:formatCode>General</c:formatCode>
                <c:ptCount val="21"/>
                <c:pt idx="0">
                  <c:v>100000</c:v>
                </c:pt>
                <c:pt idx="1">
                  <c:v>107000</c:v>
                </c:pt>
                <c:pt idx="2">
                  <c:v>114490</c:v>
                </c:pt>
                <c:pt idx="3">
                  <c:v>122504.3</c:v>
                </c:pt>
                <c:pt idx="4">
                  <c:v>131079.60100000002</c:v>
                </c:pt>
                <c:pt idx="5">
                  <c:v>140255.17307000005</c:v>
                </c:pt>
                <c:pt idx="6">
                  <c:v>150073.03518490007</c:v>
                </c:pt>
                <c:pt idx="7">
                  <c:v>160578.14764784308</c:v>
                </c:pt>
                <c:pt idx="8">
                  <c:v>171818.61798319212</c:v>
                </c:pt>
                <c:pt idx="9">
                  <c:v>183845.92124201558</c:v>
                </c:pt>
                <c:pt idx="10">
                  <c:v>196715.13572895669</c:v>
                </c:pt>
                <c:pt idx="11">
                  <c:v>210485.19522998368</c:v>
                </c:pt>
                <c:pt idx="12">
                  <c:v>225219.15889608255</c:v>
                </c:pt>
                <c:pt idx="13">
                  <c:v>240984.50001880835</c:v>
                </c:pt>
                <c:pt idx="14">
                  <c:v>257853.41502012496</c:v>
                </c:pt>
                <c:pt idx="15">
                  <c:v>275903.1540715337</c:v>
                </c:pt>
                <c:pt idx="16">
                  <c:v>295216.37485654111</c:v>
                </c:pt>
                <c:pt idx="17">
                  <c:v>315881.521096499</c:v>
                </c:pt>
                <c:pt idx="18">
                  <c:v>337993.22757325397</c:v>
                </c:pt>
                <c:pt idx="19">
                  <c:v>361652.7535033818</c:v>
                </c:pt>
                <c:pt idx="20">
                  <c:v>386968.44624861854</c:v>
                </c:pt>
              </c:numCache>
            </c:numRef>
          </c:val>
          <c:smooth val="0"/>
          <c:extLst>
            <c:ext xmlns:c16="http://schemas.microsoft.com/office/drawing/2014/chart" uri="{C3380CC4-5D6E-409C-BE32-E72D297353CC}">
              <c16:uniqueId val="{00000000-42AC-4DB3-8920-5DBA67BF4205}"/>
            </c:ext>
          </c:extLst>
        </c:ser>
        <c:ser>
          <c:idx val="1"/>
          <c:order val="1"/>
          <c:tx>
            <c:v>Fee A</c:v>
          </c:tx>
          <c:spPr>
            <a:ln w="28575">
              <a:solidFill>
                <a:srgbClr val="1E5A85"/>
              </a:solidFill>
              <a:prstDash val="solid"/>
            </a:ln>
          </c:spPr>
          <c:marker>
            <c:symbol val="none"/>
          </c:marker>
          <c:cat>
            <c:numRef>
              <c:f>_Engine!ch_y</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_Engine!ch_a</c:f>
              <c:numCache>
                <c:formatCode>General</c:formatCode>
                <c:ptCount val="21"/>
                <c:pt idx="0">
                  <c:v>100000</c:v>
                </c:pt>
                <c:pt idx="1">
                  <c:v>105930</c:v>
                </c:pt>
                <c:pt idx="2">
                  <c:v>112211.649</c:v>
                </c:pt>
                <c:pt idx="3">
                  <c:v>118865.7997857</c:v>
                </c:pt>
                <c:pt idx="4">
                  <c:v>125914.54171299202</c:v>
                </c:pt>
                <c:pt idx="5">
                  <c:v>133381.27403657246</c:v>
                </c:pt>
                <c:pt idx="6">
                  <c:v>141290.78358694122</c:v>
                </c:pt>
                <c:pt idx="7">
                  <c:v>149669.32705364685</c:v>
                </c:pt>
                <c:pt idx="8">
                  <c:v>158544.7181479281</c:v>
                </c:pt>
                <c:pt idx="9">
                  <c:v>167946.41993410024</c:v>
                </c:pt>
                <c:pt idx="10">
                  <c:v>177905.64263619238</c:v>
                </c:pt>
                <c:pt idx="11">
                  <c:v>188455.44724451861</c:v>
                </c:pt>
                <c:pt idx="12">
                  <c:v>199630.85526611857</c:v>
                </c:pt>
                <c:pt idx="13">
                  <c:v>211468.9649833994</c:v>
                </c:pt>
                <c:pt idx="14">
                  <c:v>224009.07460691498</c:v>
                </c:pt>
                <c:pt idx="15">
                  <c:v>237292.81273110505</c:v>
                </c:pt>
                <c:pt idx="16">
                  <c:v>251364.27652605961</c:v>
                </c:pt>
                <c:pt idx="17">
                  <c:v>266270.17812405498</c:v>
                </c:pt>
                <c:pt idx="18">
                  <c:v>282059.99968681141</c:v>
                </c:pt>
                <c:pt idx="19">
                  <c:v>298786.15766823932</c:v>
                </c:pt>
                <c:pt idx="20">
                  <c:v>316504.17681796593</c:v>
                </c:pt>
              </c:numCache>
            </c:numRef>
          </c:val>
          <c:smooth val="0"/>
          <c:extLst>
            <c:ext xmlns:c16="http://schemas.microsoft.com/office/drawing/2014/chart" uri="{C3380CC4-5D6E-409C-BE32-E72D297353CC}">
              <c16:uniqueId val="{00000001-42AC-4DB3-8920-5DBA67BF4205}"/>
            </c:ext>
          </c:extLst>
        </c:ser>
        <c:ser>
          <c:idx val="2"/>
          <c:order val="2"/>
          <c:tx>
            <c:v>Fee B</c:v>
          </c:tx>
          <c:spPr>
            <a:ln w="28575">
              <a:solidFill>
                <a:srgbClr val="146540"/>
              </a:solidFill>
              <a:prstDash val="solid"/>
            </a:ln>
          </c:spPr>
          <c:marker>
            <c:symbol val="none"/>
          </c:marker>
          <c:cat>
            <c:numRef>
              <c:f>_Engine!ch_y</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_Engine!ch_b</c:f>
              <c:numCache>
                <c:formatCode>General</c:formatCode>
                <c:ptCount val="21"/>
                <c:pt idx="0">
                  <c:v>100000</c:v>
                </c:pt>
                <c:pt idx="1">
                  <c:v>106786</c:v>
                </c:pt>
                <c:pt idx="2">
                  <c:v>114032.49796000001</c:v>
                </c:pt>
                <c:pt idx="3">
                  <c:v>121770.74327156562</c:v>
                </c:pt>
                <c:pt idx="4">
                  <c:v>130034.10590997407</c:v>
                </c:pt>
                <c:pt idx="5">
                  <c:v>138858.22033702492</c:v>
                </c:pt>
                <c:pt idx="6">
                  <c:v>148281.13916909543</c:v>
                </c:pt>
                <c:pt idx="7">
                  <c:v>158343.49727311023</c:v>
                </c:pt>
                <c:pt idx="8">
                  <c:v>169088.68699806352</c:v>
                </c:pt>
                <c:pt idx="9">
                  <c:v>180563.04529775213</c:v>
                </c:pt>
                <c:pt idx="10">
                  <c:v>192816.05355165759</c:v>
                </c:pt>
                <c:pt idx="11">
                  <c:v>205900.55094567311</c:v>
                </c:pt>
                <c:pt idx="12">
                  <c:v>219872.96233284648</c:v>
                </c:pt>
                <c:pt idx="13">
                  <c:v>234793.54155675345</c:v>
                </c:pt>
                <c:pt idx="14">
                  <c:v>250726.63128679476</c:v>
                </c:pt>
                <c:pt idx="15">
                  <c:v>267740.94048591662</c:v>
                </c:pt>
                <c:pt idx="16">
                  <c:v>285909.84070729098</c:v>
                </c:pt>
                <c:pt idx="17">
                  <c:v>305311.68249768775</c:v>
                </c:pt>
                <c:pt idx="18">
                  <c:v>326030.13327198091</c:v>
                </c:pt>
                <c:pt idx="19">
                  <c:v>348154.53811581759</c:v>
                </c:pt>
                <c:pt idx="20">
                  <c:v>371780.305072357</c:v>
                </c:pt>
              </c:numCache>
            </c:numRef>
          </c:val>
          <c:smooth val="0"/>
          <c:extLst>
            <c:ext xmlns:c16="http://schemas.microsoft.com/office/drawing/2014/chart" uri="{C3380CC4-5D6E-409C-BE32-E72D297353CC}">
              <c16:uniqueId val="{00000002-42AC-4DB3-8920-5DBA67BF4205}"/>
            </c:ext>
          </c:extLst>
        </c:ser>
        <c:ser>
          <c:idx val="3"/>
          <c:order val="3"/>
          <c:tx>
            <c:v>Fee C</c:v>
          </c:tx>
          <c:spPr>
            <a:ln w="28575">
              <a:solidFill>
                <a:srgbClr val="A65F00"/>
              </a:solidFill>
              <a:prstDash val="solid"/>
            </a:ln>
          </c:spPr>
          <c:marker>
            <c:symbol val="none"/>
          </c:marker>
          <c:cat>
            <c:numRef>
              <c:f>_Engine!ch_y</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_Engine!ch_c</c:f>
              <c:numCache>
                <c:formatCode>General</c:formatCode>
                <c:ptCount val="21"/>
                <c:pt idx="0">
                  <c:v>100000</c:v>
                </c:pt>
                <c:pt idx="1">
                  <c:v>106946.5</c:v>
                </c:pt>
                <c:pt idx="2">
                  <c:v>114375.53862250001</c:v>
                </c:pt>
                <c:pt idx="3">
                  <c:v>122320.63541291199</c:v>
                </c:pt>
                <c:pt idx="4">
                  <c:v>130817.63835186993</c:v>
                </c:pt>
                <c:pt idx="5">
                  <c:v>139904.88559998258</c:v>
                </c:pt>
                <c:pt idx="6">
                  <c:v>149623.37847818536</c:v>
                </c:pt>
                <c:pt idx="7">
                  <c:v>160016.96646417252</c:v>
                </c:pt>
                <c:pt idx="8">
                  <c:v>171132.54503960628</c:v>
                </c:pt>
                <c:pt idx="9">
                  <c:v>183020.26728078254</c:v>
                </c:pt>
                <c:pt idx="10">
                  <c:v>195733.77014744212</c:v>
                </c:pt>
                <c:pt idx="11">
                  <c:v>209330.41649073421</c:v>
                </c:pt>
                <c:pt idx="12">
                  <c:v>223871.55387226306</c:v>
                </c:pt>
                <c:pt idx="13">
                  <c:v>239422.79136199984</c:v>
                </c:pt>
                <c:pt idx="14">
                  <c:v>256054.29556396118</c:v>
                </c:pt>
                <c:pt idx="15">
                  <c:v>273841.10720531171</c:v>
                </c:pt>
                <c:pt idx="16">
                  <c:v>292863.47971732874</c:v>
                </c:pt>
                <c:pt idx="17">
                  <c:v>313207.24133589299</c:v>
                </c:pt>
                <c:pt idx="18">
                  <c:v>334964.1823552908</c:v>
                </c:pt>
                <c:pt idx="19">
                  <c:v>358232.46928260115</c:v>
                </c:pt>
                <c:pt idx="20">
                  <c:v>383117.08776131703</c:v>
                </c:pt>
              </c:numCache>
            </c:numRef>
          </c:val>
          <c:smooth val="0"/>
          <c:extLst>
            <c:ext xmlns:c16="http://schemas.microsoft.com/office/drawing/2014/chart" uri="{C3380CC4-5D6E-409C-BE32-E72D297353CC}">
              <c16:uniqueId val="{00000003-42AC-4DB3-8920-5DBA67BF4205}"/>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rPr lang="en-US"/>
                  <a:t>Years from today</a:t>
                </a:r>
              </a:p>
            </c:rich>
          </c:tx>
          <c:overlay val="0"/>
        </c:title>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spPr>
            <a:ln>
              <a:solidFill>
                <a:srgbClr val="DBE3EF"/>
              </a:solidFill>
              <a:prstDash val="dash"/>
            </a:ln>
          </c:spPr>
        </c:majorGridlines>
        <c:title>
          <c:tx>
            <c:rich>
              <a:bodyPr/>
              <a:lstStyle/>
              <a:p>
                <a:pPr>
                  <a:defRPr/>
                </a:pPr>
                <a:r>
                  <a:rPr lang="en-US"/>
                  <a:t>Your money</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43</xdr:row>
      <xdr:rowOff>0</xdr:rowOff>
    </xdr:from>
    <xdr:ext cx="6840000" cy="342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eedtheseapps.com/apps/financial/investment-fee-calculator/" TargetMode="External"/><Relationship Id="rId1" Type="http://schemas.openxmlformats.org/officeDocument/2006/relationships/hyperlink" Target="https://needtheseapps.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needtheseapps.com/apps/financial/investment-fee-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
  <sheetViews>
    <sheetView showGridLines="0" tabSelected="1" workbookViewId="0">
      <pane ySplit="6" topLeftCell="A7" activePane="bottomLeft" state="frozen"/>
      <selection pane="bottomLeft"/>
    </sheetView>
  </sheetViews>
  <sheetFormatPr defaultRowHeight="15" x14ac:dyDescent="0.25"/>
  <cols>
    <col min="1" max="1" width="2.140625" customWidth="1"/>
    <col min="2" max="2" width="42" customWidth="1"/>
    <col min="3" max="3" width="20" customWidth="1"/>
    <col min="4" max="4" width="1.5703125" customWidth="1"/>
    <col min="5" max="5" width="20" customWidth="1"/>
    <col min="6" max="6" width="1.5703125" customWidth="1"/>
    <col min="7" max="7" width="20" customWidth="1"/>
    <col min="8" max="8" width="2.140625" customWidth="1"/>
  </cols>
  <sheetData>
    <row r="1" spans="1:8" x14ac:dyDescent="0.25">
      <c r="A1" s="1"/>
      <c r="B1" s="1"/>
      <c r="C1" s="1"/>
      <c r="D1" s="1"/>
      <c r="E1" s="1"/>
      <c r="F1" s="1"/>
      <c r="G1" s="1"/>
      <c r="H1" s="1"/>
    </row>
    <row r="2" spans="1:8" ht="18" customHeight="1" x14ac:dyDescent="0.25">
      <c r="A2" s="1"/>
      <c r="B2" s="35" t="s">
        <v>0</v>
      </c>
      <c r="C2" s="23"/>
      <c r="D2" s="23"/>
      <c r="E2" s="1"/>
      <c r="F2" s="1"/>
      <c r="G2" s="1"/>
      <c r="H2" s="1"/>
    </row>
    <row r="3" spans="1:8" ht="32.1" customHeight="1" x14ac:dyDescent="0.25">
      <c r="A3" s="1"/>
      <c r="B3" s="33" t="s">
        <v>1</v>
      </c>
      <c r="C3" s="23"/>
      <c r="D3" s="23"/>
      <c r="E3" s="23"/>
      <c r="F3" s="23"/>
      <c r="G3" s="23"/>
      <c r="H3" s="1"/>
    </row>
    <row r="4" spans="1:8" ht="24" customHeight="1" x14ac:dyDescent="0.25">
      <c r="A4" s="1"/>
      <c r="B4" s="31" t="s">
        <v>2</v>
      </c>
      <c r="C4" s="23"/>
      <c r="D4" s="23"/>
      <c r="E4" s="23"/>
      <c r="F4" s="23"/>
      <c r="G4" s="23"/>
      <c r="H4" s="1"/>
    </row>
    <row r="5" spans="1:8" ht="20.100000000000001" customHeight="1" x14ac:dyDescent="0.25">
      <c r="A5" s="1"/>
      <c r="B5" s="30" t="s">
        <v>3</v>
      </c>
      <c r="C5" s="23"/>
      <c r="D5" s="23"/>
      <c r="E5" s="23"/>
      <c r="F5" s="23"/>
      <c r="G5" s="23"/>
      <c r="H5" s="1"/>
    </row>
    <row r="6" spans="1:8" x14ac:dyDescent="0.25">
      <c r="A6" s="1"/>
      <c r="B6" s="1"/>
      <c r="C6" s="1"/>
      <c r="D6" s="1"/>
      <c r="E6" s="1"/>
      <c r="F6" s="1"/>
      <c r="G6" s="1"/>
      <c r="H6" s="1"/>
    </row>
    <row r="7" spans="1:8" ht="26.1" customHeight="1" x14ac:dyDescent="0.25">
      <c r="A7" s="1"/>
      <c r="B7" s="32" t="s">
        <v>4</v>
      </c>
      <c r="C7" s="23"/>
      <c r="D7" s="23"/>
      <c r="E7" s="23"/>
      <c r="F7" s="23"/>
      <c r="G7" s="23"/>
      <c r="H7" s="1"/>
    </row>
    <row r="8" spans="1:8" ht="24" customHeight="1" x14ac:dyDescent="0.25">
      <c r="A8" s="1"/>
      <c r="B8" s="2" t="s">
        <v>5</v>
      </c>
      <c r="C8" s="3" t="s">
        <v>6</v>
      </c>
      <c r="D8" s="1"/>
      <c r="E8" s="1"/>
      <c r="F8" s="1"/>
      <c r="G8" s="1"/>
      <c r="H8" s="1"/>
    </row>
    <row r="9" spans="1:8" ht="24" customHeight="1" x14ac:dyDescent="0.25">
      <c r="A9" s="1"/>
      <c r="B9" s="2" t="s">
        <v>7</v>
      </c>
      <c r="C9" s="4">
        <v>100000</v>
      </c>
      <c r="D9" s="1"/>
      <c r="E9" s="22" t="s">
        <v>8</v>
      </c>
      <c r="F9" s="23"/>
      <c r="G9" s="23"/>
      <c r="H9" s="1"/>
    </row>
    <row r="10" spans="1:8" ht="24" customHeight="1" x14ac:dyDescent="0.25">
      <c r="A10" s="1"/>
      <c r="B10" s="2" t="s">
        <v>9</v>
      </c>
      <c r="C10" s="4">
        <v>0</v>
      </c>
      <c r="D10" s="1"/>
      <c r="E10" s="22" t="s">
        <v>10</v>
      </c>
      <c r="F10" s="23"/>
      <c r="G10" s="23"/>
      <c r="H10" s="1"/>
    </row>
    <row r="11" spans="1:8" ht="24" customHeight="1" x14ac:dyDescent="0.25">
      <c r="A11" s="1"/>
      <c r="B11" s="2" t="s">
        <v>11</v>
      </c>
      <c r="C11" s="5">
        <v>20</v>
      </c>
      <c r="D11" s="1"/>
      <c r="E11" s="22" t="s">
        <v>12</v>
      </c>
      <c r="F11" s="23"/>
      <c r="G11" s="23"/>
      <c r="H11" s="1"/>
    </row>
    <row r="12" spans="1:8" ht="33.950000000000003" customHeight="1" x14ac:dyDescent="0.25">
      <c r="A12" s="1"/>
      <c r="B12" s="2" t="s">
        <v>13</v>
      </c>
      <c r="C12" s="6">
        <v>7</v>
      </c>
      <c r="D12" s="1"/>
      <c r="E12" s="22" t="s">
        <v>14</v>
      </c>
      <c r="F12" s="23"/>
      <c r="G12" s="23"/>
      <c r="H12" s="1"/>
    </row>
    <row r="13" spans="1:8" ht="33.950000000000003" customHeight="1" x14ac:dyDescent="0.25">
      <c r="A13" s="1"/>
      <c r="B13" s="2" t="s">
        <v>15</v>
      </c>
      <c r="C13" s="6">
        <v>1</v>
      </c>
      <c r="D13" s="1"/>
      <c r="E13" s="22" t="s">
        <v>16</v>
      </c>
      <c r="F13" s="23"/>
      <c r="G13" s="23"/>
      <c r="H13" s="1"/>
    </row>
    <row r="14" spans="1:8" ht="24" customHeight="1" x14ac:dyDescent="0.25">
      <c r="A14" s="1"/>
      <c r="B14" s="2" t="s">
        <v>17</v>
      </c>
      <c r="C14" s="6">
        <v>0.2</v>
      </c>
      <c r="D14" s="1"/>
      <c r="E14" s="22" t="s">
        <v>18</v>
      </c>
      <c r="F14" s="23"/>
      <c r="G14" s="23"/>
      <c r="H14" s="1"/>
    </row>
    <row r="15" spans="1:8" ht="24" customHeight="1" x14ac:dyDescent="0.25">
      <c r="A15" s="1"/>
      <c r="B15" s="2" t="s">
        <v>19</v>
      </c>
      <c r="C15" s="6">
        <v>0.05</v>
      </c>
      <c r="D15" s="1"/>
      <c r="E15" s="22" t="s">
        <v>20</v>
      </c>
      <c r="F15" s="23"/>
      <c r="G15" s="23"/>
      <c r="H15" s="1"/>
    </row>
    <row r="16" spans="1:8" ht="33.950000000000003" customHeight="1" x14ac:dyDescent="0.25">
      <c r="A16" s="1"/>
      <c r="B16" s="2" t="s">
        <v>21</v>
      </c>
      <c r="C16" s="6">
        <v>0</v>
      </c>
      <c r="D16" s="1"/>
      <c r="E16" s="22" t="s">
        <v>22</v>
      </c>
      <c r="F16" s="23"/>
      <c r="G16" s="23"/>
      <c r="H16" s="1"/>
    </row>
    <row r="17" spans="1:8" ht="33.950000000000003" customHeight="1" x14ac:dyDescent="0.25">
      <c r="A17" s="1"/>
      <c r="B17" s="2" t="s">
        <v>23</v>
      </c>
      <c r="C17" s="4">
        <v>0</v>
      </c>
      <c r="D17" s="1"/>
      <c r="E17" s="22" t="s">
        <v>24</v>
      </c>
      <c r="F17" s="23"/>
      <c r="G17" s="23"/>
      <c r="H17" s="1"/>
    </row>
    <row r="18" spans="1:8" ht="24" customHeight="1" x14ac:dyDescent="0.25">
      <c r="A18" s="1"/>
      <c r="B18" s="2" t="s">
        <v>25</v>
      </c>
      <c r="C18" s="6">
        <v>0</v>
      </c>
      <c r="D18" s="1"/>
      <c r="E18" s="22" t="s">
        <v>26</v>
      </c>
      <c r="F18" s="23"/>
      <c r="G18" s="23"/>
      <c r="H18" s="1"/>
    </row>
    <row r="19" spans="1:8" ht="21" customHeight="1" x14ac:dyDescent="0.25">
      <c r="A19" s="1"/>
      <c r="B19" s="26" t="str">
        <f>"Edit the eleven blue cells. Everything else calculates automatically. Amounts are shown in "&amp;$C$8&amp;"."</f>
        <v>Edit the eleven blue cells. Everything else calculates automatically. Amounts are shown in $.</v>
      </c>
      <c r="C19" s="23"/>
      <c r="D19" s="23"/>
      <c r="E19" s="23"/>
      <c r="F19" s="23"/>
      <c r="G19" s="23"/>
      <c r="H19" s="1"/>
    </row>
    <row r="20" spans="1:8" x14ac:dyDescent="0.25">
      <c r="A20" s="1"/>
      <c r="B20" s="1"/>
      <c r="C20" s="1"/>
      <c r="D20" s="1"/>
      <c r="E20" s="1"/>
      <c r="F20" s="1"/>
      <c r="G20" s="1"/>
      <c r="H20" s="1"/>
    </row>
    <row r="21" spans="1:8" ht="26.1" customHeight="1" x14ac:dyDescent="0.25">
      <c r="A21" s="1"/>
      <c r="B21" s="32" t="s">
        <v>27</v>
      </c>
      <c r="C21" s="23"/>
      <c r="D21" s="23"/>
      <c r="E21" s="23"/>
      <c r="F21" s="23"/>
      <c r="G21" s="23"/>
      <c r="H21" s="1"/>
    </row>
    <row r="22" spans="1:8" ht="33.950000000000003" customHeight="1" x14ac:dyDescent="0.25">
      <c r="A22" s="1"/>
      <c r="B22" s="34" t="str">
        <f>IF(_Engine!$B$31=1,"Enter an amount or a monthly addition","The fee will take "&amp;$C$8&amp;TEXT(ROUND(_Engine!$B$23,0),"#,##0"))</f>
        <v>The fee will take $70,464</v>
      </c>
      <c r="C22" s="23"/>
      <c r="D22" s="23"/>
      <c r="E22" s="23"/>
      <c r="F22" s="23"/>
      <c r="G22" s="23"/>
      <c r="H22" s="1"/>
    </row>
    <row r="23" spans="1:8" ht="36" customHeight="1" x14ac:dyDescent="0.25">
      <c r="A23" s="1"/>
      <c r="B23" s="24" t="str">
        <f>IF(_Engine!$B$31=1,"","If you leave "&amp;$C$8&amp;TEXT(Calculator!$C$9,"#,##0")&amp;" invested"&amp;IF(Calculator!$C$10&gt;0,", plus "&amp;$C$8&amp;TEXT(Calculator!$C$10,"#,##0")&amp;" a month,","")&amp;" for the next "&amp;Calculator!$C$11&amp;IF(Calculator!$C$11=1," year"," years")&amp;", growing "&amp;IF(Calculator!$C$12=INT(Calculator!$C$12),TEXT(Calculator!$C$12,"0"),TEXT(Calculator!$C$12,"0.0#"))&amp;"% a year:")</f>
        <v>If you leave $100,000 invested for the next 20 years, growing 7% a year:</v>
      </c>
      <c r="C23" s="23"/>
      <c r="D23" s="23"/>
      <c r="E23" s="23"/>
      <c r="F23" s="23"/>
      <c r="G23" s="23"/>
      <c r="H23" s="1"/>
    </row>
    <row r="24" spans="1:8" ht="21.95" customHeight="1" x14ac:dyDescent="0.25">
      <c r="A24" s="1"/>
      <c r="B24" s="24" t="str">
        <f>IF(_Engine!$B$31=1,"","With no fee it would grow to "&amp;$C$8&amp;TEXT(ROUND(_Engine!$B$15,0),"#,##0")&amp;". With your "&amp;IF(_Engine!$B$7=INT(_Engine!$B$7),TEXT(_Engine!$B$7,"0"),TEXT(_Engine!$B$7,"0.0#"))&amp;"% fee it will grow to "&amp;$C$8&amp;TEXT(ROUND(_Engine!$B$16,0),"#,##0")&amp;".")</f>
        <v>With no fee it would grow to $386,968. With your 1% fee it will grow to $316,504.</v>
      </c>
      <c r="C24" s="23"/>
      <c r="D24" s="23"/>
      <c r="E24" s="23"/>
      <c r="F24" s="23"/>
      <c r="G24" s="23"/>
      <c r="H24" s="1"/>
    </row>
    <row r="25" spans="1:8" ht="20.100000000000001" customHeight="1" x14ac:dyDescent="0.25">
      <c r="A25" s="1"/>
      <c r="B25" s="24" t="str">
        <f>IF(AND(_Engine!$B$31=0,_Engine!$B$29=1),"Your money did not grow, so the fee came straight out of your own money.","")</f>
        <v/>
      </c>
      <c r="C25" s="23"/>
      <c r="D25" s="23"/>
      <c r="E25" s="23"/>
      <c r="F25" s="23"/>
      <c r="G25" s="23"/>
      <c r="H25" s="1"/>
    </row>
    <row r="26" spans="1:8" x14ac:dyDescent="0.25">
      <c r="A26" s="1"/>
      <c r="B26" s="1"/>
      <c r="C26" s="1"/>
      <c r="D26" s="1"/>
      <c r="E26" s="1"/>
      <c r="F26" s="1"/>
      <c r="G26" s="1"/>
      <c r="H26" s="1"/>
    </row>
    <row r="27" spans="1:8" ht="26.1" customHeight="1" x14ac:dyDescent="0.25">
      <c r="A27" s="1"/>
      <c r="B27" s="32" t="s">
        <v>28</v>
      </c>
      <c r="C27" s="23"/>
      <c r="D27" s="23"/>
      <c r="E27" s="23"/>
      <c r="F27" s="23"/>
      <c r="G27" s="23"/>
      <c r="H27" s="1"/>
    </row>
    <row r="28" spans="1:8" ht="33.950000000000003" customHeight="1" x14ac:dyDescent="0.25">
      <c r="A28" s="1"/>
      <c r="B28" s="7"/>
      <c r="C28" s="8" t="str">
        <f>"Fee A, "&amp;IF(_Engine!$B$7=INT(_Engine!$B$7),TEXT(_Engine!$B$7,"0"),TEXT(_Engine!$B$7,"0.0#"))&amp;"% a year"</f>
        <v>Fee A, 1% a year</v>
      </c>
      <c r="D28" s="7"/>
      <c r="E28" s="8" t="str">
        <f>IF(_Engine!$B$5=1,"Fee B, "&amp;IF(_Engine!$B$8=INT(_Engine!$B$8),TEXT(_Engine!$B$8,"0"),TEXT(_Engine!$B$8,"0.0#"))&amp;"% a year","Fee B: not used")</f>
        <v>Fee B, 0.2% a year</v>
      </c>
      <c r="F28" s="7"/>
      <c r="G28" s="8" t="str">
        <f>IF(_Engine!$B$6=1,"Fee C, "&amp;IF(_Engine!$B$9=INT(_Engine!$B$9),TEXT(_Engine!$B$9,"0"),TEXT(_Engine!$B$9,"0.0#"))&amp;"% a year","Fee C: not used")</f>
        <v>Fee C, 0.05% a year</v>
      </c>
      <c r="H28" s="1"/>
    </row>
    <row r="29" spans="1:8" ht="24" customHeight="1" x14ac:dyDescent="0.25">
      <c r="A29" s="1"/>
      <c r="B29" s="9" t="s">
        <v>29</v>
      </c>
      <c r="C29" s="10">
        <f>ROUND(_Engine!$B$16,0)</f>
        <v>316504</v>
      </c>
      <c r="D29" s="9"/>
      <c r="E29" s="10">
        <f>IF(_Engine!$B$5=1,ROUND(_Engine!$B$17,0),"")</f>
        <v>371780</v>
      </c>
      <c r="F29" s="9"/>
      <c r="G29" s="10">
        <f>IF(_Engine!$B$6=1,ROUND(_Engine!$B$18,0),"")</f>
        <v>383117</v>
      </c>
      <c r="H29" s="1"/>
    </row>
    <row r="30" spans="1:8" ht="24" customHeight="1" x14ac:dyDescent="0.25">
      <c r="A30" s="1"/>
      <c r="B30" s="11" t="s">
        <v>30</v>
      </c>
      <c r="C30" s="12">
        <f>ROUND(_Engine!$B$23,0)</f>
        <v>70464</v>
      </c>
      <c r="D30" s="9"/>
      <c r="E30" s="12">
        <f>IF(_Engine!$B$5=1,ROUND(_Engine!$B$24,0),"")</f>
        <v>15188</v>
      </c>
      <c r="F30" s="9"/>
      <c r="G30" s="12">
        <f>IF(_Engine!$B$6=1,ROUND(_Engine!$B$25,0),"")</f>
        <v>3851</v>
      </c>
      <c r="H30" s="1"/>
    </row>
    <row r="31" spans="1:8" ht="24" customHeight="1" x14ac:dyDescent="0.25">
      <c r="A31" s="1"/>
      <c r="B31" s="13" t="s">
        <v>31</v>
      </c>
      <c r="C31" s="14">
        <f>ROUND(_Engine!$B$20,0)</f>
        <v>39066</v>
      </c>
      <c r="D31" s="9"/>
      <c r="E31" s="14">
        <f>IF(_Engine!$B$5=1,ROUND(_Engine!$B$21,0),"")</f>
        <v>8571</v>
      </c>
      <c r="F31" s="9"/>
      <c r="G31" s="14">
        <f>IF(_Engine!$B$6=1,ROUND(_Engine!$B$22,0),"")</f>
        <v>2180</v>
      </c>
      <c r="H31" s="1"/>
    </row>
    <row r="32" spans="1:8" ht="24" customHeight="1" x14ac:dyDescent="0.25">
      <c r="A32" s="1"/>
      <c r="B32" s="13" t="s">
        <v>32</v>
      </c>
      <c r="C32" s="14">
        <f>ROUND(_Engine!$B$23,0)-ROUND(_Engine!$B$20,0)</f>
        <v>31398</v>
      </c>
      <c r="D32" s="9"/>
      <c r="E32" s="14">
        <f>IF(_Engine!$B$5=1,ROUND(_Engine!$B$24,0)-ROUND(_Engine!$B$21,0),"")</f>
        <v>6617</v>
      </c>
      <c r="F32" s="9"/>
      <c r="G32" s="14">
        <f>IF(_Engine!$B$6=1,ROUND(_Engine!$B$25,0)-ROUND(_Engine!$B$22,0),"")</f>
        <v>1671</v>
      </c>
      <c r="H32" s="1"/>
    </row>
    <row r="33" spans="1:8" ht="33.950000000000003" customHeight="1" x14ac:dyDescent="0.25">
      <c r="A33" s="1"/>
      <c r="B33" s="13" t="s">
        <v>33</v>
      </c>
      <c r="C33" s="15" t="str">
        <f>"The fee you pay"</f>
        <v>The fee you pay</v>
      </c>
      <c r="D33" s="9"/>
      <c r="E33" s="15" t="str">
        <f>IF(_Engine!$B$5=1,IF((ROUND(_Engine!$B$17,0)-ROUND(_Engine!$B$16,0))&gt;0,"You keep "&amp;$C$8&amp;TEXT(ABS((ROUND(_Engine!$B$17,0)-ROUND(_Engine!$B$16,0))),"#,##0")&amp;" more",IF((ROUND(_Engine!$B$17,0)-ROUND(_Engine!$B$16,0))&lt;0,"You keep "&amp;$C$8&amp;TEXT(ABS((ROUND(_Engine!$B$17,0)-ROUND(_Engine!$B$16,0))),"#,##0")&amp;" less","The same as Fee A")),"")</f>
        <v>You keep $55,276 more</v>
      </c>
      <c r="F33" s="9"/>
      <c r="G33" s="15" t="str">
        <f>IF(_Engine!$B$6=1,IF((ROUND(_Engine!$B$18,0)-ROUND(_Engine!$B$16,0))&gt;0,"You keep "&amp;$C$8&amp;TEXT(ABS((ROUND(_Engine!$B$18,0)-ROUND(_Engine!$B$16,0))),"#,##0")&amp;" more",IF((ROUND(_Engine!$B$18,0)-ROUND(_Engine!$B$16,0))&lt;0,"You keep "&amp;$C$8&amp;TEXT(ABS((ROUND(_Engine!$B$18,0)-ROUND(_Engine!$B$16,0))),"#,##0")&amp;" less","The same as Fee A")),"")</f>
        <v>You keep $66,613 more</v>
      </c>
      <c r="H33" s="1"/>
    </row>
    <row r="34" spans="1:8" ht="33.950000000000003" customHeight="1" x14ac:dyDescent="0.25">
      <c r="A34" s="1"/>
      <c r="B34" s="13" t="s">
        <v>34</v>
      </c>
      <c r="C34" s="15" t="str">
        <f>IF(ROUND(_Engine!$B$23,0)&gt;0,$C$8&amp;TEXT(ROUND(_Engine!$B$23,0),"#,##0")&amp;" less than with no fee","The same as with no fee")</f>
        <v>$70,464 less than with no fee</v>
      </c>
      <c r="D34" s="9"/>
      <c r="E34" s="15" t="str">
        <f>IF(_Engine!$B$5=1,IF(ROUND(_Engine!$B$24,0)&gt;0,$C$8&amp;TEXT(ROUND(_Engine!$B$24,0),"#,##0")&amp;" less than with no fee","The same as with no fee"),"")</f>
        <v>$15,188 less than with no fee</v>
      </c>
      <c r="F34" s="9"/>
      <c r="G34" s="15" t="str">
        <f>IF(_Engine!$B$6=1,IF(ROUND(_Engine!$B$25,0)&gt;0,$C$8&amp;TEXT(ROUND(_Engine!$B$25,0),"#,##0")&amp;" less than with no fee","The same as with no fee"),"")</f>
        <v>$3,851 less than with no fee</v>
      </c>
      <c r="H34" s="1"/>
    </row>
    <row r="35" spans="1:8" x14ac:dyDescent="0.25">
      <c r="A35" s="1"/>
      <c r="B35" s="1"/>
      <c r="C35" s="1"/>
      <c r="D35" s="1"/>
      <c r="E35" s="1"/>
      <c r="F35" s="1"/>
      <c r="G35" s="1"/>
      <c r="H35" s="1"/>
    </row>
    <row r="36" spans="1:8" ht="36" customHeight="1" x14ac:dyDescent="0.25">
      <c r="A36" s="1"/>
      <c r="B36" s="24" t="str">
        <f>IF(_Engine!$B$31=1,"","Every 0.1% of yearly fee costs you about "&amp;$C$8&amp;TEXT(ROUND(_Engine!$B$28,0),"#,##0")&amp;" over "&amp;Calculator!$C$11&amp;IF(Calculator!$C$11=1," year"," years")&amp;" (no other fee counted). With no fee: "&amp;$C$8&amp;TEXT(ROUND(_Engine!$B$15,0),"#,##0")&amp;". With 0.1%: "&amp;$C$8&amp;TEXT(ROUND(_Engine!$B$19,0),"#,##0")&amp;".")</f>
        <v>Every 0.1% of yearly fee costs you about $7,666 over 20 years (no other fee counted). With no fee: $386,968. With 0.1%: $379,302.</v>
      </c>
      <c r="C36" s="23"/>
      <c r="D36" s="23"/>
      <c r="E36" s="23"/>
      <c r="F36" s="23"/>
      <c r="G36" s="23"/>
      <c r="H36" s="1"/>
    </row>
    <row r="37" spans="1:8" ht="21.95" customHeight="1" x14ac:dyDescent="0.25">
      <c r="A37" s="1"/>
      <c r="B37" s="24" t="str">
        <f>IF(OR(_Engine!$B$31=1,_Engine!$B$5+_Engine!$B$6=0),"","Between the highest and the lowest fee the difference is "&amp;$C$8&amp;TEXT(_Engine!$B$26-_Engine!$B$27,"#,##0")&amp;" over "&amp;Calculator!$C$11&amp;IF(Calculator!$C$11=1," year"," years")&amp;".")</f>
        <v>Between the highest and the lowest fee the difference is $66,613 over 20 years.</v>
      </c>
      <c r="C37" s="23"/>
      <c r="D37" s="23"/>
      <c r="E37" s="23"/>
      <c r="F37" s="23"/>
      <c r="G37" s="23"/>
      <c r="H37" s="1"/>
    </row>
    <row r="38" spans="1:8" ht="30" customHeight="1" x14ac:dyDescent="0.25">
      <c r="A38" s="1"/>
      <c r="B38" s="25" t="s">
        <v>35</v>
      </c>
      <c r="C38" s="23"/>
      <c r="D38" s="23"/>
      <c r="E38" s="23"/>
      <c r="F38" s="23"/>
      <c r="G38" s="23"/>
      <c r="H38" s="1"/>
    </row>
    <row r="39" spans="1:8" x14ac:dyDescent="0.25">
      <c r="A39" s="1"/>
      <c r="B39" s="1"/>
      <c r="C39" s="1"/>
      <c r="D39" s="1"/>
      <c r="E39" s="1"/>
      <c r="F39" s="1"/>
      <c r="G39" s="1"/>
      <c r="H39" s="1"/>
    </row>
    <row r="40" spans="1:8" ht="24" customHeight="1" x14ac:dyDescent="0.25">
      <c r="A40" s="1"/>
      <c r="B40" s="27" t="s">
        <v>36</v>
      </c>
      <c r="C40" s="28"/>
      <c r="D40" s="28"/>
      <c r="E40" s="28"/>
      <c r="F40" s="28"/>
      <c r="G40" s="28"/>
      <c r="H40" s="1"/>
    </row>
    <row r="41" spans="1:8" ht="24" customHeight="1" x14ac:dyDescent="0.25">
      <c r="A41" s="1"/>
      <c r="B41" s="29"/>
      <c r="C41" s="23"/>
      <c r="D41" s="23"/>
      <c r="E41" s="23"/>
      <c r="F41" s="23"/>
      <c r="G41" s="23"/>
      <c r="H41" s="1"/>
    </row>
    <row r="42" spans="1:8" ht="24" customHeight="1" x14ac:dyDescent="0.25">
      <c r="A42" s="1"/>
      <c r="B42" s="29"/>
      <c r="C42" s="23"/>
      <c r="D42" s="23"/>
      <c r="E42" s="23"/>
      <c r="F42" s="23"/>
      <c r="G42" s="23"/>
      <c r="H42" s="1"/>
    </row>
    <row r="43" spans="1:8" x14ac:dyDescent="0.25">
      <c r="A43" s="1"/>
      <c r="B43" s="1"/>
      <c r="C43" s="1"/>
      <c r="D43" s="1"/>
      <c r="E43" s="1"/>
      <c r="F43" s="1"/>
      <c r="G43" s="1"/>
      <c r="H43" s="1"/>
    </row>
    <row r="44" spans="1:8" x14ac:dyDescent="0.25">
      <c r="A44" s="1"/>
      <c r="B44" s="1"/>
      <c r="C44" s="1"/>
      <c r="D44" s="1"/>
      <c r="E44" s="1"/>
      <c r="F44" s="1"/>
      <c r="G44" s="1"/>
      <c r="H44" s="1"/>
    </row>
    <row r="45" spans="1:8" x14ac:dyDescent="0.25">
      <c r="A45" s="1"/>
      <c r="B45" s="1"/>
      <c r="C45" s="1"/>
      <c r="D45" s="1"/>
      <c r="E45" s="1"/>
      <c r="F45" s="1"/>
      <c r="G45" s="1"/>
      <c r="H45" s="1"/>
    </row>
    <row r="46" spans="1:8" x14ac:dyDescent="0.25">
      <c r="A46" s="1"/>
      <c r="B46" s="1"/>
      <c r="C46" s="1"/>
      <c r="D46" s="1"/>
      <c r="E46" s="1"/>
      <c r="F46" s="1"/>
      <c r="G46" s="1"/>
      <c r="H46" s="1"/>
    </row>
    <row r="47" spans="1:8" x14ac:dyDescent="0.25">
      <c r="A47" s="1"/>
      <c r="B47" s="1"/>
      <c r="C47" s="1"/>
      <c r="D47" s="1"/>
      <c r="E47" s="1"/>
      <c r="F47" s="1"/>
      <c r="G47" s="1"/>
      <c r="H47" s="1"/>
    </row>
    <row r="48" spans="1:8" x14ac:dyDescent="0.25">
      <c r="A48" s="1"/>
      <c r="B48" s="1"/>
      <c r="C48" s="1"/>
      <c r="D48" s="1"/>
      <c r="E48" s="1"/>
      <c r="F48" s="1"/>
      <c r="G48" s="1"/>
      <c r="H48" s="1"/>
    </row>
    <row r="49" spans="1:8" x14ac:dyDescent="0.25">
      <c r="A49" s="1"/>
      <c r="B49" s="1"/>
      <c r="C49" s="1"/>
      <c r="D49" s="1"/>
      <c r="E49" s="1"/>
      <c r="F49" s="1"/>
      <c r="G49" s="1"/>
      <c r="H49" s="1"/>
    </row>
    <row r="50" spans="1:8" x14ac:dyDescent="0.25">
      <c r="A50" s="1"/>
      <c r="B50" s="1"/>
      <c r="C50" s="1"/>
      <c r="D50" s="1"/>
      <c r="E50" s="1"/>
      <c r="F50" s="1"/>
      <c r="G50" s="1"/>
      <c r="H50" s="1"/>
    </row>
    <row r="51" spans="1:8" x14ac:dyDescent="0.25">
      <c r="A51" s="1"/>
      <c r="B51" s="1"/>
      <c r="C51" s="1"/>
      <c r="D51" s="1"/>
      <c r="E51" s="1"/>
      <c r="F51" s="1"/>
      <c r="G51" s="1"/>
      <c r="H51" s="1"/>
    </row>
    <row r="52" spans="1:8" x14ac:dyDescent="0.25">
      <c r="A52" s="1"/>
      <c r="B52" s="1"/>
      <c r="C52" s="1"/>
      <c r="D52" s="1"/>
      <c r="E52" s="1"/>
      <c r="F52" s="1"/>
      <c r="G52" s="1"/>
      <c r="H52" s="1"/>
    </row>
    <row r="53" spans="1:8" x14ac:dyDescent="0.25">
      <c r="A53" s="1"/>
      <c r="B53" s="1"/>
      <c r="C53" s="1"/>
      <c r="D53" s="1"/>
      <c r="E53" s="1"/>
      <c r="F53" s="1"/>
      <c r="G53" s="1"/>
      <c r="H53" s="1"/>
    </row>
    <row r="54" spans="1:8" x14ac:dyDescent="0.25">
      <c r="A54" s="1"/>
      <c r="B54" s="1"/>
      <c r="C54" s="1"/>
      <c r="D54" s="1"/>
      <c r="E54" s="1"/>
      <c r="F54" s="1"/>
      <c r="G54" s="1"/>
      <c r="H54" s="1"/>
    </row>
    <row r="55" spans="1:8" x14ac:dyDescent="0.25">
      <c r="A55" s="1"/>
      <c r="B55" s="1"/>
      <c r="C55" s="1"/>
      <c r="D55" s="1"/>
      <c r="E55" s="1"/>
      <c r="F55" s="1"/>
      <c r="G55" s="1"/>
      <c r="H55" s="1"/>
    </row>
    <row r="56" spans="1:8" x14ac:dyDescent="0.25">
      <c r="A56" s="1"/>
      <c r="B56" s="1"/>
      <c r="C56" s="1"/>
      <c r="D56" s="1"/>
      <c r="E56" s="1"/>
      <c r="F56" s="1"/>
      <c r="G56" s="1"/>
      <c r="H56" s="1"/>
    </row>
    <row r="57" spans="1:8" x14ac:dyDescent="0.25">
      <c r="A57" s="1"/>
      <c r="B57" s="1"/>
      <c r="C57" s="1"/>
      <c r="D57" s="1"/>
      <c r="E57" s="1"/>
      <c r="F57" s="1"/>
      <c r="G57" s="1"/>
      <c r="H57" s="1"/>
    </row>
    <row r="58" spans="1:8" x14ac:dyDescent="0.25">
      <c r="A58" s="1"/>
      <c r="B58" s="1"/>
      <c r="C58" s="1"/>
      <c r="D58" s="1"/>
      <c r="E58" s="1"/>
      <c r="F58" s="1"/>
      <c r="G58" s="1"/>
      <c r="H58" s="1"/>
    </row>
    <row r="59" spans="1:8" x14ac:dyDescent="0.25">
      <c r="A59" s="1"/>
      <c r="B59" s="1"/>
      <c r="C59" s="1"/>
      <c r="D59" s="1"/>
      <c r="E59" s="1"/>
      <c r="F59" s="1"/>
      <c r="G59" s="1"/>
      <c r="H59" s="1"/>
    </row>
    <row r="60" spans="1:8" x14ac:dyDescent="0.25">
      <c r="A60" s="1"/>
      <c r="B60" s="1"/>
      <c r="C60" s="1"/>
      <c r="D60" s="1"/>
      <c r="E60" s="1"/>
      <c r="F60" s="1"/>
      <c r="G60" s="1"/>
      <c r="H60" s="1"/>
    </row>
    <row r="61" spans="1:8" x14ac:dyDescent="0.25">
      <c r="A61" s="1"/>
      <c r="B61" s="1"/>
      <c r="C61" s="1"/>
      <c r="D61" s="1"/>
      <c r="E61" s="1"/>
      <c r="F61" s="1"/>
      <c r="G61" s="1"/>
      <c r="H61" s="1"/>
    </row>
    <row r="62" spans="1:8" x14ac:dyDescent="0.25">
      <c r="A62" s="1"/>
      <c r="B62" s="1"/>
      <c r="C62" s="1"/>
      <c r="D62" s="1"/>
      <c r="E62" s="1"/>
      <c r="F62" s="1"/>
      <c r="G62" s="1"/>
      <c r="H62" s="1"/>
    </row>
    <row r="63" spans="1:8" x14ac:dyDescent="0.25">
      <c r="A63" s="1"/>
      <c r="B63" s="1"/>
      <c r="C63" s="1"/>
      <c r="D63" s="1"/>
      <c r="E63" s="1"/>
      <c r="F63" s="1"/>
      <c r="G63" s="1"/>
      <c r="H63" s="1"/>
    </row>
    <row r="64" spans="1:8" ht="30" customHeight="1" x14ac:dyDescent="0.25">
      <c r="A64" s="1"/>
      <c r="B64" s="25" t="s">
        <v>37</v>
      </c>
      <c r="C64" s="23"/>
      <c r="D64" s="23"/>
      <c r="E64" s="23"/>
      <c r="F64" s="23"/>
      <c r="G64" s="23"/>
      <c r="H64" s="1"/>
    </row>
    <row r="65" spans="1:8" x14ac:dyDescent="0.25">
      <c r="A65" s="1"/>
      <c r="B65" s="1"/>
      <c r="C65" s="1"/>
      <c r="D65" s="1"/>
      <c r="E65" s="1"/>
      <c r="F65" s="1"/>
      <c r="G65" s="1"/>
      <c r="H65" s="1"/>
    </row>
    <row r="66" spans="1:8" x14ac:dyDescent="0.25">
      <c r="A66" s="1"/>
      <c r="B66" s="1"/>
      <c r="C66" s="1"/>
      <c r="D66" s="1"/>
      <c r="E66" s="1"/>
      <c r="F66" s="1"/>
      <c r="G66" s="1"/>
      <c r="H66" s="1"/>
    </row>
    <row r="67" spans="1:8" x14ac:dyDescent="0.25">
      <c r="A67" s="1"/>
      <c r="B67" s="1"/>
      <c r="C67" s="1"/>
      <c r="D67" s="1"/>
      <c r="E67" s="1"/>
      <c r="F67" s="1"/>
      <c r="G67" s="1"/>
      <c r="H67" s="1"/>
    </row>
    <row r="68" spans="1:8" x14ac:dyDescent="0.25">
      <c r="A68" s="1"/>
      <c r="B68" s="1"/>
      <c r="C68" s="1"/>
      <c r="D68" s="1"/>
      <c r="E68" s="1"/>
      <c r="F68" s="1"/>
      <c r="G68" s="1"/>
      <c r="H68" s="1"/>
    </row>
    <row r="69" spans="1:8" x14ac:dyDescent="0.25">
      <c r="A69" s="1"/>
      <c r="B69" s="1"/>
      <c r="C69" s="1"/>
      <c r="D69" s="1"/>
      <c r="E69" s="1"/>
      <c r="F69" s="1"/>
      <c r="G69" s="1"/>
      <c r="H69" s="1"/>
    </row>
    <row r="70" spans="1:8" x14ac:dyDescent="0.25">
      <c r="A70" s="1"/>
      <c r="B70" s="1"/>
      <c r="C70" s="1"/>
      <c r="D70" s="1"/>
      <c r="E70" s="1"/>
      <c r="F70" s="1"/>
      <c r="G70" s="1"/>
      <c r="H70" s="1"/>
    </row>
  </sheetData>
  <sheetProtection sheet="1" formatCells="0"/>
  <mergeCells count="27">
    <mergeCell ref="B2:D2"/>
    <mergeCell ref="B3:G3"/>
    <mergeCell ref="E14:G14"/>
    <mergeCell ref="B22:G22"/>
    <mergeCell ref="B27:G27"/>
    <mergeCell ref="E17:G17"/>
    <mergeCell ref="B21:G21"/>
    <mergeCell ref="B4:G4"/>
    <mergeCell ref="E12:G12"/>
    <mergeCell ref="E18:G18"/>
    <mergeCell ref="B7:G7"/>
    <mergeCell ref="B25:G25"/>
    <mergeCell ref="B64:G64"/>
    <mergeCell ref="E16:G16"/>
    <mergeCell ref="B24:G24"/>
    <mergeCell ref="B5:G5"/>
    <mergeCell ref="B36:G36"/>
    <mergeCell ref="B38:G38"/>
    <mergeCell ref="B19:G19"/>
    <mergeCell ref="E11:G11"/>
    <mergeCell ref="B37:G37"/>
    <mergeCell ref="B40:G42"/>
    <mergeCell ref="E10:G10"/>
    <mergeCell ref="E13:G13"/>
    <mergeCell ref="B23:G23"/>
    <mergeCell ref="E9:G9"/>
    <mergeCell ref="E15:G15"/>
  </mergeCells>
  <dataValidations count="10">
    <dataValidation type="decimal" showErrorMessage="1" errorTitle="Amount invested today" error="Enter 0 or more, up to 100 million." sqref="C9" xr:uid="{00000000-0002-0000-0000-000000000000}">
      <formula1>0</formula1>
      <formula2>100000000</formula2>
    </dataValidation>
    <dataValidation type="decimal" showErrorMessage="1" errorTitle="Amount you add each month" error="Enter 0 or more, up to 1 million. Enter 0 if you add nothing." sqref="C10" xr:uid="{00000000-0002-0000-0000-000001000000}">
      <formula1>0</formula1>
      <formula2>1000000</formula2>
    </dataValidation>
    <dataValidation type="whole" showErrorMessage="1" errorTitle="Number of years" error="Enter a whole number of years from 1 to 60." sqref="C11" xr:uid="{00000000-0002-0000-0000-000002000000}">
      <formula1>1</formula1>
      <formula2>60</formula2>
    </dataValidation>
    <dataValidation type="decimal" showErrorMessage="1" errorTitle="Yearly growth" error="Enter a yearly growth between -20% and 30%." sqref="C12" xr:uid="{00000000-0002-0000-0000-000003000000}">
      <formula1>-20</formula1>
      <formula2>30</formula2>
    </dataValidation>
    <dataValidation type="decimal" showErrorMessage="1" errorTitle="Fee A" error="Enter a fee between 0% and 10%. Enter 0 if there is none." sqref="C13" xr:uid="{00000000-0002-0000-0000-000004000000}">
      <formula1>0</formula1>
      <formula2>10</formula2>
    </dataValidation>
    <dataValidation type="decimal" allowBlank="1" showErrorMessage="1" errorTitle="Fee B" error="Enter a fee between 0% and 10%, or clear the cell." sqref="C14" xr:uid="{00000000-0002-0000-0000-000005000000}">
      <formula1>0</formula1>
      <formula2>10</formula2>
    </dataValidation>
    <dataValidation type="decimal" allowBlank="1" showErrorMessage="1" errorTitle="Fee C" error="Enter a fee between 0% and 10%, or clear the cell." sqref="C15" xr:uid="{00000000-0002-0000-0000-000006000000}">
      <formula1>0</formula1>
      <formula2>10</formula2>
    </dataValidation>
    <dataValidation type="decimal" showErrorMessage="1" errorTitle="Fee on every deposit" error="Enter a fee between 0% and 10%. Enter 0 if there is none." sqref="C16" xr:uid="{00000000-0002-0000-0000-000007000000}">
      <formula1>0</formula1>
      <formula2>10</formula2>
    </dataValidation>
    <dataValidation type="decimal" showErrorMessage="1" errorTitle="Fixed fee each year" error="Enter 0 to 100,000 a year. Enter 0 if there is none." sqref="C17" xr:uid="{00000000-0002-0000-0000-000008000000}">
      <formula1>0</formula1>
      <formula2>100000</formula2>
    </dataValidation>
    <dataValidation type="decimal" showErrorMessage="1" errorTitle="One-time fee" error="Enter a fee between 0% and 10%. Enter 0 if there is none." sqref="C18" xr:uid="{00000000-0002-0000-0000-000009000000}">
      <formula1>0</formula1>
      <formula2>10</formula2>
    </dataValidation>
  </dataValidations>
  <hyperlinks>
    <hyperlink ref="B2" r:id="rId1" xr:uid="{00000000-0004-0000-0000-000000000000}"/>
    <hyperlink ref="B5" r:id="rId2" xr:uid="{00000000-0004-0000-0000-000001000000}"/>
  </hyperlinks>
  <pageMargins left="0.75" right="0.75" top="1" bottom="1" header="0.5" footer="0.5"/>
  <pageSetup fitToHeight="0" orientation="portrait"/>
  <headerFooter>
    <oddFooter>&amp;Lneedtheseapps.com&amp;CInvestment Fee Calculator&amp;RPage &amp;P of &amp;N</oddFooter>
  </headerFooter>
  <rowBreaks count="1" manualBreakCount="1">
    <brk id="43"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4"/>
  <sheetViews>
    <sheetView showGridLines="0" workbookViewId="0">
      <pane ySplit="3" topLeftCell="A4" activePane="bottomLeft" state="frozen"/>
      <selection pane="bottomLeft"/>
    </sheetView>
  </sheetViews>
  <sheetFormatPr defaultRowHeight="15" x14ac:dyDescent="0.25"/>
  <cols>
    <col min="1" max="1" width="10" customWidth="1"/>
    <col min="2" max="8" width="17" customWidth="1"/>
    <col min="9" max="9" width="2" customWidth="1"/>
  </cols>
  <sheetData>
    <row r="1" spans="1:8" ht="30" customHeight="1" x14ac:dyDescent="0.25">
      <c r="A1" s="37" t="s">
        <v>38</v>
      </c>
      <c r="B1" s="23"/>
      <c r="C1" s="23"/>
      <c r="D1" s="23"/>
      <c r="E1" s="23"/>
      <c r="F1" s="23"/>
      <c r="G1" s="23"/>
      <c r="H1" s="23"/>
    </row>
    <row r="2" spans="1:8" ht="44.1" customHeight="1" x14ac:dyDescent="0.25">
      <c r="A2" s="36" t="str">
        <f>"Your money at the end of each year, after that year's fees, with no fee and with each fee, and the fees paid that year (the yearly fee, the fixed fee and the fee on deposits; year 0 is the one-time fee). Nothing here needs editing. Amounts are shown in "&amp;Calculator!$C$8&amp;"."</f>
        <v>Your money at the end of each year, after that year's fees, with no fee and with each fee, and the fees paid that year (the yearly fee, the fixed fee and the fee on deposits; year 0 is the one-time fee). Nothing here needs editing. Amounts are shown in $.</v>
      </c>
      <c r="B2" s="23"/>
      <c r="C2" s="23"/>
      <c r="D2" s="23"/>
      <c r="E2" s="23"/>
      <c r="F2" s="23"/>
      <c r="G2" s="23"/>
      <c r="H2" s="23"/>
    </row>
    <row r="3" spans="1:8" ht="36" customHeight="1" x14ac:dyDescent="0.25">
      <c r="A3" s="16" t="s">
        <v>39</v>
      </c>
      <c r="B3" s="16" t="s">
        <v>40</v>
      </c>
      <c r="C3" s="16" t="s">
        <v>41</v>
      </c>
      <c r="D3" s="16" t="s">
        <v>42</v>
      </c>
      <c r="E3" s="16" t="s">
        <v>43</v>
      </c>
      <c r="F3" s="16" t="s">
        <v>44</v>
      </c>
      <c r="G3" s="16" t="s">
        <v>45</v>
      </c>
      <c r="H3" s="16" t="s">
        <v>46</v>
      </c>
    </row>
    <row r="4" spans="1:8" x14ac:dyDescent="0.25">
      <c r="A4" s="17">
        <f>IF(0&lt;=Calculator!$C$11,0,"")</f>
        <v>0</v>
      </c>
      <c r="B4" s="18">
        <f>IF($A4="","",_Engine!$H50)</f>
        <v>100000</v>
      </c>
      <c r="C4" s="18">
        <f>IF($A4="","",_Engine!$L50)</f>
        <v>100000</v>
      </c>
      <c r="D4" s="18">
        <f>IF(OR($A4="",_Engine!$B$5=0),"",_Engine!$P50)</f>
        <v>100000</v>
      </c>
      <c r="E4" s="18">
        <f>IF(OR($A4="",_Engine!$B$6=0),"",_Engine!$T50)</f>
        <v>100000</v>
      </c>
      <c r="F4" s="18">
        <f>IF($A4="","",_Engine!$B$12*Calculator!$C$9)</f>
        <v>0</v>
      </c>
      <c r="G4" s="18">
        <f>IF(OR($A4="",_Engine!$B$5=0),"",_Engine!$B$12*Calculator!$C$9)</f>
        <v>0</v>
      </c>
      <c r="H4" s="18">
        <f>IF(OR($A4="",_Engine!$B$6=0),"",_Engine!$B$12*Calculator!$C$9)</f>
        <v>0</v>
      </c>
    </row>
    <row r="5" spans="1:8" x14ac:dyDescent="0.25">
      <c r="A5" s="17">
        <f>IF(1&lt;=Calculator!$C$11,1,"")</f>
        <v>1</v>
      </c>
      <c r="B5" s="18">
        <f>IF($A5="","",_Engine!$H51)</f>
        <v>107000</v>
      </c>
      <c r="C5" s="18">
        <f>IF($A5="","",_Engine!$L51)</f>
        <v>105930</v>
      </c>
      <c r="D5" s="18">
        <f>IF(OR($A5="",_Engine!$B$5=0),"",_Engine!$P51)</f>
        <v>106786</v>
      </c>
      <c r="E5" s="18">
        <f>IF(OR($A5="",_Engine!$B$6=0),"",_Engine!$T51)</f>
        <v>106946.5</v>
      </c>
      <c r="F5" s="18">
        <f>IF($A5="","",_Engine!$J51+_Engine!$K51+12*Calculator!$C$10*_Engine!$B$10)</f>
        <v>1070</v>
      </c>
      <c r="G5" s="18">
        <f>IF(OR($A5="",_Engine!$B$5=0),"",_Engine!$N51+_Engine!$O51+12*Calculator!$C$10*_Engine!$B$10)</f>
        <v>214</v>
      </c>
      <c r="H5" s="18">
        <f>IF(OR($A5="",_Engine!$B$6=0),"",_Engine!$R51+_Engine!$S51+12*Calculator!$C$10*_Engine!$B$10)</f>
        <v>53.5</v>
      </c>
    </row>
    <row r="6" spans="1:8" x14ac:dyDescent="0.25">
      <c r="A6" s="17">
        <f>IF(2&lt;=Calculator!$C$11,2,"")</f>
        <v>2</v>
      </c>
      <c r="B6" s="18">
        <f>IF($A6="","",_Engine!$H52)</f>
        <v>114490</v>
      </c>
      <c r="C6" s="18">
        <f>IF($A6="","",_Engine!$L52)</f>
        <v>112211.649</v>
      </c>
      <c r="D6" s="18">
        <f>IF(OR($A6="",_Engine!$B$5=0),"",_Engine!$P52)</f>
        <v>114032.49796000001</v>
      </c>
      <c r="E6" s="18">
        <f>IF(OR($A6="",_Engine!$B$6=0),"",_Engine!$T52)</f>
        <v>114375.53862250001</v>
      </c>
      <c r="F6" s="18">
        <f>IF($A6="","",_Engine!$J52+_Engine!$K52+12*Calculator!$C$10*_Engine!$B$10)</f>
        <v>1133.451</v>
      </c>
      <c r="G6" s="18">
        <f>IF(OR($A6="",_Engine!$B$5=0),"",_Engine!$N52+_Engine!$O52+12*Calculator!$C$10*_Engine!$B$10)</f>
        <v>228.52204</v>
      </c>
      <c r="H6" s="18">
        <f>IF(OR($A6="",_Engine!$B$6=0),"",_Engine!$R52+_Engine!$S52+12*Calculator!$C$10*_Engine!$B$10)</f>
        <v>57.216377500000007</v>
      </c>
    </row>
    <row r="7" spans="1:8" x14ac:dyDescent="0.25">
      <c r="A7" s="17">
        <f>IF(3&lt;=Calculator!$C$11,3,"")</f>
        <v>3</v>
      </c>
      <c r="B7" s="18">
        <f>IF($A7="","",_Engine!$H53)</f>
        <v>122504.3</v>
      </c>
      <c r="C7" s="18">
        <f>IF($A7="","",_Engine!$L53)</f>
        <v>118865.7997857</v>
      </c>
      <c r="D7" s="18">
        <f>IF(OR($A7="",_Engine!$B$5=0),"",_Engine!$P53)</f>
        <v>121770.74327156562</v>
      </c>
      <c r="E7" s="18">
        <f>IF(OR($A7="",_Engine!$B$6=0),"",_Engine!$T53)</f>
        <v>122320.63541291199</v>
      </c>
      <c r="F7" s="18">
        <f>IF($A7="","",_Engine!$J53+_Engine!$K53+12*Calculator!$C$10*_Engine!$B$10)</f>
        <v>1200.6646443</v>
      </c>
      <c r="G7" s="18">
        <f>IF(OR($A7="",_Engine!$B$5=0),"",_Engine!$N53+_Engine!$O53+12*Calculator!$C$10*_Engine!$B$10)</f>
        <v>244.02954563440005</v>
      </c>
      <c r="H7" s="18">
        <f>IF(OR($A7="",_Engine!$B$6=0),"",_Engine!$R53+_Engine!$S53+12*Calculator!$C$10*_Engine!$B$10)</f>
        <v>61.190913163037514</v>
      </c>
    </row>
    <row r="8" spans="1:8" x14ac:dyDescent="0.25">
      <c r="A8" s="17">
        <f>IF(4&lt;=Calculator!$C$11,4,"")</f>
        <v>4</v>
      </c>
      <c r="B8" s="18">
        <f>IF($A8="","",_Engine!$H54)</f>
        <v>131079.60100000002</v>
      </c>
      <c r="C8" s="18">
        <f>IF($A8="","",_Engine!$L54)</f>
        <v>125914.54171299202</v>
      </c>
      <c r="D8" s="18">
        <f>IF(OR($A8="",_Engine!$B$5=0),"",_Engine!$P54)</f>
        <v>130034.10590997407</v>
      </c>
      <c r="E8" s="18">
        <f>IF(OR($A8="",_Engine!$B$6=0),"",_Engine!$T54)</f>
        <v>130817.63835186993</v>
      </c>
      <c r="F8" s="18">
        <f>IF($A8="","",_Engine!$J54+_Engine!$K54+12*Calculator!$C$10*_Engine!$B$10)</f>
        <v>1271.86405770699</v>
      </c>
      <c r="G8" s="18">
        <f>IF(OR($A8="",_Engine!$B$5=0),"",_Engine!$N54+_Engine!$O54+12*Calculator!$C$10*_Engine!$B$10)</f>
        <v>260.58939060115046</v>
      </c>
      <c r="H8" s="18">
        <f>IF(OR($A8="",_Engine!$B$6=0),"",_Engine!$R54+_Engine!$S54+12*Calculator!$C$10*_Engine!$B$10)</f>
        <v>65.44153994590792</v>
      </c>
    </row>
    <row r="9" spans="1:8" x14ac:dyDescent="0.25">
      <c r="A9" s="17">
        <f>IF(5&lt;=Calculator!$C$11,5,"")</f>
        <v>5</v>
      </c>
      <c r="B9" s="18">
        <f>IF($A9="","",_Engine!$H55)</f>
        <v>140255.17307000005</v>
      </c>
      <c r="C9" s="18">
        <f>IF($A9="","",_Engine!$L55)</f>
        <v>133381.27403657246</v>
      </c>
      <c r="D9" s="18">
        <f>IF(OR($A9="",_Engine!$B$5=0),"",_Engine!$P55)</f>
        <v>138858.22033702492</v>
      </c>
      <c r="E9" s="18">
        <f>IF(OR($A9="",_Engine!$B$6=0),"",_Engine!$T55)</f>
        <v>139904.88559998258</v>
      </c>
      <c r="F9" s="18">
        <f>IF($A9="","",_Engine!$J55+_Engine!$K55+12*Calculator!$C$10*_Engine!$B$10)</f>
        <v>1347.2855963290149</v>
      </c>
      <c r="G9" s="18">
        <f>IF(OR($A9="",_Engine!$B$5=0),"",_Engine!$N55+_Engine!$O55+12*Calculator!$C$10*_Engine!$B$10)</f>
        <v>278.27298664734457</v>
      </c>
      <c r="H9" s="18">
        <f>IF(OR($A9="",_Engine!$B$6=0),"",_Engine!$R55+_Engine!$S55+12*Calculator!$C$10*_Engine!$B$10)</f>
        <v>69.987436518250419</v>
      </c>
    </row>
    <row r="10" spans="1:8" x14ac:dyDescent="0.25">
      <c r="A10" s="17">
        <f>IF(6&lt;=Calculator!$C$11,6,"")</f>
        <v>6</v>
      </c>
      <c r="B10" s="18">
        <f>IF($A10="","",_Engine!$H56)</f>
        <v>150073.03518490007</v>
      </c>
      <c r="C10" s="18">
        <f>IF($A10="","",_Engine!$L56)</f>
        <v>141290.78358694122</v>
      </c>
      <c r="D10" s="18">
        <f>IF(OR($A10="",_Engine!$B$5=0),"",_Engine!$P56)</f>
        <v>148281.13916909543</v>
      </c>
      <c r="E10" s="18">
        <f>IF(OR($A10="",_Engine!$B$6=0),"",_Engine!$T56)</f>
        <v>149623.37847818536</v>
      </c>
      <c r="F10" s="18">
        <f>IF($A10="","",_Engine!$J56+_Engine!$K56+12*Calculator!$C$10*_Engine!$B$10)</f>
        <v>1427.1796321913253</v>
      </c>
      <c r="G10" s="18">
        <f>IF(OR($A10="",_Engine!$B$5=0),"",_Engine!$N56+_Engine!$O56+12*Calculator!$C$10*_Engine!$B$10)</f>
        <v>297.15659152123334</v>
      </c>
      <c r="H10" s="18">
        <f>IF(OR($A10="",_Engine!$B$6=0),"",_Engine!$R56+_Engine!$S56+12*Calculator!$C$10*_Engine!$B$10)</f>
        <v>74.849113795990675</v>
      </c>
    </row>
    <row r="11" spans="1:8" x14ac:dyDescent="0.25">
      <c r="A11" s="17">
        <f>IF(7&lt;=Calculator!$C$11,7,"")</f>
        <v>7</v>
      </c>
      <c r="B11" s="18">
        <f>IF($A11="","",_Engine!$H57)</f>
        <v>160578.14764784308</v>
      </c>
      <c r="C11" s="18">
        <f>IF($A11="","",_Engine!$L57)</f>
        <v>149669.32705364685</v>
      </c>
      <c r="D11" s="18">
        <f>IF(OR($A11="",_Engine!$B$5=0),"",_Engine!$P57)</f>
        <v>158343.49727311023</v>
      </c>
      <c r="E11" s="18">
        <f>IF(OR($A11="",_Engine!$B$6=0),"",_Engine!$T57)</f>
        <v>160016.96646417252</v>
      </c>
      <c r="F11" s="18">
        <f>IF($A11="","",_Engine!$J57+_Engine!$K57+12*Calculator!$C$10*_Engine!$B$10)</f>
        <v>1511.8113843802712</v>
      </c>
      <c r="G11" s="18">
        <f>IF(OR($A11="",_Engine!$B$5=0),"",_Engine!$N57+_Engine!$O57+12*Calculator!$C$10*_Engine!$B$10)</f>
        <v>317.32163782186421</v>
      </c>
      <c r="H11" s="18">
        <f>IF(OR($A11="",_Engine!$B$6=0),"",_Engine!$R57+_Engine!$S57+12*Calculator!$C$10*_Engine!$B$10)</f>
        <v>80.048507485829177</v>
      </c>
    </row>
    <row r="12" spans="1:8" x14ac:dyDescent="0.25">
      <c r="A12" s="17">
        <f>IF(8&lt;=Calculator!$C$11,8,"")</f>
        <v>8</v>
      </c>
      <c r="B12" s="18">
        <f>IF($A12="","",_Engine!$H58)</f>
        <v>171818.61798319212</v>
      </c>
      <c r="C12" s="18">
        <f>IF($A12="","",_Engine!$L58)</f>
        <v>158544.7181479281</v>
      </c>
      <c r="D12" s="18">
        <f>IF(OR($A12="",_Engine!$B$5=0),"",_Engine!$P58)</f>
        <v>169088.68699806352</v>
      </c>
      <c r="E12" s="18">
        <f>IF(OR($A12="",_Engine!$B$6=0),"",_Engine!$T58)</f>
        <v>171132.54503960628</v>
      </c>
      <c r="F12" s="18">
        <f>IF($A12="","",_Engine!$J58+_Engine!$K58+12*Calculator!$C$10*_Engine!$B$10)</f>
        <v>1601.4617994740213</v>
      </c>
      <c r="G12" s="18">
        <f>IF(OR($A12="",_Engine!$B$5=0),"",_Engine!$N58+_Engine!$O58+12*Calculator!$C$10*_Engine!$B$10)</f>
        <v>338.855084164456</v>
      </c>
      <c r="H12" s="18">
        <f>IF(OR($A12="",_Engine!$B$6=0),"",_Engine!$R58+_Engine!$S58+12*Calculator!$C$10*_Engine!$B$10)</f>
        <v>85.609077058332318</v>
      </c>
    </row>
    <row r="13" spans="1:8" x14ac:dyDescent="0.25">
      <c r="A13" s="17">
        <f>IF(9&lt;=Calculator!$C$11,9,"")</f>
        <v>9</v>
      </c>
      <c r="B13" s="18">
        <f>IF($A13="","",_Engine!$H59)</f>
        <v>183845.92124201558</v>
      </c>
      <c r="C13" s="18">
        <f>IF($A13="","",_Engine!$L59)</f>
        <v>167946.41993410024</v>
      </c>
      <c r="D13" s="18">
        <f>IF(OR($A13="",_Engine!$B$5=0),"",_Engine!$P59)</f>
        <v>180563.04529775213</v>
      </c>
      <c r="E13" s="18">
        <f>IF(OR($A13="",_Engine!$B$6=0),"",_Engine!$T59)</f>
        <v>183020.26728078254</v>
      </c>
      <c r="F13" s="18">
        <f>IF($A13="","",_Engine!$J59+_Engine!$K59+12*Calculator!$C$10*_Engine!$B$10)</f>
        <v>1696.4284841828307</v>
      </c>
      <c r="G13" s="18">
        <f>IF(OR($A13="",_Engine!$B$5=0),"",_Engine!$N59+_Engine!$O59+12*Calculator!$C$10*_Engine!$B$10)</f>
        <v>361.84979017585596</v>
      </c>
      <c r="H13" s="18">
        <f>IF(OR($A13="",_Engine!$B$6=0),"",_Engine!$R59+_Engine!$S59+12*Calculator!$C$10*_Engine!$B$10)</f>
        <v>91.555911596189375</v>
      </c>
    </row>
    <row r="14" spans="1:8" x14ac:dyDescent="0.25">
      <c r="A14" s="17">
        <f>IF(10&lt;=Calculator!$C$11,10,"")</f>
        <v>10</v>
      </c>
      <c r="B14" s="18">
        <f>IF($A14="","",_Engine!$H60)</f>
        <v>196715.13572895669</v>
      </c>
      <c r="C14" s="18">
        <f>IF($A14="","",_Engine!$L60)</f>
        <v>177905.64263619238</v>
      </c>
      <c r="D14" s="18">
        <f>IF(OR($A14="",_Engine!$B$5=0),"",_Engine!$P60)</f>
        <v>192816.05355165759</v>
      </c>
      <c r="E14" s="18">
        <f>IF(OR($A14="",_Engine!$B$6=0),"",_Engine!$T60)</f>
        <v>195733.77014744212</v>
      </c>
      <c r="F14" s="18">
        <f>IF($A14="","",_Engine!$J60+_Engine!$K60+12*Calculator!$C$10*_Engine!$B$10)</f>
        <v>1797.0266932948725</v>
      </c>
      <c r="G14" s="18">
        <f>IF(OR($A14="",_Engine!$B$5=0),"",_Engine!$N60+_Engine!$O60+12*Calculator!$C$10*_Engine!$B$10)</f>
        <v>386.40491693718963</v>
      </c>
      <c r="H14" s="18">
        <f>IF(OR($A14="",_Engine!$B$6=0),"",_Engine!$R60+_Engine!$S60+12*Calculator!$C$10*_Engine!$B$10)</f>
        <v>97.915842995218682</v>
      </c>
    </row>
    <row r="15" spans="1:8" x14ac:dyDescent="0.25">
      <c r="A15" s="17">
        <f>IF(11&lt;=Calculator!$C$11,11,"")</f>
        <v>11</v>
      </c>
      <c r="B15" s="18">
        <f>IF($A15="","",_Engine!$H61)</f>
        <v>210485.19522998368</v>
      </c>
      <c r="C15" s="18">
        <f>IF($A15="","",_Engine!$L61)</f>
        <v>188455.44724451861</v>
      </c>
      <c r="D15" s="18">
        <f>IF(OR($A15="",_Engine!$B$5=0),"",_Engine!$P61)</f>
        <v>205900.55094567311</v>
      </c>
      <c r="E15" s="18">
        <f>IF(OR($A15="",_Engine!$B$6=0),"",_Engine!$T61)</f>
        <v>209330.41649073421</v>
      </c>
      <c r="F15" s="18">
        <f>IF($A15="","",_Engine!$J61+_Engine!$K61+12*Calculator!$C$10*_Engine!$B$10)</f>
        <v>1903.5903762072587</v>
      </c>
      <c r="G15" s="18">
        <f>IF(OR($A15="",_Engine!$B$5=0),"",_Engine!$N61+_Engine!$O61+12*Calculator!$C$10*_Engine!$B$10)</f>
        <v>412.62635460054736</v>
      </c>
      <c r="H15" s="18">
        <f>IF(OR($A15="",_Engine!$B$6=0),"",_Engine!$R61+_Engine!$S61+12*Calculator!$C$10*_Engine!$B$10)</f>
        <v>104.71756702888155</v>
      </c>
    </row>
    <row r="16" spans="1:8" x14ac:dyDescent="0.25">
      <c r="A16" s="17">
        <f>IF(12&lt;=Calculator!$C$11,12,"")</f>
        <v>12</v>
      </c>
      <c r="B16" s="18">
        <f>IF($A16="","",_Engine!$H62)</f>
        <v>225219.15889608255</v>
      </c>
      <c r="C16" s="18">
        <f>IF($A16="","",_Engine!$L62)</f>
        <v>199630.85526611857</v>
      </c>
      <c r="D16" s="18">
        <f>IF(OR($A16="",_Engine!$B$5=0),"",_Engine!$P62)</f>
        <v>219872.96233284648</v>
      </c>
      <c r="E16" s="18">
        <f>IF(OR($A16="",_Engine!$B$6=0),"",_Engine!$T62)</f>
        <v>223871.55387226306</v>
      </c>
      <c r="F16" s="18">
        <f>IF($A16="","",_Engine!$J62+_Engine!$K62+12*Calculator!$C$10*_Engine!$B$10)</f>
        <v>2016.4732855163491</v>
      </c>
      <c r="G16" s="18">
        <f>IF(OR($A16="",_Engine!$B$5=0),"",_Engine!$N62+_Engine!$O62+12*Calculator!$C$10*_Engine!$B$10)</f>
        <v>440.62717902374044</v>
      </c>
      <c r="H16" s="18">
        <f>IF(OR($A16="",_Engine!$B$6=0),"",_Engine!$R62+_Engine!$S62+12*Calculator!$C$10*_Engine!$B$10)</f>
        <v>111.99177282254281</v>
      </c>
    </row>
    <row r="17" spans="1:8" x14ac:dyDescent="0.25">
      <c r="A17" s="17">
        <f>IF(13&lt;=Calculator!$C$11,13,"")</f>
        <v>13</v>
      </c>
      <c r="B17" s="18">
        <f>IF($A17="","",_Engine!$H63)</f>
        <v>240984.50001880835</v>
      </c>
      <c r="C17" s="18">
        <f>IF($A17="","",_Engine!$L63)</f>
        <v>211468.9649833994</v>
      </c>
      <c r="D17" s="18">
        <f>IF(OR($A17="",_Engine!$B$5=0),"",_Engine!$P63)</f>
        <v>234793.54155675345</v>
      </c>
      <c r="E17" s="18">
        <f>IF(OR($A17="",_Engine!$B$6=0),"",_Engine!$T63)</f>
        <v>239422.79136199984</v>
      </c>
      <c r="F17" s="18">
        <f>IF($A17="","",_Engine!$J63+_Engine!$K63+12*Calculator!$C$10*_Engine!$B$10)</f>
        <v>2136.0501513474687</v>
      </c>
      <c r="G17" s="18">
        <f>IF(OR($A17="",_Engine!$B$5=0),"",_Engine!$N63+_Engine!$O63+12*Calculator!$C$10*_Engine!$B$10)</f>
        <v>470.52813939229151</v>
      </c>
      <c r="H17" s="18">
        <f>IF(OR($A17="",_Engine!$B$6=0),"",_Engine!$R63+_Engine!$S63+12*Calculator!$C$10*_Engine!$B$10)</f>
        <v>119.77128132166075</v>
      </c>
    </row>
    <row r="18" spans="1:8" x14ac:dyDescent="0.25">
      <c r="A18" s="17">
        <f>IF(14&lt;=Calculator!$C$11,14,"")</f>
        <v>14</v>
      </c>
      <c r="B18" s="18">
        <f>IF($A18="","",_Engine!$H64)</f>
        <v>257853.41502012496</v>
      </c>
      <c r="C18" s="18">
        <f>IF($A18="","",_Engine!$L64)</f>
        <v>224009.07460691498</v>
      </c>
      <c r="D18" s="18">
        <f>IF(OR($A18="",_Engine!$B$5=0),"",_Engine!$P64)</f>
        <v>250726.63128679476</v>
      </c>
      <c r="E18" s="18">
        <f>IF(OR($A18="",_Engine!$B$6=0),"",_Engine!$T64)</f>
        <v>256054.29556396118</v>
      </c>
      <c r="F18" s="18">
        <f>IF($A18="","",_Engine!$J64+_Engine!$K64+12*Calculator!$C$10*_Engine!$B$10)</f>
        <v>2262.7179253223735</v>
      </c>
      <c r="G18" s="18">
        <f>IF(OR($A18="",_Engine!$B$5=0),"",_Engine!$N64+_Engine!$O64+12*Calculator!$C$10*_Engine!$B$10)</f>
        <v>502.45817893145244</v>
      </c>
      <c r="H18" s="18">
        <f>IF(OR($A18="",_Engine!$B$6=0),"",_Engine!$R64+_Engine!$S64+12*Calculator!$C$10*_Engine!$B$10)</f>
        <v>128.09119337866991</v>
      </c>
    </row>
    <row r="19" spans="1:8" x14ac:dyDescent="0.25">
      <c r="A19" s="17">
        <f>IF(15&lt;=Calculator!$C$11,15,"")</f>
        <v>15</v>
      </c>
      <c r="B19" s="18">
        <f>IF($A19="","",_Engine!$H65)</f>
        <v>275903.1540715337</v>
      </c>
      <c r="C19" s="18">
        <f>IF($A19="","",_Engine!$L65)</f>
        <v>237292.81273110505</v>
      </c>
      <c r="D19" s="18">
        <f>IF(OR($A19="",_Engine!$B$5=0),"",_Engine!$P65)</f>
        <v>267740.94048591662</v>
      </c>
      <c r="E19" s="18">
        <f>IF(OR($A19="",_Engine!$B$6=0),"",_Engine!$T65)</f>
        <v>273841.10720531171</v>
      </c>
      <c r="F19" s="18">
        <f>IF($A19="","",_Engine!$J65+_Engine!$K65+12*Calculator!$C$10*_Engine!$B$10)</f>
        <v>2396.8970982939904</v>
      </c>
      <c r="G19" s="18">
        <f>IF(OR($A19="",_Engine!$B$5=0),"",_Engine!$N65+_Engine!$O65+12*Calculator!$C$10*_Engine!$B$10)</f>
        <v>536.5549909537408</v>
      </c>
      <c r="H19" s="18">
        <f>IF(OR($A19="",_Engine!$B$6=0),"",_Engine!$R65+_Engine!$S65+12*Calculator!$C$10*_Engine!$B$10)</f>
        <v>136.98904812671924</v>
      </c>
    </row>
    <row r="20" spans="1:8" x14ac:dyDescent="0.25">
      <c r="A20" s="17">
        <f>IF(16&lt;=Calculator!$C$11,16,"")</f>
        <v>16</v>
      </c>
      <c r="B20" s="18">
        <f>IF($A20="","",_Engine!$H66)</f>
        <v>295216.37485654111</v>
      </c>
      <c r="C20" s="18">
        <f>IF($A20="","",_Engine!$L66)</f>
        <v>251364.27652605961</v>
      </c>
      <c r="D20" s="18">
        <f>IF(OR($A20="",_Engine!$B$5=0),"",_Engine!$P66)</f>
        <v>285909.84070729098</v>
      </c>
      <c r="E20" s="18">
        <f>IF(OR($A20="",_Engine!$B$6=0),"",_Engine!$T66)</f>
        <v>292863.47971732874</v>
      </c>
      <c r="F20" s="18">
        <f>IF($A20="","",_Engine!$J66+_Engine!$K66+12*Calculator!$C$10*_Engine!$B$10)</f>
        <v>2539.033096222824</v>
      </c>
      <c r="G20" s="18">
        <f>IF(OR($A20="",_Engine!$B$5=0),"",_Engine!$N66+_Engine!$O66+12*Calculator!$C$10*_Engine!$B$10)</f>
        <v>572.96561263986166</v>
      </c>
      <c r="H20" s="18">
        <f>IF(OR($A20="",_Engine!$B$6=0),"",_Engine!$R66+_Engine!$S66+12*Calculator!$C$10*_Engine!$B$10)</f>
        <v>146.50499235484179</v>
      </c>
    </row>
    <row r="21" spans="1:8" x14ac:dyDescent="0.25">
      <c r="A21" s="17">
        <f>IF(17&lt;=Calculator!$C$11,17,"")</f>
        <v>17</v>
      </c>
      <c r="B21" s="18">
        <f>IF($A21="","",_Engine!$H67)</f>
        <v>315881.521096499</v>
      </c>
      <c r="C21" s="18">
        <f>IF($A21="","",_Engine!$L67)</f>
        <v>266270.17812405498</v>
      </c>
      <c r="D21" s="18">
        <f>IF(OR($A21="",_Engine!$B$5=0),"",_Engine!$P67)</f>
        <v>305311.68249768775</v>
      </c>
      <c r="E21" s="18">
        <f>IF(OR($A21="",_Engine!$B$6=0),"",_Engine!$T67)</f>
        <v>313207.24133589299</v>
      </c>
      <c r="F21" s="18">
        <f>IF($A21="","",_Engine!$J67+_Engine!$K67+12*Calculator!$C$10*_Engine!$B$10)</f>
        <v>2689.5977588288383</v>
      </c>
      <c r="G21" s="18">
        <f>IF(OR($A21="",_Engine!$B$5=0),"",_Engine!$N67+_Engine!$O67+12*Calculator!$C$10*_Engine!$B$10)</f>
        <v>611.84705911360277</v>
      </c>
      <c r="H21" s="18">
        <f>IF(OR($A21="",_Engine!$B$6=0),"",_Engine!$R67+_Engine!$S67+12*Calculator!$C$10*_Engine!$B$10)</f>
        <v>156.68196164877088</v>
      </c>
    </row>
    <row r="22" spans="1:8" x14ac:dyDescent="0.25">
      <c r="A22" s="17">
        <f>IF(18&lt;=Calculator!$C$11,18,"")</f>
        <v>18</v>
      </c>
      <c r="B22" s="18">
        <f>IF($A22="","",_Engine!$H68)</f>
        <v>337993.22757325397</v>
      </c>
      <c r="C22" s="18">
        <f>IF($A22="","",_Engine!$L68)</f>
        <v>282059.99968681141</v>
      </c>
      <c r="D22" s="18">
        <f>IF(OR($A22="",_Engine!$B$5=0),"",_Engine!$P68)</f>
        <v>326030.13327198091</v>
      </c>
      <c r="E22" s="18">
        <f>IF(OR($A22="",_Engine!$B$6=0),"",_Engine!$T68)</f>
        <v>334964.1823552908</v>
      </c>
      <c r="F22" s="18">
        <f>IF($A22="","",_Engine!$J68+_Engine!$K68+12*Calculator!$C$10*_Engine!$B$10)</f>
        <v>2849.0909059273881</v>
      </c>
      <c r="G22" s="18">
        <f>IF(OR($A22="",_Engine!$B$5=0),"",_Engine!$N68+_Engine!$O68+12*Calculator!$C$10*_Engine!$B$10)</f>
        <v>653.36700054505195</v>
      </c>
      <c r="H22" s="18">
        <f>IF(OR($A22="",_Engine!$B$6=0),"",_Engine!$R68+_Engine!$S68+12*Calculator!$C$10*_Engine!$B$10)</f>
        <v>167.56587411470275</v>
      </c>
    </row>
    <row r="23" spans="1:8" x14ac:dyDescent="0.25">
      <c r="A23" s="17">
        <f>IF(19&lt;=Calculator!$C$11,19,"")</f>
        <v>19</v>
      </c>
      <c r="B23" s="18">
        <f>IF($A23="","",_Engine!$H69)</f>
        <v>361652.7535033818</v>
      </c>
      <c r="C23" s="18">
        <f>IF($A23="","",_Engine!$L69)</f>
        <v>298786.15766823932</v>
      </c>
      <c r="D23" s="18">
        <f>IF(OR($A23="",_Engine!$B$5=0),"",_Engine!$P69)</f>
        <v>348154.53811581759</v>
      </c>
      <c r="E23" s="18">
        <f>IF(OR($A23="",_Engine!$B$6=0),"",_Engine!$T69)</f>
        <v>358232.46928260115</v>
      </c>
      <c r="F23" s="18">
        <f>IF($A23="","",_Engine!$J69+_Engine!$K69+12*Calculator!$C$10*_Engine!$B$10)</f>
        <v>3018.0419966488821</v>
      </c>
      <c r="G23" s="18">
        <f>IF(OR($A23="",_Engine!$B$5=0),"",_Engine!$N69+_Engine!$O69+12*Calculator!$C$10*_Engine!$B$10)</f>
        <v>697.70448520203922</v>
      </c>
      <c r="H23" s="18">
        <f>IF(OR($A23="",_Engine!$B$6=0),"",_Engine!$R69+_Engine!$S69+12*Calculator!$C$10*_Engine!$B$10)</f>
        <v>179.20583756008062</v>
      </c>
    </row>
    <row r="24" spans="1:8" x14ac:dyDescent="0.25">
      <c r="A24" s="17">
        <f>IF(20&lt;=Calculator!$C$11,20,"")</f>
        <v>20</v>
      </c>
      <c r="B24" s="18">
        <f>IF($A24="","",_Engine!$H70)</f>
        <v>386968.44624861854</v>
      </c>
      <c r="C24" s="18">
        <f>IF($A24="","",_Engine!$L70)</f>
        <v>316504.17681796593</v>
      </c>
      <c r="D24" s="18">
        <f>IF(OR($A24="",_Engine!$B$5=0),"",_Engine!$P70)</f>
        <v>371780.305072357</v>
      </c>
      <c r="E24" s="18">
        <f>IF(OR($A24="",_Engine!$B$6=0),"",_Engine!$T70)</f>
        <v>383117.08776131703</v>
      </c>
      <c r="F24" s="18">
        <f>IF($A24="","",_Engine!$J70+_Engine!$K70+12*Calculator!$C$10*_Engine!$B$10)</f>
        <v>3197.011887050161</v>
      </c>
      <c r="G24" s="18">
        <f>IF(OR($A24="",_Engine!$B$5=0),"",_Engine!$N70+_Engine!$O70+12*Calculator!$C$10*_Engine!$B$10)</f>
        <v>745.05071156784982</v>
      </c>
      <c r="H24" s="18">
        <f>IF(OR($A24="",_Engine!$B$6=0),"",_Engine!$R70+_Engine!$S70+12*Calculator!$C$10*_Engine!$B$10)</f>
        <v>191.65437106619163</v>
      </c>
    </row>
    <row r="25" spans="1:8" x14ac:dyDescent="0.25">
      <c r="A25" s="17" t="str">
        <f>IF(21&lt;=Calculator!$C$11,21,"")</f>
        <v/>
      </c>
      <c r="B25" s="18" t="str">
        <f>IF($A25="","",_Engine!$H71)</f>
        <v/>
      </c>
      <c r="C25" s="18" t="str">
        <f>IF($A25="","",_Engine!$L71)</f>
        <v/>
      </c>
      <c r="D25" s="18" t="str">
        <f>IF(OR($A25="",_Engine!$B$5=0),"",_Engine!$P71)</f>
        <v/>
      </c>
      <c r="E25" s="18" t="str">
        <f>IF(OR($A25="",_Engine!$B$6=0),"",_Engine!$T71)</f>
        <v/>
      </c>
      <c r="F25" s="18" t="str">
        <f>IF($A25="","",_Engine!$J71+_Engine!$K71+12*Calculator!$C$10*_Engine!$B$10)</f>
        <v/>
      </c>
      <c r="G25" s="18" t="str">
        <f>IF(OR($A25="",_Engine!$B$5=0),"",_Engine!$N71+_Engine!$O71+12*Calculator!$C$10*_Engine!$B$10)</f>
        <v/>
      </c>
      <c r="H25" s="18" t="str">
        <f>IF(OR($A25="",_Engine!$B$6=0),"",_Engine!$R71+_Engine!$S71+12*Calculator!$C$10*_Engine!$B$10)</f>
        <v/>
      </c>
    </row>
    <row r="26" spans="1:8" x14ac:dyDescent="0.25">
      <c r="A26" s="17" t="str">
        <f>IF(22&lt;=Calculator!$C$11,22,"")</f>
        <v/>
      </c>
      <c r="B26" s="18" t="str">
        <f>IF($A26="","",_Engine!$H72)</f>
        <v/>
      </c>
      <c r="C26" s="18" t="str">
        <f>IF($A26="","",_Engine!$L72)</f>
        <v/>
      </c>
      <c r="D26" s="18" t="str">
        <f>IF(OR($A26="",_Engine!$B$5=0),"",_Engine!$P72)</f>
        <v/>
      </c>
      <c r="E26" s="18" t="str">
        <f>IF(OR($A26="",_Engine!$B$6=0),"",_Engine!$T72)</f>
        <v/>
      </c>
      <c r="F26" s="18" t="str">
        <f>IF($A26="","",_Engine!$J72+_Engine!$K72+12*Calculator!$C$10*_Engine!$B$10)</f>
        <v/>
      </c>
      <c r="G26" s="18" t="str">
        <f>IF(OR($A26="",_Engine!$B$5=0),"",_Engine!$N72+_Engine!$O72+12*Calculator!$C$10*_Engine!$B$10)</f>
        <v/>
      </c>
      <c r="H26" s="18" t="str">
        <f>IF(OR($A26="",_Engine!$B$6=0),"",_Engine!$R72+_Engine!$S72+12*Calculator!$C$10*_Engine!$B$10)</f>
        <v/>
      </c>
    </row>
    <row r="27" spans="1:8" x14ac:dyDescent="0.25">
      <c r="A27" s="17" t="str">
        <f>IF(23&lt;=Calculator!$C$11,23,"")</f>
        <v/>
      </c>
      <c r="B27" s="18" t="str">
        <f>IF($A27="","",_Engine!$H73)</f>
        <v/>
      </c>
      <c r="C27" s="18" t="str">
        <f>IF($A27="","",_Engine!$L73)</f>
        <v/>
      </c>
      <c r="D27" s="18" t="str">
        <f>IF(OR($A27="",_Engine!$B$5=0),"",_Engine!$P73)</f>
        <v/>
      </c>
      <c r="E27" s="18" t="str">
        <f>IF(OR($A27="",_Engine!$B$6=0),"",_Engine!$T73)</f>
        <v/>
      </c>
      <c r="F27" s="18" t="str">
        <f>IF($A27="","",_Engine!$J73+_Engine!$K73+12*Calculator!$C$10*_Engine!$B$10)</f>
        <v/>
      </c>
      <c r="G27" s="18" t="str">
        <f>IF(OR($A27="",_Engine!$B$5=0),"",_Engine!$N73+_Engine!$O73+12*Calculator!$C$10*_Engine!$B$10)</f>
        <v/>
      </c>
      <c r="H27" s="18" t="str">
        <f>IF(OR($A27="",_Engine!$B$6=0),"",_Engine!$R73+_Engine!$S73+12*Calculator!$C$10*_Engine!$B$10)</f>
        <v/>
      </c>
    </row>
    <row r="28" spans="1:8" x14ac:dyDescent="0.25">
      <c r="A28" s="17" t="str">
        <f>IF(24&lt;=Calculator!$C$11,24,"")</f>
        <v/>
      </c>
      <c r="B28" s="18" t="str">
        <f>IF($A28="","",_Engine!$H74)</f>
        <v/>
      </c>
      <c r="C28" s="18" t="str">
        <f>IF($A28="","",_Engine!$L74)</f>
        <v/>
      </c>
      <c r="D28" s="18" t="str">
        <f>IF(OR($A28="",_Engine!$B$5=0),"",_Engine!$P74)</f>
        <v/>
      </c>
      <c r="E28" s="18" t="str">
        <f>IF(OR($A28="",_Engine!$B$6=0),"",_Engine!$T74)</f>
        <v/>
      </c>
      <c r="F28" s="18" t="str">
        <f>IF($A28="","",_Engine!$J74+_Engine!$K74+12*Calculator!$C$10*_Engine!$B$10)</f>
        <v/>
      </c>
      <c r="G28" s="18" t="str">
        <f>IF(OR($A28="",_Engine!$B$5=0),"",_Engine!$N74+_Engine!$O74+12*Calculator!$C$10*_Engine!$B$10)</f>
        <v/>
      </c>
      <c r="H28" s="18" t="str">
        <f>IF(OR($A28="",_Engine!$B$6=0),"",_Engine!$R74+_Engine!$S74+12*Calculator!$C$10*_Engine!$B$10)</f>
        <v/>
      </c>
    </row>
    <row r="29" spans="1:8" x14ac:dyDescent="0.25">
      <c r="A29" s="17" t="str">
        <f>IF(25&lt;=Calculator!$C$11,25,"")</f>
        <v/>
      </c>
      <c r="B29" s="18" t="str">
        <f>IF($A29="","",_Engine!$H75)</f>
        <v/>
      </c>
      <c r="C29" s="18" t="str">
        <f>IF($A29="","",_Engine!$L75)</f>
        <v/>
      </c>
      <c r="D29" s="18" t="str">
        <f>IF(OR($A29="",_Engine!$B$5=0),"",_Engine!$P75)</f>
        <v/>
      </c>
      <c r="E29" s="18" t="str">
        <f>IF(OR($A29="",_Engine!$B$6=0),"",_Engine!$T75)</f>
        <v/>
      </c>
      <c r="F29" s="18" t="str">
        <f>IF($A29="","",_Engine!$J75+_Engine!$K75+12*Calculator!$C$10*_Engine!$B$10)</f>
        <v/>
      </c>
      <c r="G29" s="18" t="str">
        <f>IF(OR($A29="",_Engine!$B$5=0),"",_Engine!$N75+_Engine!$O75+12*Calculator!$C$10*_Engine!$B$10)</f>
        <v/>
      </c>
      <c r="H29" s="18" t="str">
        <f>IF(OR($A29="",_Engine!$B$6=0),"",_Engine!$R75+_Engine!$S75+12*Calculator!$C$10*_Engine!$B$10)</f>
        <v/>
      </c>
    </row>
    <row r="30" spans="1:8" x14ac:dyDescent="0.25">
      <c r="A30" s="17" t="str">
        <f>IF(26&lt;=Calculator!$C$11,26,"")</f>
        <v/>
      </c>
      <c r="B30" s="18" t="str">
        <f>IF($A30="","",_Engine!$H76)</f>
        <v/>
      </c>
      <c r="C30" s="18" t="str">
        <f>IF($A30="","",_Engine!$L76)</f>
        <v/>
      </c>
      <c r="D30" s="18" t="str">
        <f>IF(OR($A30="",_Engine!$B$5=0),"",_Engine!$P76)</f>
        <v/>
      </c>
      <c r="E30" s="18" t="str">
        <f>IF(OR($A30="",_Engine!$B$6=0),"",_Engine!$T76)</f>
        <v/>
      </c>
      <c r="F30" s="18" t="str">
        <f>IF($A30="","",_Engine!$J76+_Engine!$K76+12*Calculator!$C$10*_Engine!$B$10)</f>
        <v/>
      </c>
      <c r="G30" s="18" t="str">
        <f>IF(OR($A30="",_Engine!$B$5=0),"",_Engine!$N76+_Engine!$O76+12*Calculator!$C$10*_Engine!$B$10)</f>
        <v/>
      </c>
      <c r="H30" s="18" t="str">
        <f>IF(OR($A30="",_Engine!$B$6=0),"",_Engine!$R76+_Engine!$S76+12*Calculator!$C$10*_Engine!$B$10)</f>
        <v/>
      </c>
    </row>
    <row r="31" spans="1:8" x14ac:dyDescent="0.25">
      <c r="A31" s="17" t="str">
        <f>IF(27&lt;=Calculator!$C$11,27,"")</f>
        <v/>
      </c>
      <c r="B31" s="18" t="str">
        <f>IF($A31="","",_Engine!$H77)</f>
        <v/>
      </c>
      <c r="C31" s="18" t="str">
        <f>IF($A31="","",_Engine!$L77)</f>
        <v/>
      </c>
      <c r="D31" s="18" t="str">
        <f>IF(OR($A31="",_Engine!$B$5=0),"",_Engine!$P77)</f>
        <v/>
      </c>
      <c r="E31" s="18" t="str">
        <f>IF(OR($A31="",_Engine!$B$6=0),"",_Engine!$T77)</f>
        <v/>
      </c>
      <c r="F31" s="18" t="str">
        <f>IF($A31="","",_Engine!$J77+_Engine!$K77+12*Calculator!$C$10*_Engine!$B$10)</f>
        <v/>
      </c>
      <c r="G31" s="18" t="str">
        <f>IF(OR($A31="",_Engine!$B$5=0),"",_Engine!$N77+_Engine!$O77+12*Calculator!$C$10*_Engine!$B$10)</f>
        <v/>
      </c>
      <c r="H31" s="18" t="str">
        <f>IF(OR($A31="",_Engine!$B$6=0),"",_Engine!$R77+_Engine!$S77+12*Calculator!$C$10*_Engine!$B$10)</f>
        <v/>
      </c>
    </row>
    <row r="32" spans="1:8" x14ac:dyDescent="0.25">
      <c r="A32" s="17" t="str">
        <f>IF(28&lt;=Calculator!$C$11,28,"")</f>
        <v/>
      </c>
      <c r="B32" s="18" t="str">
        <f>IF($A32="","",_Engine!$H78)</f>
        <v/>
      </c>
      <c r="C32" s="18" t="str">
        <f>IF($A32="","",_Engine!$L78)</f>
        <v/>
      </c>
      <c r="D32" s="18" t="str">
        <f>IF(OR($A32="",_Engine!$B$5=0),"",_Engine!$P78)</f>
        <v/>
      </c>
      <c r="E32" s="18" t="str">
        <f>IF(OR($A32="",_Engine!$B$6=0),"",_Engine!$T78)</f>
        <v/>
      </c>
      <c r="F32" s="18" t="str">
        <f>IF($A32="","",_Engine!$J78+_Engine!$K78+12*Calculator!$C$10*_Engine!$B$10)</f>
        <v/>
      </c>
      <c r="G32" s="18" t="str">
        <f>IF(OR($A32="",_Engine!$B$5=0),"",_Engine!$N78+_Engine!$O78+12*Calculator!$C$10*_Engine!$B$10)</f>
        <v/>
      </c>
      <c r="H32" s="18" t="str">
        <f>IF(OR($A32="",_Engine!$B$6=0),"",_Engine!$R78+_Engine!$S78+12*Calculator!$C$10*_Engine!$B$10)</f>
        <v/>
      </c>
    </row>
    <row r="33" spans="1:8" x14ac:dyDescent="0.25">
      <c r="A33" s="17" t="str">
        <f>IF(29&lt;=Calculator!$C$11,29,"")</f>
        <v/>
      </c>
      <c r="B33" s="18" t="str">
        <f>IF($A33="","",_Engine!$H79)</f>
        <v/>
      </c>
      <c r="C33" s="18" t="str">
        <f>IF($A33="","",_Engine!$L79)</f>
        <v/>
      </c>
      <c r="D33" s="18" t="str">
        <f>IF(OR($A33="",_Engine!$B$5=0),"",_Engine!$P79)</f>
        <v/>
      </c>
      <c r="E33" s="18" t="str">
        <f>IF(OR($A33="",_Engine!$B$6=0),"",_Engine!$T79)</f>
        <v/>
      </c>
      <c r="F33" s="18" t="str">
        <f>IF($A33="","",_Engine!$J79+_Engine!$K79+12*Calculator!$C$10*_Engine!$B$10)</f>
        <v/>
      </c>
      <c r="G33" s="18" t="str">
        <f>IF(OR($A33="",_Engine!$B$5=0),"",_Engine!$N79+_Engine!$O79+12*Calculator!$C$10*_Engine!$B$10)</f>
        <v/>
      </c>
      <c r="H33" s="18" t="str">
        <f>IF(OR($A33="",_Engine!$B$6=0),"",_Engine!$R79+_Engine!$S79+12*Calculator!$C$10*_Engine!$B$10)</f>
        <v/>
      </c>
    </row>
    <row r="34" spans="1:8" x14ac:dyDescent="0.25">
      <c r="A34" s="17" t="str">
        <f>IF(30&lt;=Calculator!$C$11,30,"")</f>
        <v/>
      </c>
      <c r="B34" s="18" t="str">
        <f>IF($A34="","",_Engine!$H80)</f>
        <v/>
      </c>
      <c r="C34" s="18" t="str">
        <f>IF($A34="","",_Engine!$L80)</f>
        <v/>
      </c>
      <c r="D34" s="18" t="str">
        <f>IF(OR($A34="",_Engine!$B$5=0),"",_Engine!$P80)</f>
        <v/>
      </c>
      <c r="E34" s="18" t="str">
        <f>IF(OR($A34="",_Engine!$B$6=0),"",_Engine!$T80)</f>
        <v/>
      </c>
      <c r="F34" s="18" t="str">
        <f>IF($A34="","",_Engine!$J80+_Engine!$K80+12*Calculator!$C$10*_Engine!$B$10)</f>
        <v/>
      </c>
      <c r="G34" s="18" t="str">
        <f>IF(OR($A34="",_Engine!$B$5=0),"",_Engine!$N80+_Engine!$O80+12*Calculator!$C$10*_Engine!$B$10)</f>
        <v/>
      </c>
      <c r="H34" s="18" t="str">
        <f>IF(OR($A34="",_Engine!$B$6=0),"",_Engine!$R80+_Engine!$S80+12*Calculator!$C$10*_Engine!$B$10)</f>
        <v/>
      </c>
    </row>
    <row r="35" spans="1:8" x14ac:dyDescent="0.25">
      <c r="A35" s="17" t="str">
        <f>IF(31&lt;=Calculator!$C$11,31,"")</f>
        <v/>
      </c>
      <c r="B35" s="18" t="str">
        <f>IF($A35="","",_Engine!$H81)</f>
        <v/>
      </c>
      <c r="C35" s="18" t="str">
        <f>IF($A35="","",_Engine!$L81)</f>
        <v/>
      </c>
      <c r="D35" s="18" t="str">
        <f>IF(OR($A35="",_Engine!$B$5=0),"",_Engine!$P81)</f>
        <v/>
      </c>
      <c r="E35" s="18" t="str">
        <f>IF(OR($A35="",_Engine!$B$6=0),"",_Engine!$T81)</f>
        <v/>
      </c>
      <c r="F35" s="18" t="str">
        <f>IF($A35="","",_Engine!$J81+_Engine!$K81+12*Calculator!$C$10*_Engine!$B$10)</f>
        <v/>
      </c>
      <c r="G35" s="18" t="str">
        <f>IF(OR($A35="",_Engine!$B$5=0),"",_Engine!$N81+_Engine!$O81+12*Calculator!$C$10*_Engine!$B$10)</f>
        <v/>
      </c>
      <c r="H35" s="18" t="str">
        <f>IF(OR($A35="",_Engine!$B$6=0),"",_Engine!$R81+_Engine!$S81+12*Calculator!$C$10*_Engine!$B$10)</f>
        <v/>
      </c>
    </row>
    <row r="36" spans="1:8" x14ac:dyDescent="0.25">
      <c r="A36" s="17" t="str">
        <f>IF(32&lt;=Calculator!$C$11,32,"")</f>
        <v/>
      </c>
      <c r="B36" s="18" t="str">
        <f>IF($A36="","",_Engine!$H82)</f>
        <v/>
      </c>
      <c r="C36" s="18" t="str">
        <f>IF($A36="","",_Engine!$L82)</f>
        <v/>
      </c>
      <c r="D36" s="18" t="str">
        <f>IF(OR($A36="",_Engine!$B$5=0),"",_Engine!$P82)</f>
        <v/>
      </c>
      <c r="E36" s="18" t="str">
        <f>IF(OR($A36="",_Engine!$B$6=0),"",_Engine!$T82)</f>
        <v/>
      </c>
      <c r="F36" s="18" t="str">
        <f>IF($A36="","",_Engine!$J82+_Engine!$K82+12*Calculator!$C$10*_Engine!$B$10)</f>
        <v/>
      </c>
      <c r="G36" s="18" t="str">
        <f>IF(OR($A36="",_Engine!$B$5=0),"",_Engine!$N82+_Engine!$O82+12*Calculator!$C$10*_Engine!$B$10)</f>
        <v/>
      </c>
      <c r="H36" s="18" t="str">
        <f>IF(OR($A36="",_Engine!$B$6=0),"",_Engine!$R82+_Engine!$S82+12*Calculator!$C$10*_Engine!$B$10)</f>
        <v/>
      </c>
    </row>
    <row r="37" spans="1:8" x14ac:dyDescent="0.25">
      <c r="A37" s="17" t="str">
        <f>IF(33&lt;=Calculator!$C$11,33,"")</f>
        <v/>
      </c>
      <c r="B37" s="18" t="str">
        <f>IF($A37="","",_Engine!$H83)</f>
        <v/>
      </c>
      <c r="C37" s="18" t="str">
        <f>IF($A37="","",_Engine!$L83)</f>
        <v/>
      </c>
      <c r="D37" s="18" t="str">
        <f>IF(OR($A37="",_Engine!$B$5=0),"",_Engine!$P83)</f>
        <v/>
      </c>
      <c r="E37" s="18" t="str">
        <f>IF(OR($A37="",_Engine!$B$6=0),"",_Engine!$T83)</f>
        <v/>
      </c>
      <c r="F37" s="18" t="str">
        <f>IF($A37="","",_Engine!$J83+_Engine!$K83+12*Calculator!$C$10*_Engine!$B$10)</f>
        <v/>
      </c>
      <c r="G37" s="18" t="str">
        <f>IF(OR($A37="",_Engine!$B$5=0),"",_Engine!$N83+_Engine!$O83+12*Calculator!$C$10*_Engine!$B$10)</f>
        <v/>
      </c>
      <c r="H37" s="18" t="str">
        <f>IF(OR($A37="",_Engine!$B$6=0),"",_Engine!$R83+_Engine!$S83+12*Calculator!$C$10*_Engine!$B$10)</f>
        <v/>
      </c>
    </row>
    <row r="38" spans="1:8" x14ac:dyDescent="0.25">
      <c r="A38" s="17" t="str">
        <f>IF(34&lt;=Calculator!$C$11,34,"")</f>
        <v/>
      </c>
      <c r="B38" s="18" t="str">
        <f>IF($A38="","",_Engine!$H84)</f>
        <v/>
      </c>
      <c r="C38" s="18" t="str">
        <f>IF($A38="","",_Engine!$L84)</f>
        <v/>
      </c>
      <c r="D38" s="18" t="str">
        <f>IF(OR($A38="",_Engine!$B$5=0),"",_Engine!$P84)</f>
        <v/>
      </c>
      <c r="E38" s="18" t="str">
        <f>IF(OR($A38="",_Engine!$B$6=0),"",_Engine!$T84)</f>
        <v/>
      </c>
      <c r="F38" s="18" t="str">
        <f>IF($A38="","",_Engine!$J84+_Engine!$K84+12*Calculator!$C$10*_Engine!$B$10)</f>
        <v/>
      </c>
      <c r="G38" s="18" t="str">
        <f>IF(OR($A38="",_Engine!$B$5=0),"",_Engine!$N84+_Engine!$O84+12*Calculator!$C$10*_Engine!$B$10)</f>
        <v/>
      </c>
      <c r="H38" s="18" t="str">
        <f>IF(OR($A38="",_Engine!$B$6=0),"",_Engine!$R84+_Engine!$S84+12*Calculator!$C$10*_Engine!$B$10)</f>
        <v/>
      </c>
    </row>
    <row r="39" spans="1:8" x14ac:dyDescent="0.25">
      <c r="A39" s="17" t="str">
        <f>IF(35&lt;=Calculator!$C$11,35,"")</f>
        <v/>
      </c>
      <c r="B39" s="18" t="str">
        <f>IF($A39="","",_Engine!$H85)</f>
        <v/>
      </c>
      <c r="C39" s="18" t="str">
        <f>IF($A39="","",_Engine!$L85)</f>
        <v/>
      </c>
      <c r="D39" s="18" t="str">
        <f>IF(OR($A39="",_Engine!$B$5=0),"",_Engine!$P85)</f>
        <v/>
      </c>
      <c r="E39" s="18" t="str">
        <f>IF(OR($A39="",_Engine!$B$6=0),"",_Engine!$T85)</f>
        <v/>
      </c>
      <c r="F39" s="18" t="str">
        <f>IF($A39="","",_Engine!$J85+_Engine!$K85+12*Calculator!$C$10*_Engine!$B$10)</f>
        <v/>
      </c>
      <c r="G39" s="18" t="str">
        <f>IF(OR($A39="",_Engine!$B$5=0),"",_Engine!$N85+_Engine!$O85+12*Calculator!$C$10*_Engine!$B$10)</f>
        <v/>
      </c>
      <c r="H39" s="18" t="str">
        <f>IF(OR($A39="",_Engine!$B$6=0),"",_Engine!$R85+_Engine!$S85+12*Calculator!$C$10*_Engine!$B$10)</f>
        <v/>
      </c>
    </row>
    <row r="40" spans="1:8" x14ac:dyDescent="0.25">
      <c r="A40" s="17" t="str">
        <f>IF(36&lt;=Calculator!$C$11,36,"")</f>
        <v/>
      </c>
      <c r="B40" s="18" t="str">
        <f>IF($A40="","",_Engine!$H86)</f>
        <v/>
      </c>
      <c r="C40" s="18" t="str">
        <f>IF($A40="","",_Engine!$L86)</f>
        <v/>
      </c>
      <c r="D40" s="18" t="str">
        <f>IF(OR($A40="",_Engine!$B$5=0),"",_Engine!$P86)</f>
        <v/>
      </c>
      <c r="E40" s="18" t="str">
        <f>IF(OR($A40="",_Engine!$B$6=0),"",_Engine!$T86)</f>
        <v/>
      </c>
      <c r="F40" s="18" t="str">
        <f>IF($A40="","",_Engine!$J86+_Engine!$K86+12*Calculator!$C$10*_Engine!$B$10)</f>
        <v/>
      </c>
      <c r="G40" s="18" t="str">
        <f>IF(OR($A40="",_Engine!$B$5=0),"",_Engine!$N86+_Engine!$O86+12*Calculator!$C$10*_Engine!$B$10)</f>
        <v/>
      </c>
      <c r="H40" s="18" t="str">
        <f>IF(OR($A40="",_Engine!$B$6=0),"",_Engine!$R86+_Engine!$S86+12*Calculator!$C$10*_Engine!$B$10)</f>
        <v/>
      </c>
    </row>
    <row r="41" spans="1:8" x14ac:dyDescent="0.25">
      <c r="A41" s="17" t="str">
        <f>IF(37&lt;=Calculator!$C$11,37,"")</f>
        <v/>
      </c>
      <c r="B41" s="18" t="str">
        <f>IF($A41="","",_Engine!$H87)</f>
        <v/>
      </c>
      <c r="C41" s="18" t="str">
        <f>IF($A41="","",_Engine!$L87)</f>
        <v/>
      </c>
      <c r="D41" s="18" t="str">
        <f>IF(OR($A41="",_Engine!$B$5=0),"",_Engine!$P87)</f>
        <v/>
      </c>
      <c r="E41" s="18" t="str">
        <f>IF(OR($A41="",_Engine!$B$6=0),"",_Engine!$T87)</f>
        <v/>
      </c>
      <c r="F41" s="18" t="str">
        <f>IF($A41="","",_Engine!$J87+_Engine!$K87+12*Calculator!$C$10*_Engine!$B$10)</f>
        <v/>
      </c>
      <c r="G41" s="18" t="str">
        <f>IF(OR($A41="",_Engine!$B$5=0),"",_Engine!$N87+_Engine!$O87+12*Calculator!$C$10*_Engine!$B$10)</f>
        <v/>
      </c>
      <c r="H41" s="18" t="str">
        <f>IF(OR($A41="",_Engine!$B$6=0),"",_Engine!$R87+_Engine!$S87+12*Calculator!$C$10*_Engine!$B$10)</f>
        <v/>
      </c>
    </row>
    <row r="42" spans="1:8" x14ac:dyDescent="0.25">
      <c r="A42" s="17" t="str">
        <f>IF(38&lt;=Calculator!$C$11,38,"")</f>
        <v/>
      </c>
      <c r="B42" s="18" t="str">
        <f>IF($A42="","",_Engine!$H88)</f>
        <v/>
      </c>
      <c r="C42" s="18" t="str">
        <f>IF($A42="","",_Engine!$L88)</f>
        <v/>
      </c>
      <c r="D42" s="18" t="str">
        <f>IF(OR($A42="",_Engine!$B$5=0),"",_Engine!$P88)</f>
        <v/>
      </c>
      <c r="E42" s="18" t="str">
        <f>IF(OR($A42="",_Engine!$B$6=0),"",_Engine!$T88)</f>
        <v/>
      </c>
      <c r="F42" s="18" t="str">
        <f>IF($A42="","",_Engine!$J88+_Engine!$K88+12*Calculator!$C$10*_Engine!$B$10)</f>
        <v/>
      </c>
      <c r="G42" s="18" t="str">
        <f>IF(OR($A42="",_Engine!$B$5=0),"",_Engine!$N88+_Engine!$O88+12*Calculator!$C$10*_Engine!$B$10)</f>
        <v/>
      </c>
      <c r="H42" s="18" t="str">
        <f>IF(OR($A42="",_Engine!$B$6=0),"",_Engine!$R88+_Engine!$S88+12*Calculator!$C$10*_Engine!$B$10)</f>
        <v/>
      </c>
    </row>
    <row r="43" spans="1:8" x14ac:dyDescent="0.25">
      <c r="A43" s="17" t="str">
        <f>IF(39&lt;=Calculator!$C$11,39,"")</f>
        <v/>
      </c>
      <c r="B43" s="18" t="str">
        <f>IF($A43="","",_Engine!$H89)</f>
        <v/>
      </c>
      <c r="C43" s="18" t="str">
        <f>IF($A43="","",_Engine!$L89)</f>
        <v/>
      </c>
      <c r="D43" s="18" t="str">
        <f>IF(OR($A43="",_Engine!$B$5=0),"",_Engine!$P89)</f>
        <v/>
      </c>
      <c r="E43" s="18" t="str">
        <f>IF(OR($A43="",_Engine!$B$6=0),"",_Engine!$T89)</f>
        <v/>
      </c>
      <c r="F43" s="18" t="str">
        <f>IF($A43="","",_Engine!$J89+_Engine!$K89+12*Calculator!$C$10*_Engine!$B$10)</f>
        <v/>
      </c>
      <c r="G43" s="18" t="str">
        <f>IF(OR($A43="",_Engine!$B$5=0),"",_Engine!$N89+_Engine!$O89+12*Calculator!$C$10*_Engine!$B$10)</f>
        <v/>
      </c>
      <c r="H43" s="18" t="str">
        <f>IF(OR($A43="",_Engine!$B$6=0),"",_Engine!$R89+_Engine!$S89+12*Calculator!$C$10*_Engine!$B$10)</f>
        <v/>
      </c>
    </row>
    <row r="44" spans="1:8" x14ac:dyDescent="0.25">
      <c r="A44" s="17" t="str">
        <f>IF(40&lt;=Calculator!$C$11,40,"")</f>
        <v/>
      </c>
      <c r="B44" s="18" t="str">
        <f>IF($A44="","",_Engine!$H90)</f>
        <v/>
      </c>
      <c r="C44" s="18" t="str">
        <f>IF($A44="","",_Engine!$L90)</f>
        <v/>
      </c>
      <c r="D44" s="18" t="str">
        <f>IF(OR($A44="",_Engine!$B$5=0),"",_Engine!$P90)</f>
        <v/>
      </c>
      <c r="E44" s="18" t="str">
        <f>IF(OR($A44="",_Engine!$B$6=0),"",_Engine!$T90)</f>
        <v/>
      </c>
      <c r="F44" s="18" t="str">
        <f>IF($A44="","",_Engine!$J90+_Engine!$K90+12*Calculator!$C$10*_Engine!$B$10)</f>
        <v/>
      </c>
      <c r="G44" s="18" t="str">
        <f>IF(OR($A44="",_Engine!$B$5=0),"",_Engine!$N90+_Engine!$O90+12*Calculator!$C$10*_Engine!$B$10)</f>
        <v/>
      </c>
      <c r="H44" s="18" t="str">
        <f>IF(OR($A44="",_Engine!$B$6=0),"",_Engine!$R90+_Engine!$S90+12*Calculator!$C$10*_Engine!$B$10)</f>
        <v/>
      </c>
    </row>
    <row r="45" spans="1:8" x14ac:dyDescent="0.25">
      <c r="A45" s="17" t="str">
        <f>IF(41&lt;=Calculator!$C$11,41,"")</f>
        <v/>
      </c>
      <c r="B45" s="18" t="str">
        <f>IF($A45="","",_Engine!$H91)</f>
        <v/>
      </c>
      <c r="C45" s="18" t="str">
        <f>IF($A45="","",_Engine!$L91)</f>
        <v/>
      </c>
      <c r="D45" s="18" t="str">
        <f>IF(OR($A45="",_Engine!$B$5=0),"",_Engine!$P91)</f>
        <v/>
      </c>
      <c r="E45" s="18" t="str">
        <f>IF(OR($A45="",_Engine!$B$6=0),"",_Engine!$T91)</f>
        <v/>
      </c>
      <c r="F45" s="18" t="str">
        <f>IF($A45="","",_Engine!$J91+_Engine!$K91+12*Calculator!$C$10*_Engine!$B$10)</f>
        <v/>
      </c>
      <c r="G45" s="18" t="str">
        <f>IF(OR($A45="",_Engine!$B$5=0),"",_Engine!$N91+_Engine!$O91+12*Calculator!$C$10*_Engine!$B$10)</f>
        <v/>
      </c>
      <c r="H45" s="18" t="str">
        <f>IF(OR($A45="",_Engine!$B$6=0),"",_Engine!$R91+_Engine!$S91+12*Calculator!$C$10*_Engine!$B$10)</f>
        <v/>
      </c>
    </row>
    <row r="46" spans="1:8" x14ac:dyDescent="0.25">
      <c r="A46" s="17" t="str">
        <f>IF(42&lt;=Calculator!$C$11,42,"")</f>
        <v/>
      </c>
      <c r="B46" s="18" t="str">
        <f>IF($A46="","",_Engine!$H92)</f>
        <v/>
      </c>
      <c r="C46" s="18" t="str">
        <f>IF($A46="","",_Engine!$L92)</f>
        <v/>
      </c>
      <c r="D46" s="18" t="str">
        <f>IF(OR($A46="",_Engine!$B$5=0),"",_Engine!$P92)</f>
        <v/>
      </c>
      <c r="E46" s="18" t="str">
        <f>IF(OR($A46="",_Engine!$B$6=0),"",_Engine!$T92)</f>
        <v/>
      </c>
      <c r="F46" s="18" t="str">
        <f>IF($A46="","",_Engine!$J92+_Engine!$K92+12*Calculator!$C$10*_Engine!$B$10)</f>
        <v/>
      </c>
      <c r="G46" s="18" t="str">
        <f>IF(OR($A46="",_Engine!$B$5=0),"",_Engine!$N92+_Engine!$O92+12*Calculator!$C$10*_Engine!$B$10)</f>
        <v/>
      </c>
      <c r="H46" s="18" t="str">
        <f>IF(OR($A46="",_Engine!$B$6=0),"",_Engine!$R92+_Engine!$S92+12*Calculator!$C$10*_Engine!$B$10)</f>
        <v/>
      </c>
    </row>
    <row r="47" spans="1:8" x14ac:dyDescent="0.25">
      <c r="A47" s="17" t="str">
        <f>IF(43&lt;=Calculator!$C$11,43,"")</f>
        <v/>
      </c>
      <c r="B47" s="18" t="str">
        <f>IF($A47="","",_Engine!$H93)</f>
        <v/>
      </c>
      <c r="C47" s="18" t="str">
        <f>IF($A47="","",_Engine!$L93)</f>
        <v/>
      </c>
      <c r="D47" s="18" t="str">
        <f>IF(OR($A47="",_Engine!$B$5=0),"",_Engine!$P93)</f>
        <v/>
      </c>
      <c r="E47" s="18" t="str">
        <f>IF(OR($A47="",_Engine!$B$6=0),"",_Engine!$T93)</f>
        <v/>
      </c>
      <c r="F47" s="18" t="str">
        <f>IF($A47="","",_Engine!$J93+_Engine!$K93+12*Calculator!$C$10*_Engine!$B$10)</f>
        <v/>
      </c>
      <c r="G47" s="18" t="str">
        <f>IF(OR($A47="",_Engine!$B$5=0),"",_Engine!$N93+_Engine!$O93+12*Calculator!$C$10*_Engine!$B$10)</f>
        <v/>
      </c>
      <c r="H47" s="18" t="str">
        <f>IF(OR($A47="",_Engine!$B$6=0),"",_Engine!$R93+_Engine!$S93+12*Calculator!$C$10*_Engine!$B$10)</f>
        <v/>
      </c>
    </row>
    <row r="48" spans="1:8" x14ac:dyDescent="0.25">
      <c r="A48" s="17" t="str">
        <f>IF(44&lt;=Calculator!$C$11,44,"")</f>
        <v/>
      </c>
      <c r="B48" s="18" t="str">
        <f>IF($A48="","",_Engine!$H94)</f>
        <v/>
      </c>
      <c r="C48" s="18" t="str">
        <f>IF($A48="","",_Engine!$L94)</f>
        <v/>
      </c>
      <c r="D48" s="18" t="str">
        <f>IF(OR($A48="",_Engine!$B$5=0),"",_Engine!$P94)</f>
        <v/>
      </c>
      <c r="E48" s="18" t="str">
        <f>IF(OR($A48="",_Engine!$B$6=0),"",_Engine!$T94)</f>
        <v/>
      </c>
      <c r="F48" s="18" t="str">
        <f>IF($A48="","",_Engine!$J94+_Engine!$K94+12*Calculator!$C$10*_Engine!$B$10)</f>
        <v/>
      </c>
      <c r="G48" s="18" t="str">
        <f>IF(OR($A48="",_Engine!$B$5=0),"",_Engine!$N94+_Engine!$O94+12*Calculator!$C$10*_Engine!$B$10)</f>
        <v/>
      </c>
      <c r="H48" s="18" t="str">
        <f>IF(OR($A48="",_Engine!$B$6=0),"",_Engine!$R94+_Engine!$S94+12*Calculator!$C$10*_Engine!$B$10)</f>
        <v/>
      </c>
    </row>
    <row r="49" spans="1:8" x14ac:dyDescent="0.25">
      <c r="A49" s="17" t="str">
        <f>IF(45&lt;=Calculator!$C$11,45,"")</f>
        <v/>
      </c>
      <c r="B49" s="18" t="str">
        <f>IF($A49="","",_Engine!$H95)</f>
        <v/>
      </c>
      <c r="C49" s="18" t="str">
        <f>IF($A49="","",_Engine!$L95)</f>
        <v/>
      </c>
      <c r="D49" s="18" t="str">
        <f>IF(OR($A49="",_Engine!$B$5=0),"",_Engine!$P95)</f>
        <v/>
      </c>
      <c r="E49" s="18" t="str">
        <f>IF(OR($A49="",_Engine!$B$6=0),"",_Engine!$T95)</f>
        <v/>
      </c>
      <c r="F49" s="18" t="str">
        <f>IF($A49="","",_Engine!$J95+_Engine!$K95+12*Calculator!$C$10*_Engine!$B$10)</f>
        <v/>
      </c>
      <c r="G49" s="18" t="str">
        <f>IF(OR($A49="",_Engine!$B$5=0),"",_Engine!$N95+_Engine!$O95+12*Calculator!$C$10*_Engine!$B$10)</f>
        <v/>
      </c>
      <c r="H49" s="18" t="str">
        <f>IF(OR($A49="",_Engine!$B$6=0),"",_Engine!$R95+_Engine!$S95+12*Calculator!$C$10*_Engine!$B$10)</f>
        <v/>
      </c>
    </row>
    <row r="50" spans="1:8" x14ac:dyDescent="0.25">
      <c r="A50" s="17" t="str">
        <f>IF(46&lt;=Calculator!$C$11,46,"")</f>
        <v/>
      </c>
      <c r="B50" s="18" t="str">
        <f>IF($A50="","",_Engine!$H96)</f>
        <v/>
      </c>
      <c r="C50" s="18" t="str">
        <f>IF($A50="","",_Engine!$L96)</f>
        <v/>
      </c>
      <c r="D50" s="18" t="str">
        <f>IF(OR($A50="",_Engine!$B$5=0),"",_Engine!$P96)</f>
        <v/>
      </c>
      <c r="E50" s="18" t="str">
        <f>IF(OR($A50="",_Engine!$B$6=0),"",_Engine!$T96)</f>
        <v/>
      </c>
      <c r="F50" s="18" t="str">
        <f>IF($A50="","",_Engine!$J96+_Engine!$K96+12*Calculator!$C$10*_Engine!$B$10)</f>
        <v/>
      </c>
      <c r="G50" s="18" t="str">
        <f>IF(OR($A50="",_Engine!$B$5=0),"",_Engine!$N96+_Engine!$O96+12*Calculator!$C$10*_Engine!$B$10)</f>
        <v/>
      </c>
      <c r="H50" s="18" t="str">
        <f>IF(OR($A50="",_Engine!$B$6=0),"",_Engine!$R96+_Engine!$S96+12*Calculator!$C$10*_Engine!$B$10)</f>
        <v/>
      </c>
    </row>
    <row r="51" spans="1:8" x14ac:dyDescent="0.25">
      <c r="A51" s="17" t="str">
        <f>IF(47&lt;=Calculator!$C$11,47,"")</f>
        <v/>
      </c>
      <c r="B51" s="18" t="str">
        <f>IF($A51="","",_Engine!$H97)</f>
        <v/>
      </c>
      <c r="C51" s="18" t="str">
        <f>IF($A51="","",_Engine!$L97)</f>
        <v/>
      </c>
      <c r="D51" s="18" t="str">
        <f>IF(OR($A51="",_Engine!$B$5=0),"",_Engine!$P97)</f>
        <v/>
      </c>
      <c r="E51" s="18" t="str">
        <f>IF(OR($A51="",_Engine!$B$6=0),"",_Engine!$T97)</f>
        <v/>
      </c>
      <c r="F51" s="18" t="str">
        <f>IF($A51="","",_Engine!$J97+_Engine!$K97+12*Calculator!$C$10*_Engine!$B$10)</f>
        <v/>
      </c>
      <c r="G51" s="18" t="str">
        <f>IF(OR($A51="",_Engine!$B$5=0),"",_Engine!$N97+_Engine!$O97+12*Calculator!$C$10*_Engine!$B$10)</f>
        <v/>
      </c>
      <c r="H51" s="18" t="str">
        <f>IF(OR($A51="",_Engine!$B$6=0),"",_Engine!$R97+_Engine!$S97+12*Calculator!$C$10*_Engine!$B$10)</f>
        <v/>
      </c>
    </row>
    <row r="52" spans="1:8" x14ac:dyDescent="0.25">
      <c r="A52" s="17" t="str">
        <f>IF(48&lt;=Calculator!$C$11,48,"")</f>
        <v/>
      </c>
      <c r="B52" s="18" t="str">
        <f>IF($A52="","",_Engine!$H98)</f>
        <v/>
      </c>
      <c r="C52" s="18" t="str">
        <f>IF($A52="","",_Engine!$L98)</f>
        <v/>
      </c>
      <c r="D52" s="18" t="str">
        <f>IF(OR($A52="",_Engine!$B$5=0),"",_Engine!$P98)</f>
        <v/>
      </c>
      <c r="E52" s="18" t="str">
        <f>IF(OR($A52="",_Engine!$B$6=0),"",_Engine!$T98)</f>
        <v/>
      </c>
      <c r="F52" s="18" t="str">
        <f>IF($A52="","",_Engine!$J98+_Engine!$K98+12*Calculator!$C$10*_Engine!$B$10)</f>
        <v/>
      </c>
      <c r="G52" s="18" t="str">
        <f>IF(OR($A52="",_Engine!$B$5=0),"",_Engine!$N98+_Engine!$O98+12*Calculator!$C$10*_Engine!$B$10)</f>
        <v/>
      </c>
      <c r="H52" s="18" t="str">
        <f>IF(OR($A52="",_Engine!$B$6=0),"",_Engine!$R98+_Engine!$S98+12*Calculator!$C$10*_Engine!$B$10)</f>
        <v/>
      </c>
    </row>
    <row r="53" spans="1:8" x14ac:dyDescent="0.25">
      <c r="A53" s="17" t="str">
        <f>IF(49&lt;=Calculator!$C$11,49,"")</f>
        <v/>
      </c>
      <c r="B53" s="18" t="str">
        <f>IF($A53="","",_Engine!$H99)</f>
        <v/>
      </c>
      <c r="C53" s="18" t="str">
        <f>IF($A53="","",_Engine!$L99)</f>
        <v/>
      </c>
      <c r="D53" s="18" t="str">
        <f>IF(OR($A53="",_Engine!$B$5=0),"",_Engine!$P99)</f>
        <v/>
      </c>
      <c r="E53" s="18" t="str">
        <f>IF(OR($A53="",_Engine!$B$6=0),"",_Engine!$T99)</f>
        <v/>
      </c>
      <c r="F53" s="18" t="str">
        <f>IF($A53="","",_Engine!$J99+_Engine!$K99+12*Calculator!$C$10*_Engine!$B$10)</f>
        <v/>
      </c>
      <c r="G53" s="18" t="str">
        <f>IF(OR($A53="",_Engine!$B$5=0),"",_Engine!$N99+_Engine!$O99+12*Calculator!$C$10*_Engine!$B$10)</f>
        <v/>
      </c>
      <c r="H53" s="18" t="str">
        <f>IF(OR($A53="",_Engine!$B$6=0),"",_Engine!$R99+_Engine!$S99+12*Calculator!$C$10*_Engine!$B$10)</f>
        <v/>
      </c>
    </row>
    <row r="54" spans="1:8" x14ac:dyDescent="0.25">
      <c r="A54" s="17" t="str">
        <f>IF(50&lt;=Calculator!$C$11,50,"")</f>
        <v/>
      </c>
      <c r="B54" s="18" t="str">
        <f>IF($A54="","",_Engine!$H100)</f>
        <v/>
      </c>
      <c r="C54" s="18" t="str">
        <f>IF($A54="","",_Engine!$L100)</f>
        <v/>
      </c>
      <c r="D54" s="18" t="str">
        <f>IF(OR($A54="",_Engine!$B$5=0),"",_Engine!$P100)</f>
        <v/>
      </c>
      <c r="E54" s="18" t="str">
        <f>IF(OR($A54="",_Engine!$B$6=0),"",_Engine!$T100)</f>
        <v/>
      </c>
      <c r="F54" s="18" t="str">
        <f>IF($A54="","",_Engine!$J100+_Engine!$K100+12*Calculator!$C$10*_Engine!$B$10)</f>
        <v/>
      </c>
      <c r="G54" s="18" t="str">
        <f>IF(OR($A54="",_Engine!$B$5=0),"",_Engine!$N100+_Engine!$O100+12*Calculator!$C$10*_Engine!$B$10)</f>
        <v/>
      </c>
      <c r="H54" s="18" t="str">
        <f>IF(OR($A54="",_Engine!$B$6=0),"",_Engine!$R100+_Engine!$S100+12*Calculator!$C$10*_Engine!$B$10)</f>
        <v/>
      </c>
    </row>
    <row r="55" spans="1:8" x14ac:dyDescent="0.25">
      <c r="A55" s="17" t="str">
        <f>IF(51&lt;=Calculator!$C$11,51,"")</f>
        <v/>
      </c>
      <c r="B55" s="18" t="str">
        <f>IF($A55="","",_Engine!$H101)</f>
        <v/>
      </c>
      <c r="C55" s="18" t="str">
        <f>IF($A55="","",_Engine!$L101)</f>
        <v/>
      </c>
      <c r="D55" s="18" t="str">
        <f>IF(OR($A55="",_Engine!$B$5=0),"",_Engine!$P101)</f>
        <v/>
      </c>
      <c r="E55" s="18" t="str">
        <f>IF(OR($A55="",_Engine!$B$6=0),"",_Engine!$T101)</f>
        <v/>
      </c>
      <c r="F55" s="18" t="str">
        <f>IF($A55="","",_Engine!$J101+_Engine!$K101+12*Calculator!$C$10*_Engine!$B$10)</f>
        <v/>
      </c>
      <c r="G55" s="18" t="str">
        <f>IF(OR($A55="",_Engine!$B$5=0),"",_Engine!$N101+_Engine!$O101+12*Calculator!$C$10*_Engine!$B$10)</f>
        <v/>
      </c>
      <c r="H55" s="18" t="str">
        <f>IF(OR($A55="",_Engine!$B$6=0),"",_Engine!$R101+_Engine!$S101+12*Calculator!$C$10*_Engine!$B$10)</f>
        <v/>
      </c>
    </row>
    <row r="56" spans="1:8" x14ac:dyDescent="0.25">
      <c r="A56" s="17" t="str">
        <f>IF(52&lt;=Calculator!$C$11,52,"")</f>
        <v/>
      </c>
      <c r="B56" s="18" t="str">
        <f>IF($A56="","",_Engine!$H102)</f>
        <v/>
      </c>
      <c r="C56" s="18" t="str">
        <f>IF($A56="","",_Engine!$L102)</f>
        <v/>
      </c>
      <c r="D56" s="18" t="str">
        <f>IF(OR($A56="",_Engine!$B$5=0),"",_Engine!$P102)</f>
        <v/>
      </c>
      <c r="E56" s="18" t="str">
        <f>IF(OR($A56="",_Engine!$B$6=0),"",_Engine!$T102)</f>
        <v/>
      </c>
      <c r="F56" s="18" t="str">
        <f>IF($A56="","",_Engine!$J102+_Engine!$K102+12*Calculator!$C$10*_Engine!$B$10)</f>
        <v/>
      </c>
      <c r="G56" s="18" t="str">
        <f>IF(OR($A56="",_Engine!$B$5=0),"",_Engine!$N102+_Engine!$O102+12*Calculator!$C$10*_Engine!$B$10)</f>
        <v/>
      </c>
      <c r="H56" s="18" t="str">
        <f>IF(OR($A56="",_Engine!$B$6=0),"",_Engine!$R102+_Engine!$S102+12*Calculator!$C$10*_Engine!$B$10)</f>
        <v/>
      </c>
    </row>
    <row r="57" spans="1:8" x14ac:dyDescent="0.25">
      <c r="A57" s="17" t="str">
        <f>IF(53&lt;=Calculator!$C$11,53,"")</f>
        <v/>
      </c>
      <c r="B57" s="18" t="str">
        <f>IF($A57="","",_Engine!$H103)</f>
        <v/>
      </c>
      <c r="C57" s="18" t="str">
        <f>IF($A57="","",_Engine!$L103)</f>
        <v/>
      </c>
      <c r="D57" s="18" t="str">
        <f>IF(OR($A57="",_Engine!$B$5=0),"",_Engine!$P103)</f>
        <v/>
      </c>
      <c r="E57" s="18" t="str">
        <f>IF(OR($A57="",_Engine!$B$6=0),"",_Engine!$T103)</f>
        <v/>
      </c>
      <c r="F57" s="18" t="str">
        <f>IF($A57="","",_Engine!$J103+_Engine!$K103+12*Calculator!$C$10*_Engine!$B$10)</f>
        <v/>
      </c>
      <c r="G57" s="18" t="str">
        <f>IF(OR($A57="",_Engine!$B$5=0),"",_Engine!$N103+_Engine!$O103+12*Calculator!$C$10*_Engine!$B$10)</f>
        <v/>
      </c>
      <c r="H57" s="18" t="str">
        <f>IF(OR($A57="",_Engine!$B$6=0),"",_Engine!$R103+_Engine!$S103+12*Calculator!$C$10*_Engine!$B$10)</f>
        <v/>
      </c>
    </row>
    <row r="58" spans="1:8" x14ac:dyDescent="0.25">
      <c r="A58" s="17" t="str">
        <f>IF(54&lt;=Calculator!$C$11,54,"")</f>
        <v/>
      </c>
      <c r="B58" s="18" t="str">
        <f>IF($A58="","",_Engine!$H104)</f>
        <v/>
      </c>
      <c r="C58" s="18" t="str">
        <f>IF($A58="","",_Engine!$L104)</f>
        <v/>
      </c>
      <c r="D58" s="18" t="str">
        <f>IF(OR($A58="",_Engine!$B$5=0),"",_Engine!$P104)</f>
        <v/>
      </c>
      <c r="E58" s="18" t="str">
        <f>IF(OR($A58="",_Engine!$B$6=0),"",_Engine!$T104)</f>
        <v/>
      </c>
      <c r="F58" s="18" t="str">
        <f>IF($A58="","",_Engine!$J104+_Engine!$K104+12*Calculator!$C$10*_Engine!$B$10)</f>
        <v/>
      </c>
      <c r="G58" s="18" t="str">
        <f>IF(OR($A58="",_Engine!$B$5=0),"",_Engine!$N104+_Engine!$O104+12*Calculator!$C$10*_Engine!$B$10)</f>
        <v/>
      </c>
      <c r="H58" s="18" t="str">
        <f>IF(OR($A58="",_Engine!$B$6=0),"",_Engine!$R104+_Engine!$S104+12*Calculator!$C$10*_Engine!$B$10)</f>
        <v/>
      </c>
    </row>
    <row r="59" spans="1:8" x14ac:dyDescent="0.25">
      <c r="A59" s="17" t="str">
        <f>IF(55&lt;=Calculator!$C$11,55,"")</f>
        <v/>
      </c>
      <c r="B59" s="18" t="str">
        <f>IF($A59="","",_Engine!$H105)</f>
        <v/>
      </c>
      <c r="C59" s="18" t="str">
        <f>IF($A59="","",_Engine!$L105)</f>
        <v/>
      </c>
      <c r="D59" s="18" t="str">
        <f>IF(OR($A59="",_Engine!$B$5=0),"",_Engine!$P105)</f>
        <v/>
      </c>
      <c r="E59" s="18" t="str">
        <f>IF(OR($A59="",_Engine!$B$6=0),"",_Engine!$T105)</f>
        <v/>
      </c>
      <c r="F59" s="18" t="str">
        <f>IF($A59="","",_Engine!$J105+_Engine!$K105+12*Calculator!$C$10*_Engine!$B$10)</f>
        <v/>
      </c>
      <c r="G59" s="18" t="str">
        <f>IF(OR($A59="",_Engine!$B$5=0),"",_Engine!$N105+_Engine!$O105+12*Calculator!$C$10*_Engine!$B$10)</f>
        <v/>
      </c>
      <c r="H59" s="18" t="str">
        <f>IF(OR($A59="",_Engine!$B$6=0),"",_Engine!$R105+_Engine!$S105+12*Calculator!$C$10*_Engine!$B$10)</f>
        <v/>
      </c>
    </row>
    <row r="60" spans="1:8" x14ac:dyDescent="0.25">
      <c r="A60" s="17" t="str">
        <f>IF(56&lt;=Calculator!$C$11,56,"")</f>
        <v/>
      </c>
      <c r="B60" s="18" t="str">
        <f>IF($A60="","",_Engine!$H106)</f>
        <v/>
      </c>
      <c r="C60" s="18" t="str">
        <f>IF($A60="","",_Engine!$L106)</f>
        <v/>
      </c>
      <c r="D60" s="18" t="str">
        <f>IF(OR($A60="",_Engine!$B$5=0),"",_Engine!$P106)</f>
        <v/>
      </c>
      <c r="E60" s="18" t="str">
        <f>IF(OR($A60="",_Engine!$B$6=0),"",_Engine!$T106)</f>
        <v/>
      </c>
      <c r="F60" s="18" t="str">
        <f>IF($A60="","",_Engine!$J106+_Engine!$K106+12*Calculator!$C$10*_Engine!$B$10)</f>
        <v/>
      </c>
      <c r="G60" s="18" t="str">
        <f>IF(OR($A60="",_Engine!$B$5=0),"",_Engine!$N106+_Engine!$O106+12*Calculator!$C$10*_Engine!$B$10)</f>
        <v/>
      </c>
      <c r="H60" s="18" t="str">
        <f>IF(OR($A60="",_Engine!$B$6=0),"",_Engine!$R106+_Engine!$S106+12*Calculator!$C$10*_Engine!$B$10)</f>
        <v/>
      </c>
    </row>
    <row r="61" spans="1:8" x14ac:dyDescent="0.25">
      <c r="A61" s="17" t="str">
        <f>IF(57&lt;=Calculator!$C$11,57,"")</f>
        <v/>
      </c>
      <c r="B61" s="18" t="str">
        <f>IF($A61="","",_Engine!$H107)</f>
        <v/>
      </c>
      <c r="C61" s="18" t="str">
        <f>IF($A61="","",_Engine!$L107)</f>
        <v/>
      </c>
      <c r="D61" s="18" t="str">
        <f>IF(OR($A61="",_Engine!$B$5=0),"",_Engine!$P107)</f>
        <v/>
      </c>
      <c r="E61" s="18" t="str">
        <f>IF(OR($A61="",_Engine!$B$6=0),"",_Engine!$T107)</f>
        <v/>
      </c>
      <c r="F61" s="18" t="str">
        <f>IF($A61="","",_Engine!$J107+_Engine!$K107+12*Calculator!$C$10*_Engine!$B$10)</f>
        <v/>
      </c>
      <c r="G61" s="18" t="str">
        <f>IF(OR($A61="",_Engine!$B$5=0),"",_Engine!$N107+_Engine!$O107+12*Calculator!$C$10*_Engine!$B$10)</f>
        <v/>
      </c>
      <c r="H61" s="18" t="str">
        <f>IF(OR($A61="",_Engine!$B$6=0),"",_Engine!$R107+_Engine!$S107+12*Calculator!$C$10*_Engine!$B$10)</f>
        <v/>
      </c>
    </row>
    <row r="62" spans="1:8" x14ac:dyDescent="0.25">
      <c r="A62" s="17" t="str">
        <f>IF(58&lt;=Calculator!$C$11,58,"")</f>
        <v/>
      </c>
      <c r="B62" s="18" t="str">
        <f>IF($A62="","",_Engine!$H108)</f>
        <v/>
      </c>
      <c r="C62" s="18" t="str">
        <f>IF($A62="","",_Engine!$L108)</f>
        <v/>
      </c>
      <c r="D62" s="18" t="str">
        <f>IF(OR($A62="",_Engine!$B$5=0),"",_Engine!$P108)</f>
        <v/>
      </c>
      <c r="E62" s="18" t="str">
        <f>IF(OR($A62="",_Engine!$B$6=0),"",_Engine!$T108)</f>
        <v/>
      </c>
      <c r="F62" s="18" t="str">
        <f>IF($A62="","",_Engine!$J108+_Engine!$K108+12*Calculator!$C$10*_Engine!$B$10)</f>
        <v/>
      </c>
      <c r="G62" s="18" t="str">
        <f>IF(OR($A62="",_Engine!$B$5=0),"",_Engine!$N108+_Engine!$O108+12*Calculator!$C$10*_Engine!$B$10)</f>
        <v/>
      </c>
      <c r="H62" s="18" t="str">
        <f>IF(OR($A62="",_Engine!$B$6=0),"",_Engine!$R108+_Engine!$S108+12*Calculator!$C$10*_Engine!$B$10)</f>
        <v/>
      </c>
    </row>
    <row r="63" spans="1:8" x14ac:dyDescent="0.25">
      <c r="A63" s="17" t="str">
        <f>IF(59&lt;=Calculator!$C$11,59,"")</f>
        <v/>
      </c>
      <c r="B63" s="18" t="str">
        <f>IF($A63="","",_Engine!$H109)</f>
        <v/>
      </c>
      <c r="C63" s="18" t="str">
        <f>IF($A63="","",_Engine!$L109)</f>
        <v/>
      </c>
      <c r="D63" s="18" t="str">
        <f>IF(OR($A63="",_Engine!$B$5=0),"",_Engine!$P109)</f>
        <v/>
      </c>
      <c r="E63" s="18" t="str">
        <f>IF(OR($A63="",_Engine!$B$6=0),"",_Engine!$T109)</f>
        <v/>
      </c>
      <c r="F63" s="18" t="str">
        <f>IF($A63="","",_Engine!$J109+_Engine!$K109+12*Calculator!$C$10*_Engine!$B$10)</f>
        <v/>
      </c>
      <c r="G63" s="18" t="str">
        <f>IF(OR($A63="",_Engine!$B$5=0),"",_Engine!$N109+_Engine!$O109+12*Calculator!$C$10*_Engine!$B$10)</f>
        <v/>
      </c>
      <c r="H63" s="18" t="str">
        <f>IF(OR($A63="",_Engine!$B$6=0),"",_Engine!$R109+_Engine!$S109+12*Calculator!$C$10*_Engine!$B$10)</f>
        <v/>
      </c>
    </row>
    <row r="64" spans="1:8" x14ac:dyDescent="0.25">
      <c r="A64" s="17" t="str">
        <f>IF(60&lt;=Calculator!$C$11,60,"")</f>
        <v/>
      </c>
      <c r="B64" s="18" t="str">
        <f>IF($A64="","",_Engine!$H110)</f>
        <v/>
      </c>
      <c r="C64" s="18" t="str">
        <f>IF($A64="","",_Engine!$L110)</f>
        <v/>
      </c>
      <c r="D64" s="18" t="str">
        <f>IF(OR($A64="",_Engine!$B$5=0),"",_Engine!$P110)</f>
        <v/>
      </c>
      <c r="E64" s="18" t="str">
        <f>IF(OR($A64="",_Engine!$B$6=0),"",_Engine!$T110)</f>
        <v/>
      </c>
      <c r="F64" s="18" t="str">
        <f>IF($A64="","",_Engine!$J110+_Engine!$K110+12*Calculator!$C$10*_Engine!$B$10)</f>
        <v/>
      </c>
      <c r="G64" s="18" t="str">
        <f>IF(OR($A64="",_Engine!$B$5=0),"",_Engine!$N110+_Engine!$O110+12*Calculator!$C$10*_Engine!$B$10)</f>
        <v/>
      </c>
      <c r="H64" s="18" t="str">
        <f>IF(OR($A64="",_Engine!$B$6=0),"",_Engine!$R110+_Engine!$S110+12*Calculator!$C$10*_Engine!$B$10)</f>
        <v/>
      </c>
    </row>
  </sheetData>
  <sheetProtection sheet="1" formatCells="0"/>
  <mergeCells count="2">
    <mergeCell ref="A2:H2"/>
    <mergeCell ref="A1:H1"/>
  </mergeCells>
  <conditionalFormatting sqref="A4:H64">
    <cfRule type="expression" dxfId="1" priority="1">
      <formula>AND($A4&lt;&gt;"",MOD(ROW(),2)=1)</formula>
    </cfRule>
    <cfRule type="expression" dxfId="0" priority="2">
      <formula>$A4&lt;&gt;""</formula>
    </cfRule>
  </conditionalFormatting>
  <pageMargins left="0.75" right="0.75" top="1" bottom="1" header="0.5" footer="0.5"/>
  <pageSetup fitToHeight="0" orientation="portrait"/>
  <headerFooter>
    <oddFooter>&amp;Lneedtheseapps.com&amp;CInvestment Fee Calculator&amp;RPage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2"/>
  <sheetViews>
    <sheetView showGridLines="0" workbookViewId="0"/>
  </sheetViews>
  <sheetFormatPr defaultRowHeight="15" x14ac:dyDescent="0.25"/>
  <cols>
    <col min="1" max="1" width="2.140625" customWidth="1"/>
    <col min="2" max="2" width="42" customWidth="1"/>
    <col min="3" max="3" width="62" customWidth="1"/>
    <col min="4" max="4" width="2.140625" customWidth="1"/>
  </cols>
  <sheetData>
    <row r="1" spans="1:4" x14ac:dyDescent="0.25">
      <c r="A1" s="1"/>
      <c r="B1" s="1"/>
      <c r="C1" s="1"/>
      <c r="D1" s="1"/>
    </row>
    <row r="2" spans="1:4" ht="32.1" customHeight="1" x14ac:dyDescent="0.25">
      <c r="A2" s="1"/>
      <c r="B2" s="33" t="s">
        <v>47</v>
      </c>
      <c r="C2" s="23"/>
      <c r="D2" s="1"/>
    </row>
    <row r="3" spans="1:4" x14ac:dyDescent="0.25">
      <c r="A3" s="1"/>
      <c r="B3" s="1"/>
      <c r="C3" s="1"/>
      <c r="D3" s="1"/>
    </row>
    <row r="4" spans="1:4" ht="26.1" customHeight="1" x14ac:dyDescent="0.25">
      <c r="A4" s="1"/>
      <c r="B4" s="32" t="s">
        <v>48</v>
      </c>
      <c r="C4" s="23"/>
      <c r="D4" s="1"/>
    </row>
    <row r="5" spans="1:4" ht="39.950000000000003" customHeight="1" x14ac:dyDescent="0.25">
      <c r="A5" s="1"/>
      <c r="B5" s="39" t="s">
        <v>49</v>
      </c>
      <c r="C5" s="23"/>
      <c r="D5" s="1"/>
    </row>
    <row r="6" spans="1:4" ht="39.950000000000003" customHeight="1" x14ac:dyDescent="0.25">
      <c r="A6" s="1"/>
      <c r="B6" s="23"/>
      <c r="C6" s="23"/>
      <c r="D6" s="1"/>
    </row>
    <row r="7" spans="1:4" x14ac:dyDescent="0.25">
      <c r="A7" s="1"/>
      <c r="B7" s="1"/>
      <c r="C7" s="1"/>
      <c r="D7" s="1"/>
    </row>
    <row r="8" spans="1:4" ht="26.1" customHeight="1" x14ac:dyDescent="0.25">
      <c r="A8" s="1"/>
      <c r="B8" s="32" t="s">
        <v>50</v>
      </c>
      <c r="C8" s="23"/>
      <c r="D8" s="1"/>
    </row>
    <row r="9" spans="1:4" ht="32.1" customHeight="1" x14ac:dyDescent="0.25">
      <c r="A9" s="1"/>
      <c r="B9" s="9" t="s">
        <v>51</v>
      </c>
      <c r="C9" s="19" t="s">
        <v>52</v>
      </c>
      <c r="D9" s="1"/>
    </row>
    <row r="10" spans="1:4" ht="21" customHeight="1" x14ac:dyDescent="0.25">
      <c r="A10" s="1"/>
      <c r="B10" s="9" t="s">
        <v>53</v>
      </c>
      <c r="C10" s="19" t="s">
        <v>54</v>
      </c>
      <c r="D10" s="1"/>
    </row>
    <row r="11" spans="1:4" ht="32.1" customHeight="1" x14ac:dyDescent="0.25">
      <c r="A11" s="1"/>
      <c r="B11" s="9" t="s">
        <v>55</v>
      </c>
      <c r="C11" s="19" t="s">
        <v>56</v>
      </c>
      <c r="D11" s="1"/>
    </row>
    <row r="12" spans="1:4" ht="21" customHeight="1" x14ac:dyDescent="0.25">
      <c r="A12" s="1"/>
      <c r="B12" s="9" t="s">
        <v>57</v>
      </c>
      <c r="C12" s="19" t="s">
        <v>58</v>
      </c>
      <c r="D12" s="1"/>
    </row>
    <row r="13" spans="1:4" ht="21" customHeight="1" x14ac:dyDescent="0.25">
      <c r="A13" s="1"/>
      <c r="B13" s="9" t="s">
        <v>59</v>
      </c>
      <c r="C13" s="19" t="s">
        <v>60</v>
      </c>
      <c r="D13" s="1"/>
    </row>
    <row r="14" spans="1:4" ht="21" customHeight="1" x14ac:dyDescent="0.25">
      <c r="A14" s="1"/>
      <c r="B14" s="9" t="s">
        <v>61</v>
      </c>
      <c r="C14" s="19" t="s">
        <v>62</v>
      </c>
      <c r="D14" s="1"/>
    </row>
    <row r="15" spans="1:4" ht="21" customHeight="1" x14ac:dyDescent="0.25">
      <c r="A15" s="1"/>
      <c r="B15" s="9" t="s">
        <v>63</v>
      </c>
      <c r="C15" s="19" t="s">
        <v>64</v>
      </c>
      <c r="D15" s="1"/>
    </row>
    <row r="16" spans="1:4" ht="21" customHeight="1" x14ac:dyDescent="0.25">
      <c r="A16" s="1"/>
      <c r="B16" s="9" t="s">
        <v>65</v>
      </c>
      <c r="C16" s="19" t="s">
        <v>66</v>
      </c>
      <c r="D16" s="1"/>
    </row>
    <row r="17" spans="1:4" x14ac:dyDescent="0.25">
      <c r="A17" s="1"/>
      <c r="B17" s="1"/>
      <c r="C17" s="1"/>
      <c r="D17" s="1"/>
    </row>
    <row r="18" spans="1:4" ht="24" customHeight="1" x14ac:dyDescent="0.25">
      <c r="A18" s="1"/>
      <c r="B18" s="40" t="s">
        <v>3</v>
      </c>
      <c r="C18" s="23"/>
      <c r="D18" s="1"/>
    </row>
    <row r="19" spans="1:4" x14ac:dyDescent="0.25">
      <c r="A19" s="1"/>
      <c r="B19" s="1"/>
      <c r="C19" s="1"/>
      <c r="D19" s="1"/>
    </row>
    <row r="20" spans="1:4" ht="26.1" customHeight="1" x14ac:dyDescent="0.25">
      <c r="A20" s="1"/>
      <c r="B20" s="32" t="s">
        <v>67</v>
      </c>
      <c r="C20" s="23"/>
      <c r="D20" s="1"/>
    </row>
    <row r="21" spans="1:4" ht="44.1" customHeight="1" x14ac:dyDescent="0.25">
      <c r="A21" s="1"/>
      <c r="B21" s="9" t="s">
        <v>68</v>
      </c>
      <c r="C21" s="19" t="s">
        <v>69</v>
      </c>
      <c r="D21" s="1"/>
    </row>
    <row r="22" spans="1:4" ht="32.1" customHeight="1" x14ac:dyDescent="0.25">
      <c r="A22" s="1"/>
      <c r="B22" s="9" t="s">
        <v>70</v>
      </c>
      <c r="C22" s="19" t="s">
        <v>71</v>
      </c>
      <c r="D22" s="1"/>
    </row>
    <row r="23" spans="1:4" ht="44.1" customHeight="1" x14ac:dyDescent="0.25">
      <c r="A23" s="1"/>
      <c r="B23" s="9" t="s">
        <v>72</v>
      </c>
      <c r="C23" s="19" t="s">
        <v>73</v>
      </c>
      <c r="D23" s="1"/>
    </row>
    <row r="24" spans="1:4" ht="32.1" customHeight="1" x14ac:dyDescent="0.25">
      <c r="A24" s="1"/>
      <c r="B24" s="9" t="s">
        <v>74</v>
      </c>
      <c r="C24" s="19" t="s">
        <v>26</v>
      </c>
      <c r="D24" s="1"/>
    </row>
    <row r="25" spans="1:4" ht="44.1" customHeight="1" x14ac:dyDescent="0.25">
      <c r="A25" s="1"/>
      <c r="B25" s="9" t="s">
        <v>40</v>
      </c>
      <c r="C25" s="19" t="s">
        <v>75</v>
      </c>
      <c r="D25" s="1"/>
    </row>
    <row r="26" spans="1:4" ht="44.1" customHeight="1" x14ac:dyDescent="0.25">
      <c r="A26" s="1"/>
      <c r="B26" s="9" t="s">
        <v>76</v>
      </c>
      <c r="C26" s="19" t="s">
        <v>77</v>
      </c>
      <c r="D26" s="1"/>
    </row>
    <row r="27" spans="1:4" ht="44.1" customHeight="1" x14ac:dyDescent="0.25">
      <c r="A27" s="1"/>
      <c r="B27" s="9" t="s">
        <v>78</v>
      </c>
      <c r="C27" s="19" t="s">
        <v>79</v>
      </c>
      <c r="D27" s="1"/>
    </row>
    <row r="28" spans="1:4" ht="21" customHeight="1" x14ac:dyDescent="0.25">
      <c r="A28" s="1"/>
      <c r="B28" s="9" t="s">
        <v>80</v>
      </c>
      <c r="C28" s="19" t="s">
        <v>81</v>
      </c>
      <c r="D28" s="1"/>
    </row>
    <row r="29" spans="1:4" x14ac:dyDescent="0.25">
      <c r="A29" s="1"/>
      <c r="B29" s="1"/>
      <c r="C29" s="1"/>
      <c r="D29" s="1"/>
    </row>
    <row r="30" spans="1:4" ht="26.1" customHeight="1" x14ac:dyDescent="0.25">
      <c r="A30" s="1"/>
      <c r="B30" s="32" t="s">
        <v>82</v>
      </c>
      <c r="C30" s="23"/>
      <c r="D30" s="1"/>
    </row>
    <row r="31" spans="1:4" ht="21" customHeight="1" x14ac:dyDescent="0.25">
      <c r="A31" s="1"/>
      <c r="B31" s="9" t="s">
        <v>83</v>
      </c>
      <c r="C31" s="19" t="s">
        <v>84</v>
      </c>
      <c r="D31" s="1"/>
    </row>
    <row r="32" spans="1:4" ht="21" customHeight="1" x14ac:dyDescent="0.25">
      <c r="A32" s="1"/>
      <c r="B32" s="9" t="s">
        <v>85</v>
      </c>
      <c r="C32" s="19" t="s">
        <v>86</v>
      </c>
      <c r="D32" s="1"/>
    </row>
    <row r="33" spans="1:4" ht="21" customHeight="1" x14ac:dyDescent="0.25">
      <c r="A33" s="1"/>
      <c r="B33" s="9" t="s">
        <v>87</v>
      </c>
      <c r="C33" s="19" t="s">
        <v>88</v>
      </c>
      <c r="D33" s="1"/>
    </row>
    <row r="34" spans="1:4" ht="21" customHeight="1" x14ac:dyDescent="0.25">
      <c r="A34" s="1"/>
      <c r="B34" s="9" t="s">
        <v>89</v>
      </c>
      <c r="C34" s="19" t="s">
        <v>90</v>
      </c>
      <c r="D34" s="1"/>
    </row>
    <row r="35" spans="1:4" ht="21" customHeight="1" x14ac:dyDescent="0.25">
      <c r="A35" s="1"/>
      <c r="B35" s="9" t="s">
        <v>91</v>
      </c>
      <c r="C35" s="19" t="str">
        <f>"Shown in "&amp;Calculator!$C$8&amp;", which you set on the Calculator sheet."</f>
        <v>Shown in $, which you set on the Calculator sheet.</v>
      </c>
      <c r="D35" s="1"/>
    </row>
    <row r="36" spans="1:4" x14ac:dyDescent="0.25">
      <c r="A36" s="1"/>
      <c r="B36" s="1"/>
      <c r="C36" s="1"/>
      <c r="D36" s="1"/>
    </row>
    <row r="37" spans="1:4" ht="24" customHeight="1" x14ac:dyDescent="0.25">
      <c r="A37" s="1"/>
      <c r="B37" s="38" t="s">
        <v>92</v>
      </c>
      <c r="C37" s="23"/>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sheetData>
  <sheetProtection sheet="1" formatCells="0"/>
  <mergeCells count="8">
    <mergeCell ref="B30:C30"/>
    <mergeCell ref="B2:C2"/>
    <mergeCell ref="B20:C20"/>
    <mergeCell ref="B37:C37"/>
    <mergeCell ref="B5:C6"/>
    <mergeCell ref="B18:C18"/>
    <mergeCell ref="B8:C8"/>
    <mergeCell ref="B4:C4"/>
  </mergeCells>
  <hyperlinks>
    <hyperlink ref="B18" r:id="rId1" xr:uid="{00000000-0004-0000-0200-000000000000}"/>
  </hyperlinks>
  <pageMargins left="0.75" right="0.75" top="1" bottom="1" header="0.5" footer="0.5"/>
  <pageSetup fitToHeight="0" orientation="portrait"/>
  <headerFooter>
    <oddFooter>&amp;Lneedtheseapps.com&amp;CInvestment Fee Calculator&amp;RPage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10"/>
  <sheetViews>
    <sheetView workbookViewId="0"/>
  </sheetViews>
  <sheetFormatPr defaultRowHeight="15" x14ac:dyDescent="0.25"/>
  <cols>
    <col min="1" max="1" width="52" customWidth="1"/>
    <col min="2" max="2" width="18" customWidth="1"/>
    <col min="4" max="28" width="14" customWidth="1"/>
  </cols>
  <sheetData>
    <row r="1" spans="1:2" ht="16.5" x14ac:dyDescent="0.25">
      <c r="A1" s="20" t="s">
        <v>93</v>
      </c>
    </row>
    <row r="2" spans="1:2" ht="16.5" x14ac:dyDescent="0.25">
      <c r="A2" s="21" t="s">
        <v>94</v>
      </c>
      <c r="B2" s="21">
        <f>POWER(1+Calculator!$C$12/100,1/12)-1</f>
        <v>5.6541453874052738E-3</v>
      </c>
    </row>
    <row r="3" spans="1:2" ht="16.5" x14ac:dyDescent="0.25">
      <c r="A3" s="21" t="s">
        <v>95</v>
      </c>
      <c r="B3" s="21">
        <f>POWER(1+$B$2,12)</f>
        <v>1.07</v>
      </c>
    </row>
    <row r="4" spans="1:2" ht="16.5" x14ac:dyDescent="0.25">
      <c r="A4" s="21" t="s">
        <v>96</v>
      </c>
      <c r="B4" s="21">
        <f>IF($B$2=0,12,($B$3-1)/$B$2)</f>
        <v>12.380297145511419</v>
      </c>
    </row>
    <row r="5" spans="1:2" ht="16.5" x14ac:dyDescent="0.25">
      <c r="A5" s="21" t="s">
        <v>97</v>
      </c>
      <c r="B5" s="21">
        <f>IF(ISNUMBER(Calculator!$C$14),1,0)</f>
        <v>1</v>
      </c>
    </row>
    <row r="6" spans="1:2" ht="16.5" x14ac:dyDescent="0.25">
      <c r="A6" s="21" t="s">
        <v>98</v>
      </c>
      <c r="B6" s="21">
        <f>IF(ISNUMBER(Calculator!$C$15),1,0)</f>
        <v>1</v>
      </c>
    </row>
    <row r="7" spans="1:2" ht="16.5" x14ac:dyDescent="0.25">
      <c r="A7" s="21" t="s">
        <v>99</v>
      </c>
      <c r="B7" s="21">
        <f>Calculator!$C$13</f>
        <v>1</v>
      </c>
    </row>
    <row r="8" spans="1:2" ht="16.5" x14ac:dyDescent="0.25">
      <c r="A8" s="21" t="s">
        <v>100</v>
      </c>
      <c r="B8" s="21">
        <f>IF($B$5=1,Calculator!$C$14,0)</f>
        <v>0.2</v>
      </c>
    </row>
    <row r="9" spans="1:2" ht="16.5" x14ac:dyDescent="0.25">
      <c r="A9" s="21" t="s">
        <v>101</v>
      </c>
      <c r="B9" s="21">
        <f>IF($B$6=1,Calculator!$C$15,0)</f>
        <v>0.05</v>
      </c>
    </row>
    <row r="10" spans="1:2" ht="16.5" x14ac:dyDescent="0.25">
      <c r="A10" s="21" t="s">
        <v>102</v>
      </c>
      <c r="B10" s="21">
        <f>Calculator!$C$16/100</f>
        <v>0</v>
      </c>
    </row>
    <row r="11" spans="1:2" ht="16.5" x14ac:dyDescent="0.25">
      <c r="A11" s="21" t="s">
        <v>23</v>
      </c>
      <c r="B11" s="21">
        <f>Calculator!$C$17</f>
        <v>0</v>
      </c>
    </row>
    <row r="12" spans="1:2" ht="16.5" x14ac:dyDescent="0.25">
      <c r="A12" s="21" t="s">
        <v>103</v>
      </c>
      <c r="B12" s="21">
        <f>Calculator!$C$18/100</f>
        <v>0</v>
      </c>
    </row>
    <row r="13" spans="1:2" ht="16.5" x14ac:dyDescent="0.25">
      <c r="A13" s="21" t="s">
        <v>104</v>
      </c>
      <c r="B13" s="21">
        <f>Calculator!$C$10*(1-$B$10)</f>
        <v>0</v>
      </c>
    </row>
    <row r="14" spans="1:2" ht="16.5" x14ac:dyDescent="0.25">
      <c r="A14" s="21" t="s">
        <v>105</v>
      </c>
      <c r="B14" s="21">
        <f>Calculator!$C$9+Calculator!$C$10*12*Calculator!$C$11</f>
        <v>100000</v>
      </c>
    </row>
    <row r="15" spans="1:2" ht="16.5" x14ac:dyDescent="0.25">
      <c r="A15" s="21" t="s">
        <v>106</v>
      </c>
      <c r="B15" s="21">
        <f>INDEX($H$50:$H$110,Calculator!$C$11+1)</f>
        <v>386968.44624861854</v>
      </c>
    </row>
    <row r="16" spans="1:2" ht="16.5" x14ac:dyDescent="0.25">
      <c r="A16" s="21" t="s">
        <v>107</v>
      </c>
      <c r="B16" s="21">
        <f>INDEX($L$50:$L$110,Calculator!$C$11+1)</f>
        <v>316504.17681796593</v>
      </c>
    </row>
    <row r="17" spans="1:2" ht="16.5" x14ac:dyDescent="0.25">
      <c r="A17" s="21" t="s">
        <v>108</v>
      </c>
      <c r="B17" s="21">
        <f>INDEX($P$50:$P$110,Calculator!$C$11+1)</f>
        <v>371780.305072357</v>
      </c>
    </row>
    <row r="18" spans="1:2" ht="16.5" x14ac:dyDescent="0.25">
      <c r="A18" s="21" t="s">
        <v>109</v>
      </c>
      <c r="B18" s="21">
        <f>INDEX($T$50:$T$110,Calculator!$C$11+1)</f>
        <v>383117.08776131703</v>
      </c>
    </row>
    <row r="19" spans="1:2" ht="16.5" x14ac:dyDescent="0.25">
      <c r="A19" s="21" t="s">
        <v>110</v>
      </c>
      <c r="B19" s="21">
        <f>INDEX($X$50:$X$110,Calculator!$C$11+1)</f>
        <v>379302.16205328191</v>
      </c>
    </row>
    <row r="20" spans="1:2" ht="16.5" x14ac:dyDescent="0.25">
      <c r="A20" s="21" t="s">
        <v>111</v>
      </c>
      <c r="B20" s="21">
        <f>$B$12*Calculator!$C$9+SUMPRODUCT(($D$50:$D$110&lt;=Calculator!$C$11)*($J$50:$J$110+$K$50:$K$110))+12*Calculator!$C$10*$B$10*Calculator!$C$11</f>
        <v>39065.677773224867</v>
      </c>
    </row>
    <row r="21" spans="1:2" ht="16.5" x14ac:dyDescent="0.25">
      <c r="A21" s="21" t="s">
        <v>112</v>
      </c>
      <c r="B21" s="21">
        <f>$B$12*Calculator!$C$9+SUMPRODUCT(($D$50:$D$110&lt;=Calculator!$C$11)*($N$50:$N$110+$O$50:$O$110))+12*Calculator!$C$10*$B$10*Calculator!$C$11</f>
        <v>8570.7316954736725</v>
      </c>
    </row>
    <row r="22" spans="1:2" ht="16.5" x14ac:dyDescent="0.25">
      <c r="A22" s="21" t="s">
        <v>113</v>
      </c>
      <c r="B22" s="21">
        <f>$B$12*Calculator!$C$9+SUMPRODUCT(($D$50:$D$110&lt;=Calculator!$C$11)*($R$50:$R$110+$S$50:$S$110))+12*Calculator!$C$10*$B$10*Calculator!$C$11</f>
        <v>2180.4886194818178</v>
      </c>
    </row>
    <row r="23" spans="1:2" ht="16.5" x14ac:dyDescent="0.25">
      <c r="A23" s="21" t="s">
        <v>114</v>
      </c>
      <c r="B23" s="21">
        <f>$B$15-$B$16</f>
        <v>70464.26943065261</v>
      </c>
    </row>
    <row r="24" spans="1:2" ht="16.5" x14ac:dyDescent="0.25">
      <c r="A24" s="21" t="s">
        <v>115</v>
      </c>
      <c r="B24" s="21">
        <f>$B$15-$B$17</f>
        <v>15188.141176261532</v>
      </c>
    </row>
    <row r="25" spans="1:2" ht="16.5" x14ac:dyDescent="0.25">
      <c r="A25" s="21" t="s">
        <v>116</v>
      </c>
      <c r="B25" s="21">
        <f>$B$15-$B$18</f>
        <v>3851.3584873015061</v>
      </c>
    </row>
    <row r="26" spans="1:2" ht="16.5" x14ac:dyDescent="0.25">
      <c r="A26" s="21" t="s">
        <v>117</v>
      </c>
      <c r="B26" s="21">
        <f>MAX(ROUND($B$16,0),IF($B$5=1,ROUND($B$17,0),ROUND($B$16,0)),IF($B$6=1,ROUND($B$18,0),ROUND($B$16,0)))</f>
        <v>383117</v>
      </c>
    </row>
    <row r="27" spans="1:2" ht="16.5" x14ac:dyDescent="0.25">
      <c r="A27" s="21" t="s">
        <v>118</v>
      </c>
      <c r="B27" s="21">
        <f>MIN(ROUND($B$16,0),IF($B$5=1,ROUND($B$17,0),ROUND($B$16,0)),IF($B$6=1,ROUND($B$18,0),ROUND($B$16,0)))</f>
        <v>316504</v>
      </c>
    </row>
    <row r="28" spans="1:2" ht="16.5" x14ac:dyDescent="0.25">
      <c r="A28" s="21" t="s">
        <v>119</v>
      </c>
      <c r="B28" s="21">
        <f>$B$15-$B$19</f>
        <v>7666.2841953366296</v>
      </c>
    </row>
    <row r="29" spans="1:2" ht="16.5" x14ac:dyDescent="0.25">
      <c r="A29" s="21" t="s">
        <v>120</v>
      </c>
      <c r="B29" s="21">
        <f>IF(OR(Calculator!$C$12&lt;=0,$B$15-$B$14&lt;=0),1,0)</f>
        <v>0</v>
      </c>
    </row>
    <row r="30" spans="1:2" ht="16.5" x14ac:dyDescent="0.25">
      <c r="A30" s="21" t="s">
        <v>121</v>
      </c>
      <c r="B30" s="21">
        <f>Calculator!$C$11+1</f>
        <v>21</v>
      </c>
    </row>
    <row r="31" spans="1:2" ht="16.5" x14ac:dyDescent="0.25">
      <c r="A31" s="21" t="s">
        <v>122</v>
      </c>
      <c r="B31" s="21">
        <f>IF(AND(Calculator!$C$9=0,Calculator!$C$10=0),1,0)</f>
        <v>0</v>
      </c>
    </row>
    <row r="49" spans="4:28" ht="16.5" x14ac:dyDescent="0.25">
      <c r="D49" s="20" t="s">
        <v>39</v>
      </c>
      <c r="E49" s="20" t="s">
        <v>123</v>
      </c>
      <c r="F49" s="20" t="s">
        <v>124</v>
      </c>
      <c r="G49" s="20" t="s">
        <v>125</v>
      </c>
      <c r="H49" s="20" t="s">
        <v>126</v>
      </c>
      <c r="I49" s="20" t="s">
        <v>127</v>
      </c>
      <c r="J49" s="20" t="s">
        <v>128</v>
      </c>
      <c r="K49" s="20" t="s">
        <v>129</v>
      </c>
      <c r="L49" s="20" t="s">
        <v>130</v>
      </c>
      <c r="M49" s="20" t="s">
        <v>131</v>
      </c>
      <c r="N49" s="20" t="s">
        <v>132</v>
      </c>
      <c r="O49" s="20" t="s">
        <v>133</v>
      </c>
      <c r="P49" s="20" t="s">
        <v>134</v>
      </c>
      <c r="Q49" s="20" t="s">
        <v>135</v>
      </c>
      <c r="R49" s="20" t="s">
        <v>136</v>
      </c>
      <c r="S49" s="20" t="s">
        <v>137</v>
      </c>
      <c r="T49" s="20" t="s">
        <v>138</v>
      </c>
      <c r="U49" s="20" t="s">
        <v>139</v>
      </c>
      <c r="V49" s="20" t="s">
        <v>140</v>
      </c>
      <c r="W49" s="20" t="s">
        <v>141</v>
      </c>
      <c r="X49" s="20" t="s">
        <v>142</v>
      </c>
      <c r="Y49" s="20" t="s">
        <v>143</v>
      </c>
      <c r="Z49" s="20" t="s">
        <v>144</v>
      </c>
      <c r="AA49" s="20" t="s">
        <v>145</v>
      </c>
      <c r="AB49" s="20" t="s">
        <v>146</v>
      </c>
    </row>
    <row r="50" spans="4:28" ht="16.5" x14ac:dyDescent="0.25">
      <c r="D50" s="21">
        <v>0</v>
      </c>
      <c r="E50" s="21">
        <v>0</v>
      </c>
      <c r="F50" s="21">
        <v>0</v>
      </c>
      <c r="G50" s="21">
        <v>0</v>
      </c>
      <c r="H50" s="21">
        <f>Calculator!$C$9*(1-0)</f>
        <v>100000</v>
      </c>
      <c r="I50" s="21">
        <v>0</v>
      </c>
      <c r="J50" s="21">
        <v>0</v>
      </c>
      <c r="K50" s="21">
        <v>0</v>
      </c>
      <c r="L50" s="21">
        <f>Calculator!$C$9*(1-$B$12)</f>
        <v>100000</v>
      </c>
      <c r="M50" s="21">
        <v>0</v>
      </c>
      <c r="N50" s="21">
        <v>0</v>
      </c>
      <c r="O50" s="21">
        <v>0</v>
      </c>
      <c r="P50" s="21">
        <f>Calculator!$C$9*(1-$B$12)</f>
        <v>100000</v>
      </c>
      <c r="Q50" s="21">
        <v>0</v>
      </c>
      <c r="R50" s="21">
        <v>0</v>
      </c>
      <c r="S50" s="21">
        <v>0</v>
      </c>
      <c r="T50" s="21">
        <f>Calculator!$C$9*(1-$B$12)</f>
        <v>100000</v>
      </c>
      <c r="U50" s="21">
        <v>0</v>
      </c>
      <c r="V50" s="21">
        <v>0</v>
      </c>
      <c r="W50" s="21">
        <v>0</v>
      </c>
      <c r="X50" s="21">
        <f>Calculator!$C$9*(1-0)</f>
        <v>100000</v>
      </c>
      <c r="Y50" s="21">
        <f>IF($D50&lt;=Calculator!$C$11,H50,NA())</f>
        <v>100000</v>
      </c>
      <c r="Z50" s="21">
        <f>IF($D50&lt;=Calculator!$C$11,L50,NA())</f>
        <v>100000</v>
      </c>
      <c r="AA50" s="21">
        <f>IF(AND($D50&lt;=Calculator!$C$11,$B$5=1),P50,NA())</f>
        <v>100000</v>
      </c>
      <c r="AB50" s="21">
        <f>IF(AND($D50&lt;=Calculator!$C$11,$B$6=1),T50,NA())</f>
        <v>100000</v>
      </c>
    </row>
    <row r="51" spans="4:28" ht="16.5" x14ac:dyDescent="0.25">
      <c r="D51" s="21">
        <v>1</v>
      </c>
      <c r="E51" s="21">
        <f>H50*$B$3+Calculator!$C$10*$B$4</f>
        <v>107000</v>
      </c>
      <c r="F51" s="21">
        <f t="shared" ref="F51:F82" si="0">MAX(0,E51)*0/100</f>
        <v>0</v>
      </c>
      <c r="G51" s="21">
        <f t="shared" ref="G51:G82" si="1">MIN(0,MAX(0,E51-F51))</f>
        <v>0</v>
      </c>
      <c r="H51" s="21">
        <f t="shared" ref="H51:H82" si="2">MAX(0,E51-F51-G51)</f>
        <v>107000</v>
      </c>
      <c r="I51" s="21">
        <f t="shared" ref="I51:I82" si="3">L50*$B$3+$B$13*$B$4</f>
        <v>107000</v>
      </c>
      <c r="J51" s="21">
        <f t="shared" ref="J51:J82" si="4">MAX(0,I51)*$B$7/100</f>
        <v>1070</v>
      </c>
      <c r="K51" s="21">
        <f t="shared" ref="K51:K82" si="5">MIN($B$11,MAX(0,I51-J51))</f>
        <v>0</v>
      </c>
      <c r="L51" s="21">
        <f t="shared" ref="L51:L82" si="6">MAX(0,I51-J51-K51)</f>
        <v>105930</v>
      </c>
      <c r="M51" s="21">
        <f t="shared" ref="M51:M82" si="7">P50*$B$3+$B$13*$B$4</f>
        <v>107000</v>
      </c>
      <c r="N51" s="21">
        <f t="shared" ref="N51:N82" si="8">MAX(0,M51)*$B$8/100</f>
        <v>214</v>
      </c>
      <c r="O51" s="21">
        <f t="shared" ref="O51:O82" si="9">MIN($B$11,MAX(0,M51-N51))</f>
        <v>0</v>
      </c>
      <c r="P51" s="21">
        <f t="shared" ref="P51:P82" si="10">MAX(0,M51-N51-O51)</f>
        <v>106786</v>
      </c>
      <c r="Q51" s="21">
        <f t="shared" ref="Q51:Q82" si="11">T50*$B$3+$B$13*$B$4</f>
        <v>107000</v>
      </c>
      <c r="R51" s="21">
        <f t="shared" ref="R51:R82" si="12">MAX(0,Q51)*$B$9/100</f>
        <v>53.5</v>
      </c>
      <c r="S51" s="21">
        <f t="shared" ref="S51:S82" si="13">MIN($B$11,MAX(0,Q51-R51))</f>
        <v>0</v>
      </c>
      <c r="T51" s="21">
        <f t="shared" ref="T51:T82" si="14">MAX(0,Q51-R51-S51)</f>
        <v>106946.5</v>
      </c>
      <c r="U51" s="21">
        <f>X50*$B$3+Calculator!$C$10*$B$4</f>
        <v>107000</v>
      </c>
      <c r="V51" s="21">
        <f t="shared" ref="V51:V82" si="15">MAX(0,U51)*0.1/100</f>
        <v>107</v>
      </c>
      <c r="W51" s="21">
        <f t="shared" ref="W51:W82" si="16">MIN(0,MAX(0,U51-V51))</f>
        <v>0</v>
      </c>
      <c r="X51" s="21">
        <f t="shared" ref="X51:X82" si="17">MAX(0,U51-V51-W51)</f>
        <v>106893</v>
      </c>
      <c r="Y51" s="21">
        <f>IF($D51&lt;=Calculator!$C$11,H51,NA())</f>
        <v>107000</v>
      </c>
      <c r="Z51" s="21">
        <f>IF($D51&lt;=Calculator!$C$11,L51,NA())</f>
        <v>105930</v>
      </c>
      <c r="AA51" s="21">
        <f>IF(AND($D51&lt;=Calculator!$C$11,$B$5=1),P51,NA())</f>
        <v>106786</v>
      </c>
      <c r="AB51" s="21">
        <f>IF(AND($D51&lt;=Calculator!$C$11,$B$6=1),T51,NA())</f>
        <v>106946.5</v>
      </c>
    </row>
    <row r="52" spans="4:28" ht="16.5" x14ac:dyDescent="0.25">
      <c r="D52" s="21">
        <v>2</v>
      </c>
      <c r="E52" s="21">
        <f>H51*$B$3+Calculator!$C$10*$B$4</f>
        <v>114490</v>
      </c>
      <c r="F52" s="21">
        <f t="shared" si="0"/>
        <v>0</v>
      </c>
      <c r="G52" s="21">
        <f t="shared" si="1"/>
        <v>0</v>
      </c>
      <c r="H52" s="21">
        <f t="shared" si="2"/>
        <v>114490</v>
      </c>
      <c r="I52" s="21">
        <f t="shared" si="3"/>
        <v>113345.1</v>
      </c>
      <c r="J52" s="21">
        <f t="shared" si="4"/>
        <v>1133.451</v>
      </c>
      <c r="K52" s="21">
        <f t="shared" si="5"/>
        <v>0</v>
      </c>
      <c r="L52" s="21">
        <f t="shared" si="6"/>
        <v>112211.649</v>
      </c>
      <c r="M52" s="21">
        <f t="shared" si="7"/>
        <v>114261.02</v>
      </c>
      <c r="N52" s="21">
        <f t="shared" si="8"/>
        <v>228.52204</v>
      </c>
      <c r="O52" s="21">
        <f t="shared" si="9"/>
        <v>0</v>
      </c>
      <c r="P52" s="21">
        <f t="shared" si="10"/>
        <v>114032.49796000001</v>
      </c>
      <c r="Q52" s="21">
        <f t="shared" si="11"/>
        <v>114432.755</v>
      </c>
      <c r="R52" s="21">
        <f t="shared" si="12"/>
        <v>57.216377500000007</v>
      </c>
      <c r="S52" s="21">
        <f t="shared" si="13"/>
        <v>0</v>
      </c>
      <c r="T52" s="21">
        <f t="shared" si="14"/>
        <v>114375.53862250001</v>
      </c>
      <c r="U52" s="21">
        <f>X51*$B$3+Calculator!$C$10*$B$4</f>
        <v>114375.51000000001</v>
      </c>
      <c r="V52" s="21">
        <f t="shared" si="15"/>
        <v>114.37551000000002</v>
      </c>
      <c r="W52" s="21">
        <f t="shared" si="16"/>
        <v>0</v>
      </c>
      <c r="X52" s="21">
        <f t="shared" si="17"/>
        <v>114261.13449000001</v>
      </c>
      <c r="Y52" s="21">
        <f>IF($D52&lt;=Calculator!$C$11,H52,NA())</f>
        <v>114490</v>
      </c>
      <c r="Z52" s="21">
        <f>IF($D52&lt;=Calculator!$C$11,L52,NA())</f>
        <v>112211.649</v>
      </c>
      <c r="AA52" s="21">
        <f>IF(AND($D52&lt;=Calculator!$C$11,$B$5=1),P52,NA())</f>
        <v>114032.49796000001</v>
      </c>
      <c r="AB52" s="21">
        <f>IF(AND($D52&lt;=Calculator!$C$11,$B$6=1),T52,NA())</f>
        <v>114375.53862250001</v>
      </c>
    </row>
    <row r="53" spans="4:28" ht="16.5" x14ac:dyDescent="0.25">
      <c r="D53" s="21">
        <v>3</v>
      </c>
      <c r="E53" s="21">
        <f>H52*$B$3+Calculator!$C$10*$B$4</f>
        <v>122504.3</v>
      </c>
      <c r="F53" s="21">
        <f t="shared" si="0"/>
        <v>0</v>
      </c>
      <c r="G53" s="21">
        <f t="shared" si="1"/>
        <v>0</v>
      </c>
      <c r="H53" s="21">
        <f t="shared" si="2"/>
        <v>122504.3</v>
      </c>
      <c r="I53" s="21">
        <f t="shared" si="3"/>
        <v>120066.46443000001</v>
      </c>
      <c r="J53" s="21">
        <f t="shared" si="4"/>
        <v>1200.6646443</v>
      </c>
      <c r="K53" s="21">
        <f t="shared" si="5"/>
        <v>0</v>
      </c>
      <c r="L53" s="21">
        <f t="shared" si="6"/>
        <v>118865.7997857</v>
      </c>
      <c r="M53" s="21">
        <f t="shared" si="7"/>
        <v>122014.77281720002</v>
      </c>
      <c r="N53" s="21">
        <f t="shared" si="8"/>
        <v>244.02954563440005</v>
      </c>
      <c r="O53" s="21">
        <f t="shared" si="9"/>
        <v>0</v>
      </c>
      <c r="P53" s="21">
        <f t="shared" si="10"/>
        <v>121770.74327156562</v>
      </c>
      <c r="Q53" s="21">
        <f t="shared" si="11"/>
        <v>122381.82632607502</v>
      </c>
      <c r="R53" s="21">
        <f t="shared" si="12"/>
        <v>61.190913163037514</v>
      </c>
      <c r="S53" s="21">
        <f t="shared" si="13"/>
        <v>0</v>
      </c>
      <c r="T53" s="21">
        <f t="shared" si="14"/>
        <v>122320.63541291199</v>
      </c>
      <c r="U53" s="21">
        <f>X52*$B$3+Calculator!$C$10*$B$4</f>
        <v>122259.41390430002</v>
      </c>
      <c r="V53" s="21">
        <f t="shared" si="15"/>
        <v>122.25941390430002</v>
      </c>
      <c r="W53" s="21">
        <f t="shared" si="16"/>
        <v>0</v>
      </c>
      <c r="X53" s="21">
        <f t="shared" si="17"/>
        <v>122137.15449039571</v>
      </c>
      <c r="Y53" s="21">
        <f>IF($D53&lt;=Calculator!$C$11,H53,NA())</f>
        <v>122504.3</v>
      </c>
      <c r="Z53" s="21">
        <f>IF($D53&lt;=Calculator!$C$11,L53,NA())</f>
        <v>118865.7997857</v>
      </c>
      <c r="AA53" s="21">
        <f>IF(AND($D53&lt;=Calculator!$C$11,$B$5=1),P53,NA())</f>
        <v>121770.74327156562</v>
      </c>
      <c r="AB53" s="21">
        <f>IF(AND($D53&lt;=Calculator!$C$11,$B$6=1),T53,NA())</f>
        <v>122320.63541291199</v>
      </c>
    </row>
    <row r="54" spans="4:28" ht="16.5" x14ac:dyDescent="0.25">
      <c r="D54" s="21">
        <v>4</v>
      </c>
      <c r="E54" s="21">
        <f>H53*$B$3+Calculator!$C$10*$B$4</f>
        <v>131079.60100000002</v>
      </c>
      <c r="F54" s="21">
        <f t="shared" si="0"/>
        <v>0</v>
      </c>
      <c r="G54" s="21">
        <f t="shared" si="1"/>
        <v>0</v>
      </c>
      <c r="H54" s="21">
        <f t="shared" si="2"/>
        <v>131079.60100000002</v>
      </c>
      <c r="I54" s="21">
        <f t="shared" si="3"/>
        <v>127186.40577069901</v>
      </c>
      <c r="J54" s="21">
        <f t="shared" si="4"/>
        <v>1271.86405770699</v>
      </c>
      <c r="K54" s="21">
        <f t="shared" si="5"/>
        <v>0</v>
      </c>
      <c r="L54" s="21">
        <f t="shared" si="6"/>
        <v>125914.54171299202</v>
      </c>
      <c r="M54" s="21">
        <f t="shared" si="7"/>
        <v>130294.69530057521</v>
      </c>
      <c r="N54" s="21">
        <f t="shared" si="8"/>
        <v>260.58939060115046</v>
      </c>
      <c r="O54" s="21">
        <f t="shared" si="9"/>
        <v>0</v>
      </c>
      <c r="P54" s="21">
        <f t="shared" si="10"/>
        <v>130034.10590997407</v>
      </c>
      <c r="Q54" s="21">
        <f t="shared" si="11"/>
        <v>130883.07989181584</v>
      </c>
      <c r="R54" s="21">
        <f t="shared" si="12"/>
        <v>65.44153994590792</v>
      </c>
      <c r="S54" s="21">
        <f t="shared" si="13"/>
        <v>0</v>
      </c>
      <c r="T54" s="21">
        <f t="shared" si="14"/>
        <v>130817.63835186993</v>
      </c>
      <c r="U54" s="21">
        <f>X53*$B$3+Calculator!$C$10*$B$4</f>
        <v>130686.75530472343</v>
      </c>
      <c r="V54" s="21">
        <f t="shared" si="15"/>
        <v>130.68675530472342</v>
      </c>
      <c r="W54" s="21">
        <f t="shared" si="16"/>
        <v>0</v>
      </c>
      <c r="X54" s="21">
        <f t="shared" si="17"/>
        <v>130556.06854941871</v>
      </c>
      <c r="Y54" s="21">
        <f>IF($D54&lt;=Calculator!$C$11,H54,NA())</f>
        <v>131079.60100000002</v>
      </c>
      <c r="Z54" s="21">
        <f>IF($D54&lt;=Calculator!$C$11,L54,NA())</f>
        <v>125914.54171299202</v>
      </c>
      <c r="AA54" s="21">
        <f>IF(AND($D54&lt;=Calculator!$C$11,$B$5=1),P54,NA())</f>
        <v>130034.10590997407</v>
      </c>
      <c r="AB54" s="21">
        <f>IF(AND($D54&lt;=Calculator!$C$11,$B$6=1),T54,NA())</f>
        <v>130817.63835186993</v>
      </c>
    </row>
    <row r="55" spans="4:28" ht="16.5" x14ac:dyDescent="0.25">
      <c r="D55" s="21">
        <v>5</v>
      </c>
      <c r="E55" s="21">
        <f>H54*$B$3+Calculator!$C$10*$B$4</f>
        <v>140255.17307000005</v>
      </c>
      <c r="F55" s="21">
        <f t="shared" si="0"/>
        <v>0</v>
      </c>
      <c r="G55" s="21">
        <f t="shared" si="1"/>
        <v>0</v>
      </c>
      <c r="H55" s="21">
        <f t="shared" si="2"/>
        <v>140255.17307000005</v>
      </c>
      <c r="I55" s="21">
        <f t="shared" si="3"/>
        <v>134728.55963290148</v>
      </c>
      <c r="J55" s="21">
        <f t="shared" si="4"/>
        <v>1347.2855963290149</v>
      </c>
      <c r="K55" s="21">
        <f t="shared" si="5"/>
        <v>0</v>
      </c>
      <c r="L55" s="21">
        <f t="shared" si="6"/>
        <v>133381.27403657246</v>
      </c>
      <c r="M55" s="21">
        <f t="shared" si="7"/>
        <v>139136.49332367227</v>
      </c>
      <c r="N55" s="21">
        <f t="shared" si="8"/>
        <v>278.27298664734457</v>
      </c>
      <c r="O55" s="21">
        <f t="shared" si="9"/>
        <v>0</v>
      </c>
      <c r="P55" s="21">
        <f t="shared" si="10"/>
        <v>138858.22033702492</v>
      </c>
      <c r="Q55" s="21">
        <f t="shared" si="11"/>
        <v>139974.87303650082</v>
      </c>
      <c r="R55" s="21">
        <f t="shared" si="12"/>
        <v>69.987436518250419</v>
      </c>
      <c r="S55" s="21">
        <f t="shared" si="13"/>
        <v>0</v>
      </c>
      <c r="T55" s="21">
        <f t="shared" si="14"/>
        <v>139904.88559998258</v>
      </c>
      <c r="U55" s="21">
        <f>X54*$B$3+Calculator!$C$10*$B$4</f>
        <v>139694.99334787801</v>
      </c>
      <c r="V55" s="21">
        <f t="shared" si="15"/>
        <v>139.69499334787804</v>
      </c>
      <c r="W55" s="21">
        <f t="shared" si="16"/>
        <v>0</v>
      </c>
      <c r="X55" s="21">
        <f t="shared" si="17"/>
        <v>139555.29835453012</v>
      </c>
      <c r="Y55" s="21">
        <f>IF($D55&lt;=Calculator!$C$11,H55,NA())</f>
        <v>140255.17307000005</v>
      </c>
      <c r="Z55" s="21">
        <f>IF($D55&lt;=Calculator!$C$11,L55,NA())</f>
        <v>133381.27403657246</v>
      </c>
      <c r="AA55" s="21">
        <f>IF(AND($D55&lt;=Calculator!$C$11,$B$5=1),P55,NA())</f>
        <v>138858.22033702492</v>
      </c>
      <c r="AB55" s="21">
        <f>IF(AND($D55&lt;=Calculator!$C$11,$B$6=1),T55,NA())</f>
        <v>139904.88559998258</v>
      </c>
    </row>
    <row r="56" spans="4:28" ht="16.5" x14ac:dyDescent="0.25">
      <c r="D56" s="21">
        <v>6</v>
      </c>
      <c r="E56" s="21">
        <f>H55*$B$3+Calculator!$C$10*$B$4</f>
        <v>150073.03518490007</v>
      </c>
      <c r="F56" s="21">
        <f t="shared" si="0"/>
        <v>0</v>
      </c>
      <c r="G56" s="21">
        <f t="shared" si="1"/>
        <v>0</v>
      </c>
      <c r="H56" s="21">
        <f t="shared" si="2"/>
        <v>150073.03518490007</v>
      </c>
      <c r="I56" s="21">
        <f t="shared" si="3"/>
        <v>142717.96321913254</v>
      </c>
      <c r="J56" s="21">
        <f t="shared" si="4"/>
        <v>1427.1796321913253</v>
      </c>
      <c r="K56" s="21">
        <f t="shared" si="5"/>
        <v>0</v>
      </c>
      <c r="L56" s="21">
        <f t="shared" si="6"/>
        <v>141290.78358694122</v>
      </c>
      <c r="M56" s="21">
        <f t="shared" si="7"/>
        <v>148578.29576061666</v>
      </c>
      <c r="N56" s="21">
        <f t="shared" si="8"/>
        <v>297.15659152123334</v>
      </c>
      <c r="O56" s="21">
        <f t="shared" si="9"/>
        <v>0</v>
      </c>
      <c r="P56" s="21">
        <f t="shared" si="10"/>
        <v>148281.13916909543</v>
      </c>
      <c r="Q56" s="21">
        <f t="shared" si="11"/>
        <v>149698.22759198135</v>
      </c>
      <c r="R56" s="21">
        <f t="shared" si="12"/>
        <v>74.849113795990675</v>
      </c>
      <c r="S56" s="21">
        <f t="shared" si="13"/>
        <v>0</v>
      </c>
      <c r="T56" s="21">
        <f t="shared" si="14"/>
        <v>149623.37847818536</v>
      </c>
      <c r="U56" s="21">
        <f>X55*$B$3+Calculator!$C$10*$B$4</f>
        <v>149324.16923934725</v>
      </c>
      <c r="V56" s="21">
        <f t="shared" si="15"/>
        <v>149.32416923934724</v>
      </c>
      <c r="W56" s="21">
        <f t="shared" si="16"/>
        <v>0</v>
      </c>
      <c r="X56" s="21">
        <f t="shared" si="17"/>
        <v>149174.8450701079</v>
      </c>
      <c r="Y56" s="21">
        <f>IF($D56&lt;=Calculator!$C$11,H56,NA())</f>
        <v>150073.03518490007</v>
      </c>
      <c r="Z56" s="21">
        <f>IF($D56&lt;=Calculator!$C$11,L56,NA())</f>
        <v>141290.78358694122</v>
      </c>
      <c r="AA56" s="21">
        <f>IF(AND($D56&lt;=Calculator!$C$11,$B$5=1),P56,NA())</f>
        <v>148281.13916909543</v>
      </c>
      <c r="AB56" s="21">
        <f>IF(AND($D56&lt;=Calculator!$C$11,$B$6=1),T56,NA())</f>
        <v>149623.37847818536</v>
      </c>
    </row>
    <row r="57" spans="4:28" ht="16.5" x14ac:dyDescent="0.25">
      <c r="D57" s="21">
        <v>7</v>
      </c>
      <c r="E57" s="21">
        <f>H56*$B$3+Calculator!$C$10*$B$4</f>
        <v>160578.14764784308</v>
      </c>
      <c r="F57" s="21">
        <f t="shared" si="0"/>
        <v>0</v>
      </c>
      <c r="G57" s="21">
        <f t="shared" si="1"/>
        <v>0</v>
      </c>
      <c r="H57" s="21">
        <f t="shared" si="2"/>
        <v>160578.14764784308</v>
      </c>
      <c r="I57" s="21">
        <f t="shared" si="3"/>
        <v>151181.13843802712</v>
      </c>
      <c r="J57" s="21">
        <f t="shared" si="4"/>
        <v>1511.8113843802712</v>
      </c>
      <c r="K57" s="21">
        <f t="shared" si="5"/>
        <v>0</v>
      </c>
      <c r="L57" s="21">
        <f t="shared" si="6"/>
        <v>149669.32705364685</v>
      </c>
      <c r="M57" s="21">
        <f t="shared" si="7"/>
        <v>158660.81891093211</v>
      </c>
      <c r="N57" s="21">
        <f t="shared" si="8"/>
        <v>317.32163782186421</v>
      </c>
      <c r="O57" s="21">
        <f t="shared" si="9"/>
        <v>0</v>
      </c>
      <c r="P57" s="21">
        <f t="shared" si="10"/>
        <v>158343.49727311023</v>
      </c>
      <c r="Q57" s="21">
        <f t="shared" si="11"/>
        <v>160097.01497165835</v>
      </c>
      <c r="R57" s="21">
        <f t="shared" si="12"/>
        <v>80.048507485829177</v>
      </c>
      <c r="S57" s="21">
        <f t="shared" si="13"/>
        <v>0</v>
      </c>
      <c r="T57" s="21">
        <f t="shared" si="14"/>
        <v>160016.96646417252</v>
      </c>
      <c r="U57" s="21">
        <f>X56*$B$3+Calculator!$C$10*$B$4</f>
        <v>159617.08422501545</v>
      </c>
      <c r="V57" s="21">
        <f t="shared" si="15"/>
        <v>159.61708422501545</v>
      </c>
      <c r="W57" s="21">
        <f t="shared" si="16"/>
        <v>0</v>
      </c>
      <c r="X57" s="21">
        <f t="shared" si="17"/>
        <v>159457.46714079042</v>
      </c>
      <c r="Y57" s="21">
        <f>IF($D57&lt;=Calculator!$C$11,H57,NA())</f>
        <v>160578.14764784308</v>
      </c>
      <c r="Z57" s="21">
        <f>IF($D57&lt;=Calculator!$C$11,L57,NA())</f>
        <v>149669.32705364685</v>
      </c>
      <c r="AA57" s="21">
        <f>IF(AND($D57&lt;=Calculator!$C$11,$B$5=1),P57,NA())</f>
        <v>158343.49727311023</v>
      </c>
      <c r="AB57" s="21">
        <f>IF(AND($D57&lt;=Calculator!$C$11,$B$6=1),T57,NA())</f>
        <v>160016.96646417252</v>
      </c>
    </row>
    <row r="58" spans="4:28" ht="16.5" x14ac:dyDescent="0.25">
      <c r="D58" s="21">
        <v>8</v>
      </c>
      <c r="E58" s="21">
        <f>H57*$B$3+Calculator!$C$10*$B$4</f>
        <v>171818.61798319212</v>
      </c>
      <c r="F58" s="21">
        <f t="shared" si="0"/>
        <v>0</v>
      </c>
      <c r="G58" s="21">
        <f t="shared" si="1"/>
        <v>0</v>
      </c>
      <c r="H58" s="21">
        <f t="shared" si="2"/>
        <v>171818.61798319212</v>
      </c>
      <c r="I58" s="21">
        <f t="shared" si="3"/>
        <v>160146.17994740212</v>
      </c>
      <c r="J58" s="21">
        <f t="shared" si="4"/>
        <v>1601.4617994740213</v>
      </c>
      <c r="K58" s="21">
        <f t="shared" si="5"/>
        <v>0</v>
      </c>
      <c r="L58" s="21">
        <f t="shared" si="6"/>
        <v>158544.7181479281</v>
      </c>
      <c r="M58" s="21">
        <f t="shared" si="7"/>
        <v>169427.54208222797</v>
      </c>
      <c r="N58" s="21">
        <f t="shared" si="8"/>
        <v>338.855084164456</v>
      </c>
      <c r="O58" s="21">
        <f t="shared" si="9"/>
        <v>0</v>
      </c>
      <c r="P58" s="21">
        <f t="shared" si="10"/>
        <v>169088.68699806352</v>
      </c>
      <c r="Q58" s="21">
        <f t="shared" si="11"/>
        <v>171218.15411666461</v>
      </c>
      <c r="R58" s="21">
        <f t="shared" si="12"/>
        <v>85.609077058332318</v>
      </c>
      <c r="S58" s="21">
        <f t="shared" si="13"/>
        <v>0</v>
      </c>
      <c r="T58" s="21">
        <f t="shared" si="14"/>
        <v>171132.54503960628</v>
      </c>
      <c r="U58" s="21">
        <f>X57*$B$3+Calculator!$C$10*$B$4</f>
        <v>170619.48984064575</v>
      </c>
      <c r="V58" s="21">
        <f t="shared" si="15"/>
        <v>170.61948984064577</v>
      </c>
      <c r="W58" s="21">
        <f t="shared" si="16"/>
        <v>0</v>
      </c>
      <c r="X58" s="21">
        <f t="shared" si="17"/>
        <v>170448.87035080511</v>
      </c>
      <c r="Y58" s="21">
        <f>IF($D58&lt;=Calculator!$C$11,H58,NA())</f>
        <v>171818.61798319212</v>
      </c>
      <c r="Z58" s="21">
        <f>IF($D58&lt;=Calculator!$C$11,L58,NA())</f>
        <v>158544.7181479281</v>
      </c>
      <c r="AA58" s="21">
        <f>IF(AND($D58&lt;=Calculator!$C$11,$B$5=1),P58,NA())</f>
        <v>169088.68699806352</v>
      </c>
      <c r="AB58" s="21">
        <f>IF(AND($D58&lt;=Calculator!$C$11,$B$6=1),T58,NA())</f>
        <v>171132.54503960628</v>
      </c>
    </row>
    <row r="59" spans="4:28" ht="16.5" x14ac:dyDescent="0.25">
      <c r="D59" s="21">
        <v>9</v>
      </c>
      <c r="E59" s="21">
        <f>H58*$B$3+Calculator!$C$10*$B$4</f>
        <v>183845.92124201558</v>
      </c>
      <c r="F59" s="21">
        <f t="shared" si="0"/>
        <v>0</v>
      </c>
      <c r="G59" s="21">
        <f t="shared" si="1"/>
        <v>0</v>
      </c>
      <c r="H59" s="21">
        <f t="shared" si="2"/>
        <v>183845.92124201558</v>
      </c>
      <c r="I59" s="21">
        <f t="shared" si="3"/>
        <v>169642.84841828307</v>
      </c>
      <c r="J59" s="21">
        <f t="shared" si="4"/>
        <v>1696.4284841828307</v>
      </c>
      <c r="K59" s="21">
        <f t="shared" si="5"/>
        <v>0</v>
      </c>
      <c r="L59" s="21">
        <f t="shared" si="6"/>
        <v>167946.41993410024</v>
      </c>
      <c r="M59" s="21">
        <f t="shared" si="7"/>
        <v>180924.89508792799</v>
      </c>
      <c r="N59" s="21">
        <f t="shared" si="8"/>
        <v>361.84979017585596</v>
      </c>
      <c r="O59" s="21">
        <f t="shared" si="9"/>
        <v>0</v>
      </c>
      <c r="P59" s="21">
        <f t="shared" si="10"/>
        <v>180563.04529775213</v>
      </c>
      <c r="Q59" s="21">
        <f t="shared" si="11"/>
        <v>183111.82319237874</v>
      </c>
      <c r="R59" s="21">
        <f t="shared" si="12"/>
        <v>91.555911596189375</v>
      </c>
      <c r="S59" s="21">
        <f t="shared" si="13"/>
        <v>0</v>
      </c>
      <c r="T59" s="21">
        <f t="shared" si="14"/>
        <v>183020.26728078254</v>
      </c>
      <c r="U59" s="21">
        <f>X58*$B$3+Calculator!$C$10*$B$4</f>
        <v>182380.29127536147</v>
      </c>
      <c r="V59" s="21">
        <f t="shared" si="15"/>
        <v>182.38029127536149</v>
      </c>
      <c r="W59" s="21">
        <f t="shared" si="16"/>
        <v>0</v>
      </c>
      <c r="X59" s="21">
        <f t="shared" si="17"/>
        <v>182197.91098408611</v>
      </c>
      <c r="Y59" s="21">
        <f>IF($D59&lt;=Calculator!$C$11,H59,NA())</f>
        <v>183845.92124201558</v>
      </c>
      <c r="Z59" s="21">
        <f>IF($D59&lt;=Calculator!$C$11,L59,NA())</f>
        <v>167946.41993410024</v>
      </c>
      <c r="AA59" s="21">
        <f>IF(AND($D59&lt;=Calculator!$C$11,$B$5=1),P59,NA())</f>
        <v>180563.04529775213</v>
      </c>
      <c r="AB59" s="21">
        <f>IF(AND($D59&lt;=Calculator!$C$11,$B$6=1),T59,NA())</f>
        <v>183020.26728078254</v>
      </c>
    </row>
    <row r="60" spans="4:28" ht="16.5" x14ac:dyDescent="0.25">
      <c r="D60" s="21">
        <v>10</v>
      </c>
      <c r="E60" s="21">
        <f>H59*$B$3+Calculator!$C$10*$B$4</f>
        <v>196715.13572895669</v>
      </c>
      <c r="F60" s="21">
        <f t="shared" si="0"/>
        <v>0</v>
      </c>
      <c r="G60" s="21">
        <f t="shared" si="1"/>
        <v>0</v>
      </c>
      <c r="H60" s="21">
        <f t="shared" si="2"/>
        <v>196715.13572895669</v>
      </c>
      <c r="I60" s="21">
        <f t="shared" si="3"/>
        <v>179702.66932948725</v>
      </c>
      <c r="J60" s="21">
        <f t="shared" si="4"/>
        <v>1797.0266932948725</v>
      </c>
      <c r="K60" s="21">
        <f t="shared" si="5"/>
        <v>0</v>
      </c>
      <c r="L60" s="21">
        <f t="shared" si="6"/>
        <v>177905.64263619238</v>
      </c>
      <c r="M60" s="21">
        <f t="shared" si="7"/>
        <v>193202.45846859479</v>
      </c>
      <c r="N60" s="21">
        <f t="shared" si="8"/>
        <v>386.40491693718963</v>
      </c>
      <c r="O60" s="21">
        <f t="shared" si="9"/>
        <v>0</v>
      </c>
      <c r="P60" s="21">
        <f t="shared" si="10"/>
        <v>192816.05355165759</v>
      </c>
      <c r="Q60" s="21">
        <f t="shared" si="11"/>
        <v>195831.68599043734</v>
      </c>
      <c r="R60" s="21">
        <f t="shared" si="12"/>
        <v>97.915842995218682</v>
      </c>
      <c r="S60" s="21">
        <f t="shared" si="13"/>
        <v>0</v>
      </c>
      <c r="T60" s="21">
        <f t="shared" si="14"/>
        <v>195733.77014744212</v>
      </c>
      <c r="U60" s="21">
        <f>X59*$B$3+Calculator!$C$10*$B$4</f>
        <v>194951.76475297214</v>
      </c>
      <c r="V60" s="21">
        <f t="shared" si="15"/>
        <v>194.95176475297217</v>
      </c>
      <c r="W60" s="21">
        <f t="shared" si="16"/>
        <v>0</v>
      </c>
      <c r="X60" s="21">
        <f t="shared" si="17"/>
        <v>194756.81298821917</v>
      </c>
      <c r="Y60" s="21">
        <f>IF($D60&lt;=Calculator!$C$11,H60,NA())</f>
        <v>196715.13572895669</v>
      </c>
      <c r="Z60" s="21">
        <f>IF($D60&lt;=Calculator!$C$11,L60,NA())</f>
        <v>177905.64263619238</v>
      </c>
      <c r="AA60" s="21">
        <f>IF(AND($D60&lt;=Calculator!$C$11,$B$5=1),P60,NA())</f>
        <v>192816.05355165759</v>
      </c>
      <c r="AB60" s="21">
        <f>IF(AND($D60&lt;=Calculator!$C$11,$B$6=1),T60,NA())</f>
        <v>195733.77014744212</v>
      </c>
    </row>
    <row r="61" spans="4:28" ht="16.5" x14ac:dyDescent="0.25">
      <c r="D61" s="21">
        <v>11</v>
      </c>
      <c r="E61" s="21">
        <f>H60*$B$3+Calculator!$C$10*$B$4</f>
        <v>210485.19522998368</v>
      </c>
      <c r="F61" s="21">
        <f t="shared" si="0"/>
        <v>0</v>
      </c>
      <c r="G61" s="21">
        <f t="shared" si="1"/>
        <v>0</v>
      </c>
      <c r="H61" s="21">
        <f t="shared" si="2"/>
        <v>210485.19522998368</v>
      </c>
      <c r="I61" s="21">
        <f t="shared" si="3"/>
        <v>190359.03762072587</v>
      </c>
      <c r="J61" s="21">
        <f t="shared" si="4"/>
        <v>1903.5903762072587</v>
      </c>
      <c r="K61" s="21">
        <f t="shared" si="5"/>
        <v>0</v>
      </c>
      <c r="L61" s="21">
        <f t="shared" si="6"/>
        <v>188455.44724451861</v>
      </c>
      <c r="M61" s="21">
        <f t="shared" si="7"/>
        <v>206313.17730027364</v>
      </c>
      <c r="N61" s="21">
        <f t="shared" si="8"/>
        <v>412.62635460054736</v>
      </c>
      <c r="O61" s="21">
        <f t="shared" si="9"/>
        <v>0</v>
      </c>
      <c r="P61" s="21">
        <f t="shared" si="10"/>
        <v>205900.55094567311</v>
      </c>
      <c r="Q61" s="21">
        <f t="shared" si="11"/>
        <v>209435.13405776309</v>
      </c>
      <c r="R61" s="21">
        <f t="shared" si="12"/>
        <v>104.71756702888155</v>
      </c>
      <c r="S61" s="21">
        <f t="shared" si="13"/>
        <v>0</v>
      </c>
      <c r="T61" s="21">
        <f t="shared" si="14"/>
        <v>209330.41649073421</v>
      </c>
      <c r="U61" s="21">
        <f>X60*$B$3+Calculator!$C$10*$B$4</f>
        <v>208389.78989739451</v>
      </c>
      <c r="V61" s="21">
        <f t="shared" si="15"/>
        <v>208.38978989739451</v>
      </c>
      <c r="W61" s="21">
        <f t="shared" si="16"/>
        <v>0</v>
      </c>
      <c r="X61" s="21">
        <f t="shared" si="17"/>
        <v>208181.40010749712</v>
      </c>
      <c r="Y61" s="21">
        <f>IF($D61&lt;=Calculator!$C$11,H61,NA())</f>
        <v>210485.19522998368</v>
      </c>
      <c r="Z61" s="21">
        <f>IF($D61&lt;=Calculator!$C$11,L61,NA())</f>
        <v>188455.44724451861</v>
      </c>
      <c r="AA61" s="21">
        <f>IF(AND($D61&lt;=Calculator!$C$11,$B$5=1),P61,NA())</f>
        <v>205900.55094567311</v>
      </c>
      <c r="AB61" s="21">
        <f>IF(AND($D61&lt;=Calculator!$C$11,$B$6=1),T61,NA())</f>
        <v>209330.41649073421</v>
      </c>
    </row>
    <row r="62" spans="4:28" ht="16.5" x14ac:dyDescent="0.25">
      <c r="D62" s="21">
        <v>12</v>
      </c>
      <c r="E62" s="21">
        <f>H61*$B$3+Calculator!$C$10*$B$4</f>
        <v>225219.15889608255</v>
      </c>
      <c r="F62" s="21">
        <f t="shared" si="0"/>
        <v>0</v>
      </c>
      <c r="G62" s="21">
        <f t="shared" si="1"/>
        <v>0</v>
      </c>
      <c r="H62" s="21">
        <f t="shared" si="2"/>
        <v>225219.15889608255</v>
      </c>
      <c r="I62" s="21">
        <f t="shared" si="3"/>
        <v>201647.32855163491</v>
      </c>
      <c r="J62" s="21">
        <f t="shared" si="4"/>
        <v>2016.4732855163491</v>
      </c>
      <c r="K62" s="21">
        <f t="shared" si="5"/>
        <v>0</v>
      </c>
      <c r="L62" s="21">
        <f t="shared" si="6"/>
        <v>199630.85526611857</v>
      </c>
      <c r="M62" s="21">
        <f t="shared" si="7"/>
        <v>220313.58951187023</v>
      </c>
      <c r="N62" s="21">
        <f t="shared" si="8"/>
        <v>440.62717902374044</v>
      </c>
      <c r="O62" s="21">
        <f t="shared" si="9"/>
        <v>0</v>
      </c>
      <c r="P62" s="21">
        <f t="shared" si="10"/>
        <v>219872.96233284648</v>
      </c>
      <c r="Q62" s="21">
        <f t="shared" si="11"/>
        <v>223983.5456450856</v>
      </c>
      <c r="R62" s="21">
        <f t="shared" si="12"/>
        <v>111.99177282254281</v>
      </c>
      <c r="S62" s="21">
        <f t="shared" si="13"/>
        <v>0</v>
      </c>
      <c r="T62" s="21">
        <f t="shared" si="14"/>
        <v>223871.55387226306</v>
      </c>
      <c r="U62" s="21">
        <f>X61*$B$3+Calculator!$C$10*$B$4</f>
        <v>222754.09811502192</v>
      </c>
      <c r="V62" s="21">
        <f t="shared" si="15"/>
        <v>222.75409811502192</v>
      </c>
      <c r="W62" s="21">
        <f t="shared" si="16"/>
        <v>0</v>
      </c>
      <c r="X62" s="21">
        <f t="shared" si="17"/>
        <v>222531.34401690689</v>
      </c>
      <c r="Y62" s="21">
        <f>IF($D62&lt;=Calculator!$C$11,H62,NA())</f>
        <v>225219.15889608255</v>
      </c>
      <c r="Z62" s="21">
        <f>IF($D62&lt;=Calculator!$C$11,L62,NA())</f>
        <v>199630.85526611857</v>
      </c>
      <c r="AA62" s="21">
        <f>IF(AND($D62&lt;=Calculator!$C$11,$B$5=1),P62,NA())</f>
        <v>219872.96233284648</v>
      </c>
      <c r="AB62" s="21">
        <f>IF(AND($D62&lt;=Calculator!$C$11,$B$6=1),T62,NA())</f>
        <v>223871.55387226306</v>
      </c>
    </row>
    <row r="63" spans="4:28" ht="16.5" x14ac:dyDescent="0.25">
      <c r="D63" s="21">
        <v>13</v>
      </c>
      <c r="E63" s="21">
        <f>H62*$B$3+Calculator!$C$10*$B$4</f>
        <v>240984.50001880835</v>
      </c>
      <c r="F63" s="21">
        <f t="shared" si="0"/>
        <v>0</v>
      </c>
      <c r="G63" s="21">
        <f t="shared" si="1"/>
        <v>0</v>
      </c>
      <c r="H63" s="21">
        <f t="shared" si="2"/>
        <v>240984.50001880835</v>
      </c>
      <c r="I63" s="21">
        <f t="shared" si="3"/>
        <v>213605.01513474688</v>
      </c>
      <c r="J63" s="21">
        <f t="shared" si="4"/>
        <v>2136.0501513474687</v>
      </c>
      <c r="K63" s="21">
        <f t="shared" si="5"/>
        <v>0</v>
      </c>
      <c r="L63" s="21">
        <f t="shared" si="6"/>
        <v>211468.9649833994</v>
      </c>
      <c r="M63" s="21">
        <f t="shared" si="7"/>
        <v>235264.06969614574</v>
      </c>
      <c r="N63" s="21">
        <f t="shared" si="8"/>
        <v>470.52813939229151</v>
      </c>
      <c r="O63" s="21">
        <f t="shared" si="9"/>
        <v>0</v>
      </c>
      <c r="P63" s="21">
        <f t="shared" si="10"/>
        <v>234793.54155675345</v>
      </c>
      <c r="Q63" s="21">
        <f t="shared" si="11"/>
        <v>239542.56264332149</v>
      </c>
      <c r="R63" s="21">
        <f t="shared" si="12"/>
        <v>119.77128132166075</v>
      </c>
      <c r="S63" s="21">
        <f t="shared" si="13"/>
        <v>0</v>
      </c>
      <c r="T63" s="21">
        <f t="shared" si="14"/>
        <v>239422.79136199984</v>
      </c>
      <c r="U63" s="21">
        <f>X62*$B$3+Calculator!$C$10*$B$4</f>
        <v>238108.53809809039</v>
      </c>
      <c r="V63" s="21">
        <f t="shared" si="15"/>
        <v>238.10853809809041</v>
      </c>
      <c r="W63" s="21">
        <f t="shared" si="16"/>
        <v>0</v>
      </c>
      <c r="X63" s="21">
        <f t="shared" si="17"/>
        <v>237870.42955999231</v>
      </c>
      <c r="Y63" s="21">
        <f>IF($D63&lt;=Calculator!$C$11,H63,NA())</f>
        <v>240984.50001880835</v>
      </c>
      <c r="Z63" s="21">
        <f>IF($D63&lt;=Calculator!$C$11,L63,NA())</f>
        <v>211468.9649833994</v>
      </c>
      <c r="AA63" s="21">
        <f>IF(AND($D63&lt;=Calculator!$C$11,$B$5=1),P63,NA())</f>
        <v>234793.54155675345</v>
      </c>
      <c r="AB63" s="21">
        <f>IF(AND($D63&lt;=Calculator!$C$11,$B$6=1),T63,NA())</f>
        <v>239422.79136199984</v>
      </c>
    </row>
    <row r="64" spans="4:28" ht="16.5" x14ac:dyDescent="0.25">
      <c r="D64" s="21">
        <v>14</v>
      </c>
      <c r="E64" s="21">
        <f>H63*$B$3+Calculator!$C$10*$B$4</f>
        <v>257853.41502012496</v>
      </c>
      <c r="F64" s="21">
        <f t="shared" si="0"/>
        <v>0</v>
      </c>
      <c r="G64" s="21">
        <f t="shared" si="1"/>
        <v>0</v>
      </c>
      <c r="H64" s="21">
        <f t="shared" si="2"/>
        <v>257853.41502012496</v>
      </c>
      <c r="I64" s="21">
        <f t="shared" si="3"/>
        <v>226271.79253223736</v>
      </c>
      <c r="J64" s="21">
        <f t="shared" si="4"/>
        <v>2262.7179253223735</v>
      </c>
      <c r="K64" s="21">
        <f t="shared" si="5"/>
        <v>0</v>
      </c>
      <c r="L64" s="21">
        <f t="shared" si="6"/>
        <v>224009.07460691498</v>
      </c>
      <c r="M64" s="21">
        <f t="shared" si="7"/>
        <v>251229.0894657262</v>
      </c>
      <c r="N64" s="21">
        <f t="shared" si="8"/>
        <v>502.45817893145244</v>
      </c>
      <c r="O64" s="21">
        <f t="shared" si="9"/>
        <v>0</v>
      </c>
      <c r="P64" s="21">
        <f t="shared" si="10"/>
        <v>250726.63128679476</v>
      </c>
      <c r="Q64" s="21">
        <f t="shared" si="11"/>
        <v>256182.38675733985</v>
      </c>
      <c r="R64" s="21">
        <f t="shared" si="12"/>
        <v>128.09119337866991</v>
      </c>
      <c r="S64" s="21">
        <f t="shared" si="13"/>
        <v>0</v>
      </c>
      <c r="T64" s="21">
        <f t="shared" si="14"/>
        <v>256054.29556396118</v>
      </c>
      <c r="U64" s="21">
        <f>X63*$B$3+Calculator!$C$10*$B$4</f>
        <v>254521.35962919178</v>
      </c>
      <c r="V64" s="21">
        <f t="shared" si="15"/>
        <v>254.52135962919181</v>
      </c>
      <c r="W64" s="21">
        <f t="shared" si="16"/>
        <v>0</v>
      </c>
      <c r="X64" s="21">
        <f t="shared" si="17"/>
        <v>254266.83826956258</v>
      </c>
      <c r="Y64" s="21">
        <f>IF($D64&lt;=Calculator!$C$11,H64,NA())</f>
        <v>257853.41502012496</v>
      </c>
      <c r="Z64" s="21">
        <f>IF($D64&lt;=Calculator!$C$11,L64,NA())</f>
        <v>224009.07460691498</v>
      </c>
      <c r="AA64" s="21">
        <f>IF(AND($D64&lt;=Calculator!$C$11,$B$5=1),P64,NA())</f>
        <v>250726.63128679476</v>
      </c>
      <c r="AB64" s="21">
        <f>IF(AND($D64&lt;=Calculator!$C$11,$B$6=1),T64,NA())</f>
        <v>256054.29556396118</v>
      </c>
    </row>
    <row r="65" spans="4:28" ht="16.5" x14ac:dyDescent="0.25">
      <c r="D65" s="21">
        <v>15</v>
      </c>
      <c r="E65" s="21">
        <f>H64*$B$3+Calculator!$C$10*$B$4</f>
        <v>275903.1540715337</v>
      </c>
      <c r="F65" s="21">
        <f t="shared" si="0"/>
        <v>0</v>
      </c>
      <c r="G65" s="21">
        <f t="shared" si="1"/>
        <v>0</v>
      </c>
      <c r="H65" s="21">
        <f t="shared" si="2"/>
        <v>275903.1540715337</v>
      </c>
      <c r="I65" s="21">
        <f t="shared" si="3"/>
        <v>239689.70982939904</v>
      </c>
      <c r="J65" s="21">
        <f t="shared" si="4"/>
        <v>2396.8970982939904</v>
      </c>
      <c r="K65" s="21">
        <f t="shared" si="5"/>
        <v>0</v>
      </c>
      <c r="L65" s="21">
        <f t="shared" si="6"/>
        <v>237292.81273110505</v>
      </c>
      <c r="M65" s="21">
        <f t="shared" si="7"/>
        <v>268277.49547687039</v>
      </c>
      <c r="N65" s="21">
        <f t="shared" si="8"/>
        <v>536.5549909537408</v>
      </c>
      <c r="O65" s="21">
        <f t="shared" si="9"/>
        <v>0</v>
      </c>
      <c r="P65" s="21">
        <f t="shared" si="10"/>
        <v>267740.94048591662</v>
      </c>
      <c r="Q65" s="21">
        <f t="shared" si="11"/>
        <v>273978.09625343845</v>
      </c>
      <c r="R65" s="21">
        <f t="shared" si="12"/>
        <v>136.98904812671924</v>
      </c>
      <c r="S65" s="21">
        <f t="shared" si="13"/>
        <v>0</v>
      </c>
      <c r="T65" s="21">
        <f t="shared" si="14"/>
        <v>273841.10720531171</v>
      </c>
      <c r="U65" s="21">
        <f>X64*$B$3+Calculator!$C$10*$B$4</f>
        <v>272065.51694843196</v>
      </c>
      <c r="V65" s="21">
        <f t="shared" si="15"/>
        <v>272.06551694843199</v>
      </c>
      <c r="W65" s="21">
        <f t="shared" si="16"/>
        <v>0</v>
      </c>
      <c r="X65" s="21">
        <f t="shared" si="17"/>
        <v>271793.45143148355</v>
      </c>
      <c r="Y65" s="21">
        <f>IF($D65&lt;=Calculator!$C$11,H65,NA())</f>
        <v>275903.1540715337</v>
      </c>
      <c r="Z65" s="21">
        <f>IF($D65&lt;=Calculator!$C$11,L65,NA())</f>
        <v>237292.81273110505</v>
      </c>
      <c r="AA65" s="21">
        <f>IF(AND($D65&lt;=Calculator!$C$11,$B$5=1),P65,NA())</f>
        <v>267740.94048591662</v>
      </c>
      <c r="AB65" s="21">
        <f>IF(AND($D65&lt;=Calculator!$C$11,$B$6=1),T65,NA())</f>
        <v>273841.10720531171</v>
      </c>
    </row>
    <row r="66" spans="4:28" ht="16.5" x14ac:dyDescent="0.25">
      <c r="D66" s="21">
        <v>16</v>
      </c>
      <c r="E66" s="21">
        <f>H65*$B$3+Calculator!$C$10*$B$4</f>
        <v>295216.37485654111</v>
      </c>
      <c r="F66" s="21">
        <f t="shared" si="0"/>
        <v>0</v>
      </c>
      <c r="G66" s="21">
        <f t="shared" si="1"/>
        <v>0</v>
      </c>
      <c r="H66" s="21">
        <f t="shared" si="2"/>
        <v>295216.37485654111</v>
      </c>
      <c r="I66" s="21">
        <f t="shared" si="3"/>
        <v>253903.30962228242</v>
      </c>
      <c r="J66" s="21">
        <f t="shared" si="4"/>
        <v>2539.033096222824</v>
      </c>
      <c r="K66" s="21">
        <f t="shared" si="5"/>
        <v>0</v>
      </c>
      <c r="L66" s="21">
        <f t="shared" si="6"/>
        <v>251364.27652605961</v>
      </c>
      <c r="M66" s="21">
        <f t="shared" si="7"/>
        <v>286482.80631993082</v>
      </c>
      <c r="N66" s="21">
        <f t="shared" si="8"/>
        <v>572.96561263986166</v>
      </c>
      <c r="O66" s="21">
        <f t="shared" si="9"/>
        <v>0</v>
      </c>
      <c r="P66" s="21">
        <f t="shared" si="10"/>
        <v>285909.84070729098</v>
      </c>
      <c r="Q66" s="21">
        <f t="shared" si="11"/>
        <v>293009.98470968357</v>
      </c>
      <c r="R66" s="21">
        <f t="shared" si="12"/>
        <v>146.50499235484179</v>
      </c>
      <c r="S66" s="21">
        <f t="shared" si="13"/>
        <v>0</v>
      </c>
      <c r="T66" s="21">
        <f t="shared" si="14"/>
        <v>292863.47971732874</v>
      </c>
      <c r="U66" s="21">
        <f>X65*$B$3+Calculator!$C$10*$B$4</f>
        <v>290818.99303168739</v>
      </c>
      <c r="V66" s="21">
        <f t="shared" si="15"/>
        <v>290.8189930316874</v>
      </c>
      <c r="W66" s="21">
        <f t="shared" si="16"/>
        <v>0</v>
      </c>
      <c r="X66" s="21">
        <f t="shared" si="17"/>
        <v>290528.17403865571</v>
      </c>
      <c r="Y66" s="21">
        <f>IF($D66&lt;=Calculator!$C$11,H66,NA())</f>
        <v>295216.37485654111</v>
      </c>
      <c r="Z66" s="21">
        <f>IF($D66&lt;=Calculator!$C$11,L66,NA())</f>
        <v>251364.27652605961</v>
      </c>
      <c r="AA66" s="21">
        <f>IF(AND($D66&lt;=Calculator!$C$11,$B$5=1),P66,NA())</f>
        <v>285909.84070729098</v>
      </c>
      <c r="AB66" s="21">
        <f>IF(AND($D66&lt;=Calculator!$C$11,$B$6=1),T66,NA())</f>
        <v>292863.47971732874</v>
      </c>
    </row>
    <row r="67" spans="4:28" ht="16.5" x14ac:dyDescent="0.25">
      <c r="D67" s="21">
        <v>17</v>
      </c>
      <c r="E67" s="21">
        <f>H66*$B$3+Calculator!$C$10*$B$4</f>
        <v>315881.521096499</v>
      </c>
      <c r="F67" s="21">
        <f t="shared" si="0"/>
        <v>0</v>
      </c>
      <c r="G67" s="21">
        <f t="shared" si="1"/>
        <v>0</v>
      </c>
      <c r="H67" s="21">
        <f t="shared" si="2"/>
        <v>315881.521096499</v>
      </c>
      <c r="I67" s="21">
        <f t="shared" si="3"/>
        <v>268959.77588288381</v>
      </c>
      <c r="J67" s="21">
        <f t="shared" si="4"/>
        <v>2689.5977588288383</v>
      </c>
      <c r="K67" s="21">
        <f t="shared" si="5"/>
        <v>0</v>
      </c>
      <c r="L67" s="21">
        <f t="shared" si="6"/>
        <v>266270.17812405498</v>
      </c>
      <c r="M67" s="21">
        <f t="shared" si="7"/>
        <v>305923.52955680137</v>
      </c>
      <c r="N67" s="21">
        <f t="shared" si="8"/>
        <v>611.84705911360277</v>
      </c>
      <c r="O67" s="21">
        <f t="shared" si="9"/>
        <v>0</v>
      </c>
      <c r="P67" s="21">
        <f t="shared" si="10"/>
        <v>305311.68249768775</v>
      </c>
      <c r="Q67" s="21">
        <f t="shared" si="11"/>
        <v>313363.92329754174</v>
      </c>
      <c r="R67" s="21">
        <f t="shared" si="12"/>
        <v>156.68196164877088</v>
      </c>
      <c r="S67" s="21">
        <f t="shared" si="13"/>
        <v>0</v>
      </c>
      <c r="T67" s="21">
        <f t="shared" si="14"/>
        <v>313207.24133589299</v>
      </c>
      <c r="U67" s="21">
        <f>X66*$B$3+Calculator!$C$10*$B$4</f>
        <v>310865.14622136165</v>
      </c>
      <c r="V67" s="21">
        <f t="shared" si="15"/>
        <v>310.86514622136167</v>
      </c>
      <c r="W67" s="21">
        <f t="shared" si="16"/>
        <v>0</v>
      </c>
      <c r="X67" s="21">
        <f t="shared" si="17"/>
        <v>310554.28107514029</v>
      </c>
      <c r="Y67" s="21">
        <f>IF($D67&lt;=Calculator!$C$11,H67,NA())</f>
        <v>315881.521096499</v>
      </c>
      <c r="Z67" s="21">
        <f>IF($D67&lt;=Calculator!$C$11,L67,NA())</f>
        <v>266270.17812405498</v>
      </c>
      <c r="AA67" s="21">
        <f>IF(AND($D67&lt;=Calculator!$C$11,$B$5=1),P67,NA())</f>
        <v>305311.68249768775</v>
      </c>
      <c r="AB67" s="21">
        <f>IF(AND($D67&lt;=Calculator!$C$11,$B$6=1),T67,NA())</f>
        <v>313207.24133589299</v>
      </c>
    </row>
    <row r="68" spans="4:28" ht="16.5" x14ac:dyDescent="0.25">
      <c r="D68" s="21">
        <v>18</v>
      </c>
      <c r="E68" s="21">
        <f>H67*$B$3+Calculator!$C$10*$B$4</f>
        <v>337993.22757325397</v>
      </c>
      <c r="F68" s="21">
        <f t="shared" si="0"/>
        <v>0</v>
      </c>
      <c r="G68" s="21">
        <f t="shared" si="1"/>
        <v>0</v>
      </c>
      <c r="H68" s="21">
        <f t="shared" si="2"/>
        <v>337993.22757325397</v>
      </c>
      <c r="I68" s="21">
        <f t="shared" si="3"/>
        <v>284909.09059273882</v>
      </c>
      <c r="J68" s="21">
        <f t="shared" si="4"/>
        <v>2849.0909059273881</v>
      </c>
      <c r="K68" s="21">
        <f t="shared" si="5"/>
        <v>0</v>
      </c>
      <c r="L68" s="21">
        <f t="shared" si="6"/>
        <v>282059.99968681141</v>
      </c>
      <c r="M68" s="21">
        <f t="shared" si="7"/>
        <v>326683.50027252594</v>
      </c>
      <c r="N68" s="21">
        <f t="shared" si="8"/>
        <v>653.36700054505195</v>
      </c>
      <c r="O68" s="21">
        <f t="shared" si="9"/>
        <v>0</v>
      </c>
      <c r="P68" s="21">
        <f t="shared" si="10"/>
        <v>326030.13327198091</v>
      </c>
      <c r="Q68" s="21">
        <f t="shared" si="11"/>
        <v>335131.74822940549</v>
      </c>
      <c r="R68" s="21">
        <f t="shared" si="12"/>
        <v>167.56587411470275</v>
      </c>
      <c r="S68" s="21">
        <f t="shared" si="13"/>
        <v>0</v>
      </c>
      <c r="T68" s="21">
        <f t="shared" si="14"/>
        <v>334964.1823552908</v>
      </c>
      <c r="U68" s="21">
        <f>X67*$B$3+Calculator!$C$10*$B$4</f>
        <v>332293.08075040014</v>
      </c>
      <c r="V68" s="21">
        <f t="shared" si="15"/>
        <v>332.29308075040018</v>
      </c>
      <c r="W68" s="21">
        <f t="shared" si="16"/>
        <v>0</v>
      </c>
      <c r="X68" s="21">
        <f t="shared" si="17"/>
        <v>331960.78766964976</v>
      </c>
      <c r="Y68" s="21">
        <f>IF($D68&lt;=Calculator!$C$11,H68,NA())</f>
        <v>337993.22757325397</v>
      </c>
      <c r="Z68" s="21">
        <f>IF($D68&lt;=Calculator!$C$11,L68,NA())</f>
        <v>282059.99968681141</v>
      </c>
      <c r="AA68" s="21">
        <f>IF(AND($D68&lt;=Calculator!$C$11,$B$5=1),P68,NA())</f>
        <v>326030.13327198091</v>
      </c>
      <c r="AB68" s="21">
        <f>IF(AND($D68&lt;=Calculator!$C$11,$B$6=1),T68,NA())</f>
        <v>334964.1823552908</v>
      </c>
    </row>
    <row r="69" spans="4:28" ht="16.5" x14ac:dyDescent="0.25">
      <c r="D69" s="21">
        <v>19</v>
      </c>
      <c r="E69" s="21">
        <f>H68*$B$3+Calculator!$C$10*$B$4</f>
        <v>361652.7535033818</v>
      </c>
      <c r="F69" s="21">
        <f t="shared" si="0"/>
        <v>0</v>
      </c>
      <c r="G69" s="21">
        <f t="shared" si="1"/>
        <v>0</v>
      </c>
      <c r="H69" s="21">
        <f t="shared" si="2"/>
        <v>361652.7535033818</v>
      </c>
      <c r="I69" s="21">
        <f t="shared" si="3"/>
        <v>301804.19966488821</v>
      </c>
      <c r="J69" s="21">
        <f t="shared" si="4"/>
        <v>3018.0419966488821</v>
      </c>
      <c r="K69" s="21">
        <f t="shared" si="5"/>
        <v>0</v>
      </c>
      <c r="L69" s="21">
        <f t="shared" si="6"/>
        <v>298786.15766823932</v>
      </c>
      <c r="M69" s="21">
        <f t="shared" si="7"/>
        <v>348852.24260101962</v>
      </c>
      <c r="N69" s="21">
        <f t="shared" si="8"/>
        <v>697.70448520203922</v>
      </c>
      <c r="O69" s="21">
        <f t="shared" si="9"/>
        <v>0</v>
      </c>
      <c r="P69" s="21">
        <f t="shared" si="10"/>
        <v>348154.53811581759</v>
      </c>
      <c r="Q69" s="21">
        <f t="shared" si="11"/>
        <v>358411.67512016121</v>
      </c>
      <c r="R69" s="21">
        <f t="shared" si="12"/>
        <v>179.20583756008062</v>
      </c>
      <c r="S69" s="21">
        <f t="shared" si="13"/>
        <v>0</v>
      </c>
      <c r="T69" s="21">
        <f t="shared" si="14"/>
        <v>358232.46928260115</v>
      </c>
      <c r="U69" s="21">
        <f>X68*$B$3+Calculator!$C$10*$B$4</f>
        <v>355198.04280652525</v>
      </c>
      <c r="V69" s="21">
        <f t="shared" si="15"/>
        <v>355.19804280652528</v>
      </c>
      <c r="W69" s="21">
        <f t="shared" si="16"/>
        <v>0</v>
      </c>
      <c r="X69" s="21">
        <f t="shared" si="17"/>
        <v>354842.84476371872</v>
      </c>
      <c r="Y69" s="21">
        <f>IF($D69&lt;=Calculator!$C$11,H69,NA())</f>
        <v>361652.7535033818</v>
      </c>
      <c r="Z69" s="21">
        <f>IF($D69&lt;=Calculator!$C$11,L69,NA())</f>
        <v>298786.15766823932</v>
      </c>
      <c r="AA69" s="21">
        <f>IF(AND($D69&lt;=Calculator!$C$11,$B$5=1),P69,NA())</f>
        <v>348154.53811581759</v>
      </c>
      <c r="AB69" s="21">
        <f>IF(AND($D69&lt;=Calculator!$C$11,$B$6=1),T69,NA())</f>
        <v>358232.46928260115</v>
      </c>
    </row>
    <row r="70" spans="4:28" ht="16.5" x14ac:dyDescent="0.25">
      <c r="D70" s="21">
        <v>20</v>
      </c>
      <c r="E70" s="21">
        <f>H69*$B$3+Calculator!$C$10*$B$4</f>
        <v>386968.44624861854</v>
      </c>
      <c r="F70" s="21">
        <f t="shared" si="0"/>
        <v>0</v>
      </c>
      <c r="G70" s="21">
        <f t="shared" si="1"/>
        <v>0</v>
      </c>
      <c r="H70" s="21">
        <f t="shared" si="2"/>
        <v>386968.44624861854</v>
      </c>
      <c r="I70" s="21">
        <f t="shared" si="3"/>
        <v>319701.1887050161</v>
      </c>
      <c r="J70" s="21">
        <f t="shared" si="4"/>
        <v>3197.011887050161</v>
      </c>
      <c r="K70" s="21">
        <f t="shared" si="5"/>
        <v>0</v>
      </c>
      <c r="L70" s="21">
        <f t="shared" si="6"/>
        <v>316504.17681796593</v>
      </c>
      <c r="M70" s="21">
        <f t="shared" si="7"/>
        <v>372525.35578392487</v>
      </c>
      <c r="N70" s="21">
        <f t="shared" si="8"/>
        <v>745.05071156784982</v>
      </c>
      <c r="O70" s="21">
        <f t="shared" si="9"/>
        <v>0</v>
      </c>
      <c r="P70" s="21">
        <f t="shared" si="10"/>
        <v>371780.305072357</v>
      </c>
      <c r="Q70" s="21">
        <f t="shared" si="11"/>
        <v>383308.74213238322</v>
      </c>
      <c r="R70" s="21">
        <f t="shared" si="12"/>
        <v>191.65437106619163</v>
      </c>
      <c r="S70" s="21">
        <f t="shared" si="13"/>
        <v>0</v>
      </c>
      <c r="T70" s="21">
        <f t="shared" si="14"/>
        <v>383117.08776131703</v>
      </c>
      <c r="U70" s="21">
        <f>X69*$B$3+Calculator!$C$10*$B$4</f>
        <v>379681.84389717906</v>
      </c>
      <c r="V70" s="21">
        <f t="shared" si="15"/>
        <v>379.68184389717908</v>
      </c>
      <c r="W70" s="21">
        <f t="shared" si="16"/>
        <v>0</v>
      </c>
      <c r="X70" s="21">
        <f t="shared" si="17"/>
        <v>379302.16205328191</v>
      </c>
      <c r="Y70" s="21">
        <f>IF($D70&lt;=Calculator!$C$11,H70,NA())</f>
        <v>386968.44624861854</v>
      </c>
      <c r="Z70" s="21">
        <f>IF($D70&lt;=Calculator!$C$11,L70,NA())</f>
        <v>316504.17681796593</v>
      </c>
      <c r="AA70" s="21">
        <f>IF(AND($D70&lt;=Calculator!$C$11,$B$5=1),P70,NA())</f>
        <v>371780.305072357</v>
      </c>
      <c r="AB70" s="21">
        <f>IF(AND($D70&lt;=Calculator!$C$11,$B$6=1),T70,NA())</f>
        <v>383117.08776131703</v>
      </c>
    </row>
    <row r="71" spans="4:28" ht="16.5" x14ac:dyDescent="0.25">
      <c r="D71" s="21">
        <v>21</v>
      </c>
      <c r="E71" s="21">
        <f>H70*$B$3+Calculator!$C$10*$B$4</f>
        <v>414056.23748602188</v>
      </c>
      <c r="F71" s="21">
        <f t="shared" si="0"/>
        <v>0</v>
      </c>
      <c r="G71" s="21">
        <f t="shared" si="1"/>
        <v>0</v>
      </c>
      <c r="H71" s="21">
        <f t="shared" si="2"/>
        <v>414056.23748602188</v>
      </c>
      <c r="I71" s="21">
        <f t="shared" si="3"/>
        <v>338659.46919522359</v>
      </c>
      <c r="J71" s="21">
        <f t="shared" si="4"/>
        <v>3386.5946919522357</v>
      </c>
      <c r="K71" s="21">
        <f t="shared" si="5"/>
        <v>0</v>
      </c>
      <c r="L71" s="21">
        <f t="shared" si="6"/>
        <v>335272.87450327136</v>
      </c>
      <c r="M71" s="21">
        <f t="shared" si="7"/>
        <v>397804.92642742203</v>
      </c>
      <c r="N71" s="21">
        <f t="shared" si="8"/>
        <v>795.60985285484412</v>
      </c>
      <c r="O71" s="21">
        <f t="shared" si="9"/>
        <v>0</v>
      </c>
      <c r="P71" s="21">
        <f t="shared" si="10"/>
        <v>397009.31657456717</v>
      </c>
      <c r="Q71" s="21">
        <f t="shared" si="11"/>
        <v>409935.28390460927</v>
      </c>
      <c r="R71" s="21">
        <f t="shared" si="12"/>
        <v>204.96764195230466</v>
      </c>
      <c r="S71" s="21">
        <f t="shared" si="13"/>
        <v>0</v>
      </c>
      <c r="T71" s="21">
        <f t="shared" si="14"/>
        <v>409730.31626265694</v>
      </c>
      <c r="U71" s="21">
        <f>X70*$B$3+Calculator!$C$10*$B$4</f>
        <v>405853.31339701166</v>
      </c>
      <c r="V71" s="21">
        <f t="shared" si="15"/>
        <v>405.85331339701168</v>
      </c>
      <c r="W71" s="21">
        <f t="shared" si="16"/>
        <v>0</v>
      </c>
      <c r="X71" s="21">
        <f t="shared" si="17"/>
        <v>405447.46008361463</v>
      </c>
      <c r="Y71" s="21" t="e">
        <f>IF($D71&lt;=Calculator!$C$11,H71,NA())</f>
        <v>#N/A</v>
      </c>
      <c r="Z71" s="21" t="e">
        <f>IF($D71&lt;=Calculator!$C$11,L71,NA())</f>
        <v>#N/A</v>
      </c>
      <c r="AA71" s="21" t="e">
        <f>IF(AND($D71&lt;=Calculator!$C$11,$B$5=1),P71,NA())</f>
        <v>#N/A</v>
      </c>
      <c r="AB71" s="21" t="e">
        <f>IF(AND($D71&lt;=Calculator!$C$11,$B$6=1),T71,NA())</f>
        <v>#N/A</v>
      </c>
    </row>
    <row r="72" spans="4:28" ht="16.5" x14ac:dyDescent="0.25">
      <c r="D72" s="21">
        <v>22</v>
      </c>
      <c r="E72" s="21">
        <f>H71*$B$3+Calculator!$C$10*$B$4</f>
        <v>443040.17411004344</v>
      </c>
      <c r="F72" s="21">
        <f t="shared" si="0"/>
        <v>0</v>
      </c>
      <c r="G72" s="21">
        <f t="shared" si="1"/>
        <v>0</v>
      </c>
      <c r="H72" s="21">
        <f t="shared" si="2"/>
        <v>443040.17411004344</v>
      </c>
      <c r="I72" s="21">
        <f t="shared" si="3"/>
        <v>358741.97571850038</v>
      </c>
      <c r="J72" s="21">
        <f t="shared" si="4"/>
        <v>3587.4197571850036</v>
      </c>
      <c r="K72" s="21">
        <f t="shared" si="5"/>
        <v>0</v>
      </c>
      <c r="L72" s="21">
        <f t="shared" si="6"/>
        <v>355154.5559613154</v>
      </c>
      <c r="M72" s="21">
        <f t="shared" si="7"/>
        <v>424799.9687347869</v>
      </c>
      <c r="N72" s="21">
        <f t="shared" si="8"/>
        <v>849.59993746957389</v>
      </c>
      <c r="O72" s="21">
        <f t="shared" si="9"/>
        <v>0</v>
      </c>
      <c r="P72" s="21">
        <f t="shared" si="10"/>
        <v>423950.36879731732</v>
      </c>
      <c r="Q72" s="21">
        <f t="shared" si="11"/>
        <v>438411.43840104295</v>
      </c>
      <c r="R72" s="21">
        <f t="shared" si="12"/>
        <v>219.20571920052149</v>
      </c>
      <c r="S72" s="21">
        <f t="shared" si="13"/>
        <v>0</v>
      </c>
      <c r="T72" s="21">
        <f t="shared" si="14"/>
        <v>438192.2326818424</v>
      </c>
      <c r="U72" s="21">
        <f>X71*$B$3+Calculator!$C$10*$B$4</f>
        <v>433828.78228946769</v>
      </c>
      <c r="V72" s="21">
        <f t="shared" si="15"/>
        <v>433.82878228946771</v>
      </c>
      <c r="W72" s="21">
        <f t="shared" si="16"/>
        <v>0</v>
      </c>
      <c r="X72" s="21">
        <f t="shared" si="17"/>
        <v>433394.95350717823</v>
      </c>
      <c r="Y72" s="21" t="e">
        <f>IF($D72&lt;=Calculator!$C$11,H72,NA())</f>
        <v>#N/A</v>
      </c>
      <c r="Z72" s="21" t="e">
        <f>IF($D72&lt;=Calculator!$C$11,L72,NA())</f>
        <v>#N/A</v>
      </c>
      <c r="AA72" s="21" t="e">
        <f>IF(AND($D72&lt;=Calculator!$C$11,$B$5=1),P72,NA())</f>
        <v>#N/A</v>
      </c>
      <c r="AB72" s="21" t="e">
        <f>IF(AND($D72&lt;=Calculator!$C$11,$B$6=1),T72,NA())</f>
        <v>#N/A</v>
      </c>
    </row>
    <row r="73" spans="4:28" ht="16.5" x14ac:dyDescent="0.25">
      <c r="D73" s="21">
        <v>23</v>
      </c>
      <c r="E73" s="21">
        <f>H72*$B$3+Calculator!$C$10*$B$4</f>
        <v>474052.98629774654</v>
      </c>
      <c r="F73" s="21">
        <f t="shared" si="0"/>
        <v>0</v>
      </c>
      <c r="G73" s="21">
        <f t="shared" si="1"/>
        <v>0</v>
      </c>
      <c r="H73" s="21">
        <f t="shared" si="2"/>
        <v>474052.98629774654</v>
      </c>
      <c r="I73" s="21">
        <f t="shared" si="3"/>
        <v>380015.37487860752</v>
      </c>
      <c r="J73" s="21">
        <f t="shared" si="4"/>
        <v>3800.1537487860751</v>
      </c>
      <c r="K73" s="21">
        <f t="shared" si="5"/>
        <v>0</v>
      </c>
      <c r="L73" s="21">
        <f t="shared" si="6"/>
        <v>376215.22112982144</v>
      </c>
      <c r="M73" s="21">
        <f t="shared" si="7"/>
        <v>453626.89461312955</v>
      </c>
      <c r="N73" s="21">
        <f t="shared" si="8"/>
        <v>907.25378922625907</v>
      </c>
      <c r="O73" s="21">
        <f t="shared" si="9"/>
        <v>0</v>
      </c>
      <c r="P73" s="21">
        <f t="shared" si="10"/>
        <v>452719.64082390332</v>
      </c>
      <c r="Q73" s="21">
        <f t="shared" si="11"/>
        <v>468865.68896957138</v>
      </c>
      <c r="R73" s="21">
        <f t="shared" si="12"/>
        <v>234.4328444847857</v>
      </c>
      <c r="S73" s="21">
        <f t="shared" si="13"/>
        <v>0</v>
      </c>
      <c r="T73" s="21">
        <f t="shared" si="14"/>
        <v>468631.25612508657</v>
      </c>
      <c r="U73" s="21">
        <f>X72*$B$3+Calculator!$C$10*$B$4</f>
        <v>463732.60025268071</v>
      </c>
      <c r="V73" s="21">
        <f t="shared" si="15"/>
        <v>463.7326002526807</v>
      </c>
      <c r="W73" s="21">
        <f t="shared" si="16"/>
        <v>0</v>
      </c>
      <c r="X73" s="21">
        <f t="shared" si="17"/>
        <v>463268.86765242805</v>
      </c>
      <c r="Y73" s="21" t="e">
        <f>IF($D73&lt;=Calculator!$C$11,H73,NA())</f>
        <v>#N/A</v>
      </c>
      <c r="Z73" s="21" t="e">
        <f>IF($D73&lt;=Calculator!$C$11,L73,NA())</f>
        <v>#N/A</v>
      </c>
      <c r="AA73" s="21" t="e">
        <f>IF(AND($D73&lt;=Calculator!$C$11,$B$5=1),P73,NA())</f>
        <v>#N/A</v>
      </c>
      <c r="AB73" s="21" t="e">
        <f>IF(AND($D73&lt;=Calculator!$C$11,$B$6=1),T73,NA())</f>
        <v>#N/A</v>
      </c>
    </row>
    <row r="74" spans="4:28" ht="16.5" x14ac:dyDescent="0.25">
      <c r="D74" s="21">
        <v>24</v>
      </c>
      <c r="E74" s="21">
        <f>H73*$B$3+Calculator!$C$10*$B$4</f>
        <v>507236.69533858885</v>
      </c>
      <c r="F74" s="21">
        <f t="shared" si="0"/>
        <v>0</v>
      </c>
      <c r="G74" s="21">
        <f t="shared" si="1"/>
        <v>0</v>
      </c>
      <c r="H74" s="21">
        <f t="shared" si="2"/>
        <v>507236.69533858885</v>
      </c>
      <c r="I74" s="21">
        <f t="shared" si="3"/>
        <v>402550.28660890897</v>
      </c>
      <c r="J74" s="21">
        <f t="shared" si="4"/>
        <v>4025.5028660890898</v>
      </c>
      <c r="K74" s="21">
        <f t="shared" si="5"/>
        <v>0</v>
      </c>
      <c r="L74" s="21">
        <f t="shared" si="6"/>
        <v>398524.78374281985</v>
      </c>
      <c r="M74" s="21">
        <f t="shared" si="7"/>
        <v>484410.01568157657</v>
      </c>
      <c r="N74" s="21">
        <f t="shared" si="8"/>
        <v>968.82003136315325</v>
      </c>
      <c r="O74" s="21">
        <f t="shared" si="9"/>
        <v>0</v>
      </c>
      <c r="P74" s="21">
        <f t="shared" si="10"/>
        <v>483441.1956502134</v>
      </c>
      <c r="Q74" s="21">
        <f t="shared" si="11"/>
        <v>501435.44405384269</v>
      </c>
      <c r="R74" s="21">
        <f t="shared" si="12"/>
        <v>250.71772202692136</v>
      </c>
      <c r="S74" s="21">
        <f t="shared" si="13"/>
        <v>0</v>
      </c>
      <c r="T74" s="21">
        <f t="shared" si="14"/>
        <v>501184.72633181576</v>
      </c>
      <c r="U74" s="21">
        <f>X73*$B$3+Calculator!$C$10*$B$4</f>
        <v>495697.68838809803</v>
      </c>
      <c r="V74" s="21">
        <f t="shared" si="15"/>
        <v>495.69768838809802</v>
      </c>
      <c r="W74" s="21">
        <f t="shared" si="16"/>
        <v>0</v>
      </c>
      <c r="X74" s="21">
        <f t="shared" si="17"/>
        <v>495201.99069970992</v>
      </c>
      <c r="Y74" s="21" t="e">
        <f>IF($D74&lt;=Calculator!$C$11,H74,NA())</f>
        <v>#N/A</v>
      </c>
      <c r="Z74" s="21" t="e">
        <f>IF($D74&lt;=Calculator!$C$11,L74,NA())</f>
        <v>#N/A</v>
      </c>
      <c r="AA74" s="21" t="e">
        <f>IF(AND($D74&lt;=Calculator!$C$11,$B$5=1),P74,NA())</f>
        <v>#N/A</v>
      </c>
      <c r="AB74" s="21" t="e">
        <f>IF(AND($D74&lt;=Calculator!$C$11,$B$6=1),T74,NA())</f>
        <v>#N/A</v>
      </c>
    </row>
    <row r="75" spans="4:28" ht="16.5" x14ac:dyDescent="0.25">
      <c r="D75" s="21">
        <v>25</v>
      </c>
      <c r="E75" s="21">
        <f>H74*$B$3+Calculator!$C$10*$B$4</f>
        <v>542743.26401229005</v>
      </c>
      <c r="F75" s="21">
        <f t="shared" si="0"/>
        <v>0</v>
      </c>
      <c r="G75" s="21">
        <f t="shared" si="1"/>
        <v>0</v>
      </c>
      <c r="H75" s="21">
        <f t="shared" si="2"/>
        <v>542743.26401229005</v>
      </c>
      <c r="I75" s="21">
        <f t="shared" si="3"/>
        <v>426421.51860481728</v>
      </c>
      <c r="J75" s="21">
        <f t="shared" si="4"/>
        <v>4264.2151860481727</v>
      </c>
      <c r="K75" s="21">
        <f t="shared" si="5"/>
        <v>0</v>
      </c>
      <c r="L75" s="21">
        <f t="shared" si="6"/>
        <v>422157.30341876909</v>
      </c>
      <c r="M75" s="21">
        <f t="shared" si="7"/>
        <v>517282.07934572839</v>
      </c>
      <c r="N75" s="21">
        <f t="shared" si="8"/>
        <v>1034.5641586914569</v>
      </c>
      <c r="O75" s="21">
        <f t="shared" si="9"/>
        <v>0</v>
      </c>
      <c r="P75" s="21">
        <f t="shared" si="10"/>
        <v>516247.51518703694</v>
      </c>
      <c r="Q75" s="21">
        <f t="shared" si="11"/>
        <v>536267.6571750429</v>
      </c>
      <c r="R75" s="21">
        <f t="shared" si="12"/>
        <v>268.13382858752146</v>
      </c>
      <c r="S75" s="21">
        <f t="shared" si="13"/>
        <v>0</v>
      </c>
      <c r="T75" s="21">
        <f t="shared" si="14"/>
        <v>535999.52334645542</v>
      </c>
      <c r="U75" s="21">
        <f>X74*$B$3+Calculator!$C$10*$B$4</f>
        <v>529866.13004868967</v>
      </c>
      <c r="V75" s="21">
        <f t="shared" si="15"/>
        <v>529.86613004868968</v>
      </c>
      <c r="W75" s="21">
        <f t="shared" si="16"/>
        <v>0</v>
      </c>
      <c r="X75" s="21">
        <f t="shared" si="17"/>
        <v>529336.26391864102</v>
      </c>
      <c r="Y75" s="21" t="e">
        <f>IF($D75&lt;=Calculator!$C$11,H75,NA())</f>
        <v>#N/A</v>
      </c>
      <c r="Z75" s="21" t="e">
        <f>IF($D75&lt;=Calculator!$C$11,L75,NA())</f>
        <v>#N/A</v>
      </c>
      <c r="AA75" s="21" t="e">
        <f>IF(AND($D75&lt;=Calculator!$C$11,$B$5=1),P75,NA())</f>
        <v>#N/A</v>
      </c>
      <c r="AB75" s="21" t="e">
        <f>IF(AND($D75&lt;=Calculator!$C$11,$B$6=1),T75,NA())</f>
        <v>#N/A</v>
      </c>
    </row>
    <row r="76" spans="4:28" ht="16.5" x14ac:dyDescent="0.25">
      <c r="D76" s="21">
        <v>26</v>
      </c>
      <c r="E76" s="21">
        <f>H75*$B$3+Calculator!$C$10*$B$4</f>
        <v>580735.29249315034</v>
      </c>
      <c r="F76" s="21">
        <f t="shared" si="0"/>
        <v>0</v>
      </c>
      <c r="G76" s="21">
        <f t="shared" si="1"/>
        <v>0</v>
      </c>
      <c r="H76" s="21">
        <f t="shared" si="2"/>
        <v>580735.29249315034</v>
      </c>
      <c r="I76" s="21">
        <f t="shared" si="3"/>
        <v>451708.31465808296</v>
      </c>
      <c r="J76" s="21">
        <f t="shared" si="4"/>
        <v>4517.0831465808296</v>
      </c>
      <c r="K76" s="21">
        <f t="shared" si="5"/>
        <v>0</v>
      </c>
      <c r="L76" s="21">
        <f t="shared" si="6"/>
        <v>447191.23151150212</v>
      </c>
      <c r="M76" s="21">
        <f t="shared" si="7"/>
        <v>552384.84125012951</v>
      </c>
      <c r="N76" s="21">
        <f t="shared" si="8"/>
        <v>1104.769682500259</v>
      </c>
      <c r="O76" s="21">
        <f t="shared" si="9"/>
        <v>0</v>
      </c>
      <c r="P76" s="21">
        <f t="shared" si="10"/>
        <v>551280.07156762923</v>
      </c>
      <c r="Q76" s="21">
        <f t="shared" si="11"/>
        <v>573519.48998070729</v>
      </c>
      <c r="R76" s="21">
        <f t="shared" si="12"/>
        <v>286.75974499035362</v>
      </c>
      <c r="S76" s="21">
        <f t="shared" si="13"/>
        <v>0</v>
      </c>
      <c r="T76" s="21">
        <f t="shared" si="14"/>
        <v>573232.73023571691</v>
      </c>
      <c r="U76" s="21">
        <f>X75*$B$3+Calculator!$C$10*$B$4</f>
        <v>566389.80239294597</v>
      </c>
      <c r="V76" s="21">
        <f t="shared" si="15"/>
        <v>566.38980239294597</v>
      </c>
      <c r="W76" s="21">
        <f t="shared" si="16"/>
        <v>0</v>
      </c>
      <c r="X76" s="21">
        <f t="shared" si="17"/>
        <v>565823.41259055305</v>
      </c>
      <c r="Y76" s="21" t="e">
        <f>IF($D76&lt;=Calculator!$C$11,H76,NA())</f>
        <v>#N/A</v>
      </c>
      <c r="Z76" s="21" t="e">
        <f>IF($D76&lt;=Calculator!$C$11,L76,NA())</f>
        <v>#N/A</v>
      </c>
      <c r="AA76" s="21" t="e">
        <f>IF(AND($D76&lt;=Calculator!$C$11,$B$5=1),P76,NA())</f>
        <v>#N/A</v>
      </c>
      <c r="AB76" s="21" t="e">
        <f>IF(AND($D76&lt;=Calculator!$C$11,$B$6=1),T76,NA())</f>
        <v>#N/A</v>
      </c>
    </row>
    <row r="77" spans="4:28" ht="16.5" x14ac:dyDescent="0.25">
      <c r="D77" s="21">
        <v>27</v>
      </c>
      <c r="E77" s="21">
        <f>H76*$B$3+Calculator!$C$10*$B$4</f>
        <v>621386.76296767092</v>
      </c>
      <c r="F77" s="21">
        <f t="shared" si="0"/>
        <v>0</v>
      </c>
      <c r="G77" s="21">
        <f t="shared" si="1"/>
        <v>0</v>
      </c>
      <c r="H77" s="21">
        <f t="shared" si="2"/>
        <v>621386.76296767092</v>
      </c>
      <c r="I77" s="21">
        <f t="shared" si="3"/>
        <v>478494.61771730729</v>
      </c>
      <c r="J77" s="21">
        <f t="shared" si="4"/>
        <v>4784.946177173073</v>
      </c>
      <c r="K77" s="21">
        <f t="shared" si="5"/>
        <v>0</v>
      </c>
      <c r="L77" s="21">
        <f t="shared" si="6"/>
        <v>473709.67154013424</v>
      </c>
      <c r="M77" s="21">
        <f t="shared" si="7"/>
        <v>589869.67657736328</v>
      </c>
      <c r="N77" s="21">
        <f t="shared" si="8"/>
        <v>1179.7393531547266</v>
      </c>
      <c r="O77" s="21">
        <f t="shared" si="9"/>
        <v>0</v>
      </c>
      <c r="P77" s="21">
        <f t="shared" si="10"/>
        <v>588689.93722420861</v>
      </c>
      <c r="Q77" s="21">
        <f t="shared" si="11"/>
        <v>613359.02135221718</v>
      </c>
      <c r="R77" s="21">
        <f t="shared" si="12"/>
        <v>306.67951067610863</v>
      </c>
      <c r="S77" s="21">
        <f t="shared" si="13"/>
        <v>0</v>
      </c>
      <c r="T77" s="21">
        <f t="shared" si="14"/>
        <v>613052.34184154111</v>
      </c>
      <c r="U77" s="21">
        <f>X76*$B$3+Calculator!$C$10*$B$4</f>
        <v>605431.05147189181</v>
      </c>
      <c r="V77" s="21">
        <f t="shared" si="15"/>
        <v>605.43105147189181</v>
      </c>
      <c r="W77" s="21">
        <f t="shared" si="16"/>
        <v>0</v>
      </c>
      <c r="X77" s="21">
        <f t="shared" si="17"/>
        <v>604825.62042041996</v>
      </c>
      <c r="Y77" s="21" t="e">
        <f>IF($D77&lt;=Calculator!$C$11,H77,NA())</f>
        <v>#N/A</v>
      </c>
      <c r="Z77" s="21" t="e">
        <f>IF($D77&lt;=Calculator!$C$11,L77,NA())</f>
        <v>#N/A</v>
      </c>
      <c r="AA77" s="21" t="e">
        <f>IF(AND($D77&lt;=Calculator!$C$11,$B$5=1),P77,NA())</f>
        <v>#N/A</v>
      </c>
      <c r="AB77" s="21" t="e">
        <f>IF(AND($D77&lt;=Calculator!$C$11,$B$6=1),T77,NA())</f>
        <v>#N/A</v>
      </c>
    </row>
    <row r="78" spans="4:28" ht="16.5" x14ac:dyDescent="0.25">
      <c r="D78" s="21">
        <v>28</v>
      </c>
      <c r="E78" s="21">
        <f>H77*$B$3+Calculator!$C$10*$B$4</f>
        <v>664883.83637540787</v>
      </c>
      <c r="F78" s="21">
        <f t="shared" si="0"/>
        <v>0</v>
      </c>
      <c r="G78" s="21">
        <f t="shared" si="1"/>
        <v>0</v>
      </c>
      <c r="H78" s="21">
        <f t="shared" si="2"/>
        <v>664883.83637540787</v>
      </c>
      <c r="I78" s="21">
        <f t="shared" si="3"/>
        <v>506869.34854794363</v>
      </c>
      <c r="J78" s="21">
        <f t="shared" si="4"/>
        <v>5068.6934854794363</v>
      </c>
      <c r="K78" s="21">
        <f t="shared" si="5"/>
        <v>0</v>
      </c>
      <c r="L78" s="21">
        <f t="shared" si="6"/>
        <v>501800.65506246418</v>
      </c>
      <c r="M78" s="21">
        <f t="shared" si="7"/>
        <v>629898.23282990325</v>
      </c>
      <c r="N78" s="21">
        <f t="shared" si="8"/>
        <v>1259.7964656598065</v>
      </c>
      <c r="O78" s="21">
        <f t="shared" si="9"/>
        <v>0</v>
      </c>
      <c r="P78" s="21">
        <f t="shared" si="10"/>
        <v>628638.43636424339</v>
      </c>
      <c r="Q78" s="21">
        <f t="shared" si="11"/>
        <v>655966.00577044906</v>
      </c>
      <c r="R78" s="21">
        <f t="shared" si="12"/>
        <v>327.98300288522455</v>
      </c>
      <c r="S78" s="21">
        <f t="shared" si="13"/>
        <v>0</v>
      </c>
      <c r="T78" s="21">
        <f t="shared" si="14"/>
        <v>655638.02276756382</v>
      </c>
      <c r="U78" s="21">
        <f>X77*$B$3+Calculator!$C$10*$B$4</f>
        <v>647163.41384984937</v>
      </c>
      <c r="V78" s="21">
        <f t="shared" si="15"/>
        <v>647.16341384984935</v>
      </c>
      <c r="W78" s="21">
        <f t="shared" si="16"/>
        <v>0</v>
      </c>
      <c r="X78" s="21">
        <f t="shared" si="17"/>
        <v>646516.25043599948</v>
      </c>
      <c r="Y78" s="21" t="e">
        <f>IF($D78&lt;=Calculator!$C$11,H78,NA())</f>
        <v>#N/A</v>
      </c>
      <c r="Z78" s="21" t="e">
        <f>IF($D78&lt;=Calculator!$C$11,L78,NA())</f>
        <v>#N/A</v>
      </c>
      <c r="AA78" s="21" t="e">
        <f>IF(AND($D78&lt;=Calculator!$C$11,$B$5=1),P78,NA())</f>
        <v>#N/A</v>
      </c>
      <c r="AB78" s="21" t="e">
        <f>IF(AND($D78&lt;=Calculator!$C$11,$B$6=1),T78,NA())</f>
        <v>#N/A</v>
      </c>
    </row>
    <row r="79" spans="4:28" ht="16.5" x14ac:dyDescent="0.25">
      <c r="D79" s="21">
        <v>29</v>
      </c>
      <c r="E79" s="21">
        <f>H78*$B$3+Calculator!$C$10*$B$4</f>
        <v>711425.70492168644</v>
      </c>
      <c r="F79" s="21">
        <f t="shared" si="0"/>
        <v>0</v>
      </c>
      <c r="G79" s="21">
        <f t="shared" si="1"/>
        <v>0</v>
      </c>
      <c r="H79" s="21">
        <f t="shared" si="2"/>
        <v>711425.70492168644</v>
      </c>
      <c r="I79" s="21">
        <f t="shared" si="3"/>
        <v>536926.70091683674</v>
      </c>
      <c r="J79" s="21">
        <f t="shared" si="4"/>
        <v>5369.2670091683676</v>
      </c>
      <c r="K79" s="21">
        <f t="shared" si="5"/>
        <v>0</v>
      </c>
      <c r="L79" s="21">
        <f t="shared" si="6"/>
        <v>531557.43390766834</v>
      </c>
      <c r="M79" s="21">
        <f t="shared" si="7"/>
        <v>672643.1269097405</v>
      </c>
      <c r="N79" s="21">
        <f t="shared" si="8"/>
        <v>1345.2862538194811</v>
      </c>
      <c r="O79" s="21">
        <f t="shared" si="9"/>
        <v>0</v>
      </c>
      <c r="P79" s="21">
        <f t="shared" si="10"/>
        <v>671297.84065592103</v>
      </c>
      <c r="Q79" s="21">
        <f t="shared" si="11"/>
        <v>701532.68436129333</v>
      </c>
      <c r="R79" s="21">
        <f t="shared" si="12"/>
        <v>350.76634218064669</v>
      </c>
      <c r="S79" s="21">
        <f t="shared" si="13"/>
        <v>0</v>
      </c>
      <c r="T79" s="21">
        <f t="shared" si="14"/>
        <v>701181.91801911267</v>
      </c>
      <c r="U79" s="21">
        <f>X78*$B$3+Calculator!$C$10*$B$4</f>
        <v>691772.38796651945</v>
      </c>
      <c r="V79" s="21">
        <f t="shared" si="15"/>
        <v>691.77238796651943</v>
      </c>
      <c r="W79" s="21">
        <f t="shared" si="16"/>
        <v>0</v>
      </c>
      <c r="X79" s="21">
        <f t="shared" si="17"/>
        <v>691080.61557855294</v>
      </c>
      <c r="Y79" s="21" t="e">
        <f>IF($D79&lt;=Calculator!$C$11,H79,NA())</f>
        <v>#N/A</v>
      </c>
      <c r="Z79" s="21" t="e">
        <f>IF($D79&lt;=Calculator!$C$11,L79,NA())</f>
        <v>#N/A</v>
      </c>
      <c r="AA79" s="21" t="e">
        <f>IF(AND($D79&lt;=Calculator!$C$11,$B$5=1),P79,NA())</f>
        <v>#N/A</v>
      </c>
      <c r="AB79" s="21" t="e">
        <f>IF(AND($D79&lt;=Calculator!$C$11,$B$6=1),T79,NA())</f>
        <v>#N/A</v>
      </c>
    </row>
    <row r="80" spans="4:28" ht="16.5" x14ac:dyDescent="0.25">
      <c r="D80" s="21">
        <v>30</v>
      </c>
      <c r="E80" s="21">
        <f>H79*$B$3+Calculator!$C$10*$B$4</f>
        <v>761225.50426620455</v>
      </c>
      <c r="F80" s="21">
        <f t="shared" si="0"/>
        <v>0</v>
      </c>
      <c r="G80" s="21">
        <f t="shared" si="1"/>
        <v>0</v>
      </c>
      <c r="H80" s="21">
        <f t="shared" si="2"/>
        <v>761225.50426620455</v>
      </c>
      <c r="I80" s="21">
        <f t="shared" si="3"/>
        <v>568766.4542812052</v>
      </c>
      <c r="J80" s="21">
        <f t="shared" si="4"/>
        <v>5687.6645428120519</v>
      </c>
      <c r="K80" s="21">
        <f t="shared" si="5"/>
        <v>0</v>
      </c>
      <c r="L80" s="21">
        <f t="shared" si="6"/>
        <v>563078.78973839316</v>
      </c>
      <c r="M80" s="21">
        <f t="shared" si="7"/>
        <v>718288.6895018355</v>
      </c>
      <c r="N80" s="21">
        <f t="shared" si="8"/>
        <v>1436.577379003671</v>
      </c>
      <c r="O80" s="21">
        <f t="shared" si="9"/>
        <v>0</v>
      </c>
      <c r="P80" s="21">
        <f t="shared" si="10"/>
        <v>716852.11212283187</v>
      </c>
      <c r="Q80" s="21">
        <f t="shared" si="11"/>
        <v>750264.65228045057</v>
      </c>
      <c r="R80" s="21">
        <f t="shared" si="12"/>
        <v>375.13232614022525</v>
      </c>
      <c r="S80" s="21">
        <f t="shared" si="13"/>
        <v>0</v>
      </c>
      <c r="T80" s="21">
        <f t="shared" si="14"/>
        <v>749889.51995431038</v>
      </c>
      <c r="U80" s="21">
        <f>X79*$B$3+Calculator!$C$10*$B$4</f>
        <v>739456.25866905169</v>
      </c>
      <c r="V80" s="21">
        <f t="shared" si="15"/>
        <v>739.45625866905175</v>
      </c>
      <c r="W80" s="21">
        <f t="shared" si="16"/>
        <v>0</v>
      </c>
      <c r="X80" s="21">
        <f t="shared" si="17"/>
        <v>738716.80241038266</v>
      </c>
      <c r="Y80" s="21" t="e">
        <f>IF($D80&lt;=Calculator!$C$11,H80,NA())</f>
        <v>#N/A</v>
      </c>
      <c r="Z80" s="21" t="e">
        <f>IF($D80&lt;=Calculator!$C$11,L80,NA())</f>
        <v>#N/A</v>
      </c>
      <c r="AA80" s="21" t="e">
        <f>IF(AND($D80&lt;=Calculator!$C$11,$B$5=1),P80,NA())</f>
        <v>#N/A</v>
      </c>
      <c r="AB80" s="21" t="e">
        <f>IF(AND($D80&lt;=Calculator!$C$11,$B$6=1),T80,NA())</f>
        <v>#N/A</v>
      </c>
    </row>
    <row r="81" spans="4:28" ht="16.5" x14ac:dyDescent="0.25">
      <c r="D81" s="21">
        <v>31</v>
      </c>
      <c r="E81" s="21">
        <f>H80*$B$3+Calculator!$C$10*$B$4</f>
        <v>814511.28956483887</v>
      </c>
      <c r="F81" s="21">
        <f t="shared" si="0"/>
        <v>0</v>
      </c>
      <c r="G81" s="21">
        <f t="shared" si="1"/>
        <v>0</v>
      </c>
      <c r="H81" s="21">
        <f t="shared" si="2"/>
        <v>814511.28956483887</v>
      </c>
      <c r="I81" s="21">
        <f t="shared" si="3"/>
        <v>602494.30502008076</v>
      </c>
      <c r="J81" s="21">
        <f t="shared" si="4"/>
        <v>6024.9430502008072</v>
      </c>
      <c r="K81" s="21">
        <f t="shared" si="5"/>
        <v>0</v>
      </c>
      <c r="L81" s="21">
        <f t="shared" si="6"/>
        <v>596469.36196987994</v>
      </c>
      <c r="M81" s="21">
        <f t="shared" si="7"/>
        <v>767031.75997143018</v>
      </c>
      <c r="N81" s="21">
        <f t="shared" si="8"/>
        <v>1534.0635199428602</v>
      </c>
      <c r="O81" s="21">
        <f t="shared" si="9"/>
        <v>0</v>
      </c>
      <c r="P81" s="21">
        <f t="shared" si="10"/>
        <v>765497.69645148737</v>
      </c>
      <c r="Q81" s="21">
        <f t="shared" si="11"/>
        <v>802381.78635111218</v>
      </c>
      <c r="R81" s="21">
        <f t="shared" si="12"/>
        <v>401.19089317555614</v>
      </c>
      <c r="S81" s="21">
        <f t="shared" si="13"/>
        <v>0</v>
      </c>
      <c r="T81" s="21">
        <f t="shared" si="14"/>
        <v>801980.59545793664</v>
      </c>
      <c r="U81" s="21">
        <f>X80*$B$3+Calculator!$C$10*$B$4</f>
        <v>790426.97857910953</v>
      </c>
      <c r="V81" s="21">
        <f t="shared" si="15"/>
        <v>790.42697857910957</v>
      </c>
      <c r="W81" s="21">
        <f t="shared" si="16"/>
        <v>0</v>
      </c>
      <c r="X81" s="21">
        <f t="shared" si="17"/>
        <v>789636.55160053039</v>
      </c>
      <c r="Y81" s="21" t="e">
        <f>IF($D81&lt;=Calculator!$C$11,H81,NA())</f>
        <v>#N/A</v>
      </c>
      <c r="Z81" s="21" t="e">
        <f>IF($D81&lt;=Calculator!$C$11,L81,NA())</f>
        <v>#N/A</v>
      </c>
      <c r="AA81" s="21" t="e">
        <f>IF(AND($D81&lt;=Calculator!$C$11,$B$5=1),P81,NA())</f>
        <v>#N/A</v>
      </c>
      <c r="AB81" s="21" t="e">
        <f>IF(AND($D81&lt;=Calculator!$C$11,$B$6=1),T81,NA())</f>
        <v>#N/A</v>
      </c>
    </row>
    <row r="82" spans="4:28" ht="16.5" x14ac:dyDescent="0.25">
      <c r="D82" s="21">
        <v>32</v>
      </c>
      <c r="E82" s="21">
        <f>H81*$B$3+Calculator!$C$10*$B$4</f>
        <v>871527.07983437763</v>
      </c>
      <c r="F82" s="21">
        <f t="shared" si="0"/>
        <v>0</v>
      </c>
      <c r="G82" s="21">
        <f t="shared" si="1"/>
        <v>0</v>
      </c>
      <c r="H82" s="21">
        <f t="shared" si="2"/>
        <v>871527.07983437763</v>
      </c>
      <c r="I82" s="21">
        <f t="shared" si="3"/>
        <v>638222.21730777156</v>
      </c>
      <c r="J82" s="21">
        <f t="shared" si="4"/>
        <v>6382.2221730777155</v>
      </c>
      <c r="K82" s="21">
        <f t="shared" si="5"/>
        <v>0</v>
      </c>
      <c r="L82" s="21">
        <f t="shared" si="6"/>
        <v>631839.9951346938</v>
      </c>
      <c r="M82" s="21">
        <f t="shared" si="7"/>
        <v>819082.53520309157</v>
      </c>
      <c r="N82" s="21">
        <f t="shared" si="8"/>
        <v>1638.1650704061833</v>
      </c>
      <c r="O82" s="21">
        <f t="shared" si="9"/>
        <v>0</v>
      </c>
      <c r="P82" s="21">
        <f t="shared" si="10"/>
        <v>817444.37013268541</v>
      </c>
      <c r="Q82" s="21">
        <f t="shared" si="11"/>
        <v>858119.2371399923</v>
      </c>
      <c r="R82" s="21">
        <f t="shared" si="12"/>
        <v>429.05961856999619</v>
      </c>
      <c r="S82" s="21">
        <f t="shared" si="13"/>
        <v>0</v>
      </c>
      <c r="T82" s="21">
        <f t="shared" si="14"/>
        <v>857690.17752142227</v>
      </c>
      <c r="U82" s="21">
        <f>X81*$B$3+Calculator!$C$10*$B$4</f>
        <v>844911.11021256761</v>
      </c>
      <c r="V82" s="21">
        <f t="shared" si="15"/>
        <v>844.91111021256768</v>
      </c>
      <c r="W82" s="21">
        <f t="shared" si="16"/>
        <v>0</v>
      </c>
      <c r="X82" s="21">
        <f t="shared" si="17"/>
        <v>844066.19910235505</v>
      </c>
      <c r="Y82" s="21" t="e">
        <f>IF($D82&lt;=Calculator!$C$11,H82,NA())</f>
        <v>#N/A</v>
      </c>
      <c r="Z82" s="21" t="e">
        <f>IF($D82&lt;=Calculator!$C$11,L82,NA())</f>
        <v>#N/A</v>
      </c>
      <c r="AA82" s="21" t="e">
        <f>IF(AND($D82&lt;=Calculator!$C$11,$B$5=1),P82,NA())</f>
        <v>#N/A</v>
      </c>
      <c r="AB82" s="21" t="e">
        <f>IF(AND($D82&lt;=Calculator!$C$11,$B$6=1),T82,NA())</f>
        <v>#N/A</v>
      </c>
    </row>
    <row r="83" spans="4:28" ht="16.5" x14ac:dyDescent="0.25">
      <c r="D83" s="21">
        <v>33</v>
      </c>
      <c r="E83" s="21">
        <f>H82*$B$3+Calculator!$C$10*$B$4</f>
        <v>932533.9754227841</v>
      </c>
      <c r="F83" s="21">
        <f t="shared" ref="F83:F114" si="18">MAX(0,E83)*0/100</f>
        <v>0</v>
      </c>
      <c r="G83" s="21">
        <f t="shared" ref="G83:G114" si="19">MIN(0,MAX(0,E83-F83))</f>
        <v>0</v>
      </c>
      <c r="H83" s="21">
        <f t="shared" ref="H83:H114" si="20">MAX(0,E83-F83-G83)</f>
        <v>932533.9754227841</v>
      </c>
      <c r="I83" s="21">
        <f t="shared" ref="I83:I110" si="21">L82*$B$3+$B$13*$B$4</f>
        <v>676068.79479412246</v>
      </c>
      <c r="J83" s="21">
        <f t="shared" ref="J83:J114" si="22">MAX(0,I83)*$B$7/100</f>
        <v>6760.6879479412246</v>
      </c>
      <c r="K83" s="21">
        <f t="shared" ref="K83:K114" si="23">MIN($B$11,MAX(0,I83-J83))</f>
        <v>0</v>
      </c>
      <c r="L83" s="21">
        <f t="shared" ref="L83:L114" si="24">MAX(0,I83-J83-K83)</f>
        <v>669308.10684618121</v>
      </c>
      <c r="M83" s="21">
        <f t="shared" ref="M83:M110" si="25">P82*$B$3+$B$13*$B$4</f>
        <v>874665.47604197345</v>
      </c>
      <c r="N83" s="21">
        <f t="shared" ref="N83:N114" si="26">MAX(0,M83)*$B$8/100</f>
        <v>1749.3309520839468</v>
      </c>
      <c r="O83" s="21">
        <f t="shared" ref="O83:O114" si="27">MIN($B$11,MAX(0,M83-N83))</f>
        <v>0</v>
      </c>
      <c r="P83" s="21">
        <f t="shared" ref="P83:P114" si="28">MAX(0,M83-N83-O83)</f>
        <v>872916.14508988953</v>
      </c>
      <c r="Q83" s="21">
        <f t="shared" ref="Q83:Q110" si="29">T82*$B$3+$B$13*$B$4</f>
        <v>917728.48994792183</v>
      </c>
      <c r="R83" s="21">
        <f t="shared" ref="R83:R114" si="30">MAX(0,Q83)*$B$9/100</f>
        <v>458.86424497396098</v>
      </c>
      <c r="S83" s="21">
        <f t="shared" ref="S83:S114" si="31">MIN($B$11,MAX(0,Q83-R83))</f>
        <v>0</v>
      </c>
      <c r="T83" s="21">
        <f t="shared" ref="T83:T114" si="32">MAX(0,Q83-R83-S83)</f>
        <v>917269.62570294784</v>
      </c>
      <c r="U83" s="21">
        <f>X82*$B$3+Calculator!$C$10*$B$4</f>
        <v>903150.83303951996</v>
      </c>
      <c r="V83" s="21">
        <f t="shared" ref="V83:V114" si="33">MAX(0,U83)*0.1/100</f>
        <v>903.15083303952008</v>
      </c>
      <c r="W83" s="21">
        <f t="shared" ref="W83:W114" si="34">MIN(0,MAX(0,U83-V83))</f>
        <v>0</v>
      </c>
      <c r="X83" s="21">
        <f t="shared" ref="X83:X114" si="35">MAX(0,U83-V83-W83)</f>
        <v>902247.68220648041</v>
      </c>
      <c r="Y83" s="21" t="e">
        <f>IF($D83&lt;=Calculator!$C$11,H83,NA())</f>
        <v>#N/A</v>
      </c>
      <c r="Z83" s="21" t="e">
        <f>IF($D83&lt;=Calculator!$C$11,L83,NA())</f>
        <v>#N/A</v>
      </c>
      <c r="AA83" s="21" t="e">
        <f>IF(AND($D83&lt;=Calculator!$C$11,$B$5=1),P83,NA())</f>
        <v>#N/A</v>
      </c>
      <c r="AB83" s="21" t="e">
        <f>IF(AND($D83&lt;=Calculator!$C$11,$B$6=1),T83,NA())</f>
        <v>#N/A</v>
      </c>
    </row>
    <row r="84" spans="4:28" ht="16.5" x14ac:dyDescent="0.25">
      <c r="D84" s="21">
        <v>34</v>
      </c>
      <c r="E84" s="21">
        <f>H83*$B$3+Calculator!$C$10*$B$4</f>
        <v>997811.35370237904</v>
      </c>
      <c r="F84" s="21">
        <f t="shared" si="18"/>
        <v>0</v>
      </c>
      <c r="G84" s="21">
        <f t="shared" si="19"/>
        <v>0</v>
      </c>
      <c r="H84" s="21">
        <f t="shared" si="20"/>
        <v>997811.35370237904</v>
      </c>
      <c r="I84" s="21">
        <f t="shared" si="21"/>
        <v>716159.67432541389</v>
      </c>
      <c r="J84" s="21">
        <f t="shared" si="22"/>
        <v>7161.5967432541393</v>
      </c>
      <c r="K84" s="21">
        <f t="shared" si="23"/>
        <v>0</v>
      </c>
      <c r="L84" s="21">
        <f t="shared" si="24"/>
        <v>708998.07758215978</v>
      </c>
      <c r="M84" s="21">
        <f t="shared" si="25"/>
        <v>934020.27524618187</v>
      </c>
      <c r="N84" s="21">
        <f t="shared" si="26"/>
        <v>1868.040550492364</v>
      </c>
      <c r="O84" s="21">
        <f t="shared" si="27"/>
        <v>0</v>
      </c>
      <c r="P84" s="21">
        <f t="shared" si="28"/>
        <v>932152.23469568952</v>
      </c>
      <c r="Q84" s="21">
        <f t="shared" si="29"/>
        <v>981478.4995021543</v>
      </c>
      <c r="R84" s="21">
        <f t="shared" si="30"/>
        <v>490.73924975107712</v>
      </c>
      <c r="S84" s="21">
        <f t="shared" si="31"/>
        <v>0</v>
      </c>
      <c r="T84" s="21">
        <f t="shared" si="32"/>
        <v>980987.76025240321</v>
      </c>
      <c r="U84" s="21">
        <f>X83*$B$3+Calculator!$C$10*$B$4</f>
        <v>965405.01996093406</v>
      </c>
      <c r="V84" s="21">
        <f t="shared" si="33"/>
        <v>965.40501996093417</v>
      </c>
      <c r="W84" s="21">
        <f t="shared" si="34"/>
        <v>0</v>
      </c>
      <c r="X84" s="21">
        <f t="shared" si="35"/>
        <v>964439.61494097312</v>
      </c>
      <c r="Y84" s="21" t="e">
        <f>IF($D84&lt;=Calculator!$C$11,H84,NA())</f>
        <v>#N/A</v>
      </c>
      <c r="Z84" s="21" t="e">
        <f>IF($D84&lt;=Calculator!$C$11,L84,NA())</f>
        <v>#N/A</v>
      </c>
      <c r="AA84" s="21" t="e">
        <f>IF(AND($D84&lt;=Calculator!$C$11,$B$5=1),P84,NA())</f>
        <v>#N/A</v>
      </c>
      <c r="AB84" s="21" t="e">
        <f>IF(AND($D84&lt;=Calculator!$C$11,$B$6=1),T84,NA())</f>
        <v>#N/A</v>
      </c>
    </row>
    <row r="85" spans="4:28" ht="16.5" x14ac:dyDescent="0.25">
      <c r="D85" s="21">
        <v>35</v>
      </c>
      <c r="E85" s="21">
        <f>H84*$B$3+Calculator!$C$10*$B$4</f>
        <v>1067658.1484615456</v>
      </c>
      <c r="F85" s="21">
        <f t="shared" si="18"/>
        <v>0</v>
      </c>
      <c r="G85" s="21">
        <f t="shared" si="19"/>
        <v>0</v>
      </c>
      <c r="H85" s="21">
        <f t="shared" si="20"/>
        <v>1067658.1484615456</v>
      </c>
      <c r="I85" s="21">
        <f t="shared" si="21"/>
        <v>758627.94301291101</v>
      </c>
      <c r="J85" s="21">
        <f t="shared" si="22"/>
        <v>7586.2794301291106</v>
      </c>
      <c r="K85" s="21">
        <f t="shared" si="23"/>
        <v>0</v>
      </c>
      <c r="L85" s="21">
        <f t="shared" si="24"/>
        <v>751041.66358278191</v>
      </c>
      <c r="M85" s="21">
        <f t="shared" si="25"/>
        <v>997402.89112438785</v>
      </c>
      <c r="N85" s="21">
        <f t="shared" si="26"/>
        <v>1994.805782248776</v>
      </c>
      <c r="O85" s="21">
        <f t="shared" si="27"/>
        <v>0</v>
      </c>
      <c r="P85" s="21">
        <f t="shared" si="28"/>
        <v>995408.08534213912</v>
      </c>
      <c r="Q85" s="21">
        <f t="shared" si="29"/>
        <v>1049656.9034700715</v>
      </c>
      <c r="R85" s="21">
        <f t="shared" si="30"/>
        <v>524.82845173503574</v>
      </c>
      <c r="S85" s="21">
        <f t="shared" si="31"/>
        <v>0</v>
      </c>
      <c r="T85" s="21">
        <f t="shared" si="32"/>
        <v>1049132.0750183365</v>
      </c>
      <c r="U85" s="21">
        <f>X84*$B$3+Calculator!$C$10*$B$4</f>
        <v>1031950.3879868413</v>
      </c>
      <c r="V85" s="21">
        <f t="shared" si="33"/>
        <v>1031.9503879868414</v>
      </c>
      <c r="W85" s="21">
        <f t="shared" si="34"/>
        <v>0</v>
      </c>
      <c r="X85" s="21">
        <f t="shared" si="35"/>
        <v>1030918.4375988544</v>
      </c>
      <c r="Y85" s="21" t="e">
        <f>IF($D85&lt;=Calculator!$C$11,H85,NA())</f>
        <v>#N/A</v>
      </c>
      <c r="Z85" s="21" t="e">
        <f>IF($D85&lt;=Calculator!$C$11,L85,NA())</f>
        <v>#N/A</v>
      </c>
      <c r="AA85" s="21" t="e">
        <f>IF(AND($D85&lt;=Calculator!$C$11,$B$5=1),P85,NA())</f>
        <v>#N/A</v>
      </c>
      <c r="AB85" s="21" t="e">
        <f>IF(AND($D85&lt;=Calculator!$C$11,$B$6=1),T85,NA())</f>
        <v>#N/A</v>
      </c>
    </row>
    <row r="86" spans="4:28" ht="16.5" x14ac:dyDescent="0.25">
      <c r="D86" s="21">
        <v>36</v>
      </c>
      <c r="E86" s="21">
        <f>H85*$B$3+Calculator!$C$10*$B$4</f>
        <v>1142394.2188538539</v>
      </c>
      <c r="F86" s="21">
        <f t="shared" si="18"/>
        <v>0</v>
      </c>
      <c r="G86" s="21">
        <f t="shared" si="19"/>
        <v>0</v>
      </c>
      <c r="H86" s="21">
        <f t="shared" si="20"/>
        <v>1142394.2188538539</v>
      </c>
      <c r="I86" s="21">
        <f t="shared" si="21"/>
        <v>803614.5800335767</v>
      </c>
      <c r="J86" s="21">
        <f t="shared" si="22"/>
        <v>8036.1458003357666</v>
      </c>
      <c r="K86" s="21">
        <f t="shared" si="23"/>
        <v>0</v>
      </c>
      <c r="L86" s="21">
        <f t="shared" si="24"/>
        <v>795578.4342332409</v>
      </c>
      <c r="M86" s="21">
        <f t="shared" si="25"/>
        <v>1065086.6513160889</v>
      </c>
      <c r="N86" s="21">
        <f t="shared" si="26"/>
        <v>2130.1733026321781</v>
      </c>
      <c r="O86" s="21">
        <f t="shared" si="27"/>
        <v>0</v>
      </c>
      <c r="P86" s="21">
        <f t="shared" si="28"/>
        <v>1062956.4780134566</v>
      </c>
      <c r="Q86" s="21">
        <f t="shared" si="29"/>
        <v>1122571.32026962</v>
      </c>
      <c r="R86" s="21">
        <f t="shared" si="30"/>
        <v>561.28566013480997</v>
      </c>
      <c r="S86" s="21">
        <f t="shared" si="31"/>
        <v>0</v>
      </c>
      <c r="T86" s="21">
        <f t="shared" si="32"/>
        <v>1122010.0346094852</v>
      </c>
      <c r="U86" s="21">
        <f>X85*$B$3+Calculator!$C$10*$B$4</f>
        <v>1103082.7282307744</v>
      </c>
      <c r="V86" s="21">
        <f t="shared" si="33"/>
        <v>1103.0827282307746</v>
      </c>
      <c r="W86" s="21">
        <f t="shared" si="34"/>
        <v>0</v>
      </c>
      <c r="X86" s="21">
        <f t="shared" si="35"/>
        <v>1101979.6455025435</v>
      </c>
      <c r="Y86" s="21" t="e">
        <f>IF($D86&lt;=Calculator!$C$11,H86,NA())</f>
        <v>#N/A</v>
      </c>
      <c r="Z86" s="21" t="e">
        <f>IF($D86&lt;=Calculator!$C$11,L86,NA())</f>
        <v>#N/A</v>
      </c>
      <c r="AA86" s="21" t="e">
        <f>IF(AND($D86&lt;=Calculator!$C$11,$B$5=1),P86,NA())</f>
        <v>#N/A</v>
      </c>
      <c r="AB86" s="21" t="e">
        <f>IF(AND($D86&lt;=Calculator!$C$11,$B$6=1),T86,NA())</f>
        <v>#N/A</v>
      </c>
    </row>
    <row r="87" spans="4:28" ht="16.5" x14ac:dyDescent="0.25">
      <c r="D87" s="21">
        <v>37</v>
      </c>
      <c r="E87" s="21">
        <f>H86*$B$3+Calculator!$C$10*$B$4</f>
        <v>1222361.8141736237</v>
      </c>
      <c r="F87" s="21">
        <f t="shared" si="18"/>
        <v>0</v>
      </c>
      <c r="G87" s="21">
        <f t="shared" si="19"/>
        <v>0</v>
      </c>
      <c r="H87" s="21">
        <f t="shared" si="20"/>
        <v>1222361.8141736237</v>
      </c>
      <c r="I87" s="21">
        <f t="shared" si="21"/>
        <v>851268.92462956777</v>
      </c>
      <c r="J87" s="21">
        <f t="shared" si="22"/>
        <v>8512.6892462956785</v>
      </c>
      <c r="K87" s="21">
        <f t="shared" si="23"/>
        <v>0</v>
      </c>
      <c r="L87" s="21">
        <f t="shared" si="24"/>
        <v>842756.23538327205</v>
      </c>
      <c r="M87" s="21">
        <f t="shared" si="25"/>
        <v>1137363.4314743986</v>
      </c>
      <c r="N87" s="21">
        <f t="shared" si="26"/>
        <v>2274.7268629487971</v>
      </c>
      <c r="O87" s="21">
        <f t="shared" si="27"/>
        <v>0</v>
      </c>
      <c r="P87" s="21">
        <f t="shared" si="28"/>
        <v>1135088.7046114497</v>
      </c>
      <c r="Q87" s="21">
        <f t="shared" si="29"/>
        <v>1200550.7370321492</v>
      </c>
      <c r="R87" s="21">
        <f t="shared" si="30"/>
        <v>600.27536851607465</v>
      </c>
      <c r="S87" s="21">
        <f t="shared" si="31"/>
        <v>0</v>
      </c>
      <c r="T87" s="21">
        <f t="shared" si="32"/>
        <v>1199950.4616636331</v>
      </c>
      <c r="U87" s="21">
        <f>X86*$B$3+Calculator!$C$10*$B$4</f>
        <v>1179118.2206877216</v>
      </c>
      <c r="V87" s="21">
        <f t="shared" si="33"/>
        <v>1179.1182206877215</v>
      </c>
      <c r="W87" s="21">
        <f t="shared" si="34"/>
        <v>0</v>
      </c>
      <c r="X87" s="21">
        <f t="shared" si="35"/>
        <v>1177939.102467034</v>
      </c>
      <c r="Y87" s="21" t="e">
        <f>IF($D87&lt;=Calculator!$C$11,H87,NA())</f>
        <v>#N/A</v>
      </c>
      <c r="Z87" s="21" t="e">
        <f>IF($D87&lt;=Calculator!$C$11,L87,NA())</f>
        <v>#N/A</v>
      </c>
      <c r="AA87" s="21" t="e">
        <f>IF(AND($D87&lt;=Calculator!$C$11,$B$5=1),P87,NA())</f>
        <v>#N/A</v>
      </c>
      <c r="AB87" s="21" t="e">
        <f>IF(AND($D87&lt;=Calculator!$C$11,$B$6=1),T87,NA())</f>
        <v>#N/A</v>
      </c>
    </row>
    <row r="88" spans="4:28" ht="16.5" x14ac:dyDescent="0.25">
      <c r="D88" s="21">
        <v>38</v>
      </c>
      <c r="E88" s="21">
        <f>H87*$B$3+Calculator!$C$10*$B$4</f>
        <v>1307927.1411657773</v>
      </c>
      <c r="F88" s="21">
        <f t="shared" si="18"/>
        <v>0</v>
      </c>
      <c r="G88" s="21">
        <f t="shared" si="19"/>
        <v>0</v>
      </c>
      <c r="H88" s="21">
        <f t="shared" si="20"/>
        <v>1307927.1411657773</v>
      </c>
      <c r="I88" s="21">
        <f t="shared" si="21"/>
        <v>901749.17186010117</v>
      </c>
      <c r="J88" s="21">
        <f t="shared" si="22"/>
        <v>9017.4917186010116</v>
      </c>
      <c r="K88" s="21">
        <f t="shared" si="23"/>
        <v>0</v>
      </c>
      <c r="L88" s="21">
        <f t="shared" si="24"/>
        <v>892731.6801415002</v>
      </c>
      <c r="M88" s="21">
        <f t="shared" si="25"/>
        <v>1214544.9139342513</v>
      </c>
      <c r="N88" s="21">
        <f t="shared" si="26"/>
        <v>2429.0898278685027</v>
      </c>
      <c r="O88" s="21">
        <f t="shared" si="27"/>
        <v>0</v>
      </c>
      <c r="P88" s="21">
        <f t="shared" si="28"/>
        <v>1212115.8241063829</v>
      </c>
      <c r="Q88" s="21">
        <f t="shared" si="29"/>
        <v>1283946.9939800876</v>
      </c>
      <c r="R88" s="21">
        <f t="shared" si="30"/>
        <v>641.97349699004383</v>
      </c>
      <c r="S88" s="21">
        <f t="shared" si="31"/>
        <v>0</v>
      </c>
      <c r="T88" s="21">
        <f t="shared" si="32"/>
        <v>1283305.0204830975</v>
      </c>
      <c r="U88" s="21">
        <f>X87*$B$3+Calculator!$C$10*$B$4</f>
        <v>1260394.8396397266</v>
      </c>
      <c r="V88" s="21">
        <f t="shared" si="33"/>
        <v>1260.3948396397266</v>
      </c>
      <c r="W88" s="21">
        <f t="shared" si="34"/>
        <v>0</v>
      </c>
      <c r="X88" s="21">
        <f t="shared" si="35"/>
        <v>1259134.4448000868</v>
      </c>
      <c r="Y88" s="21" t="e">
        <f>IF($D88&lt;=Calculator!$C$11,H88,NA())</f>
        <v>#N/A</v>
      </c>
      <c r="Z88" s="21" t="e">
        <f>IF($D88&lt;=Calculator!$C$11,L88,NA())</f>
        <v>#N/A</v>
      </c>
      <c r="AA88" s="21" t="e">
        <f>IF(AND($D88&lt;=Calculator!$C$11,$B$5=1),P88,NA())</f>
        <v>#N/A</v>
      </c>
      <c r="AB88" s="21" t="e">
        <f>IF(AND($D88&lt;=Calculator!$C$11,$B$6=1),T88,NA())</f>
        <v>#N/A</v>
      </c>
    </row>
    <row r="89" spans="4:28" ht="16.5" x14ac:dyDescent="0.25">
      <c r="D89" s="21">
        <v>39</v>
      </c>
      <c r="E89" s="21">
        <f>H88*$B$3+Calculator!$C$10*$B$4</f>
        <v>1399482.0410473819</v>
      </c>
      <c r="F89" s="21">
        <f t="shared" si="18"/>
        <v>0</v>
      </c>
      <c r="G89" s="21">
        <f t="shared" si="19"/>
        <v>0</v>
      </c>
      <c r="H89" s="21">
        <f t="shared" si="20"/>
        <v>1399482.0410473819</v>
      </c>
      <c r="I89" s="21">
        <f t="shared" si="21"/>
        <v>955222.89775140525</v>
      </c>
      <c r="J89" s="21">
        <f t="shared" si="22"/>
        <v>9552.2289775140525</v>
      </c>
      <c r="K89" s="21">
        <f t="shared" si="23"/>
        <v>0</v>
      </c>
      <c r="L89" s="21">
        <f t="shared" si="24"/>
        <v>945670.66877389117</v>
      </c>
      <c r="M89" s="21">
        <f t="shared" si="25"/>
        <v>1296963.9317938299</v>
      </c>
      <c r="N89" s="21">
        <f t="shared" si="26"/>
        <v>2593.9278635876599</v>
      </c>
      <c r="O89" s="21">
        <f t="shared" si="27"/>
        <v>0</v>
      </c>
      <c r="P89" s="21">
        <f t="shared" si="28"/>
        <v>1294370.0039302423</v>
      </c>
      <c r="Q89" s="21">
        <f t="shared" si="29"/>
        <v>1373136.3719169144</v>
      </c>
      <c r="R89" s="21">
        <f t="shared" si="30"/>
        <v>686.56818595845721</v>
      </c>
      <c r="S89" s="21">
        <f t="shared" si="31"/>
        <v>0</v>
      </c>
      <c r="T89" s="21">
        <f t="shared" si="32"/>
        <v>1372449.8037309558</v>
      </c>
      <c r="U89" s="21">
        <f>X88*$B$3+Calculator!$C$10*$B$4</f>
        <v>1347273.855936093</v>
      </c>
      <c r="V89" s="21">
        <f t="shared" si="33"/>
        <v>1347.273855936093</v>
      </c>
      <c r="W89" s="21">
        <f t="shared" si="34"/>
        <v>0</v>
      </c>
      <c r="X89" s="21">
        <f t="shared" si="35"/>
        <v>1345926.582080157</v>
      </c>
      <c r="Y89" s="21" t="e">
        <f>IF($D89&lt;=Calculator!$C$11,H89,NA())</f>
        <v>#N/A</v>
      </c>
      <c r="Z89" s="21" t="e">
        <f>IF($D89&lt;=Calculator!$C$11,L89,NA())</f>
        <v>#N/A</v>
      </c>
      <c r="AA89" s="21" t="e">
        <f>IF(AND($D89&lt;=Calculator!$C$11,$B$5=1),P89,NA())</f>
        <v>#N/A</v>
      </c>
      <c r="AB89" s="21" t="e">
        <f>IF(AND($D89&lt;=Calculator!$C$11,$B$6=1),T89,NA())</f>
        <v>#N/A</v>
      </c>
    </row>
    <row r="90" spans="4:28" ht="16.5" x14ac:dyDescent="0.25">
      <c r="D90" s="21">
        <v>40</v>
      </c>
      <c r="E90" s="21">
        <f>H89*$B$3+Calculator!$C$10*$B$4</f>
        <v>1497445.7839206988</v>
      </c>
      <c r="F90" s="21">
        <f t="shared" si="18"/>
        <v>0</v>
      </c>
      <c r="G90" s="21">
        <f t="shared" si="19"/>
        <v>0</v>
      </c>
      <c r="H90" s="21">
        <f t="shared" si="20"/>
        <v>1497445.7839206988</v>
      </c>
      <c r="I90" s="21">
        <f t="shared" si="21"/>
        <v>1011867.6155880636</v>
      </c>
      <c r="J90" s="21">
        <f t="shared" si="22"/>
        <v>10118.676155880636</v>
      </c>
      <c r="K90" s="21">
        <f t="shared" si="23"/>
        <v>0</v>
      </c>
      <c r="L90" s="21">
        <f t="shared" si="24"/>
        <v>1001748.9394321829</v>
      </c>
      <c r="M90" s="21">
        <f t="shared" si="25"/>
        <v>1384975.9042053593</v>
      </c>
      <c r="N90" s="21">
        <f t="shared" si="26"/>
        <v>2769.951808410719</v>
      </c>
      <c r="O90" s="21">
        <f t="shared" si="27"/>
        <v>0</v>
      </c>
      <c r="P90" s="21">
        <f t="shared" si="28"/>
        <v>1382205.9523969486</v>
      </c>
      <c r="Q90" s="21">
        <f t="shared" si="29"/>
        <v>1468521.2899921229</v>
      </c>
      <c r="R90" s="21">
        <f t="shared" si="30"/>
        <v>734.2606449960615</v>
      </c>
      <c r="S90" s="21">
        <f t="shared" si="31"/>
        <v>0</v>
      </c>
      <c r="T90" s="21">
        <f t="shared" si="32"/>
        <v>1467787.0293471268</v>
      </c>
      <c r="U90" s="21">
        <f>X89*$B$3+Calculator!$C$10*$B$4</f>
        <v>1440141.4428257681</v>
      </c>
      <c r="V90" s="21">
        <f t="shared" si="33"/>
        <v>1440.1414428257683</v>
      </c>
      <c r="W90" s="21">
        <f t="shared" si="34"/>
        <v>0</v>
      </c>
      <c r="X90" s="21">
        <f t="shared" si="35"/>
        <v>1438701.3013829424</v>
      </c>
      <c r="Y90" s="21" t="e">
        <f>IF($D90&lt;=Calculator!$C$11,H90,NA())</f>
        <v>#N/A</v>
      </c>
      <c r="Z90" s="21" t="e">
        <f>IF($D90&lt;=Calculator!$C$11,L90,NA())</f>
        <v>#N/A</v>
      </c>
      <c r="AA90" s="21" t="e">
        <f>IF(AND($D90&lt;=Calculator!$C$11,$B$5=1),P90,NA())</f>
        <v>#N/A</v>
      </c>
      <c r="AB90" s="21" t="e">
        <f>IF(AND($D90&lt;=Calculator!$C$11,$B$6=1),T90,NA())</f>
        <v>#N/A</v>
      </c>
    </row>
    <row r="91" spans="4:28" ht="16.5" x14ac:dyDescent="0.25">
      <c r="D91" s="21">
        <v>41</v>
      </c>
      <c r="E91" s="21">
        <f>H90*$B$3+Calculator!$C$10*$B$4</f>
        <v>1602266.9887951477</v>
      </c>
      <c r="F91" s="21">
        <f t="shared" si="18"/>
        <v>0</v>
      </c>
      <c r="G91" s="21">
        <f t="shared" si="19"/>
        <v>0</v>
      </c>
      <c r="H91" s="21">
        <f t="shared" si="20"/>
        <v>1602266.9887951477</v>
      </c>
      <c r="I91" s="21">
        <f t="shared" si="21"/>
        <v>1071871.3651924359</v>
      </c>
      <c r="J91" s="21">
        <f t="shared" si="22"/>
        <v>10718.71365192436</v>
      </c>
      <c r="K91" s="21">
        <f t="shared" si="23"/>
        <v>0</v>
      </c>
      <c r="L91" s="21">
        <f t="shared" si="24"/>
        <v>1061152.6515405115</v>
      </c>
      <c r="M91" s="21">
        <f t="shared" si="25"/>
        <v>1478960.369064735</v>
      </c>
      <c r="N91" s="21">
        <f t="shared" si="26"/>
        <v>2957.9207381294705</v>
      </c>
      <c r="O91" s="21">
        <f t="shared" si="27"/>
        <v>0</v>
      </c>
      <c r="P91" s="21">
        <f t="shared" si="28"/>
        <v>1476002.4483266056</v>
      </c>
      <c r="Q91" s="21">
        <f t="shared" si="29"/>
        <v>1570532.1214014259</v>
      </c>
      <c r="R91" s="21">
        <f t="shared" si="30"/>
        <v>785.26606070071296</v>
      </c>
      <c r="S91" s="21">
        <f t="shared" si="31"/>
        <v>0</v>
      </c>
      <c r="T91" s="21">
        <f t="shared" si="32"/>
        <v>1569746.8553407253</v>
      </c>
      <c r="U91" s="21">
        <f>X90*$B$3+Calculator!$C$10*$B$4</f>
        <v>1539410.3924797485</v>
      </c>
      <c r="V91" s="21">
        <f t="shared" si="33"/>
        <v>1539.4103924797485</v>
      </c>
      <c r="W91" s="21">
        <f t="shared" si="34"/>
        <v>0</v>
      </c>
      <c r="X91" s="21">
        <f t="shared" si="35"/>
        <v>1537870.9820872687</v>
      </c>
      <c r="Y91" s="21" t="e">
        <f>IF($D91&lt;=Calculator!$C$11,H91,NA())</f>
        <v>#N/A</v>
      </c>
      <c r="Z91" s="21" t="e">
        <f>IF($D91&lt;=Calculator!$C$11,L91,NA())</f>
        <v>#N/A</v>
      </c>
      <c r="AA91" s="21" t="e">
        <f>IF(AND($D91&lt;=Calculator!$C$11,$B$5=1),P91,NA())</f>
        <v>#N/A</v>
      </c>
      <c r="AB91" s="21" t="e">
        <f>IF(AND($D91&lt;=Calculator!$C$11,$B$6=1),T91,NA())</f>
        <v>#N/A</v>
      </c>
    </row>
    <row r="92" spans="4:28" ht="16.5" x14ac:dyDescent="0.25">
      <c r="D92" s="21">
        <v>42</v>
      </c>
      <c r="E92" s="21">
        <f>H91*$B$3+Calculator!$C$10*$B$4</f>
        <v>1714425.6780108081</v>
      </c>
      <c r="F92" s="21">
        <f t="shared" si="18"/>
        <v>0</v>
      </c>
      <c r="G92" s="21">
        <f t="shared" si="19"/>
        <v>0</v>
      </c>
      <c r="H92" s="21">
        <f t="shared" si="20"/>
        <v>1714425.6780108081</v>
      </c>
      <c r="I92" s="21">
        <f t="shared" si="21"/>
        <v>1135433.3371483474</v>
      </c>
      <c r="J92" s="21">
        <f t="shared" si="22"/>
        <v>11354.333371483473</v>
      </c>
      <c r="K92" s="21">
        <f t="shared" si="23"/>
        <v>0</v>
      </c>
      <c r="L92" s="21">
        <f t="shared" si="24"/>
        <v>1124079.0037768639</v>
      </c>
      <c r="M92" s="21">
        <f t="shared" si="25"/>
        <v>1579322.619709468</v>
      </c>
      <c r="N92" s="21">
        <f t="shared" si="26"/>
        <v>3158.6452394189359</v>
      </c>
      <c r="O92" s="21">
        <f t="shared" si="27"/>
        <v>0</v>
      </c>
      <c r="P92" s="21">
        <f t="shared" si="28"/>
        <v>1576163.9744700491</v>
      </c>
      <c r="Q92" s="21">
        <f t="shared" si="29"/>
        <v>1679629.135214576</v>
      </c>
      <c r="R92" s="21">
        <f t="shared" si="30"/>
        <v>839.81456760728804</v>
      </c>
      <c r="S92" s="21">
        <f t="shared" si="31"/>
        <v>0</v>
      </c>
      <c r="T92" s="21">
        <f t="shared" si="32"/>
        <v>1678789.3206469687</v>
      </c>
      <c r="U92" s="21">
        <f>X91*$B$3+Calculator!$C$10*$B$4</f>
        <v>1645521.9508333777</v>
      </c>
      <c r="V92" s="21">
        <f t="shared" si="33"/>
        <v>1645.5219508333778</v>
      </c>
      <c r="W92" s="21">
        <f t="shared" si="34"/>
        <v>0</v>
      </c>
      <c r="X92" s="21">
        <f t="shared" si="35"/>
        <v>1643876.4288825444</v>
      </c>
      <c r="Y92" s="21" t="e">
        <f>IF($D92&lt;=Calculator!$C$11,H92,NA())</f>
        <v>#N/A</v>
      </c>
      <c r="Z92" s="21" t="e">
        <f>IF($D92&lt;=Calculator!$C$11,L92,NA())</f>
        <v>#N/A</v>
      </c>
      <c r="AA92" s="21" t="e">
        <f>IF(AND($D92&lt;=Calculator!$C$11,$B$5=1),P92,NA())</f>
        <v>#N/A</v>
      </c>
      <c r="AB92" s="21" t="e">
        <f>IF(AND($D92&lt;=Calculator!$C$11,$B$6=1),T92,NA())</f>
        <v>#N/A</v>
      </c>
    </row>
    <row r="93" spans="4:28" ht="16.5" x14ac:dyDescent="0.25">
      <c r="D93" s="21">
        <v>43</v>
      </c>
      <c r="E93" s="21">
        <f>H92*$B$3+Calculator!$C$10*$B$4</f>
        <v>1834435.4754715648</v>
      </c>
      <c r="F93" s="21">
        <f t="shared" si="18"/>
        <v>0</v>
      </c>
      <c r="G93" s="21">
        <f t="shared" si="19"/>
        <v>0</v>
      </c>
      <c r="H93" s="21">
        <f t="shared" si="20"/>
        <v>1834435.4754715648</v>
      </c>
      <c r="I93" s="21">
        <f t="shared" si="21"/>
        <v>1202764.5340412445</v>
      </c>
      <c r="J93" s="21">
        <f t="shared" si="22"/>
        <v>12027.645340412446</v>
      </c>
      <c r="K93" s="21">
        <f t="shared" si="23"/>
        <v>0</v>
      </c>
      <c r="L93" s="21">
        <f t="shared" si="24"/>
        <v>1190736.8887008321</v>
      </c>
      <c r="M93" s="21">
        <f t="shared" si="25"/>
        <v>1686495.4526829526</v>
      </c>
      <c r="N93" s="21">
        <f t="shared" si="26"/>
        <v>3372.9909053659053</v>
      </c>
      <c r="O93" s="21">
        <f t="shared" si="27"/>
        <v>0</v>
      </c>
      <c r="P93" s="21">
        <f t="shared" si="28"/>
        <v>1683122.4617775867</v>
      </c>
      <c r="Q93" s="21">
        <f t="shared" si="29"/>
        <v>1796304.5730922567</v>
      </c>
      <c r="R93" s="21">
        <f t="shared" si="30"/>
        <v>898.15228654612849</v>
      </c>
      <c r="S93" s="21">
        <f t="shared" si="31"/>
        <v>0</v>
      </c>
      <c r="T93" s="21">
        <f t="shared" si="32"/>
        <v>1795406.4208057106</v>
      </c>
      <c r="U93" s="21">
        <f>X92*$B$3+Calculator!$C$10*$B$4</f>
        <v>1758947.7789043225</v>
      </c>
      <c r="V93" s="21">
        <f t="shared" si="33"/>
        <v>1758.9477789043228</v>
      </c>
      <c r="W93" s="21">
        <f t="shared" si="34"/>
        <v>0</v>
      </c>
      <c r="X93" s="21">
        <f t="shared" si="35"/>
        <v>1757188.8311254182</v>
      </c>
      <c r="Y93" s="21" t="e">
        <f>IF($D93&lt;=Calculator!$C$11,H93,NA())</f>
        <v>#N/A</v>
      </c>
      <c r="Z93" s="21" t="e">
        <f>IF($D93&lt;=Calculator!$C$11,L93,NA())</f>
        <v>#N/A</v>
      </c>
      <c r="AA93" s="21" t="e">
        <f>IF(AND($D93&lt;=Calculator!$C$11,$B$5=1),P93,NA())</f>
        <v>#N/A</v>
      </c>
      <c r="AB93" s="21" t="e">
        <f>IF(AND($D93&lt;=Calculator!$C$11,$B$6=1),T93,NA())</f>
        <v>#N/A</v>
      </c>
    </row>
    <row r="94" spans="4:28" ht="16.5" x14ac:dyDescent="0.25">
      <c r="D94" s="21">
        <v>44</v>
      </c>
      <c r="E94" s="21">
        <f>H93*$B$3+Calculator!$C$10*$B$4</f>
        <v>1962845.9587545744</v>
      </c>
      <c r="F94" s="21">
        <f t="shared" si="18"/>
        <v>0</v>
      </c>
      <c r="G94" s="21">
        <f t="shared" si="19"/>
        <v>0</v>
      </c>
      <c r="H94" s="21">
        <f t="shared" si="20"/>
        <v>1962845.9587545744</v>
      </c>
      <c r="I94" s="21">
        <f t="shared" si="21"/>
        <v>1274088.4709098905</v>
      </c>
      <c r="J94" s="21">
        <f t="shared" si="22"/>
        <v>12740.884709098906</v>
      </c>
      <c r="K94" s="21">
        <f t="shared" si="23"/>
        <v>0</v>
      </c>
      <c r="L94" s="21">
        <f t="shared" si="24"/>
        <v>1261347.5862007916</v>
      </c>
      <c r="M94" s="21">
        <f t="shared" si="25"/>
        <v>1800941.034102018</v>
      </c>
      <c r="N94" s="21">
        <f t="shared" si="26"/>
        <v>3601.8820682040364</v>
      </c>
      <c r="O94" s="21">
        <f t="shared" si="27"/>
        <v>0</v>
      </c>
      <c r="P94" s="21">
        <f t="shared" si="28"/>
        <v>1797339.152033814</v>
      </c>
      <c r="Q94" s="21">
        <f t="shared" si="29"/>
        <v>1921084.8702621104</v>
      </c>
      <c r="R94" s="21">
        <f t="shared" si="30"/>
        <v>960.5424351310553</v>
      </c>
      <c r="S94" s="21">
        <f t="shared" si="31"/>
        <v>0</v>
      </c>
      <c r="T94" s="21">
        <f t="shared" si="32"/>
        <v>1920124.3278269793</v>
      </c>
      <c r="U94" s="21">
        <f>X93*$B$3+Calculator!$C$10*$B$4</f>
        <v>1880192.0493041975</v>
      </c>
      <c r="V94" s="21">
        <f t="shared" si="33"/>
        <v>1880.1920493041978</v>
      </c>
      <c r="W94" s="21">
        <f t="shared" si="34"/>
        <v>0</v>
      </c>
      <c r="X94" s="21">
        <f t="shared" si="35"/>
        <v>1878311.8572548933</v>
      </c>
      <c r="Y94" s="21" t="e">
        <f>IF($D94&lt;=Calculator!$C$11,H94,NA())</f>
        <v>#N/A</v>
      </c>
      <c r="Z94" s="21" t="e">
        <f>IF($D94&lt;=Calculator!$C$11,L94,NA())</f>
        <v>#N/A</v>
      </c>
      <c r="AA94" s="21" t="e">
        <f>IF(AND($D94&lt;=Calculator!$C$11,$B$5=1),P94,NA())</f>
        <v>#N/A</v>
      </c>
      <c r="AB94" s="21" t="e">
        <f>IF(AND($D94&lt;=Calculator!$C$11,$B$6=1),T94,NA())</f>
        <v>#N/A</v>
      </c>
    </row>
    <row r="95" spans="4:28" ht="16.5" x14ac:dyDescent="0.25">
      <c r="D95" s="21">
        <v>45</v>
      </c>
      <c r="E95" s="21">
        <f>H94*$B$3+Calculator!$C$10*$B$4</f>
        <v>2100245.1758673945</v>
      </c>
      <c r="F95" s="21">
        <f t="shared" si="18"/>
        <v>0</v>
      </c>
      <c r="G95" s="21">
        <f t="shared" si="19"/>
        <v>0</v>
      </c>
      <c r="H95" s="21">
        <f t="shared" si="20"/>
        <v>2100245.1758673945</v>
      </c>
      <c r="I95" s="21">
        <f t="shared" si="21"/>
        <v>1349641.9172348471</v>
      </c>
      <c r="J95" s="21">
        <f t="shared" si="22"/>
        <v>13496.419172348471</v>
      </c>
      <c r="K95" s="21">
        <f t="shared" si="23"/>
        <v>0</v>
      </c>
      <c r="L95" s="21">
        <f t="shared" si="24"/>
        <v>1336145.4980624986</v>
      </c>
      <c r="M95" s="21">
        <f t="shared" si="25"/>
        <v>1923152.8926761812</v>
      </c>
      <c r="N95" s="21">
        <f t="shared" si="26"/>
        <v>3846.3057853523624</v>
      </c>
      <c r="O95" s="21">
        <f t="shared" si="27"/>
        <v>0</v>
      </c>
      <c r="P95" s="21">
        <f t="shared" si="28"/>
        <v>1919306.5868908288</v>
      </c>
      <c r="Q95" s="21">
        <f t="shared" si="29"/>
        <v>2054533.0307748681</v>
      </c>
      <c r="R95" s="21">
        <f t="shared" si="30"/>
        <v>1027.2665153874341</v>
      </c>
      <c r="S95" s="21">
        <f t="shared" si="31"/>
        <v>0</v>
      </c>
      <c r="T95" s="21">
        <f t="shared" si="32"/>
        <v>2053505.7642594806</v>
      </c>
      <c r="U95" s="21">
        <f>X94*$B$3+Calculator!$C$10*$B$4</f>
        <v>2009793.687262736</v>
      </c>
      <c r="V95" s="21">
        <f t="shared" si="33"/>
        <v>2009.7936872627363</v>
      </c>
      <c r="W95" s="21">
        <f t="shared" si="34"/>
        <v>0</v>
      </c>
      <c r="X95" s="21">
        <f t="shared" si="35"/>
        <v>2007783.8935754732</v>
      </c>
      <c r="Y95" s="21" t="e">
        <f>IF($D95&lt;=Calculator!$C$11,H95,NA())</f>
        <v>#N/A</v>
      </c>
      <c r="Z95" s="21" t="e">
        <f>IF($D95&lt;=Calculator!$C$11,L95,NA())</f>
        <v>#N/A</v>
      </c>
      <c r="AA95" s="21" t="e">
        <f>IF(AND($D95&lt;=Calculator!$C$11,$B$5=1),P95,NA())</f>
        <v>#N/A</v>
      </c>
      <c r="AB95" s="21" t="e">
        <f>IF(AND($D95&lt;=Calculator!$C$11,$B$6=1),T95,NA())</f>
        <v>#N/A</v>
      </c>
    </row>
    <row r="96" spans="4:28" ht="16.5" x14ac:dyDescent="0.25">
      <c r="D96" s="21">
        <v>46</v>
      </c>
      <c r="E96" s="21">
        <f>H95*$B$3+Calculator!$C$10*$B$4</f>
        <v>2247262.3381781122</v>
      </c>
      <c r="F96" s="21">
        <f t="shared" si="18"/>
        <v>0</v>
      </c>
      <c r="G96" s="21">
        <f t="shared" si="19"/>
        <v>0</v>
      </c>
      <c r="H96" s="21">
        <f t="shared" si="20"/>
        <v>2247262.3381781122</v>
      </c>
      <c r="I96" s="21">
        <f t="shared" si="21"/>
        <v>1429675.6829268737</v>
      </c>
      <c r="J96" s="21">
        <f t="shared" si="22"/>
        <v>14296.756829268737</v>
      </c>
      <c r="K96" s="21">
        <f t="shared" si="23"/>
        <v>0</v>
      </c>
      <c r="L96" s="21">
        <f t="shared" si="24"/>
        <v>1415378.9260976049</v>
      </c>
      <c r="M96" s="21">
        <f t="shared" si="25"/>
        <v>2053658.0479731869</v>
      </c>
      <c r="N96" s="21">
        <f t="shared" si="26"/>
        <v>4107.3160959463739</v>
      </c>
      <c r="O96" s="21">
        <f t="shared" si="27"/>
        <v>0</v>
      </c>
      <c r="P96" s="21">
        <f t="shared" si="28"/>
        <v>2049550.7318772406</v>
      </c>
      <c r="Q96" s="21">
        <f t="shared" si="29"/>
        <v>2197251.1677576443</v>
      </c>
      <c r="R96" s="21">
        <f t="shared" si="30"/>
        <v>1098.6255838788222</v>
      </c>
      <c r="S96" s="21">
        <f t="shared" si="31"/>
        <v>0</v>
      </c>
      <c r="T96" s="21">
        <f t="shared" si="32"/>
        <v>2196152.5421737656</v>
      </c>
      <c r="U96" s="21">
        <f>X95*$B$3+Calculator!$C$10*$B$4</f>
        <v>2148328.7661257563</v>
      </c>
      <c r="V96" s="21">
        <f t="shared" si="33"/>
        <v>2148.3287661257564</v>
      </c>
      <c r="W96" s="21">
        <f t="shared" si="34"/>
        <v>0</v>
      </c>
      <c r="X96" s="21">
        <f t="shared" si="35"/>
        <v>2146180.4373596306</v>
      </c>
      <c r="Y96" s="21" t="e">
        <f>IF($D96&lt;=Calculator!$C$11,H96,NA())</f>
        <v>#N/A</v>
      </c>
      <c r="Z96" s="21" t="e">
        <f>IF($D96&lt;=Calculator!$C$11,L96,NA())</f>
        <v>#N/A</v>
      </c>
      <c r="AA96" s="21" t="e">
        <f>IF(AND($D96&lt;=Calculator!$C$11,$B$5=1),P96,NA())</f>
        <v>#N/A</v>
      </c>
      <c r="AB96" s="21" t="e">
        <f>IF(AND($D96&lt;=Calculator!$C$11,$B$6=1),T96,NA())</f>
        <v>#N/A</v>
      </c>
    </row>
    <row r="97" spans="4:28" ht="16.5" x14ac:dyDescent="0.25">
      <c r="D97" s="21">
        <v>47</v>
      </c>
      <c r="E97" s="21">
        <f>H96*$B$3+Calculator!$C$10*$B$4</f>
        <v>2404570.7018505801</v>
      </c>
      <c r="F97" s="21">
        <f t="shared" si="18"/>
        <v>0</v>
      </c>
      <c r="G97" s="21">
        <f t="shared" si="19"/>
        <v>0</v>
      </c>
      <c r="H97" s="21">
        <f t="shared" si="20"/>
        <v>2404570.7018505801</v>
      </c>
      <c r="I97" s="21">
        <f t="shared" si="21"/>
        <v>1514455.4509244373</v>
      </c>
      <c r="J97" s="21">
        <f t="shared" si="22"/>
        <v>15144.554509244372</v>
      </c>
      <c r="K97" s="21">
        <f t="shared" si="23"/>
        <v>0</v>
      </c>
      <c r="L97" s="21">
        <f t="shared" si="24"/>
        <v>1499310.8964151929</v>
      </c>
      <c r="M97" s="21">
        <f t="shared" si="25"/>
        <v>2193019.2831086474</v>
      </c>
      <c r="N97" s="21">
        <f t="shared" si="26"/>
        <v>4386.0385662172948</v>
      </c>
      <c r="O97" s="21">
        <f t="shared" si="27"/>
        <v>0</v>
      </c>
      <c r="P97" s="21">
        <f t="shared" si="28"/>
        <v>2188633.2445424302</v>
      </c>
      <c r="Q97" s="21">
        <f t="shared" si="29"/>
        <v>2349883.2201259295</v>
      </c>
      <c r="R97" s="21">
        <f t="shared" si="30"/>
        <v>1174.9416100629649</v>
      </c>
      <c r="S97" s="21">
        <f t="shared" si="31"/>
        <v>0</v>
      </c>
      <c r="T97" s="21">
        <f t="shared" si="32"/>
        <v>2348708.2785158665</v>
      </c>
      <c r="U97" s="21">
        <f>X96*$B$3+Calculator!$C$10*$B$4</f>
        <v>2296413.0679748049</v>
      </c>
      <c r="V97" s="21">
        <f t="shared" si="33"/>
        <v>2296.413067974805</v>
      </c>
      <c r="W97" s="21">
        <f t="shared" si="34"/>
        <v>0</v>
      </c>
      <c r="X97" s="21">
        <f t="shared" si="35"/>
        <v>2294116.6549068303</v>
      </c>
      <c r="Y97" s="21" t="e">
        <f>IF($D97&lt;=Calculator!$C$11,H97,NA())</f>
        <v>#N/A</v>
      </c>
      <c r="Z97" s="21" t="e">
        <f>IF($D97&lt;=Calculator!$C$11,L97,NA())</f>
        <v>#N/A</v>
      </c>
      <c r="AA97" s="21" t="e">
        <f>IF(AND($D97&lt;=Calculator!$C$11,$B$5=1),P97,NA())</f>
        <v>#N/A</v>
      </c>
      <c r="AB97" s="21" t="e">
        <f>IF(AND($D97&lt;=Calculator!$C$11,$B$6=1),T97,NA())</f>
        <v>#N/A</v>
      </c>
    </row>
    <row r="98" spans="4:28" ht="16.5" x14ac:dyDescent="0.25">
      <c r="D98" s="21">
        <v>48</v>
      </c>
      <c r="E98" s="21">
        <f>H97*$B$3+Calculator!$C$10*$B$4</f>
        <v>2572890.650980121</v>
      </c>
      <c r="F98" s="21">
        <f t="shared" si="18"/>
        <v>0</v>
      </c>
      <c r="G98" s="21">
        <f t="shared" si="19"/>
        <v>0</v>
      </c>
      <c r="H98" s="21">
        <f t="shared" si="20"/>
        <v>2572890.650980121</v>
      </c>
      <c r="I98" s="21">
        <f t="shared" si="21"/>
        <v>1604262.6591642564</v>
      </c>
      <c r="J98" s="21">
        <f t="shared" si="22"/>
        <v>16042.626591642564</v>
      </c>
      <c r="K98" s="21">
        <f t="shared" si="23"/>
        <v>0</v>
      </c>
      <c r="L98" s="21">
        <f t="shared" si="24"/>
        <v>1588220.0325726138</v>
      </c>
      <c r="M98" s="21">
        <f t="shared" si="25"/>
        <v>2341837.5716604004</v>
      </c>
      <c r="N98" s="21">
        <f t="shared" si="26"/>
        <v>4683.675143320801</v>
      </c>
      <c r="O98" s="21">
        <f t="shared" si="27"/>
        <v>0</v>
      </c>
      <c r="P98" s="21">
        <f t="shared" si="28"/>
        <v>2337153.8965170798</v>
      </c>
      <c r="Q98" s="21">
        <f t="shared" si="29"/>
        <v>2513117.8580119773</v>
      </c>
      <c r="R98" s="21">
        <f t="shared" si="30"/>
        <v>1256.5589290059888</v>
      </c>
      <c r="S98" s="21">
        <f t="shared" si="31"/>
        <v>0</v>
      </c>
      <c r="T98" s="21">
        <f t="shared" si="32"/>
        <v>2511861.2990829712</v>
      </c>
      <c r="U98" s="21">
        <f>X97*$B$3+Calculator!$C$10*$B$4</f>
        <v>2454704.8207503087</v>
      </c>
      <c r="V98" s="21">
        <f t="shared" si="33"/>
        <v>2454.704820750309</v>
      </c>
      <c r="W98" s="21">
        <f t="shared" si="34"/>
        <v>0</v>
      </c>
      <c r="X98" s="21">
        <f t="shared" si="35"/>
        <v>2452250.1159295584</v>
      </c>
      <c r="Y98" s="21" t="e">
        <f>IF($D98&lt;=Calculator!$C$11,H98,NA())</f>
        <v>#N/A</v>
      </c>
      <c r="Z98" s="21" t="e">
        <f>IF($D98&lt;=Calculator!$C$11,L98,NA())</f>
        <v>#N/A</v>
      </c>
      <c r="AA98" s="21" t="e">
        <f>IF(AND($D98&lt;=Calculator!$C$11,$B$5=1),P98,NA())</f>
        <v>#N/A</v>
      </c>
      <c r="AB98" s="21" t="e">
        <f>IF(AND($D98&lt;=Calculator!$C$11,$B$6=1),T98,NA())</f>
        <v>#N/A</v>
      </c>
    </row>
    <row r="99" spans="4:28" ht="16.5" x14ac:dyDescent="0.25">
      <c r="D99" s="21">
        <v>49</v>
      </c>
      <c r="E99" s="21">
        <f>H98*$B$3+Calculator!$C$10*$B$4</f>
        <v>2752992.9965487295</v>
      </c>
      <c r="F99" s="21">
        <f t="shared" si="18"/>
        <v>0</v>
      </c>
      <c r="G99" s="21">
        <f t="shared" si="19"/>
        <v>0</v>
      </c>
      <c r="H99" s="21">
        <f t="shared" si="20"/>
        <v>2752992.9965487295</v>
      </c>
      <c r="I99" s="21">
        <f t="shared" si="21"/>
        <v>1699395.434852697</v>
      </c>
      <c r="J99" s="21">
        <f t="shared" si="22"/>
        <v>16993.954348526968</v>
      </c>
      <c r="K99" s="21">
        <f t="shared" si="23"/>
        <v>0</v>
      </c>
      <c r="L99" s="21">
        <f t="shared" si="24"/>
        <v>1682401.4805041701</v>
      </c>
      <c r="M99" s="21">
        <f t="shared" si="25"/>
        <v>2500754.6692732754</v>
      </c>
      <c r="N99" s="21">
        <f t="shared" si="26"/>
        <v>5001.5093385465516</v>
      </c>
      <c r="O99" s="21">
        <f t="shared" si="27"/>
        <v>0</v>
      </c>
      <c r="P99" s="21">
        <f t="shared" si="28"/>
        <v>2495753.1599347289</v>
      </c>
      <c r="Q99" s="21">
        <f t="shared" si="29"/>
        <v>2687691.5900187795</v>
      </c>
      <c r="R99" s="21">
        <f t="shared" si="30"/>
        <v>1343.8457950093898</v>
      </c>
      <c r="S99" s="21">
        <f t="shared" si="31"/>
        <v>0</v>
      </c>
      <c r="T99" s="21">
        <f t="shared" si="32"/>
        <v>2686347.7442237702</v>
      </c>
      <c r="U99" s="21">
        <f>X98*$B$3+Calculator!$C$10*$B$4</f>
        <v>2623907.6240446274</v>
      </c>
      <c r="V99" s="21">
        <f t="shared" si="33"/>
        <v>2623.9076240446275</v>
      </c>
      <c r="W99" s="21">
        <f t="shared" si="34"/>
        <v>0</v>
      </c>
      <c r="X99" s="21">
        <f t="shared" si="35"/>
        <v>2621283.716420583</v>
      </c>
      <c r="Y99" s="21" t="e">
        <f>IF($D99&lt;=Calculator!$C$11,H99,NA())</f>
        <v>#N/A</v>
      </c>
      <c r="Z99" s="21" t="e">
        <f>IF($D99&lt;=Calculator!$C$11,L99,NA())</f>
        <v>#N/A</v>
      </c>
      <c r="AA99" s="21" t="e">
        <f>IF(AND($D99&lt;=Calculator!$C$11,$B$5=1),P99,NA())</f>
        <v>#N/A</v>
      </c>
      <c r="AB99" s="21" t="e">
        <f>IF(AND($D99&lt;=Calculator!$C$11,$B$6=1),T99,NA())</f>
        <v>#N/A</v>
      </c>
    </row>
    <row r="100" spans="4:28" ht="16.5" x14ac:dyDescent="0.25">
      <c r="D100" s="21">
        <v>50</v>
      </c>
      <c r="E100" s="21">
        <f>H99*$B$3+Calculator!$C$10*$B$4</f>
        <v>2945702.5063071409</v>
      </c>
      <c r="F100" s="21">
        <f t="shared" si="18"/>
        <v>0</v>
      </c>
      <c r="G100" s="21">
        <f t="shared" si="19"/>
        <v>0</v>
      </c>
      <c r="H100" s="21">
        <f t="shared" si="20"/>
        <v>2945702.5063071409</v>
      </c>
      <c r="I100" s="21">
        <f t="shared" si="21"/>
        <v>1800169.5841394621</v>
      </c>
      <c r="J100" s="21">
        <f t="shared" si="22"/>
        <v>18001.695841394619</v>
      </c>
      <c r="K100" s="21">
        <f t="shared" si="23"/>
        <v>0</v>
      </c>
      <c r="L100" s="21">
        <f t="shared" si="24"/>
        <v>1782167.8882980675</v>
      </c>
      <c r="M100" s="21">
        <f t="shared" si="25"/>
        <v>2670455.8811301598</v>
      </c>
      <c r="N100" s="21">
        <f t="shared" si="26"/>
        <v>5340.9117622603198</v>
      </c>
      <c r="O100" s="21">
        <f t="shared" si="27"/>
        <v>0</v>
      </c>
      <c r="P100" s="21">
        <f t="shared" si="28"/>
        <v>2665114.9693678995</v>
      </c>
      <c r="Q100" s="21">
        <f t="shared" si="29"/>
        <v>2874392.0863194345</v>
      </c>
      <c r="R100" s="21">
        <f t="shared" si="30"/>
        <v>1437.1960431597172</v>
      </c>
      <c r="S100" s="21">
        <f t="shared" si="31"/>
        <v>0</v>
      </c>
      <c r="T100" s="21">
        <f t="shared" si="32"/>
        <v>2872954.8902762746</v>
      </c>
      <c r="U100" s="21">
        <f>X99*$B$3+Calculator!$C$10*$B$4</f>
        <v>2804773.5765700238</v>
      </c>
      <c r="V100" s="21">
        <f t="shared" si="33"/>
        <v>2804.773576570024</v>
      </c>
      <c r="W100" s="21">
        <f t="shared" si="34"/>
        <v>0</v>
      </c>
      <c r="X100" s="21">
        <f t="shared" si="35"/>
        <v>2801968.8029934536</v>
      </c>
      <c r="Y100" s="21" t="e">
        <f>IF($D100&lt;=Calculator!$C$11,H100,NA())</f>
        <v>#N/A</v>
      </c>
      <c r="Z100" s="21" t="e">
        <f>IF($D100&lt;=Calculator!$C$11,L100,NA())</f>
        <v>#N/A</v>
      </c>
      <c r="AA100" s="21" t="e">
        <f>IF(AND($D100&lt;=Calculator!$C$11,$B$5=1),P100,NA())</f>
        <v>#N/A</v>
      </c>
      <c r="AB100" s="21" t="e">
        <f>IF(AND($D100&lt;=Calculator!$C$11,$B$6=1),T100,NA())</f>
        <v>#N/A</v>
      </c>
    </row>
    <row r="101" spans="4:28" ht="16.5" x14ac:dyDescent="0.25">
      <c r="D101" s="21">
        <v>51</v>
      </c>
      <c r="E101" s="21">
        <f>H100*$B$3+Calculator!$C$10*$B$4</f>
        <v>3151901.6817486412</v>
      </c>
      <c r="F101" s="21">
        <f t="shared" si="18"/>
        <v>0</v>
      </c>
      <c r="G101" s="21">
        <f t="shared" si="19"/>
        <v>0</v>
      </c>
      <c r="H101" s="21">
        <f t="shared" si="20"/>
        <v>3151901.6817486412</v>
      </c>
      <c r="I101" s="21">
        <f t="shared" si="21"/>
        <v>1906919.6404789323</v>
      </c>
      <c r="J101" s="21">
        <f t="shared" si="22"/>
        <v>19069.196404789323</v>
      </c>
      <c r="K101" s="21">
        <f t="shared" si="23"/>
        <v>0</v>
      </c>
      <c r="L101" s="21">
        <f t="shared" si="24"/>
        <v>1887850.444074143</v>
      </c>
      <c r="M101" s="21">
        <f t="shared" si="25"/>
        <v>2851673.0172236525</v>
      </c>
      <c r="N101" s="21">
        <f t="shared" si="26"/>
        <v>5703.3460344473051</v>
      </c>
      <c r="O101" s="21">
        <f t="shared" si="27"/>
        <v>0</v>
      </c>
      <c r="P101" s="21">
        <f t="shared" si="28"/>
        <v>2845969.6711892053</v>
      </c>
      <c r="Q101" s="21">
        <f t="shared" si="29"/>
        <v>3074061.7325956142</v>
      </c>
      <c r="R101" s="21">
        <f t="shared" si="30"/>
        <v>1537.0308662978071</v>
      </c>
      <c r="S101" s="21">
        <f t="shared" si="31"/>
        <v>0</v>
      </c>
      <c r="T101" s="21">
        <f t="shared" si="32"/>
        <v>3072524.7017293163</v>
      </c>
      <c r="U101" s="21">
        <f>X100*$B$3+Calculator!$C$10*$B$4</f>
        <v>2998106.6192029957</v>
      </c>
      <c r="V101" s="21">
        <f t="shared" si="33"/>
        <v>2998.1066192029957</v>
      </c>
      <c r="W101" s="21">
        <f t="shared" si="34"/>
        <v>0</v>
      </c>
      <c r="X101" s="21">
        <f t="shared" si="35"/>
        <v>2995108.5125837927</v>
      </c>
      <c r="Y101" s="21" t="e">
        <f>IF($D101&lt;=Calculator!$C$11,H101,NA())</f>
        <v>#N/A</v>
      </c>
      <c r="Z101" s="21" t="e">
        <f>IF($D101&lt;=Calculator!$C$11,L101,NA())</f>
        <v>#N/A</v>
      </c>
      <c r="AA101" s="21" t="e">
        <f>IF(AND($D101&lt;=Calculator!$C$11,$B$5=1),P101,NA())</f>
        <v>#N/A</v>
      </c>
      <c r="AB101" s="21" t="e">
        <f>IF(AND($D101&lt;=Calculator!$C$11,$B$6=1),T101,NA())</f>
        <v>#N/A</v>
      </c>
    </row>
    <row r="102" spans="4:28" ht="16.5" x14ac:dyDescent="0.25">
      <c r="D102" s="21">
        <v>52</v>
      </c>
      <c r="E102" s="21">
        <f>H101*$B$3+Calculator!$C$10*$B$4</f>
        <v>3372534.7994710463</v>
      </c>
      <c r="F102" s="21">
        <f t="shared" si="18"/>
        <v>0</v>
      </c>
      <c r="G102" s="21">
        <f t="shared" si="19"/>
        <v>0</v>
      </c>
      <c r="H102" s="21">
        <f t="shared" si="20"/>
        <v>3372534.7994710463</v>
      </c>
      <c r="I102" s="21">
        <f t="shared" si="21"/>
        <v>2019999.9751593331</v>
      </c>
      <c r="J102" s="21">
        <f t="shared" si="22"/>
        <v>20199.999751593332</v>
      </c>
      <c r="K102" s="21">
        <f t="shared" si="23"/>
        <v>0</v>
      </c>
      <c r="L102" s="21">
        <f t="shared" si="24"/>
        <v>1999799.9754077399</v>
      </c>
      <c r="M102" s="21">
        <f t="shared" si="25"/>
        <v>3045187.5481724497</v>
      </c>
      <c r="N102" s="21">
        <f t="shared" si="26"/>
        <v>6090.3750963449002</v>
      </c>
      <c r="O102" s="21">
        <f t="shared" si="27"/>
        <v>0</v>
      </c>
      <c r="P102" s="21">
        <f t="shared" si="28"/>
        <v>3039097.1730761048</v>
      </c>
      <c r="Q102" s="21">
        <f t="shared" si="29"/>
        <v>3287601.4308503685</v>
      </c>
      <c r="R102" s="21">
        <f t="shared" si="30"/>
        <v>1643.8007154251845</v>
      </c>
      <c r="S102" s="21">
        <f t="shared" si="31"/>
        <v>0</v>
      </c>
      <c r="T102" s="21">
        <f t="shared" si="32"/>
        <v>3285957.6301349434</v>
      </c>
      <c r="U102" s="21">
        <f>X101*$B$3+Calculator!$C$10*$B$4</f>
        <v>3204766.1084646583</v>
      </c>
      <c r="V102" s="21">
        <f t="shared" si="33"/>
        <v>3204.7661084646588</v>
      </c>
      <c r="W102" s="21">
        <f t="shared" si="34"/>
        <v>0</v>
      </c>
      <c r="X102" s="21">
        <f t="shared" si="35"/>
        <v>3201561.3423561938</v>
      </c>
      <c r="Y102" s="21" t="e">
        <f>IF($D102&lt;=Calculator!$C$11,H102,NA())</f>
        <v>#N/A</v>
      </c>
      <c r="Z102" s="21" t="e">
        <f>IF($D102&lt;=Calculator!$C$11,L102,NA())</f>
        <v>#N/A</v>
      </c>
      <c r="AA102" s="21" t="e">
        <f>IF(AND($D102&lt;=Calculator!$C$11,$B$5=1),P102,NA())</f>
        <v>#N/A</v>
      </c>
      <c r="AB102" s="21" t="e">
        <f>IF(AND($D102&lt;=Calculator!$C$11,$B$6=1),T102,NA())</f>
        <v>#N/A</v>
      </c>
    </row>
    <row r="103" spans="4:28" ht="16.5" x14ac:dyDescent="0.25">
      <c r="D103" s="21">
        <v>53</v>
      </c>
      <c r="E103" s="21">
        <f>H102*$B$3+Calculator!$C$10*$B$4</f>
        <v>3608612.2354340199</v>
      </c>
      <c r="F103" s="21">
        <f t="shared" si="18"/>
        <v>0</v>
      </c>
      <c r="G103" s="21">
        <f t="shared" si="19"/>
        <v>0</v>
      </c>
      <c r="H103" s="21">
        <f t="shared" si="20"/>
        <v>3608612.2354340199</v>
      </c>
      <c r="I103" s="21">
        <f t="shared" si="21"/>
        <v>2139785.9736862816</v>
      </c>
      <c r="J103" s="21">
        <f t="shared" si="22"/>
        <v>21397.859736862814</v>
      </c>
      <c r="K103" s="21">
        <f t="shared" si="23"/>
        <v>0</v>
      </c>
      <c r="L103" s="21">
        <f t="shared" si="24"/>
        <v>2118388.113949419</v>
      </c>
      <c r="M103" s="21">
        <f t="shared" si="25"/>
        <v>3251833.9751914325</v>
      </c>
      <c r="N103" s="21">
        <f t="shared" si="26"/>
        <v>6503.6679503828664</v>
      </c>
      <c r="O103" s="21">
        <f t="shared" si="27"/>
        <v>0</v>
      </c>
      <c r="P103" s="21">
        <f t="shared" si="28"/>
        <v>3245330.3072410496</v>
      </c>
      <c r="Q103" s="21">
        <f t="shared" si="29"/>
        <v>3515974.6642443896</v>
      </c>
      <c r="R103" s="21">
        <f t="shared" si="30"/>
        <v>1757.9873321221949</v>
      </c>
      <c r="S103" s="21">
        <f t="shared" si="31"/>
        <v>0</v>
      </c>
      <c r="T103" s="21">
        <f t="shared" si="32"/>
        <v>3514216.6769122672</v>
      </c>
      <c r="U103" s="21">
        <f>X102*$B$3+Calculator!$C$10*$B$4</f>
        <v>3425670.6363211274</v>
      </c>
      <c r="V103" s="21">
        <f t="shared" si="33"/>
        <v>3425.6706363211274</v>
      </c>
      <c r="W103" s="21">
        <f t="shared" si="34"/>
        <v>0</v>
      </c>
      <c r="X103" s="21">
        <f t="shared" si="35"/>
        <v>3422244.9656848065</v>
      </c>
      <c r="Y103" s="21" t="e">
        <f>IF($D103&lt;=Calculator!$C$11,H103,NA())</f>
        <v>#N/A</v>
      </c>
      <c r="Z103" s="21" t="e">
        <f>IF($D103&lt;=Calculator!$C$11,L103,NA())</f>
        <v>#N/A</v>
      </c>
      <c r="AA103" s="21" t="e">
        <f>IF(AND($D103&lt;=Calculator!$C$11,$B$5=1),P103,NA())</f>
        <v>#N/A</v>
      </c>
      <c r="AB103" s="21" t="e">
        <f>IF(AND($D103&lt;=Calculator!$C$11,$B$6=1),T103,NA())</f>
        <v>#N/A</v>
      </c>
    </row>
    <row r="104" spans="4:28" ht="16.5" x14ac:dyDescent="0.25">
      <c r="D104" s="21">
        <v>54</v>
      </c>
      <c r="E104" s="21">
        <f>H103*$B$3+Calculator!$C$10*$B$4</f>
        <v>3861215.0919144014</v>
      </c>
      <c r="F104" s="21">
        <f t="shared" si="18"/>
        <v>0</v>
      </c>
      <c r="G104" s="21">
        <f t="shared" si="19"/>
        <v>0</v>
      </c>
      <c r="H104" s="21">
        <f t="shared" si="20"/>
        <v>3861215.0919144014</v>
      </c>
      <c r="I104" s="21">
        <f t="shared" si="21"/>
        <v>2266675.2819258785</v>
      </c>
      <c r="J104" s="21">
        <f t="shared" si="22"/>
        <v>22666.752819258785</v>
      </c>
      <c r="K104" s="21">
        <f t="shared" si="23"/>
        <v>0</v>
      </c>
      <c r="L104" s="21">
        <f t="shared" si="24"/>
        <v>2244008.5291066198</v>
      </c>
      <c r="M104" s="21">
        <f t="shared" si="25"/>
        <v>3472503.4287479231</v>
      </c>
      <c r="N104" s="21">
        <f t="shared" si="26"/>
        <v>6945.0068574958468</v>
      </c>
      <c r="O104" s="21">
        <f t="shared" si="27"/>
        <v>0</v>
      </c>
      <c r="P104" s="21">
        <f t="shared" si="28"/>
        <v>3465558.4218904274</v>
      </c>
      <c r="Q104" s="21">
        <f t="shared" si="29"/>
        <v>3760211.8442961262</v>
      </c>
      <c r="R104" s="21">
        <f t="shared" si="30"/>
        <v>1880.1059221480632</v>
      </c>
      <c r="S104" s="21">
        <f t="shared" si="31"/>
        <v>0</v>
      </c>
      <c r="T104" s="21">
        <f t="shared" si="32"/>
        <v>3758331.7383739781</v>
      </c>
      <c r="U104" s="21">
        <f>X103*$B$3+Calculator!$C$10*$B$4</f>
        <v>3661802.1132827429</v>
      </c>
      <c r="V104" s="21">
        <f t="shared" si="33"/>
        <v>3661.8021132827434</v>
      </c>
      <c r="W104" s="21">
        <f t="shared" si="34"/>
        <v>0</v>
      </c>
      <c r="X104" s="21">
        <f t="shared" si="35"/>
        <v>3658140.31116946</v>
      </c>
      <c r="Y104" s="21" t="e">
        <f>IF($D104&lt;=Calculator!$C$11,H104,NA())</f>
        <v>#N/A</v>
      </c>
      <c r="Z104" s="21" t="e">
        <f>IF($D104&lt;=Calculator!$C$11,L104,NA())</f>
        <v>#N/A</v>
      </c>
      <c r="AA104" s="21" t="e">
        <f>IF(AND($D104&lt;=Calculator!$C$11,$B$5=1),P104,NA())</f>
        <v>#N/A</v>
      </c>
      <c r="AB104" s="21" t="e">
        <f>IF(AND($D104&lt;=Calculator!$C$11,$B$6=1),T104,NA())</f>
        <v>#N/A</v>
      </c>
    </row>
    <row r="105" spans="4:28" ht="16.5" x14ac:dyDescent="0.25">
      <c r="D105" s="21">
        <v>55</v>
      </c>
      <c r="E105" s="21">
        <f>H104*$B$3+Calculator!$C$10*$B$4</f>
        <v>4131500.1483484097</v>
      </c>
      <c r="F105" s="21">
        <f t="shared" si="18"/>
        <v>0</v>
      </c>
      <c r="G105" s="21">
        <f t="shared" si="19"/>
        <v>0</v>
      </c>
      <c r="H105" s="21">
        <f t="shared" si="20"/>
        <v>4131500.1483484097</v>
      </c>
      <c r="I105" s="21">
        <f t="shared" si="21"/>
        <v>2401089.1261440832</v>
      </c>
      <c r="J105" s="21">
        <f t="shared" si="22"/>
        <v>24010.891261440833</v>
      </c>
      <c r="K105" s="21">
        <f t="shared" si="23"/>
        <v>0</v>
      </c>
      <c r="L105" s="21">
        <f t="shared" si="24"/>
        <v>2377078.2348826425</v>
      </c>
      <c r="M105" s="21">
        <f t="shared" si="25"/>
        <v>3708147.5114227575</v>
      </c>
      <c r="N105" s="21">
        <f t="shared" si="26"/>
        <v>7416.2950228455147</v>
      </c>
      <c r="O105" s="21">
        <f t="shared" si="27"/>
        <v>0</v>
      </c>
      <c r="P105" s="21">
        <f t="shared" si="28"/>
        <v>3700731.2163999118</v>
      </c>
      <c r="Q105" s="21">
        <f t="shared" si="29"/>
        <v>4021414.9600601569</v>
      </c>
      <c r="R105" s="21">
        <f t="shared" si="30"/>
        <v>2010.7074800300784</v>
      </c>
      <c r="S105" s="21">
        <f t="shared" si="31"/>
        <v>0</v>
      </c>
      <c r="T105" s="21">
        <f t="shared" si="32"/>
        <v>4019404.2525801267</v>
      </c>
      <c r="U105" s="21">
        <f>X104*$B$3+Calculator!$C$10*$B$4</f>
        <v>3914210.1329513225</v>
      </c>
      <c r="V105" s="21">
        <f t="shared" si="33"/>
        <v>3914.2101329513225</v>
      </c>
      <c r="W105" s="21">
        <f t="shared" si="34"/>
        <v>0</v>
      </c>
      <c r="X105" s="21">
        <f t="shared" si="35"/>
        <v>3910295.9228183711</v>
      </c>
      <c r="Y105" s="21" t="e">
        <f>IF($D105&lt;=Calculator!$C$11,H105,NA())</f>
        <v>#N/A</v>
      </c>
      <c r="Z105" s="21" t="e">
        <f>IF($D105&lt;=Calculator!$C$11,L105,NA())</f>
        <v>#N/A</v>
      </c>
      <c r="AA105" s="21" t="e">
        <f>IF(AND($D105&lt;=Calculator!$C$11,$B$5=1),P105,NA())</f>
        <v>#N/A</v>
      </c>
      <c r="AB105" s="21" t="e">
        <f>IF(AND($D105&lt;=Calculator!$C$11,$B$6=1),T105,NA())</f>
        <v>#N/A</v>
      </c>
    </row>
    <row r="106" spans="4:28" ht="16.5" x14ac:dyDescent="0.25">
      <c r="D106" s="21">
        <v>56</v>
      </c>
      <c r="E106" s="21">
        <f>H105*$B$3+Calculator!$C$10*$B$4</f>
        <v>4420705.1587327989</v>
      </c>
      <c r="F106" s="21">
        <f t="shared" si="18"/>
        <v>0</v>
      </c>
      <c r="G106" s="21">
        <f t="shared" si="19"/>
        <v>0</v>
      </c>
      <c r="H106" s="21">
        <f t="shared" si="20"/>
        <v>4420705.1587327989</v>
      </c>
      <c r="I106" s="21">
        <f t="shared" si="21"/>
        <v>2543473.7113244277</v>
      </c>
      <c r="J106" s="21">
        <f t="shared" si="22"/>
        <v>25434.737113244279</v>
      </c>
      <c r="K106" s="21">
        <f t="shared" si="23"/>
        <v>0</v>
      </c>
      <c r="L106" s="21">
        <f t="shared" si="24"/>
        <v>2518038.9742111834</v>
      </c>
      <c r="M106" s="21">
        <f t="shared" si="25"/>
        <v>3959782.401547906</v>
      </c>
      <c r="N106" s="21">
        <f t="shared" si="26"/>
        <v>7919.5648030958127</v>
      </c>
      <c r="O106" s="21">
        <f t="shared" si="27"/>
        <v>0</v>
      </c>
      <c r="P106" s="21">
        <f t="shared" si="28"/>
        <v>3951862.83674481</v>
      </c>
      <c r="Q106" s="21">
        <f t="shared" si="29"/>
        <v>4300762.5502607357</v>
      </c>
      <c r="R106" s="21">
        <f t="shared" si="30"/>
        <v>2150.3812751303681</v>
      </c>
      <c r="S106" s="21">
        <f t="shared" si="31"/>
        <v>0</v>
      </c>
      <c r="T106" s="21">
        <f t="shared" si="32"/>
        <v>4298612.1689856052</v>
      </c>
      <c r="U106" s="21">
        <f>X105*$B$3+Calculator!$C$10*$B$4</f>
        <v>4184016.6374156573</v>
      </c>
      <c r="V106" s="21">
        <f t="shared" si="33"/>
        <v>4184.0166374156579</v>
      </c>
      <c r="W106" s="21">
        <f t="shared" si="34"/>
        <v>0</v>
      </c>
      <c r="X106" s="21">
        <f t="shared" si="35"/>
        <v>4179832.6207782417</v>
      </c>
      <c r="Y106" s="21" t="e">
        <f>IF($D106&lt;=Calculator!$C$11,H106,NA())</f>
        <v>#N/A</v>
      </c>
      <c r="Z106" s="21" t="e">
        <f>IF($D106&lt;=Calculator!$C$11,L106,NA())</f>
        <v>#N/A</v>
      </c>
      <c r="AA106" s="21" t="e">
        <f>IF(AND($D106&lt;=Calculator!$C$11,$B$5=1),P106,NA())</f>
        <v>#N/A</v>
      </c>
      <c r="AB106" s="21" t="e">
        <f>IF(AND($D106&lt;=Calculator!$C$11,$B$6=1),T106,NA())</f>
        <v>#N/A</v>
      </c>
    </row>
    <row r="107" spans="4:28" ht="16.5" x14ac:dyDescent="0.25">
      <c r="D107" s="21">
        <v>57</v>
      </c>
      <c r="E107" s="21">
        <f>H106*$B$3+Calculator!$C$10*$B$4</f>
        <v>4730154.5198440952</v>
      </c>
      <c r="F107" s="21">
        <f t="shared" si="18"/>
        <v>0</v>
      </c>
      <c r="G107" s="21">
        <f t="shared" si="19"/>
        <v>0</v>
      </c>
      <c r="H107" s="21">
        <f t="shared" si="20"/>
        <v>4730154.5198440952</v>
      </c>
      <c r="I107" s="21">
        <f t="shared" si="21"/>
        <v>2694301.7024059664</v>
      </c>
      <c r="J107" s="21">
        <f t="shared" si="22"/>
        <v>26943.017024059664</v>
      </c>
      <c r="K107" s="21">
        <f t="shared" si="23"/>
        <v>0</v>
      </c>
      <c r="L107" s="21">
        <f t="shared" si="24"/>
        <v>2667358.6853819066</v>
      </c>
      <c r="M107" s="21">
        <f t="shared" si="25"/>
        <v>4228493.2353169471</v>
      </c>
      <c r="N107" s="21">
        <f t="shared" si="26"/>
        <v>8456.986470633894</v>
      </c>
      <c r="O107" s="21">
        <f t="shared" si="27"/>
        <v>0</v>
      </c>
      <c r="P107" s="21">
        <f t="shared" si="28"/>
        <v>4220036.248846313</v>
      </c>
      <c r="Q107" s="21">
        <f t="shared" si="29"/>
        <v>4599515.0208145976</v>
      </c>
      <c r="R107" s="21">
        <f t="shared" si="30"/>
        <v>2299.7575104072989</v>
      </c>
      <c r="S107" s="21">
        <f t="shared" si="31"/>
        <v>0</v>
      </c>
      <c r="T107" s="21">
        <f t="shared" si="32"/>
        <v>4597215.2633041907</v>
      </c>
      <c r="U107" s="21">
        <f>X106*$B$3+Calculator!$C$10*$B$4</f>
        <v>4472420.904232719</v>
      </c>
      <c r="V107" s="21">
        <f t="shared" si="33"/>
        <v>4472.4209042327193</v>
      </c>
      <c r="W107" s="21">
        <f t="shared" si="34"/>
        <v>0</v>
      </c>
      <c r="X107" s="21">
        <f t="shared" si="35"/>
        <v>4467948.4833284859</v>
      </c>
      <c r="Y107" s="21" t="e">
        <f>IF($D107&lt;=Calculator!$C$11,H107,NA())</f>
        <v>#N/A</v>
      </c>
      <c r="Z107" s="21" t="e">
        <f>IF($D107&lt;=Calculator!$C$11,L107,NA())</f>
        <v>#N/A</v>
      </c>
      <c r="AA107" s="21" t="e">
        <f>IF(AND($D107&lt;=Calculator!$C$11,$B$5=1),P107,NA())</f>
        <v>#N/A</v>
      </c>
      <c r="AB107" s="21" t="e">
        <f>IF(AND($D107&lt;=Calculator!$C$11,$B$6=1),T107,NA())</f>
        <v>#N/A</v>
      </c>
    </row>
    <row r="108" spans="4:28" ht="16.5" x14ac:dyDescent="0.25">
      <c r="D108" s="21">
        <v>58</v>
      </c>
      <c r="E108" s="21">
        <f>H107*$B$3+Calculator!$C$10*$B$4</f>
        <v>5061265.3362331819</v>
      </c>
      <c r="F108" s="21">
        <f t="shared" si="18"/>
        <v>0</v>
      </c>
      <c r="G108" s="21">
        <f t="shared" si="19"/>
        <v>0</v>
      </c>
      <c r="H108" s="21">
        <f t="shared" si="20"/>
        <v>5061265.3362331819</v>
      </c>
      <c r="I108" s="21">
        <f t="shared" si="21"/>
        <v>2854073.7933586403</v>
      </c>
      <c r="J108" s="21">
        <f t="shared" si="22"/>
        <v>28540.737933586403</v>
      </c>
      <c r="K108" s="21">
        <f t="shared" si="23"/>
        <v>0</v>
      </c>
      <c r="L108" s="21">
        <f t="shared" si="24"/>
        <v>2825533.0554250539</v>
      </c>
      <c r="M108" s="21">
        <f t="shared" si="25"/>
        <v>4515438.7862655548</v>
      </c>
      <c r="N108" s="21">
        <f t="shared" si="26"/>
        <v>9030.8775725311098</v>
      </c>
      <c r="O108" s="21">
        <f t="shared" si="27"/>
        <v>0</v>
      </c>
      <c r="P108" s="21">
        <f t="shared" si="28"/>
        <v>4506407.908693024</v>
      </c>
      <c r="Q108" s="21">
        <f t="shared" si="29"/>
        <v>4919020.3317354843</v>
      </c>
      <c r="R108" s="21">
        <f t="shared" si="30"/>
        <v>2459.5101658677422</v>
      </c>
      <c r="S108" s="21">
        <f t="shared" si="31"/>
        <v>0</v>
      </c>
      <c r="T108" s="21">
        <f t="shared" si="32"/>
        <v>4916560.8215696169</v>
      </c>
      <c r="U108" s="21">
        <f>X107*$B$3+Calculator!$C$10*$B$4</f>
        <v>4780704.8771614805</v>
      </c>
      <c r="V108" s="21">
        <f t="shared" si="33"/>
        <v>4780.7048771614809</v>
      </c>
      <c r="W108" s="21">
        <f t="shared" si="34"/>
        <v>0</v>
      </c>
      <c r="X108" s="21">
        <f t="shared" si="35"/>
        <v>4775924.1722843191</v>
      </c>
      <c r="Y108" s="21" t="e">
        <f>IF($D108&lt;=Calculator!$C$11,H108,NA())</f>
        <v>#N/A</v>
      </c>
      <c r="Z108" s="21" t="e">
        <f>IF($D108&lt;=Calculator!$C$11,L108,NA())</f>
        <v>#N/A</v>
      </c>
      <c r="AA108" s="21" t="e">
        <f>IF(AND($D108&lt;=Calculator!$C$11,$B$5=1),P108,NA())</f>
        <v>#N/A</v>
      </c>
      <c r="AB108" s="21" t="e">
        <f>IF(AND($D108&lt;=Calculator!$C$11,$B$6=1),T108,NA())</f>
        <v>#N/A</v>
      </c>
    </row>
    <row r="109" spans="4:28" ht="16.5" x14ac:dyDescent="0.25">
      <c r="D109" s="21">
        <v>59</v>
      </c>
      <c r="E109" s="21">
        <f>H108*$B$3+Calculator!$C$10*$B$4</f>
        <v>5415553.9097695053</v>
      </c>
      <c r="F109" s="21">
        <f t="shared" si="18"/>
        <v>0</v>
      </c>
      <c r="G109" s="21">
        <f t="shared" si="19"/>
        <v>0</v>
      </c>
      <c r="H109" s="21">
        <f t="shared" si="20"/>
        <v>5415553.9097695053</v>
      </c>
      <c r="I109" s="21">
        <f t="shared" si="21"/>
        <v>3023320.3693048079</v>
      </c>
      <c r="J109" s="21">
        <f t="shared" si="22"/>
        <v>30233.203693048079</v>
      </c>
      <c r="K109" s="21">
        <f t="shared" si="23"/>
        <v>0</v>
      </c>
      <c r="L109" s="21">
        <f t="shared" si="24"/>
        <v>2993087.1656117598</v>
      </c>
      <c r="M109" s="21">
        <f t="shared" si="25"/>
        <v>4821856.4623015355</v>
      </c>
      <c r="N109" s="21">
        <f t="shared" si="26"/>
        <v>9643.7129246030709</v>
      </c>
      <c r="O109" s="21">
        <f t="shared" si="27"/>
        <v>0</v>
      </c>
      <c r="P109" s="21">
        <f t="shared" si="28"/>
        <v>4812212.7493769322</v>
      </c>
      <c r="Q109" s="21">
        <f t="shared" si="29"/>
        <v>5260720.0790794902</v>
      </c>
      <c r="R109" s="21">
        <f t="shared" si="30"/>
        <v>2630.3600395397452</v>
      </c>
      <c r="S109" s="21">
        <f t="shared" si="31"/>
        <v>0</v>
      </c>
      <c r="T109" s="21">
        <f t="shared" si="32"/>
        <v>5258089.7190399505</v>
      </c>
      <c r="U109" s="21">
        <f>X108*$B$3+Calculator!$C$10*$B$4</f>
        <v>5110238.8643442215</v>
      </c>
      <c r="V109" s="21">
        <f t="shared" si="33"/>
        <v>5110.2388643442218</v>
      </c>
      <c r="W109" s="21">
        <f t="shared" si="34"/>
        <v>0</v>
      </c>
      <c r="X109" s="21">
        <f t="shared" si="35"/>
        <v>5105128.625479877</v>
      </c>
      <c r="Y109" s="21" t="e">
        <f>IF($D109&lt;=Calculator!$C$11,H109,NA())</f>
        <v>#N/A</v>
      </c>
      <c r="Z109" s="21" t="e">
        <f>IF($D109&lt;=Calculator!$C$11,L109,NA())</f>
        <v>#N/A</v>
      </c>
      <c r="AA109" s="21" t="e">
        <f>IF(AND($D109&lt;=Calculator!$C$11,$B$5=1),P109,NA())</f>
        <v>#N/A</v>
      </c>
      <c r="AB109" s="21" t="e">
        <f>IF(AND($D109&lt;=Calculator!$C$11,$B$6=1),T109,NA())</f>
        <v>#N/A</v>
      </c>
    </row>
    <row r="110" spans="4:28" ht="16.5" x14ac:dyDescent="0.25">
      <c r="D110" s="21">
        <v>60</v>
      </c>
      <c r="E110" s="21">
        <f>H109*$B$3+Calculator!$C$10*$B$4</f>
        <v>5794642.6834533708</v>
      </c>
      <c r="F110" s="21">
        <f t="shared" si="18"/>
        <v>0</v>
      </c>
      <c r="G110" s="21">
        <f t="shared" si="19"/>
        <v>0</v>
      </c>
      <c r="H110" s="21">
        <f t="shared" si="20"/>
        <v>5794642.6834533708</v>
      </c>
      <c r="I110" s="21">
        <f t="shared" si="21"/>
        <v>3202603.2672045832</v>
      </c>
      <c r="J110" s="21">
        <f t="shared" si="22"/>
        <v>32026.032672045832</v>
      </c>
      <c r="K110" s="21">
        <f t="shared" si="23"/>
        <v>0</v>
      </c>
      <c r="L110" s="21">
        <f t="shared" si="24"/>
        <v>3170577.2345325374</v>
      </c>
      <c r="M110" s="21">
        <f t="shared" si="25"/>
        <v>5149067.6418333175</v>
      </c>
      <c r="N110" s="21">
        <f t="shared" si="26"/>
        <v>10298.135283666636</v>
      </c>
      <c r="O110" s="21">
        <f t="shared" si="27"/>
        <v>0</v>
      </c>
      <c r="P110" s="21">
        <f t="shared" si="28"/>
        <v>5138769.5065496508</v>
      </c>
      <c r="Q110" s="21">
        <f t="shared" si="29"/>
        <v>5626155.9993727477</v>
      </c>
      <c r="R110" s="21">
        <f t="shared" si="30"/>
        <v>2813.0779996863739</v>
      </c>
      <c r="S110" s="21">
        <f t="shared" si="31"/>
        <v>0</v>
      </c>
      <c r="T110" s="21">
        <f t="shared" si="32"/>
        <v>5623342.9213730609</v>
      </c>
      <c r="U110" s="21">
        <f>X109*$B$3+Calculator!$C$10*$B$4</f>
        <v>5462487.629263469</v>
      </c>
      <c r="V110" s="21">
        <f t="shared" si="33"/>
        <v>5462.4876292634699</v>
      </c>
      <c r="W110" s="21">
        <f t="shared" si="34"/>
        <v>0</v>
      </c>
      <c r="X110" s="21">
        <f t="shared" si="35"/>
        <v>5457025.1416342054</v>
      </c>
      <c r="Y110" s="21" t="e">
        <f>IF($D110&lt;=Calculator!$C$11,H110,NA())</f>
        <v>#N/A</v>
      </c>
      <c r="Z110" s="21" t="e">
        <f>IF($D110&lt;=Calculator!$C$11,L110,NA())</f>
        <v>#N/A</v>
      </c>
      <c r="AA110" s="21" t="e">
        <f>IF(AND($D110&lt;=Calculator!$C$11,$B$5=1),P110,NA())</f>
        <v>#N/A</v>
      </c>
      <c r="AB110" s="21" t="e">
        <f>IF(AND($D110&lt;=Calculator!$C$11,$B$6=1),T110,NA())</f>
        <v>#N/A</v>
      </c>
    </row>
  </sheetData>
  <sheetProtection sheet="1" formatCells="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Breakdown</vt:lpstr>
      <vt:lpstr>About &amp; Assumptions</vt:lpstr>
      <vt:lpstr>_Engine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Eyal Doron</cp:lastModifiedBy>
  <dcterms:created xsi:type="dcterms:W3CDTF">2026-10-07T13:22:34Z</dcterms:created>
  <dcterms:modified xsi:type="dcterms:W3CDTF">2026-10-07T13:22:40Z</dcterms:modified>
</cp:coreProperties>
</file>