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Breakdown" sheetId="2" state="visible" r:id="rId2"/>
    <sheet xmlns:r="http://schemas.openxmlformats.org/officeDocument/2006/relationships" name="About &amp; Assumptions" sheetId="3" state="visible" r:id="rId3"/>
    <sheet xmlns:r="http://schemas.openxmlformats.org/officeDocument/2006/relationships" name="_Engine" sheetId="4" state="hidden" r:id="rId4"/>
  </sheets>
  <definedNames>
    <definedName name="_xlnm.Print_Area" localSheetId="1">OFFSET(Breakdown!$A$1,0,0,MAX(_Engine!$B$32,1)+3,6)</definedName>
    <definedName name="ch_x" localSheetId="3">OFFSET(_Engine!$E$61,0,0,_Engine!$B$33,1)</definedName>
    <definedName name="ch_b" localSheetId="3">OFFSET(_Engine!$F$61,0,0,_Engine!$B$33,1)</definedName>
  </definedNames>
  <calcPr calcId="124519" fullCalcOnLoad="1"/>
</workbook>
</file>

<file path=xl/styles.xml><?xml version="1.0" encoding="utf-8"?>
<styleSheet xmlns="http://schemas.openxmlformats.org/spreadsheetml/2006/main">
  <numFmts count="4">
    <numFmt numFmtId="164" formatCode="0.0#&quot;%&quot;"/>
    <numFmt numFmtId="165" formatCode="yyyy-mm-dd h:mm:ss"/>
    <numFmt numFmtId="166" formatCode="mmm yyyy"/>
    <numFmt numFmtId="167" formatCode="yyyy-mm-dd"/>
  </numFmts>
  <fonts count="19">
    <font>
      <name val="Calibri"/>
      <family val="2"/>
      <color theme="1"/>
      <sz val="11"/>
      <scheme val="minor"/>
    </font>
    <font>
      <name val="Segoe UI"/>
      <color rgb="001B2733"/>
      <sz val="11"/>
    </font>
    <font>
      <name val="Segoe UI"/>
      <b val="1"/>
      <color rgb="001E5A85"/>
      <sz val="10"/>
    </font>
    <font>
      <name val="Segoe UI"/>
      <b val="1"/>
      <color rgb="0012354E"/>
      <sz val="20"/>
    </font>
    <font>
      <name val="Segoe UI"/>
      <b val="1"/>
      <color rgb="001E5A85"/>
      <sz val="11"/>
    </font>
    <font>
      <name val="Segoe UI"/>
      <b val="1"/>
      <color rgb="001E5A85"/>
      <sz val="12"/>
    </font>
    <font>
      <name val="Segoe UI"/>
      <b val="1"/>
      <color rgb="0012354E"/>
      <sz val="12"/>
    </font>
    <font>
      <name val="Segoe UI"/>
      <color rgb="006C6D70"/>
      <sz val="9.5"/>
    </font>
    <font>
      <name val="Segoe UI"/>
      <i val="1"/>
      <color rgb="006C6D70"/>
      <sz val="10"/>
    </font>
    <font>
      <name val="Segoe UI"/>
      <b val="1"/>
      <color rgb="001E5A85"/>
      <sz val="22"/>
    </font>
    <font>
      <name val="Segoe UI"/>
      <b val="1"/>
      <color rgb="001B2733"/>
      <sz val="11"/>
    </font>
    <font>
      <name val="Segoe UI"/>
      <color rgb="006C6D70"/>
      <sz val="10"/>
    </font>
    <font>
      <name val="Segoe UI"/>
      <b val="1"/>
      <color rgb="00FFFFFF"/>
      <sz val="10.5"/>
    </font>
    <font>
      <name val="Segoe UI"/>
      <b val="1"/>
      <color rgb="0012354E"/>
      <sz val="18"/>
    </font>
    <font>
      <name val="Segoe UI"/>
      <color rgb="001B2733"/>
      <sz val="10"/>
    </font>
    <font>
      <name val="Segoe UI"/>
      <b val="1"/>
      <sz val="11"/>
    </font>
    <font>
      <b val="1"/>
    </font>
    <font>
      <name val="Segoe UI"/>
      <color rgb="006C6D70"/>
      <sz val="11"/>
    </font>
    <font>
      <name val="Segoe UI"/>
      <b val="1"/>
      <color rgb="0012354E"/>
      <sz val="11"/>
    </font>
  </fonts>
  <fills count="7">
    <fill>
      <patternFill/>
    </fill>
    <fill>
      <patternFill patternType="gray125"/>
    </fill>
    <fill>
      <patternFill patternType="solid">
        <fgColor rgb="00F5F8FB"/>
      </patternFill>
    </fill>
    <fill>
      <patternFill patternType="solid">
        <fgColor rgb="00E4EDF5"/>
      </patternFill>
    </fill>
    <fill>
      <patternFill patternType="solid">
        <fgColor rgb="00C9DEEF"/>
      </patternFill>
    </fill>
    <fill>
      <patternFill patternType="solid">
        <fgColor rgb="00FFFFFF"/>
      </patternFill>
    </fill>
    <fill>
      <patternFill patternType="solid">
        <fgColor rgb="001E5A85"/>
      </patternFill>
    </fill>
  </fills>
  <borders count="7">
    <border>
      <left/>
      <right/>
      <top/>
      <bottom/>
      <diagonal/>
    </border>
    <border>
      <bottom style="thin">
        <color rgb="00748BA0"/>
      </bottom>
    </border>
    <border>
      <right/>
      <bottom style="thin">
        <color rgb="00748BA0"/>
      </bottom>
    </border>
    <border>
      <left/>
      <right/>
      <top/>
      <bottom style="thin">
        <color rgb="00748BA0"/>
      </bottom>
      <diagonal/>
    </border>
    <border>
      <left style="thin">
        <color rgb="001E5A85"/>
      </left>
      <right style="thin">
        <color rgb="001E5A85"/>
      </right>
      <top style="thin">
        <color rgb="001E5A85"/>
      </top>
      <bottom style="thin">
        <color rgb="001E5A85"/>
      </bottom>
    </border>
    <border>
      <bottom style="thin">
        <color rgb="00D6E1EA"/>
      </bottom>
    </border>
    <border>
      <left/>
      <right/>
      <top/>
      <bottom style="thin">
        <color rgb="00D6E1EA"/>
      </bottom>
      <diagonal/>
    </border>
  </borders>
  <cellStyleXfs count="1">
    <xf numFmtId="0" fontId="0" fillId="0" borderId="0"/>
  </cellStyleXfs>
  <cellXfs count="40">
    <xf numFmtId="0" fontId="0" fillId="0" borderId="0" pivotButton="0" quotePrefix="0" xfId="0"/>
    <xf numFmtId="0" fontId="1" fillId="2" borderId="0" pivotButton="0" quotePrefix="0" xfId="0"/>
    <xf numFmtId="0" fontId="2" fillId="2" borderId="0" applyAlignment="1" pivotButton="0" quotePrefix="0" xfId="0">
      <alignment horizontal="left" vertical="center" wrapText="1"/>
    </xf>
    <xf numFmtId="0" fontId="3" fillId="2" borderId="0" applyAlignment="1" pivotButton="0" quotePrefix="0" xfId="0">
      <alignment horizontal="left" vertical="center" wrapText="1"/>
    </xf>
    <xf numFmtId="0" fontId="1" fillId="2" borderId="0" applyAlignment="1" pivotButton="0" quotePrefix="0" xfId="0">
      <alignment horizontal="left" vertical="center" wrapText="1"/>
    </xf>
    <xf numFmtId="0" fontId="4" fillId="2" borderId="0" applyAlignment="1" pivotButton="0" quotePrefix="0" xfId="0">
      <alignment horizontal="left" vertical="center" wrapText="1"/>
    </xf>
    <xf numFmtId="0" fontId="5" fillId="3" borderId="2" applyAlignment="1" pivotButton="0" quotePrefix="0" xfId="0">
      <alignment horizontal="left" vertical="center" wrapText="1"/>
    </xf>
    <xf numFmtId="0" fontId="5" fillId="3" borderId="1" applyAlignment="1" pivotButton="0" quotePrefix="0" xfId="0">
      <alignment horizontal="left" vertical="center" wrapText="1"/>
    </xf>
    <xf numFmtId="0" fontId="6" fillId="4" borderId="4" applyAlignment="1" applyProtection="1" pivotButton="0" quotePrefix="0" xfId="0">
      <alignment horizontal="right" vertical="center"/>
      <protection locked="0" hidden="0"/>
    </xf>
    <xf numFmtId="0" fontId="7" fillId="2" borderId="0" applyAlignment="1" pivotButton="0" quotePrefix="0" xfId="0">
      <alignment horizontal="left" vertical="center" wrapText="1"/>
    </xf>
    <xf numFmtId="3" fontId="6" fillId="4" borderId="4" applyAlignment="1" applyProtection="1" pivotButton="0" quotePrefix="0" xfId="0">
      <alignment horizontal="right" vertical="center"/>
      <protection locked="0" hidden="0"/>
    </xf>
    <xf numFmtId="164" fontId="6" fillId="4" borderId="4" applyAlignment="1" applyProtection="1" pivotButton="0" quotePrefix="0" xfId="0">
      <alignment horizontal="right" vertical="center"/>
      <protection locked="0" hidden="0"/>
    </xf>
    <xf numFmtId="166" fontId="6" fillId="4" borderId="4" applyAlignment="1" applyProtection="1" pivotButton="0" quotePrefix="0" xfId="0">
      <alignment horizontal="right" vertical="center"/>
      <protection locked="0" hidden="0"/>
    </xf>
    <xf numFmtId="0" fontId="8" fillId="2" borderId="0" applyAlignment="1" pivotButton="0" quotePrefix="0" xfId="0">
      <alignment horizontal="left" vertical="center" wrapText="1"/>
    </xf>
    <xf numFmtId="1" fontId="6" fillId="4" borderId="4" applyAlignment="1" applyProtection="1" pivotButton="0" quotePrefix="0" xfId="0">
      <alignment horizontal="right" vertical="center"/>
      <protection locked="0" hidden="0"/>
    </xf>
    <xf numFmtId="0" fontId="6" fillId="4" borderId="4" applyAlignment="1" applyProtection="1" pivotButton="0" quotePrefix="0" xfId="0">
      <alignment horizontal="left" vertical="center"/>
      <protection locked="0" hidden="0"/>
    </xf>
    <xf numFmtId="0" fontId="9" fillId="2" borderId="0" applyAlignment="1" pivotButton="0" quotePrefix="0" xfId="0">
      <alignment horizontal="left" vertical="center"/>
    </xf>
    <xf numFmtId="0" fontId="1" fillId="2" borderId="0" applyAlignment="1" pivotButton="0" quotePrefix="0" xfId="0">
      <alignment horizontal="left" vertical="top" wrapText="1"/>
    </xf>
    <xf numFmtId="0" fontId="1" fillId="5" borderId="5" applyAlignment="1" pivotButton="0" quotePrefix="0" xfId="0">
      <alignment horizontal="left" vertical="center" wrapText="1"/>
    </xf>
    <xf numFmtId="3" fontId="1" fillId="5" borderId="5" applyAlignment="1" pivotButton="0" quotePrefix="0" xfId="0">
      <alignment horizontal="right" vertical="center" wrapText="1"/>
    </xf>
    <xf numFmtId="0" fontId="10" fillId="5" borderId="5" applyAlignment="1" pivotButton="0" quotePrefix="0" xfId="0">
      <alignment horizontal="left" vertical="center" wrapText="1"/>
    </xf>
    <xf numFmtId="3" fontId="10" fillId="5" borderId="5" applyAlignment="1" pivotButton="0" quotePrefix="0" xfId="0">
      <alignment horizontal="right" vertical="center" wrapText="1"/>
    </xf>
    <xf numFmtId="0" fontId="11" fillId="5" borderId="5" applyAlignment="1" pivotButton="0" quotePrefix="0" xfId="0">
      <alignment horizontal="left" vertical="center" wrapText="1"/>
    </xf>
    <xf numFmtId="0" fontId="12" fillId="6" borderId="4" applyAlignment="1" pivotButton="0" quotePrefix="0" xfId="0">
      <alignment horizontal="center" vertical="center" wrapText="1"/>
    </xf>
    <xf numFmtId="0" fontId="13" fillId="2" borderId="0" applyAlignment="1" pivotButton="0" quotePrefix="0" xfId="0">
      <alignment horizontal="left" vertical="center" wrapText="1"/>
    </xf>
    <xf numFmtId="0" fontId="11" fillId="2" borderId="0" applyAlignment="1" pivotButton="0" quotePrefix="0" xfId="0">
      <alignment horizontal="left" vertical="center" wrapText="1"/>
    </xf>
    <xf numFmtId="1" fontId="14" fillId="0" borderId="0" applyAlignment="1" pivotButton="0" quotePrefix="0" xfId="0">
      <alignment horizontal="center"/>
    </xf>
    <xf numFmtId="166" fontId="14" fillId="0" borderId="0" applyAlignment="1" pivotButton="0" quotePrefix="0" xfId="0">
      <alignment horizontal="right"/>
    </xf>
    <xf numFmtId="3" fontId="14" fillId="0" borderId="0" applyAlignment="1" pivotButton="0" quotePrefix="0" xfId="0">
      <alignment horizontal="right"/>
    </xf>
    <xf numFmtId="0" fontId="1" fillId="5" borderId="0" pivotButton="0" quotePrefix="0" xfId="0"/>
    <xf numFmtId="0" fontId="3" fillId="2" borderId="0" applyAlignment="1" pivotButton="0" quotePrefix="0" xfId="0">
      <alignment horizontal="center" vertical="center" wrapText="1"/>
    </xf>
    <xf numFmtId="0" fontId="1" fillId="5" borderId="0" applyAlignment="1" pivotButton="0" quotePrefix="0" xfId="0">
      <alignment vertical="top" wrapText="1"/>
    </xf>
    <xf numFmtId="0" fontId="1" fillId="5" borderId="0" applyAlignment="1" pivotButton="0" quotePrefix="0" xfId="0">
      <alignment horizontal="left" vertical="center" wrapText="1"/>
    </xf>
    <xf numFmtId="0" fontId="17" fillId="5" borderId="5" applyAlignment="1" pivotButton="0" quotePrefix="0" xfId="0">
      <alignment horizontal="left" vertical="center" wrapText="1"/>
    </xf>
    <xf numFmtId="0" fontId="5" fillId="5" borderId="0" applyAlignment="1" pivotButton="0" quotePrefix="0" xfId="0">
      <alignment horizontal="left" vertical="center" wrapText="1"/>
    </xf>
    <xf numFmtId="0" fontId="4" fillId="5" borderId="0" applyAlignment="1" pivotButton="0" quotePrefix="0" xfId="0">
      <alignment horizontal="left" vertical="center" wrapText="1"/>
    </xf>
    <xf numFmtId="0" fontId="18" fillId="5" borderId="0" applyAlignment="1" pivotButton="0" quotePrefix="0" xfId="0">
      <alignment horizontal="left" vertical="center" wrapText="1"/>
    </xf>
    <xf numFmtId="0" fontId="15" fillId="0" borderId="0" pivotButton="0" quotePrefix="0" xfId="0"/>
    <xf numFmtId="167" fontId="0" fillId="0" borderId="0" pivotButton="0" quotePrefix="0" xfId="0"/>
    <xf numFmtId="0" fontId="16" fillId="0" borderId="0" pivotButton="0" quotePrefix="0" xfId="0"/>
  </cellXfs>
  <cellStyles count="1">
    <cellStyle name="Normal" xfId="0" builtinId="0" hidden="0"/>
  </cellStyles>
  <dxfs count="1">
    <dxf>
      <font>
        <b val="1"/>
      </font>
      <fill>
        <patternFill patternType="solid">
          <fgColor rgb="00FFF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What you still owe</a:t>
            </a:r>
          </a:p>
        </rich>
      </tx>
    </title>
    <plotArea>
      <lineChart>
        <grouping val="standard"/>
        <ser>
          <idx val="0"/>
          <order val="0"/>
          <tx>
            <v>What you still owe</v>
          </tx>
          <spPr>
            <a:ln xmlns:a="http://schemas.openxmlformats.org/drawingml/2006/main" w="28575">
              <a:solidFill>
                <a:srgbClr val="1E5A85"/>
              </a:solidFill>
              <a:prstDash val="solid"/>
            </a:ln>
          </spPr>
          <marker>
            <symbol val="none"/>
            <spPr>
              <a:ln xmlns:a="http://schemas.openxmlformats.org/drawingml/2006/main">
                <a:prstDash val="solid"/>
              </a:ln>
            </spPr>
          </marker>
          <cat>
            <strRef>
              <f>_Engine!ch_x</f>
            </strRef>
          </cat>
          <val>
            <numRef>
              <f>_Engine!ch_b</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spPr>
            <a:ln xmlns:a="http://schemas.openxmlformats.org/drawingml/2006/main">
              <a:solidFill>
                <a:srgbClr val="DBE3EF"/>
              </a:solidFill>
              <a:prstDash val="dash"/>
            </a:ln>
          </spPr>
        </majorGridlines>
        <title>
          <tx>
            <rich>
              <a:bodyPr xmlns:a="http://schemas.openxmlformats.org/drawingml/2006/main"/>
              <a:p xmlns:a="http://schemas.openxmlformats.org/drawingml/2006/main">
                <a:pPr>
                  <a:defRPr/>
                </a:pPr>
                <a:r>
                  <a:t>You still owe</a:t>
                </a:r>
              </a:p>
            </rich>
          </tx>
        </title>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44</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eedtheseapps.com/" TargetMode="External" Id="rId1"/><Relationship Type="http://schemas.openxmlformats.org/officeDocument/2006/relationships/hyperlink" Target="https://needtheseapps.com/apps/financial/loan-payment-calculator/" TargetMode="External" Id="rId2"/><Relationship Type="http://schemas.openxmlformats.org/officeDocument/2006/relationships/drawing" Target="/xl/drawings/drawing1.xml" Id="rId3"/></Relationships>
</file>

<file path=xl/worksheets/_rels/sheet3.xml.rels><Relationships xmlns="http://schemas.openxmlformats.org/package/2006/relationships"><Relationship Type="http://schemas.openxmlformats.org/officeDocument/2006/relationships/hyperlink" Target="https://needtheseapps.com/apps/financial/loan-payment-calculator/" TargetMode="External" Id="rId1"/></Relationships>
</file>

<file path=xl/worksheets/sheet1.xml><?xml version="1.0" encoding="utf-8"?>
<worksheet xmlns="http://schemas.openxmlformats.org/spreadsheetml/2006/main">
  <sheetPr>
    <outlinePr summaryBelow="1" summaryRight="1"/>
    <pageSetUpPr fitToPage="1"/>
  </sheetPr>
  <dimension ref="A1:G70"/>
  <sheetViews>
    <sheetView showGridLines="0" workbookViewId="0">
      <pane ySplit="6" topLeftCell="A7" activePane="bottomLeft" state="frozen"/>
      <selection pane="bottomLeft" activeCell="A1" sqref="A1"/>
    </sheetView>
  </sheetViews>
  <sheetFormatPr baseColWidth="8" defaultRowHeight="15"/>
  <cols>
    <col width="2.1" customWidth="1" min="1" max="1"/>
    <col width="40" customWidth="1" min="2" max="2"/>
    <col width="19" customWidth="1" min="3" max="3"/>
    <col width="17" customWidth="1" min="4" max="4"/>
    <col width="17" customWidth="1" min="5" max="5"/>
    <col width="17" customWidth="1" min="6" max="6"/>
    <col width="2.1" customWidth="1" min="7" max="7"/>
  </cols>
  <sheetData>
    <row r="1">
      <c r="A1" s="1" t="n"/>
      <c r="B1" s="1" t="n"/>
      <c r="C1" s="1" t="n"/>
      <c r="D1" s="1" t="n"/>
      <c r="E1" s="1" t="n"/>
      <c r="F1" s="1" t="n"/>
      <c r="G1" s="1" t="n"/>
    </row>
    <row r="2" ht="18" customHeight="1">
      <c r="A2" s="1" t="n"/>
      <c r="B2" s="2" t="inlineStr">
        <is>
          <t>NEEDTHESEAPPS.COM</t>
        </is>
      </c>
      <c r="C2" s="2" t="n"/>
      <c r="D2" s="1" t="n"/>
      <c r="E2" s="1" t="n"/>
      <c r="F2" s="1" t="n"/>
      <c r="G2" s="1" t="n"/>
    </row>
    <row r="3" ht="32.1" customHeight="1">
      <c r="A3" s="1" t="n"/>
      <c r="B3" s="3" t="inlineStr">
        <is>
          <t>Loan Payment Calculator</t>
        </is>
      </c>
      <c r="C3" s="3" t="n"/>
      <c r="D3" s="3" t="n"/>
      <c r="E3" s="3" t="n"/>
      <c r="F3" s="3" t="n"/>
      <c r="G3" s="1" t="n"/>
    </row>
    <row r="4" ht="33.95" customHeight="1">
      <c r="A4" s="1" t="n"/>
      <c r="B4" s="4" t="inlineStr">
        <is>
          <t>What will this loan cost you, how long will it take to pay back, and how long should you spread it?</t>
        </is>
      </c>
      <c r="C4" s="4" t="n"/>
      <c r="D4" s="4" t="n"/>
      <c r="E4" s="4" t="n"/>
      <c r="F4" s="4" t="n"/>
      <c r="G4" s="1" t="n"/>
    </row>
    <row r="5" ht="20.1" customHeight="1">
      <c r="A5" s="1" t="n"/>
      <c r="B5" s="5" t="inlineStr">
        <is>
          <t>Open the full calculator online  ↗</t>
        </is>
      </c>
      <c r="C5" s="5" t="n"/>
      <c r="D5" s="5" t="n"/>
      <c r="E5" s="5" t="n"/>
      <c r="F5" s="5" t="n"/>
      <c r="G5" s="1" t="n"/>
    </row>
    <row r="6">
      <c r="A6" s="1" t="n"/>
      <c r="B6" s="1" t="n"/>
      <c r="C6" s="1" t="n"/>
      <c r="D6" s="1" t="n"/>
      <c r="E6" s="1" t="n"/>
      <c r="F6" s="1" t="n"/>
      <c r="G6" s="1" t="n"/>
    </row>
    <row r="7" ht="26.1" customHeight="1">
      <c r="A7" s="1" t="n"/>
      <c r="B7" s="6" t="inlineStr">
        <is>
          <t>YOUR LOAN (used by all three questions)</t>
        </is>
      </c>
      <c r="C7" s="7" t="n"/>
      <c r="D7" s="7" t="n"/>
      <c r="E7" s="7" t="n"/>
      <c r="F7" s="7" t="n"/>
      <c r="G7" s="1" t="n"/>
    </row>
    <row r="8" ht="24" customHeight="1">
      <c r="A8" s="1" t="n"/>
      <c r="B8" s="4" t="inlineStr">
        <is>
          <t>Currency symbol you use</t>
        </is>
      </c>
      <c r="C8" s="8" t="inlineStr">
        <is>
          <t>$</t>
        </is>
      </c>
      <c r="D8" s="9" t="inlineStr">
        <is>
          <t>Type the symbol you use: $, £, €, ₪ ...</t>
        </is>
      </c>
      <c r="E8" s="9" t="n"/>
      <c r="F8" s="9" t="n"/>
      <c r="G8" s="1" t="n"/>
    </row>
    <row r="9" ht="33.95" customHeight="1">
      <c r="A9" s="1" t="n"/>
      <c r="B9" s="4" t="inlineStr">
        <is>
          <t>Amount you borrow</t>
        </is>
      </c>
      <c r="C9" s="10" t="n">
        <v>30000</v>
      </c>
      <c r="D9" s="9" t="inlineStr">
        <is>
          <t>The amount the lender pays out, before any fee. Example: change to your numbers.</t>
        </is>
      </c>
      <c r="E9" s="9" t="n"/>
      <c r="F9" s="9" t="n"/>
      <c r="G9" s="1" t="n"/>
    </row>
    <row r="10" ht="33.95" customHeight="1">
      <c r="A10" s="1" t="n"/>
      <c r="B10" s="4" t="inlineStr">
        <is>
          <t>Interest rate (per year)</t>
        </is>
      </c>
      <c r="C10" s="11" t="n">
        <v>7.5</v>
      </c>
      <c r="D10" s="9" t="inlineStr">
        <is>
          <t>7.5% is a typical US car loan rate, personal loans about 12% (Federal Reserve, Aug 2026). Type the rate you were offered.</t>
        </is>
      </c>
      <c r="E10" s="9" t="n"/>
      <c r="F10" s="9" t="n"/>
      <c r="G10" s="1" t="n"/>
    </row>
    <row r="11" ht="33.95" customHeight="1">
      <c r="A11" s="1" t="n"/>
      <c r="B11" s="4" t="inlineStr">
        <is>
          <t>First payment month</t>
        </is>
      </c>
      <c r="C11" s="12" t="n">
        <v>46327</v>
      </c>
      <c r="D11" s="9" t="inlineStr">
        <is>
          <t>An example month. Usually a month after you take the loan. It never changes by itself.</t>
        </is>
      </c>
      <c r="E11" s="9" t="n"/>
      <c r="F11" s="9" t="n"/>
      <c r="G11" s="1" t="n"/>
    </row>
    <row r="12" ht="21" customHeight="1">
      <c r="A12" s="1" t="n"/>
      <c r="B12" s="13">
        <f>"Edit the blue cells. Everything else calculates automatically. Amounts are shown in "&amp;$C$8&amp;"."</f>
        <v/>
      </c>
      <c r="C12" s="13" t="n"/>
      <c r="D12" s="13" t="n"/>
      <c r="E12" s="13" t="n"/>
      <c r="F12" s="13" t="n"/>
      <c r="G12" s="1" t="n"/>
    </row>
    <row r="13">
      <c r="A13" s="1" t="n"/>
      <c r="B13" s="1" t="n"/>
      <c r="C13" s="1" t="n"/>
      <c r="D13" s="1" t="n"/>
      <c r="E13" s="1" t="n"/>
      <c r="F13" s="1" t="n"/>
      <c r="G13" s="1" t="n"/>
    </row>
    <row r="14" ht="26.1" customHeight="1">
      <c r="A14" s="1" t="n"/>
      <c r="B14" s="6" t="inlineStr">
        <is>
          <t>QUESTION 1: What will this loan cost me?</t>
        </is>
      </c>
      <c r="C14" s="7" t="n"/>
      <c r="D14" s="7" t="n"/>
      <c r="E14" s="7" t="n"/>
      <c r="F14" s="7" t="n"/>
      <c r="G14" s="1" t="n"/>
    </row>
    <row r="15" ht="24" customHeight="1">
      <c r="A15" s="1" t="n"/>
      <c r="B15" s="4" t="inlineStr">
        <is>
          <t>Loan length</t>
        </is>
      </c>
      <c r="C15" s="14" t="n">
        <v>5</v>
      </c>
      <c r="D15" s="15" t="inlineStr">
        <is>
          <t>Years</t>
        </is>
      </c>
      <c r="E15" s="9" t="inlineStr">
        <is>
          <t>Years: 1 to 10. Months: 12 to 120.</t>
        </is>
      </c>
      <c r="F15" s="9" t="n"/>
      <c r="G15" s="1" t="n"/>
    </row>
    <row r="16" ht="33.95" customHeight="1">
      <c r="A16" s="1" t="n"/>
      <c r="B16" s="4" t="inlineStr">
        <is>
          <t>Upfront fee (optional)</t>
        </is>
      </c>
      <c r="C16" s="11" t="n">
        <v>0</v>
      </c>
      <c r="D16" s="9" t="inlineStr">
        <is>
          <t>A one-time fee some lenders take out of the loan (an origination fee). 0 if none.</t>
        </is>
      </c>
      <c r="E16" s="9" t="n"/>
      <c r="F16" s="9" t="n"/>
      <c r="G16" s="1" t="n"/>
    </row>
    <row r="17" ht="33.95" customHeight="1">
      <c r="A17" s="1" t="n"/>
      <c r="B17" s="16">
        <f>CHOOSE(_Engine!$B$15+1,"Enter the amount you borrow","Check the loan length","Pay "&amp;$C$8&amp;TEXT(_Engine!$B$7,"#,##0")&amp;" a month")</f>
        <v/>
      </c>
      <c r="C17" s="16" t="n"/>
      <c r="D17" s="16" t="n"/>
      <c r="E17" s="16" t="n"/>
      <c r="F17" s="16" t="n"/>
      <c r="G17" s="1" t="n"/>
    </row>
    <row r="18" ht="24" customHeight="1">
      <c r="A18" s="1" t="n"/>
      <c r="B18" s="17">
        <f>IF(_Engine!$B$15=2,"for "&amp;_Engine!$B$6&amp;" months. Last payment "&amp;TEXT(_Engine!$B$10,"mmmm yyyy")&amp;"."&amp;IF(_Engine!$B$3=0," No interest at 0%.",""),IF(_Engine!$B$15=1,"Pick 1 to 10 years, or 12 to 120 months. Longer loans are usually mortgages, which this page isn't built for.",""))</f>
        <v/>
      </c>
      <c r="C18" s="17" t="n"/>
      <c r="D18" s="17" t="n"/>
      <c r="E18" s="17" t="n"/>
      <c r="F18" s="17" t="n"/>
      <c r="G18" s="1" t="n"/>
    </row>
    <row r="19" ht="24" customHeight="1">
      <c r="A19" s="1" t="n"/>
      <c r="B19" s="18" t="inlineStr">
        <is>
          <t>Amount you borrow</t>
        </is>
      </c>
      <c r="C19" s="19">
        <f>IF(_Engine!$B$15=2,_Engine!$B$2,"")</f>
        <v/>
      </c>
      <c r="D19" s="18">
        <f>IF(_Engine!$B$15=2,IF(_Engine!$B$3&gt;0,"Of every "&amp;$C$8&amp;"100 you pay, about "&amp;$C$8&amp;ROUND(_Engine!$B$8/_Engine!$B$9*100,0)&amp;" is interest.",""),"")</f>
        <v/>
      </c>
      <c r="E19" s="18" t="n"/>
      <c r="F19" s="18" t="n"/>
      <c r="G19" s="1" t="n"/>
    </row>
    <row r="20" ht="24" customHeight="1">
      <c r="A20" s="1" t="n"/>
      <c r="B20" s="18" t="inlineStr">
        <is>
          <t>Interest you pay</t>
        </is>
      </c>
      <c r="C20" s="19">
        <f>IF(_Engine!$B$15=2,ROUND(_Engine!$B$8,0),"")</f>
        <v/>
      </c>
      <c r="D20" s="18" t="n"/>
      <c r="E20" s="18" t="n"/>
      <c r="F20" s="18" t="n"/>
      <c r="G20" s="1" t="n"/>
    </row>
    <row r="21" ht="24" customHeight="1">
      <c r="A21" s="1" t="n"/>
      <c r="B21" s="20" t="inlineStr">
        <is>
          <t>Total you pay</t>
        </is>
      </c>
      <c r="C21" s="21">
        <f>IF(_Engine!$B$15=2,ROUND(_Engine!$B$9,0),"")</f>
        <v/>
      </c>
      <c r="D21" s="18" t="n"/>
      <c r="E21" s="18" t="n"/>
      <c r="F21" s="18" t="n"/>
      <c r="G21" s="1" t="n"/>
    </row>
    <row r="22" ht="24" customHeight="1">
      <c r="A22" s="1" t="n"/>
      <c r="B22" s="18" t="inlineStr">
        <is>
          <t>Upfront fee</t>
        </is>
      </c>
      <c r="C22" s="19">
        <f>IF(_Engine!$B$15=2,IF(_Engine!$B$11&gt;0,ROUND(_Engine!$B$12,0),"No fee"),"")</f>
        <v/>
      </c>
      <c r="D22" s="22">
        <f>IF(AND(_Engine!$B$15=2,_Engine!$B$11&gt;0),"The payment is worked out on the full amount, but the fee comes out of what reaches you.","")</f>
        <v/>
      </c>
      <c r="E22" s="18" t="n"/>
      <c r="F22" s="18" t="n"/>
      <c r="G22" s="1" t="n"/>
    </row>
    <row r="23" ht="24" customHeight="1">
      <c r="A23" s="1" t="n"/>
      <c r="B23" s="18" t="inlineStr">
        <is>
          <t>You receive</t>
        </is>
      </c>
      <c r="C23" s="19">
        <f>IF(_Engine!$B$15=2,ROUND(_Engine!$B$13,0),"")</f>
        <v/>
      </c>
      <c r="D23" s="18" t="n"/>
      <c r="E23" s="18" t="n"/>
      <c r="F23" s="18" t="n"/>
      <c r="G23" s="1" t="n"/>
    </row>
    <row r="24" ht="24" customHeight="1">
      <c r="A24" s="1" t="n"/>
      <c r="B24" s="18" t="inlineStr">
        <is>
          <t>True yearly rate, counting the fee</t>
        </is>
      </c>
      <c r="C24" s="19">
        <f>IF(_Engine!$B$15=2,IF(_Engine!$B$11&gt;0,TEXT(_Engine!$B$14,"0.0")&amp;"%","Same as your rate"),"")</f>
        <v/>
      </c>
      <c r="D24" s="18" t="n"/>
      <c r="E24" s="18" t="n"/>
      <c r="F24" s="18" t="n"/>
      <c r="G24" s="1" t="n"/>
    </row>
    <row r="25">
      <c r="A25" s="1" t="n"/>
      <c r="B25" s="1" t="n"/>
      <c r="C25" s="1" t="n"/>
      <c r="D25" s="1" t="n"/>
      <c r="E25" s="1" t="n"/>
      <c r="F25" s="1" t="n"/>
      <c r="G25" s="1" t="n"/>
    </row>
    <row r="26" ht="26.1" customHeight="1">
      <c r="A26" s="1" t="n"/>
      <c r="B26" s="6" t="inlineStr">
        <is>
          <t>QUESTION 2: How long will it take to pay back?</t>
        </is>
      </c>
      <c r="C26" s="7" t="n"/>
      <c r="D26" s="7" t="n"/>
      <c r="E26" s="7" t="n"/>
      <c r="F26" s="7" t="n"/>
      <c r="G26" s="1" t="n"/>
    </row>
    <row r="27" ht="33.95" customHeight="1">
      <c r="A27" s="1" t="n"/>
      <c r="B27" s="4" t="inlineStr">
        <is>
          <t>Monthly payment you can afford</t>
        </is>
      </c>
      <c r="C27" s="10" t="n">
        <v>600</v>
      </c>
      <c r="D27" s="9" t="inlineStr">
        <is>
          <t>What you can pay every month without strain. It uses the amount and the rate above.</t>
        </is>
      </c>
      <c r="E27" s="9" t="n"/>
      <c r="F27" s="9" t="n"/>
      <c r="G27" s="1" t="n"/>
    </row>
    <row r="28" ht="33.95" customHeight="1">
      <c r="A28" s="1" t="n"/>
      <c r="B28" s="16">
        <f>CHOOSE(_Engine!$B$27+1,"Enter the amount and a monthly payment","Never paid back at this amount","Paid back in "&amp;_Engine!$B$26)</f>
        <v/>
      </c>
      <c r="C28" s="16" t="n"/>
      <c r="D28" s="16" t="n"/>
      <c r="E28" s="16" t="n"/>
      <c r="F28" s="16" t="n"/>
      <c r="G28" s="1" t="n"/>
    </row>
    <row r="29" ht="36" customHeight="1">
      <c r="A29" s="1" t="n"/>
      <c r="B29" s="17">
        <f>IF(_Engine!$B$27=2,_Engine!$B$22&amp;IF(_Engine!$B$22=1," payment."," payments.")&amp;" Last payment "&amp;TEXT(_Engine!$B$25,"mmmm yyyy")&amp;". Interest you pay: "&amp;$C$8&amp;TEXT(_Engine!$B$24,"#,##0")&amp;". Total you pay: "&amp;$C$8&amp;TEXT(_Engine!$B$23,"#,##0")&amp;"."&amp;IF(_Engine!$B$22&gt;120," That is longer than 10 years, which this page isn't built for.",""),IF(_Engine!$B$27=1,"At "&amp;$C$8&amp;TEXT($C$27,"#,##0")&amp;" a month the loan is never paid back: its first month's interest is "&amp;$C$8&amp;TEXT(_Engine!$B$29,"#,##0")&amp;". Paying it back in 10 years takes "&amp;$C$8&amp;TEXT(_Engine!$B$28,"#,##0")&amp;" a month.",""))</f>
        <v/>
      </c>
      <c r="C29" s="17" t="n"/>
      <c r="D29" s="17" t="n"/>
      <c r="E29" s="17" t="n"/>
      <c r="F29" s="17" t="n"/>
      <c r="G29" s="1" t="n"/>
    </row>
    <row r="30" ht="24" customHeight="1">
      <c r="A30" s="1" t="n"/>
      <c r="B30" s="17">
        <f>IF(AND(_Engine!$B$27=2,_Engine!$B$15=2),"With "&amp;$C$8&amp;TEXT($C$27,"#,##0")&amp;" a month you could borrow "&amp;$C$8&amp;TEXT(_Engine!$B$30,"#,##0")&amp;" over "&amp;_Engine!$B$31&amp;".","")</f>
        <v/>
      </c>
      <c r="C30" s="17" t="n"/>
      <c r="D30" s="17" t="n"/>
      <c r="E30" s="17" t="n"/>
      <c r="F30" s="17" t="n"/>
      <c r="G30" s="1" t="n"/>
    </row>
    <row r="31">
      <c r="A31" s="1" t="n"/>
      <c r="B31" s="1" t="n"/>
      <c r="C31" s="1" t="n"/>
      <c r="D31" s="1" t="n"/>
      <c r="E31" s="1" t="n"/>
      <c r="F31" s="1" t="n"/>
      <c r="G31" s="1" t="n"/>
    </row>
    <row r="32" ht="26.1" customHeight="1">
      <c r="A32" s="1" t="n"/>
      <c r="B32" s="6" t="inlineStr">
        <is>
          <t>QUESTION 3: How long should I spread it?</t>
        </is>
      </c>
      <c r="C32" s="7" t="n"/>
      <c r="D32" s="7" t="n"/>
      <c r="E32" s="7" t="n"/>
      <c r="F32" s="7" t="n"/>
      <c r="G32" s="1" t="n"/>
    </row>
    <row r="33" ht="33.95" customHeight="1">
      <c r="A33" s="1" t="n"/>
      <c r="B33" s="23" t="inlineStr">
        <is>
          <t>Length</t>
        </is>
      </c>
      <c r="C33" s="23" t="inlineStr">
        <is>
          <t>Rate for this length (optional)</t>
        </is>
      </c>
      <c r="D33" s="23" t="inlineStr">
        <is>
          <t>Per month</t>
        </is>
      </c>
      <c r="E33" s="23" t="inlineStr">
        <is>
          <t>Interest</t>
        </is>
      </c>
      <c r="F33" s="23" t="inlineStr">
        <is>
          <t>Total paid</t>
        </is>
      </c>
      <c r="G33" s="1" t="n"/>
    </row>
    <row r="34" ht="24" customHeight="1">
      <c r="A34" s="1" t="n"/>
      <c r="B34" s="18" t="inlineStr">
        <is>
          <t>2 years</t>
        </is>
      </c>
      <c r="C34" s="11" t="n"/>
      <c r="D34" s="19">
        <f>IF(_Engine!$B$2&gt;0,ROUND(_Engine!$D$41,0),"")</f>
        <v/>
      </c>
      <c r="E34" s="19">
        <f>IF(_Engine!$B$2&gt;0,ROUND(_Engine!$E$41,0),"")</f>
        <v/>
      </c>
      <c r="F34" s="19">
        <f>IF(_Engine!$B$2&gt;0,ROUND(_Engine!$F$41,0),"")</f>
        <v/>
      </c>
      <c r="G34" s="1" t="n"/>
    </row>
    <row r="35" ht="24" customHeight="1">
      <c r="A35" s="1" t="n"/>
      <c r="B35" s="18" t="inlineStr">
        <is>
          <t>3 years</t>
        </is>
      </c>
      <c r="C35" s="11" t="n"/>
      <c r="D35" s="19">
        <f>IF(_Engine!$B$2&gt;0,ROUND(_Engine!$D$42,0),"")</f>
        <v/>
      </c>
      <c r="E35" s="19">
        <f>IF(_Engine!$B$2&gt;0,ROUND(_Engine!$E$42,0),"")</f>
        <v/>
      </c>
      <c r="F35" s="19">
        <f>IF(_Engine!$B$2&gt;0,ROUND(_Engine!$F$42,0),"")</f>
        <v/>
      </c>
      <c r="G35" s="1" t="n"/>
    </row>
    <row r="36" ht="24" customHeight="1">
      <c r="A36" s="1" t="n"/>
      <c r="B36" s="18" t="inlineStr">
        <is>
          <t>4 years</t>
        </is>
      </c>
      <c r="C36" s="11" t="n"/>
      <c r="D36" s="19">
        <f>IF(_Engine!$B$2&gt;0,ROUND(_Engine!$D$43,0),"")</f>
        <v/>
      </c>
      <c r="E36" s="19">
        <f>IF(_Engine!$B$2&gt;0,ROUND(_Engine!$E$43,0),"")</f>
        <v/>
      </c>
      <c r="F36" s="19">
        <f>IF(_Engine!$B$2&gt;0,ROUND(_Engine!$F$43,0),"")</f>
        <v/>
      </c>
      <c r="G36" s="1" t="n"/>
    </row>
    <row r="37" ht="24" customHeight="1">
      <c r="A37" s="1" t="n"/>
      <c r="B37" s="18" t="inlineStr">
        <is>
          <t>5 years</t>
        </is>
      </c>
      <c r="C37" s="11" t="n"/>
      <c r="D37" s="19">
        <f>IF(_Engine!$B$2&gt;0,ROUND(_Engine!$D$44,0),"")</f>
        <v/>
      </c>
      <c r="E37" s="19">
        <f>IF(_Engine!$B$2&gt;0,ROUND(_Engine!$E$44,0),"")</f>
        <v/>
      </c>
      <c r="F37" s="19">
        <f>IF(_Engine!$B$2&gt;0,ROUND(_Engine!$F$44,0),"")</f>
        <v/>
      </c>
      <c r="G37" s="1" t="n"/>
    </row>
    <row r="38" ht="24" customHeight="1">
      <c r="A38" s="1" t="n"/>
      <c r="B38" s="18" t="inlineStr">
        <is>
          <t>6 years</t>
        </is>
      </c>
      <c r="C38" s="11" t="n"/>
      <c r="D38" s="19">
        <f>IF(_Engine!$B$2&gt;0,ROUND(_Engine!$D$45,0),"")</f>
        <v/>
      </c>
      <c r="E38" s="19">
        <f>IF(_Engine!$B$2&gt;0,ROUND(_Engine!$E$45,0),"")</f>
        <v/>
      </c>
      <c r="F38" s="19">
        <f>IF(_Engine!$B$2&gt;0,ROUND(_Engine!$F$45,0),"")</f>
        <v/>
      </c>
      <c r="G38" s="1" t="n"/>
    </row>
    <row r="39" ht="24" customHeight="1">
      <c r="A39" s="1" t="n"/>
      <c r="B39" s="18" t="inlineStr">
        <is>
          <t>7 years</t>
        </is>
      </c>
      <c r="C39" s="11" t="n"/>
      <c r="D39" s="19">
        <f>IF(_Engine!$B$2&gt;0,ROUND(_Engine!$D$46,0),"")</f>
        <v/>
      </c>
      <c r="E39" s="19">
        <f>IF(_Engine!$B$2&gt;0,ROUND(_Engine!$E$46,0),"")</f>
        <v/>
      </c>
      <c r="F39" s="19">
        <f>IF(_Engine!$B$2&gt;0,ROUND(_Engine!$F$46,0),"")</f>
        <v/>
      </c>
      <c r="G39" s="1" t="n"/>
    </row>
    <row r="40" ht="24" customHeight="1">
      <c r="A40" s="1" t="n"/>
      <c r="B40" s="17">
        <f>IF(_Engine!$B$2&gt;0,"From 3 to 7 years, the monthly payment falls by "&amp;$C$8&amp;TEXT(ROUND(_Engine!$D$42,0)-ROUND(_Engine!$D$46,0),"#,##0")&amp;" and the interest grows by "&amp;$C$8&amp;TEXT(ROUND(_Engine!$E$46,0)-ROUND(_Engine!$E$42,0),"#,##0")&amp;".","")</f>
        <v/>
      </c>
      <c r="C40" s="17" t="n"/>
      <c r="D40" s="17" t="n"/>
      <c r="E40" s="17" t="n"/>
      <c r="F40" s="17" t="n"/>
      <c r="G40" s="1" t="n"/>
    </row>
    <row r="41" ht="33.95" customHeight="1">
      <c r="A41" s="1" t="n"/>
      <c r="B41" s="13" t="inlineStr">
        <is>
          <t>Leave "Rate for this length" empty to use your rate above. Lenders often charge more for longer loans: if you have a quote, type it. The highlighted row is your length from question 1.</t>
        </is>
      </c>
      <c r="C41" s="13" t="n"/>
      <c r="D41" s="13" t="n"/>
      <c r="E41" s="13" t="n"/>
      <c r="F41" s="13" t="n"/>
      <c r="G41" s="1" t="n"/>
    </row>
    <row r="42" ht="33.95" customHeight="1">
      <c r="A42" s="1" t="n"/>
      <c r="B42" s="13" t="inlineStr">
        <is>
          <t>A fixed rate, one payment at the end of every month, interest each month the yearly rate ÷ 12 on what you still owe, no fees unless you add one: the same rules as the online calculator.</t>
        </is>
      </c>
      <c r="C42" s="13" t="n"/>
      <c r="D42" s="13" t="n"/>
      <c r="E42" s="13" t="n"/>
      <c r="F42" s="13" t="n"/>
      <c r="G42" s="1" t="n"/>
    </row>
    <row r="43">
      <c r="A43" s="1" t="n"/>
      <c r="B43" s="1" t="n"/>
      <c r="C43" s="1" t="n"/>
      <c r="D43" s="1" t="n"/>
      <c r="E43" s="1" t="n"/>
      <c r="F43" s="1" t="n"/>
      <c r="G43" s="1" t="n"/>
    </row>
    <row r="44" ht="26.1" customHeight="1">
      <c r="A44" s="1" t="n"/>
      <c r="B44" s="6" t="inlineStr">
        <is>
          <t>YOUR LOAN, MONTH BY MONTH (question 1)</t>
        </is>
      </c>
      <c r="C44" s="7" t="n"/>
      <c r="D44" s="7" t="n"/>
      <c r="E44" s="7" t="n"/>
      <c r="F44" s="7" t="n"/>
      <c r="G44" s="1" t="n"/>
    </row>
    <row r="45">
      <c r="A45" s="1" t="n"/>
      <c r="B45" s="1" t="n"/>
      <c r="C45" s="1" t="n"/>
      <c r="D45" s="1" t="n"/>
      <c r="E45" s="1" t="n"/>
      <c r="F45" s="1" t="n"/>
      <c r="G45" s="1" t="n"/>
    </row>
    <row r="46">
      <c r="A46" s="1" t="n"/>
      <c r="B46" s="1" t="n"/>
      <c r="C46" s="1" t="n"/>
      <c r="D46" s="1" t="n"/>
      <c r="E46" s="1" t="n"/>
      <c r="F46" s="1" t="n"/>
      <c r="G46" s="1" t="n"/>
    </row>
    <row r="47">
      <c r="A47" s="1" t="n"/>
      <c r="B47" s="1" t="n"/>
      <c r="C47" s="1" t="n"/>
      <c r="D47" s="1" t="n"/>
      <c r="E47" s="1" t="n"/>
      <c r="F47" s="1" t="n"/>
      <c r="G47" s="1" t="n"/>
    </row>
    <row r="48">
      <c r="A48" s="1" t="n"/>
      <c r="B48" s="1" t="n"/>
      <c r="C48" s="1" t="n"/>
      <c r="D48" s="1" t="n"/>
      <c r="E48" s="1" t="n"/>
      <c r="F48" s="1" t="n"/>
      <c r="G48" s="1" t="n"/>
    </row>
    <row r="49">
      <c r="A49" s="1" t="n"/>
      <c r="B49" s="1" t="n"/>
      <c r="C49" s="1" t="n"/>
      <c r="D49" s="1" t="n"/>
      <c r="E49" s="1" t="n"/>
      <c r="F49" s="1" t="n"/>
      <c r="G49" s="1" t="n"/>
    </row>
    <row r="50">
      <c r="A50" s="1" t="n"/>
      <c r="B50" s="1" t="n"/>
      <c r="C50" s="1" t="n"/>
      <c r="D50" s="1" t="n"/>
      <c r="E50" s="1" t="n"/>
      <c r="F50" s="1" t="n"/>
      <c r="G50" s="1" t="n"/>
    </row>
    <row r="51">
      <c r="A51" s="1" t="n"/>
      <c r="B51" s="1" t="n"/>
      <c r="C51" s="1" t="n"/>
      <c r="D51" s="1" t="n"/>
      <c r="E51" s="1" t="n"/>
      <c r="F51" s="1" t="n"/>
      <c r="G51" s="1" t="n"/>
    </row>
    <row r="52">
      <c r="A52" s="1" t="n"/>
      <c r="B52" s="1" t="n"/>
      <c r="C52" s="1" t="n"/>
      <c r="D52" s="1" t="n"/>
      <c r="E52" s="1" t="n"/>
      <c r="F52" s="1" t="n"/>
      <c r="G52" s="1" t="n"/>
    </row>
    <row r="53">
      <c r="A53" s="1" t="n"/>
      <c r="B53" s="1" t="n"/>
      <c r="C53" s="1" t="n"/>
      <c r="D53" s="1" t="n"/>
      <c r="E53" s="1" t="n"/>
      <c r="F53" s="1" t="n"/>
      <c r="G53" s="1" t="n"/>
    </row>
    <row r="54">
      <c r="A54" s="1" t="n"/>
      <c r="B54" s="1" t="n"/>
      <c r="C54" s="1" t="n"/>
      <c r="D54" s="1" t="n"/>
      <c r="E54" s="1" t="n"/>
      <c r="F54" s="1" t="n"/>
      <c r="G54" s="1" t="n"/>
    </row>
    <row r="55">
      <c r="A55" s="1" t="n"/>
      <c r="B55" s="1" t="n"/>
      <c r="C55" s="1" t="n"/>
      <c r="D55" s="1" t="n"/>
      <c r="E55" s="1" t="n"/>
      <c r="F55" s="1" t="n"/>
      <c r="G55" s="1" t="n"/>
    </row>
    <row r="56">
      <c r="A56" s="1" t="n"/>
      <c r="B56" s="1" t="n"/>
      <c r="C56" s="1" t="n"/>
      <c r="D56" s="1" t="n"/>
      <c r="E56" s="1" t="n"/>
      <c r="F56" s="1" t="n"/>
      <c r="G56" s="1" t="n"/>
    </row>
    <row r="57">
      <c r="A57" s="1" t="n"/>
      <c r="B57" s="1" t="n"/>
      <c r="C57" s="1" t="n"/>
      <c r="D57" s="1" t="n"/>
      <c r="E57" s="1" t="n"/>
      <c r="F57" s="1" t="n"/>
      <c r="G57" s="1" t="n"/>
    </row>
    <row r="58">
      <c r="A58" s="1" t="n"/>
      <c r="B58" s="1" t="n"/>
      <c r="C58" s="1" t="n"/>
      <c r="D58" s="1" t="n"/>
      <c r="E58" s="1" t="n"/>
      <c r="F58" s="1" t="n"/>
      <c r="G58" s="1" t="n"/>
    </row>
    <row r="59">
      <c r="A59" s="1" t="n"/>
      <c r="B59" s="1" t="n"/>
      <c r="C59" s="1" t="n"/>
      <c r="D59" s="1" t="n"/>
      <c r="E59" s="1" t="n"/>
      <c r="F59" s="1" t="n"/>
      <c r="G59" s="1" t="n"/>
    </row>
    <row r="60">
      <c r="A60" s="1" t="n"/>
      <c r="B60" s="1" t="n"/>
      <c r="C60" s="1" t="n"/>
      <c r="D60" s="1" t="n"/>
      <c r="E60" s="1" t="n"/>
      <c r="F60" s="1" t="n"/>
      <c r="G60" s="1" t="n"/>
    </row>
    <row r="61" ht="21" customHeight="1">
      <c r="A61" s="1" t="n"/>
      <c r="B61" s="13" t="inlineStr">
        <is>
          <t>What you still owe after each payment. The Breakdown sheet has the numbers.</t>
        </is>
      </c>
      <c r="C61" s="13" t="n"/>
      <c r="D61" s="13" t="n"/>
      <c r="E61" s="13" t="n"/>
      <c r="F61" s="13" t="n"/>
      <c r="G61" s="1" t="n"/>
    </row>
    <row r="62">
      <c r="A62" s="1" t="n"/>
      <c r="B62" s="1" t="n"/>
      <c r="C62" s="1" t="n"/>
      <c r="D62" s="1" t="n"/>
      <c r="E62" s="1" t="n"/>
      <c r="F62" s="1" t="n"/>
      <c r="G62" s="1" t="n"/>
    </row>
    <row r="63">
      <c r="A63" s="1" t="n"/>
      <c r="B63" s="1" t="n"/>
      <c r="C63" s="1" t="n"/>
      <c r="D63" s="1" t="n"/>
      <c r="E63" s="1" t="n"/>
      <c r="F63" s="1" t="n"/>
      <c r="G63" s="1" t="n"/>
    </row>
    <row r="64">
      <c r="A64" s="1" t="n"/>
      <c r="B64" s="1" t="n"/>
      <c r="C64" s="1" t="n"/>
      <c r="D64" s="1" t="n"/>
      <c r="E64" s="1" t="n"/>
      <c r="F64" s="1" t="n"/>
      <c r="G64" s="1" t="n"/>
    </row>
    <row r="65">
      <c r="A65" s="1" t="n"/>
      <c r="B65" s="1" t="n"/>
      <c r="C65" s="1" t="n"/>
      <c r="D65" s="1" t="n"/>
      <c r="E65" s="1" t="n"/>
      <c r="F65" s="1" t="n"/>
      <c r="G65" s="1" t="n"/>
    </row>
    <row r="66">
      <c r="A66" s="1" t="n"/>
      <c r="B66" s="1" t="n"/>
      <c r="C66" s="1" t="n"/>
      <c r="D66" s="1" t="n"/>
      <c r="E66" s="1" t="n"/>
      <c r="F66" s="1" t="n"/>
      <c r="G66" s="1" t="n"/>
    </row>
    <row r="67">
      <c r="A67" s="1" t="n"/>
      <c r="B67" s="1" t="n"/>
      <c r="C67" s="1" t="n"/>
      <c r="D67" s="1" t="n"/>
      <c r="E67" s="1" t="n"/>
      <c r="F67" s="1" t="n"/>
      <c r="G67" s="1" t="n"/>
    </row>
    <row r="68">
      <c r="A68" s="1" t="n"/>
      <c r="B68" s="1" t="n"/>
      <c r="C68" s="1" t="n"/>
      <c r="D68" s="1" t="n"/>
      <c r="E68" s="1" t="n"/>
      <c r="F68" s="1" t="n"/>
      <c r="G68" s="1" t="n"/>
    </row>
    <row r="69">
      <c r="A69" s="1" t="n"/>
      <c r="B69" s="1" t="n"/>
      <c r="C69" s="1" t="n"/>
      <c r="D69" s="1" t="n"/>
      <c r="E69" s="1" t="n"/>
      <c r="F69" s="1" t="n"/>
      <c r="G69" s="1" t="n"/>
    </row>
    <row r="70">
      <c r="A70" s="1" t="n"/>
      <c r="B70" s="1" t="n"/>
      <c r="C70" s="1" t="n"/>
      <c r="D70" s="1" t="n"/>
      <c r="E70" s="1" t="n"/>
      <c r="F70" s="1" t="n"/>
      <c r="G70" s="1" t="n"/>
    </row>
  </sheetData>
  <sheetProtection selectLockedCells="0" selectUnlockedCells="0" sheet="1" objects="0" insertRows="1" insertHyperlinks="1" autoFilter="1" scenarios="0" formatColumns="1" deleteColumns="1" insertColumns="1" pivotTables="1" deleteRows="1" formatCells="0" formatRows="1" sort="1"/>
  <mergeCells count="28">
    <mergeCell ref="B4:F4"/>
    <mergeCell ref="B7:F7"/>
    <mergeCell ref="D11:F11"/>
    <mergeCell ref="D27:F27"/>
    <mergeCell ref="B3:F3"/>
    <mergeCell ref="B18:F18"/>
    <mergeCell ref="D16:F16"/>
    <mergeCell ref="B12:F12"/>
    <mergeCell ref="B2:C2"/>
    <mergeCell ref="D22:F23"/>
    <mergeCell ref="B42:F42"/>
    <mergeCell ref="D9:F9"/>
    <mergeCell ref="B61:F61"/>
    <mergeCell ref="B14:F14"/>
    <mergeCell ref="D8:F8"/>
    <mergeCell ref="B17:F17"/>
    <mergeCell ref="B44:F44"/>
    <mergeCell ref="B29:F29"/>
    <mergeCell ref="E15:F15"/>
    <mergeCell ref="B28:F28"/>
    <mergeCell ref="B40:F40"/>
    <mergeCell ref="D10:F10"/>
    <mergeCell ref="B30:F30"/>
    <mergeCell ref="D19:F19"/>
    <mergeCell ref="B5:F5"/>
    <mergeCell ref="B32:F32"/>
    <mergeCell ref="B26:F26"/>
    <mergeCell ref="B41:F41"/>
  </mergeCells>
  <conditionalFormatting sqref="B34:F39">
    <cfRule type="expression" priority="1" dxfId="0">
      <formula>AND(_Engine!$B$15=2,_Engine!$B$6=(ROW()-32)*12)</formula>
    </cfRule>
  </conditionalFormatting>
  <dataValidations count="13">
    <dataValidation sqref="C9" showDropDown="0" showInputMessage="0" showErrorMessage="1" allowBlank="1" errorTitle="Please check this number" error="Enter an amount up to 150,000. This page is built for loans up to 150,000, not mortgages." type="decimal" operator="between">
      <formula1>0</formula1>
      <formula2>150000</formula2>
    </dataValidation>
    <dataValidation sqref="C10" showDropDown="0" showInputMessage="0" showErrorMessage="1" allowBlank="1" errorTitle="Please check this number" error="Enter a yearly rate from 0% to 60%." type="decimal" operator="between">
      <formula1>0</formula1>
      <formula2>60</formula2>
    </dataValidation>
    <dataValidation sqref="C11" showDropDown="0" showInputMessage="0" showErrorMessage="1" allowBlank="1" errorTitle="Please check this number" error="Enter a month, for example Nov 2026." type="date" operator="between">
      <formula1>36526</formula1>
      <formula2>73415</formula2>
    </dataValidation>
    <dataValidation sqref="C15" showDropDown="0" showInputMessage="0" showErrorMessage="1" allowBlank="1" errorTitle="Please check this number" error="Enter 1 to 10 years, or 12 to 120 months." type="whole" operator="between">
      <formula1>1</formula1>
      <formula2>120</formula2>
    </dataValidation>
    <dataValidation sqref="D15" showDropDown="0" showInputMessage="0" showErrorMessage="1" allowBlank="1" errorTitle="Please check this number" error="Choose Years or Months." type="list">
      <formula1>"Years,Months"</formula1>
    </dataValidation>
    <dataValidation sqref="C16" showDropDown="0" showInputMessage="0" showErrorMessage="1" allowBlank="1" errorTitle="Please check this number" error="Enter a fee from 0% to 20% of the loan." type="decimal" operator="between">
      <formula1>0</formula1>
      <formula2>20</formula2>
    </dataValidation>
    <dataValidation sqref="C27" showDropDown="0" showInputMessage="0" showErrorMessage="1" allowBlank="1" errorTitle="Please check this number" error="Enter what you can pay each month." type="decimal" operator="between">
      <formula1>0</formula1>
      <formula2>100000000</formula2>
    </dataValidation>
    <dataValidation sqref="C34" showDropDown="0" showInputMessage="0" showErrorMessage="1" allowBlank="1" errorTitle="Please check this number" error="Enter a yearly rate from 0% to 60%, or clear the cell." type="decimal" operator="between">
      <formula1>0</formula1>
      <formula2>60</formula2>
    </dataValidation>
    <dataValidation sqref="C35" showDropDown="0" showInputMessage="0" showErrorMessage="1" allowBlank="1" errorTitle="Please check this number" error="Enter a yearly rate from 0% to 60%, or clear the cell." type="decimal" operator="between">
      <formula1>0</formula1>
      <formula2>60</formula2>
    </dataValidation>
    <dataValidation sqref="C36" showDropDown="0" showInputMessage="0" showErrorMessage="1" allowBlank="1" errorTitle="Please check this number" error="Enter a yearly rate from 0% to 60%, or clear the cell." type="decimal" operator="between">
      <formula1>0</formula1>
      <formula2>60</formula2>
    </dataValidation>
    <dataValidation sqref="C37" showDropDown="0" showInputMessage="0" showErrorMessage="1" allowBlank="1" errorTitle="Please check this number" error="Enter a yearly rate from 0% to 60%, or clear the cell." type="decimal" operator="between">
      <formula1>0</formula1>
      <formula2>60</formula2>
    </dataValidation>
    <dataValidation sqref="C38" showDropDown="0" showInputMessage="0" showErrorMessage="1" allowBlank="1" errorTitle="Please check this number" error="Enter a yearly rate from 0% to 60%, or clear the cell." type="decimal" operator="between">
      <formula1>0</formula1>
      <formula2>60</formula2>
    </dataValidation>
    <dataValidation sqref="C39" showDropDown="0" showInputMessage="0" showErrorMessage="1" allowBlank="1" errorTitle="Please check this number" error="Enter a yearly rate from 0% to 60%, or clear the cell." type="decimal" operator="between">
      <formula1>0</formula1>
      <formula2>60</formula2>
    </dataValidation>
  </dataValidations>
  <hyperlinks>
    <hyperlink xmlns:r="http://schemas.openxmlformats.org/officeDocument/2006/relationships" ref="B2" r:id="rId1"/>
    <hyperlink xmlns:r="http://schemas.openxmlformats.org/officeDocument/2006/relationships" ref="B5" r:id="rId2"/>
  </hyperlinks>
  <pageMargins left="0.75" right="0.75" top="1" bottom="1" header="0.5" footer="0.5"/>
  <pageSetup orientation="portrait" fitToHeight="0" fitToWidth="1"/>
  <headerFooter>
    <oddHeader/>
    <oddFooter>&amp;Lneedtheseapps.com&amp;CLoan Payment Calculator&amp;RPage &amp;P of &amp;N</oddFooter>
    <evenHeader/>
    <evenFooter/>
    <firstHeader/>
    <firstFooter/>
  </headerFooter>
  <drawing xmlns:r="http://schemas.openxmlformats.org/officeDocument/2006/relationships" r:id="rId3"/>
</worksheet>
</file>

<file path=xl/worksheets/sheet2.xml><?xml version="1.0" encoding="utf-8"?>
<worksheet xmlns="http://schemas.openxmlformats.org/spreadsheetml/2006/main">
  <sheetPr>
    <outlinePr summaryBelow="1" summaryRight="1"/>
    <pageSetUpPr fitToPage="1"/>
  </sheetPr>
  <dimension ref="A1:F123"/>
  <sheetViews>
    <sheetView showGridLines="0" workbookViewId="0">
      <pane ySplit="3" topLeftCell="A4" activePane="bottomLeft" state="frozen"/>
      <selection pane="bottomLeft" activeCell="A1" sqref="A1"/>
    </sheetView>
  </sheetViews>
  <sheetFormatPr baseColWidth="8" defaultRowHeight="15"/>
  <cols>
    <col width="9" customWidth="1" min="1" max="1"/>
    <col width="12" customWidth="1" min="2" max="2"/>
    <col width="14" customWidth="1" min="3" max="3"/>
    <col width="14" customWidth="1" min="4" max="4"/>
    <col width="16" customWidth="1" min="5" max="5"/>
    <col width="16" customWidth="1" min="6" max="6"/>
  </cols>
  <sheetData>
    <row r="1" ht="30" customHeight="1">
      <c r="A1" s="24" t="inlineStr">
        <is>
          <t>Month-by-month breakdown (question 1)</t>
        </is>
      </c>
      <c r="B1" s="3" t="n"/>
      <c r="C1" s="3" t="n"/>
      <c r="D1" s="3" t="n"/>
      <c r="E1" s="3" t="n"/>
      <c r="F1" s="3" t="n"/>
    </row>
    <row r="2" ht="44.1" customHeight="1">
      <c r="A2" s="25">
        <f>"Each payment, how much of it is interest and how much goes to the loan itself, and what you still owe. Amounts in "&amp;Calculator!$C$8&amp;"."</f>
        <v/>
      </c>
      <c r="B2" s="9" t="n"/>
      <c r="C2" s="9" t="n"/>
      <c r="D2" s="9" t="n"/>
      <c r="E2" s="9" t="n"/>
      <c r="F2" s="9" t="n"/>
    </row>
    <row r="3" ht="36" customHeight="1">
      <c r="A3" s="23" t="inlineStr">
        <is>
          <t>Payment no.</t>
        </is>
      </c>
      <c r="B3" s="23" t="inlineStr">
        <is>
          <t>Month</t>
        </is>
      </c>
      <c r="C3" s="23" t="inlineStr">
        <is>
          <t>Payment</t>
        </is>
      </c>
      <c r="D3" s="23" t="inlineStr">
        <is>
          <t>Interest</t>
        </is>
      </c>
      <c r="E3" s="23" t="inlineStr">
        <is>
          <t>To the loan itself</t>
        </is>
      </c>
      <c r="F3" s="23" t="inlineStr">
        <is>
          <t>Left to pay</t>
        </is>
      </c>
    </row>
    <row r="4">
      <c r="A4" s="26">
        <f>IF(1&lt;=_Engine!$B$32,1,"")</f>
        <v/>
      </c>
      <c r="B4" s="27">
        <f>IF($A4="","",EDATE(_Engine!$B$5,$A4-1))</f>
        <v/>
      </c>
      <c r="C4" s="28">
        <f>IF($A4="","",_Engine!$B$7)</f>
        <v/>
      </c>
      <c r="D4" s="28">
        <f>IF($A4="","",_Engine!$D62)</f>
        <v/>
      </c>
      <c r="E4" s="28">
        <f>IF($A4="","",_Engine!$B$7-_Engine!$D62)</f>
        <v/>
      </c>
      <c r="F4" s="28">
        <f>IF($A4="","",_Engine!$C62)</f>
        <v/>
      </c>
    </row>
    <row r="5">
      <c r="A5" s="26">
        <f>IF(2&lt;=_Engine!$B$32,2,"")</f>
        <v/>
      </c>
      <c r="B5" s="27">
        <f>IF($A5="","",EDATE(_Engine!$B$5,$A5-1))</f>
        <v/>
      </c>
      <c r="C5" s="28">
        <f>IF($A5="","",_Engine!$B$7)</f>
        <v/>
      </c>
      <c r="D5" s="28">
        <f>IF($A5="","",_Engine!$D63)</f>
        <v/>
      </c>
      <c r="E5" s="28">
        <f>IF($A5="","",_Engine!$B$7-_Engine!$D63)</f>
        <v/>
      </c>
      <c r="F5" s="28">
        <f>IF($A5="","",_Engine!$C63)</f>
        <v/>
      </c>
    </row>
    <row r="6">
      <c r="A6" s="26">
        <f>IF(3&lt;=_Engine!$B$32,3,"")</f>
        <v/>
      </c>
      <c r="B6" s="27">
        <f>IF($A6="","",EDATE(_Engine!$B$5,$A6-1))</f>
        <v/>
      </c>
      <c r="C6" s="28">
        <f>IF($A6="","",_Engine!$B$7)</f>
        <v/>
      </c>
      <c r="D6" s="28">
        <f>IF($A6="","",_Engine!$D64)</f>
        <v/>
      </c>
      <c r="E6" s="28">
        <f>IF($A6="","",_Engine!$B$7-_Engine!$D64)</f>
        <v/>
      </c>
      <c r="F6" s="28">
        <f>IF($A6="","",_Engine!$C64)</f>
        <v/>
      </c>
    </row>
    <row r="7">
      <c r="A7" s="26">
        <f>IF(4&lt;=_Engine!$B$32,4,"")</f>
        <v/>
      </c>
      <c r="B7" s="27">
        <f>IF($A7="","",EDATE(_Engine!$B$5,$A7-1))</f>
        <v/>
      </c>
      <c r="C7" s="28">
        <f>IF($A7="","",_Engine!$B$7)</f>
        <v/>
      </c>
      <c r="D7" s="28">
        <f>IF($A7="","",_Engine!$D65)</f>
        <v/>
      </c>
      <c r="E7" s="28">
        <f>IF($A7="","",_Engine!$B$7-_Engine!$D65)</f>
        <v/>
      </c>
      <c r="F7" s="28">
        <f>IF($A7="","",_Engine!$C65)</f>
        <v/>
      </c>
    </row>
    <row r="8">
      <c r="A8" s="26">
        <f>IF(5&lt;=_Engine!$B$32,5,"")</f>
        <v/>
      </c>
      <c r="B8" s="27">
        <f>IF($A8="","",EDATE(_Engine!$B$5,$A8-1))</f>
        <v/>
      </c>
      <c r="C8" s="28">
        <f>IF($A8="","",_Engine!$B$7)</f>
        <v/>
      </c>
      <c r="D8" s="28">
        <f>IF($A8="","",_Engine!$D66)</f>
        <v/>
      </c>
      <c r="E8" s="28">
        <f>IF($A8="","",_Engine!$B$7-_Engine!$D66)</f>
        <v/>
      </c>
      <c r="F8" s="28">
        <f>IF($A8="","",_Engine!$C66)</f>
        <v/>
      </c>
    </row>
    <row r="9">
      <c r="A9" s="26">
        <f>IF(6&lt;=_Engine!$B$32,6,"")</f>
        <v/>
      </c>
      <c r="B9" s="27">
        <f>IF($A9="","",EDATE(_Engine!$B$5,$A9-1))</f>
        <v/>
      </c>
      <c r="C9" s="28">
        <f>IF($A9="","",_Engine!$B$7)</f>
        <v/>
      </c>
      <c r="D9" s="28">
        <f>IF($A9="","",_Engine!$D67)</f>
        <v/>
      </c>
      <c r="E9" s="28">
        <f>IF($A9="","",_Engine!$B$7-_Engine!$D67)</f>
        <v/>
      </c>
      <c r="F9" s="28">
        <f>IF($A9="","",_Engine!$C67)</f>
        <v/>
      </c>
    </row>
    <row r="10">
      <c r="A10" s="26">
        <f>IF(7&lt;=_Engine!$B$32,7,"")</f>
        <v/>
      </c>
      <c r="B10" s="27">
        <f>IF($A10="","",EDATE(_Engine!$B$5,$A10-1))</f>
        <v/>
      </c>
      <c r="C10" s="28">
        <f>IF($A10="","",_Engine!$B$7)</f>
        <v/>
      </c>
      <c r="D10" s="28">
        <f>IF($A10="","",_Engine!$D68)</f>
        <v/>
      </c>
      <c r="E10" s="28">
        <f>IF($A10="","",_Engine!$B$7-_Engine!$D68)</f>
        <v/>
      </c>
      <c r="F10" s="28">
        <f>IF($A10="","",_Engine!$C68)</f>
        <v/>
      </c>
    </row>
    <row r="11">
      <c r="A11" s="26">
        <f>IF(8&lt;=_Engine!$B$32,8,"")</f>
        <v/>
      </c>
      <c r="B11" s="27">
        <f>IF($A11="","",EDATE(_Engine!$B$5,$A11-1))</f>
        <v/>
      </c>
      <c r="C11" s="28">
        <f>IF($A11="","",_Engine!$B$7)</f>
        <v/>
      </c>
      <c r="D11" s="28">
        <f>IF($A11="","",_Engine!$D69)</f>
        <v/>
      </c>
      <c r="E11" s="28">
        <f>IF($A11="","",_Engine!$B$7-_Engine!$D69)</f>
        <v/>
      </c>
      <c r="F11" s="28">
        <f>IF($A11="","",_Engine!$C69)</f>
        <v/>
      </c>
    </row>
    <row r="12">
      <c r="A12" s="26">
        <f>IF(9&lt;=_Engine!$B$32,9,"")</f>
        <v/>
      </c>
      <c r="B12" s="27">
        <f>IF($A12="","",EDATE(_Engine!$B$5,$A12-1))</f>
        <v/>
      </c>
      <c r="C12" s="28">
        <f>IF($A12="","",_Engine!$B$7)</f>
        <v/>
      </c>
      <c r="D12" s="28">
        <f>IF($A12="","",_Engine!$D70)</f>
        <v/>
      </c>
      <c r="E12" s="28">
        <f>IF($A12="","",_Engine!$B$7-_Engine!$D70)</f>
        <v/>
      </c>
      <c r="F12" s="28">
        <f>IF($A12="","",_Engine!$C70)</f>
        <v/>
      </c>
    </row>
    <row r="13">
      <c r="A13" s="26">
        <f>IF(10&lt;=_Engine!$B$32,10,"")</f>
        <v/>
      </c>
      <c r="B13" s="27">
        <f>IF($A13="","",EDATE(_Engine!$B$5,$A13-1))</f>
        <v/>
      </c>
      <c r="C13" s="28">
        <f>IF($A13="","",_Engine!$B$7)</f>
        <v/>
      </c>
      <c r="D13" s="28">
        <f>IF($A13="","",_Engine!$D71)</f>
        <v/>
      </c>
      <c r="E13" s="28">
        <f>IF($A13="","",_Engine!$B$7-_Engine!$D71)</f>
        <v/>
      </c>
      <c r="F13" s="28">
        <f>IF($A13="","",_Engine!$C71)</f>
        <v/>
      </c>
    </row>
    <row r="14">
      <c r="A14" s="26">
        <f>IF(11&lt;=_Engine!$B$32,11,"")</f>
        <v/>
      </c>
      <c r="B14" s="27">
        <f>IF($A14="","",EDATE(_Engine!$B$5,$A14-1))</f>
        <v/>
      </c>
      <c r="C14" s="28">
        <f>IF($A14="","",_Engine!$B$7)</f>
        <v/>
      </c>
      <c r="D14" s="28">
        <f>IF($A14="","",_Engine!$D72)</f>
        <v/>
      </c>
      <c r="E14" s="28">
        <f>IF($A14="","",_Engine!$B$7-_Engine!$D72)</f>
        <v/>
      </c>
      <c r="F14" s="28">
        <f>IF($A14="","",_Engine!$C72)</f>
        <v/>
      </c>
    </row>
    <row r="15">
      <c r="A15" s="26">
        <f>IF(12&lt;=_Engine!$B$32,12,"")</f>
        <v/>
      </c>
      <c r="B15" s="27">
        <f>IF($A15="","",EDATE(_Engine!$B$5,$A15-1))</f>
        <v/>
      </c>
      <c r="C15" s="28">
        <f>IF($A15="","",_Engine!$B$7)</f>
        <v/>
      </c>
      <c r="D15" s="28">
        <f>IF($A15="","",_Engine!$D73)</f>
        <v/>
      </c>
      <c r="E15" s="28">
        <f>IF($A15="","",_Engine!$B$7-_Engine!$D73)</f>
        <v/>
      </c>
      <c r="F15" s="28">
        <f>IF($A15="","",_Engine!$C73)</f>
        <v/>
      </c>
    </row>
    <row r="16">
      <c r="A16" s="26">
        <f>IF(13&lt;=_Engine!$B$32,13,"")</f>
        <v/>
      </c>
      <c r="B16" s="27">
        <f>IF($A16="","",EDATE(_Engine!$B$5,$A16-1))</f>
        <v/>
      </c>
      <c r="C16" s="28">
        <f>IF($A16="","",_Engine!$B$7)</f>
        <v/>
      </c>
      <c r="D16" s="28">
        <f>IF($A16="","",_Engine!$D74)</f>
        <v/>
      </c>
      <c r="E16" s="28">
        <f>IF($A16="","",_Engine!$B$7-_Engine!$D74)</f>
        <v/>
      </c>
      <c r="F16" s="28">
        <f>IF($A16="","",_Engine!$C74)</f>
        <v/>
      </c>
    </row>
    <row r="17">
      <c r="A17" s="26">
        <f>IF(14&lt;=_Engine!$B$32,14,"")</f>
        <v/>
      </c>
      <c r="B17" s="27">
        <f>IF($A17="","",EDATE(_Engine!$B$5,$A17-1))</f>
        <v/>
      </c>
      <c r="C17" s="28">
        <f>IF($A17="","",_Engine!$B$7)</f>
        <v/>
      </c>
      <c r="D17" s="28">
        <f>IF($A17="","",_Engine!$D75)</f>
        <v/>
      </c>
      <c r="E17" s="28">
        <f>IF($A17="","",_Engine!$B$7-_Engine!$D75)</f>
        <v/>
      </c>
      <c r="F17" s="28">
        <f>IF($A17="","",_Engine!$C75)</f>
        <v/>
      </c>
    </row>
    <row r="18">
      <c r="A18" s="26">
        <f>IF(15&lt;=_Engine!$B$32,15,"")</f>
        <v/>
      </c>
      <c r="B18" s="27">
        <f>IF($A18="","",EDATE(_Engine!$B$5,$A18-1))</f>
        <v/>
      </c>
      <c r="C18" s="28">
        <f>IF($A18="","",_Engine!$B$7)</f>
        <v/>
      </c>
      <c r="D18" s="28">
        <f>IF($A18="","",_Engine!$D76)</f>
        <v/>
      </c>
      <c r="E18" s="28">
        <f>IF($A18="","",_Engine!$B$7-_Engine!$D76)</f>
        <v/>
      </c>
      <c r="F18" s="28">
        <f>IF($A18="","",_Engine!$C76)</f>
        <v/>
      </c>
    </row>
    <row r="19">
      <c r="A19" s="26">
        <f>IF(16&lt;=_Engine!$B$32,16,"")</f>
        <v/>
      </c>
      <c r="B19" s="27">
        <f>IF($A19="","",EDATE(_Engine!$B$5,$A19-1))</f>
        <v/>
      </c>
      <c r="C19" s="28">
        <f>IF($A19="","",_Engine!$B$7)</f>
        <v/>
      </c>
      <c r="D19" s="28">
        <f>IF($A19="","",_Engine!$D77)</f>
        <v/>
      </c>
      <c r="E19" s="28">
        <f>IF($A19="","",_Engine!$B$7-_Engine!$D77)</f>
        <v/>
      </c>
      <c r="F19" s="28">
        <f>IF($A19="","",_Engine!$C77)</f>
        <v/>
      </c>
    </row>
    <row r="20">
      <c r="A20" s="26">
        <f>IF(17&lt;=_Engine!$B$32,17,"")</f>
        <v/>
      </c>
      <c r="B20" s="27">
        <f>IF($A20="","",EDATE(_Engine!$B$5,$A20-1))</f>
        <v/>
      </c>
      <c r="C20" s="28">
        <f>IF($A20="","",_Engine!$B$7)</f>
        <v/>
      </c>
      <c r="D20" s="28">
        <f>IF($A20="","",_Engine!$D78)</f>
        <v/>
      </c>
      <c r="E20" s="28">
        <f>IF($A20="","",_Engine!$B$7-_Engine!$D78)</f>
        <v/>
      </c>
      <c r="F20" s="28">
        <f>IF($A20="","",_Engine!$C78)</f>
        <v/>
      </c>
    </row>
    <row r="21">
      <c r="A21" s="26">
        <f>IF(18&lt;=_Engine!$B$32,18,"")</f>
        <v/>
      </c>
      <c r="B21" s="27">
        <f>IF($A21="","",EDATE(_Engine!$B$5,$A21-1))</f>
        <v/>
      </c>
      <c r="C21" s="28">
        <f>IF($A21="","",_Engine!$B$7)</f>
        <v/>
      </c>
      <c r="D21" s="28">
        <f>IF($A21="","",_Engine!$D79)</f>
        <v/>
      </c>
      <c r="E21" s="28">
        <f>IF($A21="","",_Engine!$B$7-_Engine!$D79)</f>
        <v/>
      </c>
      <c r="F21" s="28">
        <f>IF($A21="","",_Engine!$C79)</f>
        <v/>
      </c>
    </row>
    <row r="22">
      <c r="A22" s="26">
        <f>IF(19&lt;=_Engine!$B$32,19,"")</f>
        <v/>
      </c>
      <c r="B22" s="27">
        <f>IF($A22="","",EDATE(_Engine!$B$5,$A22-1))</f>
        <v/>
      </c>
      <c r="C22" s="28">
        <f>IF($A22="","",_Engine!$B$7)</f>
        <v/>
      </c>
      <c r="D22" s="28">
        <f>IF($A22="","",_Engine!$D80)</f>
        <v/>
      </c>
      <c r="E22" s="28">
        <f>IF($A22="","",_Engine!$B$7-_Engine!$D80)</f>
        <v/>
      </c>
      <c r="F22" s="28">
        <f>IF($A22="","",_Engine!$C80)</f>
        <v/>
      </c>
    </row>
    <row r="23">
      <c r="A23" s="26">
        <f>IF(20&lt;=_Engine!$B$32,20,"")</f>
        <v/>
      </c>
      <c r="B23" s="27">
        <f>IF($A23="","",EDATE(_Engine!$B$5,$A23-1))</f>
        <v/>
      </c>
      <c r="C23" s="28">
        <f>IF($A23="","",_Engine!$B$7)</f>
        <v/>
      </c>
      <c r="D23" s="28">
        <f>IF($A23="","",_Engine!$D81)</f>
        <v/>
      </c>
      <c r="E23" s="28">
        <f>IF($A23="","",_Engine!$B$7-_Engine!$D81)</f>
        <v/>
      </c>
      <c r="F23" s="28">
        <f>IF($A23="","",_Engine!$C81)</f>
        <v/>
      </c>
    </row>
    <row r="24">
      <c r="A24" s="26">
        <f>IF(21&lt;=_Engine!$B$32,21,"")</f>
        <v/>
      </c>
      <c r="B24" s="27">
        <f>IF($A24="","",EDATE(_Engine!$B$5,$A24-1))</f>
        <v/>
      </c>
      <c r="C24" s="28">
        <f>IF($A24="","",_Engine!$B$7)</f>
        <v/>
      </c>
      <c r="D24" s="28">
        <f>IF($A24="","",_Engine!$D82)</f>
        <v/>
      </c>
      <c r="E24" s="28">
        <f>IF($A24="","",_Engine!$B$7-_Engine!$D82)</f>
        <v/>
      </c>
      <c r="F24" s="28">
        <f>IF($A24="","",_Engine!$C82)</f>
        <v/>
      </c>
    </row>
    <row r="25">
      <c r="A25" s="26">
        <f>IF(22&lt;=_Engine!$B$32,22,"")</f>
        <v/>
      </c>
      <c r="B25" s="27">
        <f>IF($A25="","",EDATE(_Engine!$B$5,$A25-1))</f>
        <v/>
      </c>
      <c r="C25" s="28">
        <f>IF($A25="","",_Engine!$B$7)</f>
        <v/>
      </c>
      <c r="D25" s="28">
        <f>IF($A25="","",_Engine!$D83)</f>
        <v/>
      </c>
      <c r="E25" s="28">
        <f>IF($A25="","",_Engine!$B$7-_Engine!$D83)</f>
        <v/>
      </c>
      <c r="F25" s="28">
        <f>IF($A25="","",_Engine!$C83)</f>
        <v/>
      </c>
    </row>
    <row r="26">
      <c r="A26" s="26">
        <f>IF(23&lt;=_Engine!$B$32,23,"")</f>
        <v/>
      </c>
      <c r="B26" s="27">
        <f>IF($A26="","",EDATE(_Engine!$B$5,$A26-1))</f>
        <v/>
      </c>
      <c r="C26" s="28">
        <f>IF($A26="","",_Engine!$B$7)</f>
        <v/>
      </c>
      <c r="D26" s="28">
        <f>IF($A26="","",_Engine!$D84)</f>
        <v/>
      </c>
      <c r="E26" s="28">
        <f>IF($A26="","",_Engine!$B$7-_Engine!$D84)</f>
        <v/>
      </c>
      <c r="F26" s="28">
        <f>IF($A26="","",_Engine!$C84)</f>
        <v/>
      </c>
    </row>
    <row r="27">
      <c r="A27" s="26">
        <f>IF(24&lt;=_Engine!$B$32,24,"")</f>
        <v/>
      </c>
      <c r="B27" s="27">
        <f>IF($A27="","",EDATE(_Engine!$B$5,$A27-1))</f>
        <v/>
      </c>
      <c r="C27" s="28">
        <f>IF($A27="","",_Engine!$B$7)</f>
        <v/>
      </c>
      <c r="D27" s="28">
        <f>IF($A27="","",_Engine!$D85)</f>
        <v/>
      </c>
      <c r="E27" s="28">
        <f>IF($A27="","",_Engine!$B$7-_Engine!$D85)</f>
        <v/>
      </c>
      <c r="F27" s="28">
        <f>IF($A27="","",_Engine!$C85)</f>
        <v/>
      </c>
    </row>
    <row r="28">
      <c r="A28" s="26">
        <f>IF(25&lt;=_Engine!$B$32,25,"")</f>
        <v/>
      </c>
      <c r="B28" s="27">
        <f>IF($A28="","",EDATE(_Engine!$B$5,$A28-1))</f>
        <v/>
      </c>
      <c r="C28" s="28">
        <f>IF($A28="","",_Engine!$B$7)</f>
        <v/>
      </c>
      <c r="D28" s="28">
        <f>IF($A28="","",_Engine!$D86)</f>
        <v/>
      </c>
      <c r="E28" s="28">
        <f>IF($A28="","",_Engine!$B$7-_Engine!$D86)</f>
        <v/>
      </c>
      <c r="F28" s="28">
        <f>IF($A28="","",_Engine!$C86)</f>
        <v/>
      </c>
    </row>
    <row r="29">
      <c r="A29" s="26">
        <f>IF(26&lt;=_Engine!$B$32,26,"")</f>
        <v/>
      </c>
      <c r="B29" s="27">
        <f>IF($A29="","",EDATE(_Engine!$B$5,$A29-1))</f>
        <v/>
      </c>
      <c r="C29" s="28">
        <f>IF($A29="","",_Engine!$B$7)</f>
        <v/>
      </c>
      <c r="D29" s="28">
        <f>IF($A29="","",_Engine!$D87)</f>
        <v/>
      </c>
      <c r="E29" s="28">
        <f>IF($A29="","",_Engine!$B$7-_Engine!$D87)</f>
        <v/>
      </c>
      <c r="F29" s="28">
        <f>IF($A29="","",_Engine!$C87)</f>
        <v/>
      </c>
    </row>
    <row r="30">
      <c r="A30" s="26">
        <f>IF(27&lt;=_Engine!$B$32,27,"")</f>
        <v/>
      </c>
      <c r="B30" s="27">
        <f>IF($A30="","",EDATE(_Engine!$B$5,$A30-1))</f>
        <v/>
      </c>
      <c r="C30" s="28">
        <f>IF($A30="","",_Engine!$B$7)</f>
        <v/>
      </c>
      <c r="D30" s="28">
        <f>IF($A30="","",_Engine!$D88)</f>
        <v/>
      </c>
      <c r="E30" s="28">
        <f>IF($A30="","",_Engine!$B$7-_Engine!$D88)</f>
        <v/>
      </c>
      <c r="F30" s="28">
        <f>IF($A30="","",_Engine!$C88)</f>
        <v/>
      </c>
    </row>
    <row r="31">
      <c r="A31" s="26">
        <f>IF(28&lt;=_Engine!$B$32,28,"")</f>
        <v/>
      </c>
      <c r="B31" s="27">
        <f>IF($A31="","",EDATE(_Engine!$B$5,$A31-1))</f>
        <v/>
      </c>
      <c r="C31" s="28">
        <f>IF($A31="","",_Engine!$B$7)</f>
        <v/>
      </c>
      <c r="D31" s="28">
        <f>IF($A31="","",_Engine!$D89)</f>
        <v/>
      </c>
      <c r="E31" s="28">
        <f>IF($A31="","",_Engine!$B$7-_Engine!$D89)</f>
        <v/>
      </c>
      <c r="F31" s="28">
        <f>IF($A31="","",_Engine!$C89)</f>
        <v/>
      </c>
    </row>
    <row r="32">
      <c r="A32" s="26">
        <f>IF(29&lt;=_Engine!$B$32,29,"")</f>
        <v/>
      </c>
      <c r="B32" s="27">
        <f>IF($A32="","",EDATE(_Engine!$B$5,$A32-1))</f>
        <v/>
      </c>
      <c r="C32" s="28">
        <f>IF($A32="","",_Engine!$B$7)</f>
        <v/>
      </c>
      <c r="D32" s="28">
        <f>IF($A32="","",_Engine!$D90)</f>
        <v/>
      </c>
      <c r="E32" s="28">
        <f>IF($A32="","",_Engine!$B$7-_Engine!$D90)</f>
        <v/>
      </c>
      <c r="F32" s="28">
        <f>IF($A32="","",_Engine!$C90)</f>
        <v/>
      </c>
    </row>
    <row r="33">
      <c r="A33" s="26">
        <f>IF(30&lt;=_Engine!$B$32,30,"")</f>
        <v/>
      </c>
      <c r="B33" s="27">
        <f>IF($A33="","",EDATE(_Engine!$B$5,$A33-1))</f>
        <v/>
      </c>
      <c r="C33" s="28">
        <f>IF($A33="","",_Engine!$B$7)</f>
        <v/>
      </c>
      <c r="D33" s="28">
        <f>IF($A33="","",_Engine!$D91)</f>
        <v/>
      </c>
      <c r="E33" s="28">
        <f>IF($A33="","",_Engine!$B$7-_Engine!$D91)</f>
        <v/>
      </c>
      <c r="F33" s="28">
        <f>IF($A33="","",_Engine!$C91)</f>
        <v/>
      </c>
    </row>
    <row r="34">
      <c r="A34" s="26">
        <f>IF(31&lt;=_Engine!$B$32,31,"")</f>
        <v/>
      </c>
      <c r="B34" s="27">
        <f>IF($A34="","",EDATE(_Engine!$B$5,$A34-1))</f>
        <v/>
      </c>
      <c r="C34" s="28">
        <f>IF($A34="","",_Engine!$B$7)</f>
        <v/>
      </c>
      <c r="D34" s="28">
        <f>IF($A34="","",_Engine!$D92)</f>
        <v/>
      </c>
      <c r="E34" s="28">
        <f>IF($A34="","",_Engine!$B$7-_Engine!$D92)</f>
        <v/>
      </c>
      <c r="F34" s="28">
        <f>IF($A34="","",_Engine!$C92)</f>
        <v/>
      </c>
    </row>
    <row r="35">
      <c r="A35" s="26">
        <f>IF(32&lt;=_Engine!$B$32,32,"")</f>
        <v/>
      </c>
      <c r="B35" s="27">
        <f>IF($A35="","",EDATE(_Engine!$B$5,$A35-1))</f>
        <v/>
      </c>
      <c r="C35" s="28">
        <f>IF($A35="","",_Engine!$B$7)</f>
        <v/>
      </c>
      <c r="D35" s="28">
        <f>IF($A35="","",_Engine!$D93)</f>
        <v/>
      </c>
      <c r="E35" s="28">
        <f>IF($A35="","",_Engine!$B$7-_Engine!$D93)</f>
        <v/>
      </c>
      <c r="F35" s="28">
        <f>IF($A35="","",_Engine!$C93)</f>
        <v/>
      </c>
    </row>
    <row r="36">
      <c r="A36" s="26">
        <f>IF(33&lt;=_Engine!$B$32,33,"")</f>
        <v/>
      </c>
      <c r="B36" s="27">
        <f>IF($A36="","",EDATE(_Engine!$B$5,$A36-1))</f>
        <v/>
      </c>
      <c r="C36" s="28">
        <f>IF($A36="","",_Engine!$B$7)</f>
        <v/>
      </c>
      <c r="D36" s="28">
        <f>IF($A36="","",_Engine!$D94)</f>
        <v/>
      </c>
      <c r="E36" s="28">
        <f>IF($A36="","",_Engine!$B$7-_Engine!$D94)</f>
        <v/>
      </c>
      <c r="F36" s="28">
        <f>IF($A36="","",_Engine!$C94)</f>
        <v/>
      </c>
    </row>
    <row r="37">
      <c r="A37" s="26">
        <f>IF(34&lt;=_Engine!$B$32,34,"")</f>
        <v/>
      </c>
      <c r="B37" s="27">
        <f>IF($A37="","",EDATE(_Engine!$B$5,$A37-1))</f>
        <v/>
      </c>
      <c r="C37" s="28">
        <f>IF($A37="","",_Engine!$B$7)</f>
        <v/>
      </c>
      <c r="D37" s="28">
        <f>IF($A37="","",_Engine!$D95)</f>
        <v/>
      </c>
      <c r="E37" s="28">
        <f>IF($A37="","",_Engine!$B$7-_Engine!$D95)</f>
        <v/>
      </c>
      <c r="F37" s="28">
        <f>IF($A37="","",_Engine!$C95)</f>
        <v/>
      </c>
    </row>
    <row r="38">
      <c r="A38" s="26">
        <f>IF(35&lt;=_Engine!$B$32,35,"")</f>
        <v/>
      </c>
      <c r="B38" s="27">
        <f>IF($A38="","",EDATE(_Engine!$B$5,$A38-1))</f>
        <v/>
      </c>
      <c r="C38" s="28">
        <f>IF($A38="","",_Engine!$B$7)</f>
        <v/>
      </c>
      <c r="D38" s="28">
        <f>IF($A38="","",_Engine!$D96)</f>
        <v/>
      </c>
      <c r="E38" s="28">
        <f>IF($A38="","",_Engine!$B$7-_Engine!$D96)</f>
        <v/>
      </c>
      <c r="F38" s="28">
        <f>IF($A38="","",_Engine!$C96)</f>
        <v/>
      </c>
    </row>
    <row r="39">
      <c r="A39" s="26">
        <f>IF(36&lt;=_Engine!$B$32,36,"")</f>
        <v/>
      </c>
      <c r="B39" s="27">
        <f>IF($A39="","",EDATE(_Engine!$B$5,$A39-1))</f>
        <v/>
      </c>
      <c r="C39" s="28">
        <f>IF($A39="","",_Engine!$B$7)</f>
        <v/>
      </c>
      <c r="D39" s="28">
        <f>IF($A39="","",_Engine!$D97)</f>
        <v/>
      </c>
      <c r="E39" s="28">
        <f>IF($A39="","",_Engine!$B$7-_Engine!$D97)</f>
        <v/>
      </c>
      <c r="F39" s="28">
        <f>IF($A39="","",_Engine!$C97)</f>
        <v/>
      </c>
    </row>
    <row r="40">
      <c r="A40" s="26">
        <f>IF(37&lt;=_Engine!$B$32,37,"")</f>
        <v/>
      </c>
      <c r="B40" s="27">
        <f>IF($A40="","",EDATE(_Engine!$B$5,$A40-1))</f>
        <v/>
      </c>
      <c r="C40" s="28">
        <f>IF($A40="","",_Engine!$B$7)</f>
        <v/>
      </c>
      <c r="D40" s="28">
        <f>IF($A40="","",_Engine!$D98)</f>
        <v/>
      </c>
      <c r="E40" s="28">
        <f>IF($A40="","",_Engine!$B$7-_Engine!$D98)</f>
        <v/>
      </c>
      <c r="F40" s="28">
        <f>IF($A40="","",_Engine!$C98)</f>
        <v/>
      </c>
    </row>
    <row r="41">
      <c r="A41" s="26">
        <f>IF(38&lt;=_Engine!$B$32,38,"")</f>
        <v/>
      </c>
      <c r="B41" s="27">
        <f>IF($A41="","",EDATE(_Engine!$B$5,$A41-1))</f>
        <v/>
      </c>
      <c r="C41" s="28">
        <f>IF($A41="","",_Engine!$B$7)</f>
        <v/>
      </c>
      <c r="D41" s="28">
        <f>IF($A41="","",_Engine!$D99)</f>
        <v/>
      </c>
      <c r="E41" s="28">
        <f>IF($A41="","",_Engine!$B$7-_Engine!$D99)</f>
        <v/>
      </c>
      <c r="F41" s="28">
        <f>IF($A41="","",_Engine!$C99)</f>
        <v/>
      </c>
    </row>
    <row r="42">
      <c r="A42" s="26">
        <f>IF(39&lt;=_Engine!$B$32,39,"")</f>
        <v/>
      </c>
      <c r="B42" s="27">
        <f>IF($A42="","",EDATE(_Engine!$B$5,$A42-1))</f>
        <v/>
      </c>
      <c r="C42" s="28">
        <f>IF($A42="","",_Engine!$B$7)</f>
        <v/>
      </c>
      <c r="D42" s="28">
        <f>IF($A42="","",_Engine!$D100)</f>
        <v/>
      </c>
      <c r="E42" s="28">
        <f>IF($A42="","",_Engine!$B$7-_Engine!$D100)</f>
        <v/>
      </c>
      <c r="F42" s="28">
        <f>IF($A42="","",_Engine!$C100)</f>
        <v/>
      </c>
    </row>
    <row r="43">
      <c r="A43" s="26">
        <f>IF(40&lt;=_Engine!$B$32,40,"")</f>
        <v/>
      </c>
      <c r="B43" s="27">
        <f>IF($A43="","",EDATE(_Engine!$B$5,$A43-1))</f>
        <v/>
      </c>
      <c r="C43" s="28">
        <f>IF($A43="","",_Engine!$B$7)</f>
        <v/>
      </c>
      <c r="D43" s="28">
        <f>IF($A43="","",_Engine!$D101)</f>
        <v/>
      </c>
      <c r="E43" s="28">
        <f>IF($A43="","",_Engine!$B$7-_Engine!$D101)</f>
        <v/>
      </c>
      <c r="F43" s="28">
        <f>IF($A43="","",_Engine!$C101)</f>
        <v/>
      </c>
    </row>
    <row r="44">
      <c r="A44" s="26">
        <f>IF(41&lt;=_Engine!$B$32,41,"")</f>
        <v/>
      </c>
      <c r="B44" s="27">
        <f>IF($A44="","",EDATE(_Engine!$B$5,$A44-1))</f>
        <v/>
      </c>
      <c r="C44" s="28">
        <f>IF($A44="","",_Engine!$B$7)</f>
        <v/>
      </c>
      <c r="D44" s="28">
        <f>IF($A44="","",_Engine!$D102)</f>
        <v/>
      </c>
      <c r="E44" s="28">
        <f>IF($A44="","",_Engine!$B$7-_Engine!$D102)</f>
        <v/>
      </c>
      <c r="F44" s="28">
        <f>IF($A44="","",_Engine!$C102)</f>
        <v/>
      </c>
    </row>
    <row r="45">
      <c r="A45" s="26">
        <f>IF(42&lt;=_Engine!$B$32,42,"")</f>
        <v/>
      </c>
      <c r="B45" s="27">
        <f>IF($A45="","",EDATE(_Engine!$B$5,$A45-1))</f>
        <v/>
      </c>
      <c r="C45" s="28">
        <f>IF($A45="","",_Engine!$B$7)</f>
        <v/>
      </c>
      <c r="D45" s="28">
        <f>IF($A45="","",_Engine!$D103)</f>
        <v/>
      </c>
      <c r="E45" s="28">
        <f>IF($A45="","",_Engine!$B$7-_Engine!$D103)</f>
        <v/>
      </c>
      <c r="F45" s="28">
        <f>IF($A45="","",_Engine!$C103)</f>
        <v/>
      </c>
    </row>
    <row r="46">
      <c r="A46" s="26">
        <f>IF(43&lt;=_Engine!$B$32,43,"")</f>
        <v/>
      </c>
      <c r="B46" s="27">
        <f>IF($A46="","",EDATE(_Engine!$B$5,$A46-1))</f>
        <v/>
      </c>
      <c r="C46" s="28">
        <f>IF($A46="","",_Engine!$B$7)</f>
        <v/>
      </c>
      <c r="D46" s="28">
        <f>IF($A46="","",_Engine!$D104)</f>
        <v/>
      </c>
      <c r="E46" s="28">
        <f>IF($A46="","",_Engine!$B$7-_Engine!$D104)</f>
        <v/>
      </c>
      <c r="F46" s="28">
        <f>IF($A46="","",_Engine!$C104)</f>
        <v/>
      </c>
    </row>
    <row r="47">
      <c r="A47" s="26">
        <f>IF(44&lt;=_Engine!$B$32,44,"")</f>
        <v/>
      </c>
      <c r="B47" s="27">
        <f>IF($A47="","",EDATE(_Engine!$B$5,$A47-1))</f>
        <v/>
      </c>
      <c r="C47" s="28">
        <f>IF($A47="","",_Engine!$B$7)</f>
        <v/>
      </c>
      <c r="D47" s="28">
        <f>IF($A47="","",_Engine!$D105)</f>
        <v/>
      </c>
      <c r="E47" s="28">
        <f>IF($A47="","",_Engine!$B$7-_Engine!$D105)</f>
        <v/>
      </c>
      <c r="F47" s="28">
        <f>IF($A47="","",_Engine!$C105)</f>
        <v/>
      </c>
    </row>
    <row r="48">
      <c r="A48" s="26">
        <f>IF(45&lt;=_Engine!$B$32,45,"")</f>
        <v/>
      </c>
      <c r="B48" s="27">
        <f>IF($A48="","",EDATE(_Engine!$B$5,$A48-1))</f>
        <v/>
      </c>
      <c r="C48" s="28">
        <f>IF($A48="","",_Engine!$B$7)</f>
        <v/>
      </c>
      <c r="D48" s="28">
        <f>IF($A48="","",_Engine!$D106)</f>
        <v/>
      </c>
      <c r="E48" s="28">
        <f>IF($A48="","",_Engine!$B$7-_Engine!$D106)</f>
        <v/>
      </c>
      <c r="F48" s="28">
        <f>IF($A48="","",_Engine!$C106)</f>
        <v/>
      </c>
    </row>
    <row r="49">
      <c r="A49" s="26">
        <f>IF(46&lt;=_Engine!$B$32,46,"")</f>
        <v/>
      </c>
      <c r="B49" s="27">
        <f>IF($A49="","",EDATE(_Engine!$B$5,$A49-1))</f>
        <v/>
      </c>
      <c r="C49" s="28">
        <f>IF($A49="","",_Engine!$B$7)</f>
        <v/>
      </c>
      <c r="D49" s="28">
        <f>IF($A49="","",_Engine!$D107)</f>
        <v/>
      </c>
      <c r="E49" s="28">
        <f>IF($A49="","",_Engine!$B$7-_Engine!$D107)</f>
        <v/>
      </c>
      <c r="F49" s="28">
        <f>IF($A49="","",_Engine!$C107)</f>
        <v/>
      </c>
    </row>
    <row r="50">
      <c r="A50" s="26">
        <f>IF(47&lt;=_Engine!$B$32,47,"")</f>
        <v/>
      </c>
      <c r="B50" s="27">
        <f>IF($A50="","",EDATE(_Engine!$B$5,$A50-1))</f>
        <v/>
      </c>
      <c r="C50" s="28">
        <f>IF($A50="","",_Engine!$B$7)</f>
        <v/>
      </c>
      <c r="D50" s="28">
        <f>IF($A50="","",_Engine!$D108)</f>
        <v/>
      </c>
      <c r="E50" s="28">
        <f>IF($A50="","",_Engine!$B$7-_Engine!$D108)</f>
        <v/>
      </c>
      <c r="F50" s="28">
        <f>IF($A50="","",_Engine!$C108)</f>
        <v/>
      </c>
    </row>
    <row r="51">
      <c r="A51" s="26">
        <f>IF(48&lt;=_Engine!$B$32,48,"")</f>
        <v/>
      </c>
      <c r="B51" s="27">
        <f>IF($A51="","",EDATE(_Engine!$B$5,$A51-1))</f>
        <v/>
      </c>
      <c r="C51" s="28">
        <f>IF($A51="","",_Engine!$B$7)</f>
        <v/>
      </c>
      <c r="D51" s="28">
        <f>IF($A51="","",_Engine!$D109)</f>
        <v/>
      </c>
      <c r="E51" s="28">
        <f>IF($A51="","",_Engine!$B$7-_Engine!$D109)</f>
        <v/>
      </c>
      <c r="F51" s="28">
        <f>IF($A51="","",_Engine!$C109)</f>
        <v/>
      </c>
    </row>
    <row r="52">
      <c r="A52" s="26">
        <f>IF(49&lt;=_Engine!$B$32,49,"")</f>
        <v/>
      </c>
      <c r="B52" s="27">
        <f>IF($A52="","",EDATE(_Engine!$B$5,$A52-1))</f>
        <v/>
      </c>
      <c r="C52" s="28">
        <f>IF($A52="","",_Engine!$B$7)</f>
        <v/>
      </c>
      <c r="D52" s="28">
        <f>IF($A52="","",_Engine!$D110)</f>
        <v/>
      </c>
      <c r="E52" s="28">
        <f>IF($A52="","",_Engine!$B$7-_Engine!$D110)</f>
        <v/>
      </c>
      <c r="F52" s="28">
        <f>IF($A52="","",_Engine!$C110)</f>
        <v/>
      </c>
    </row>
    <row r="53">
      <c r="A53" s="26">
        <f>IF(50&lt;=_Engine!$B$32,50,"")</f>
        <v/>
      </c>
      <c r="B53" s="27">
        <f>IF($A53="","",EDATE(_Engine!$B$5,$A53-1))</f>
        <v/>
      </c>
      <c r="C53" s="28">
        <f>IF($A53="","",_Engine!$B$7)</f>
        <v/>
      </c>
      <c r="D53" s="28">
        <f>IF($A53="","",_Engine!$D111)</f>
        <v/>
      </c>
      <c r="E53" s="28">
        <f>IF($A53="","",_Engine!$B$7-_Engine!$D111)</f>
        <v/>
      </c>
      <c r="F53" s="28">
        <f>IF($A53="","",_Engine!$C111)</f>
        <v/>
      </c>
    </row>
    <row r="54">
      <c r="A54" s="26">
        <f>IF(51&lt;=_Engine!$B$32,51,"")</f>
        <v/>
      </c>
      <c r="B54" s="27">
        <f>IF($A54="","",EDATE(_Engine!$B$5,$A54-1))</f>
        <v/>
      </c>
      <c r="C54" s="28">
        <f>IF($A54="","",_Engine!$B$7)</f>
        <v/>
      </c>
      <c r="D54" s="28">
        <f>IF($A54="","",_Engine!$D112)</f>
        <v/>
      </c>
      <c r="E54" s="28">
        <f>IF($A54="","",_Engine!$B$7-_Engine!$D112)</f>
        <v/>
      </c>
      <c r="F54" s="28">
        <f>IF($A54="","",_Engine!$C112)</f>
        <v/>
      </c>
    </row>
    <row r="55">
      <c r="A55" s="26">
        <f>IF(52&lt;=_Engine!$B$32,52,"")</f>
        <v/>
      </c>
      <c r="B55" s="27">
        <f>IF($A55="","",EDATE(_Engine!$B$5,$A55-1))</f>
        <v/>
      </c>
      <c r="C55" s="28">
        <f>IF($A55="","",_Engine!$B$7)</f>
        <v/>
      </c>
      <c r="D55" s="28">
        <f>IF($A55="","",_Engine!$D113)</f>
        <v/>
      </c>
      <c r="E55" s="28">
        <f>IF($A55="","",_Engine!$B$7-_Engine!$D113)</f>
        <v/>
      </c>
      <c r="F55" s="28">
        <f>IF($A55="","",_Engine!$C113)</f>
        <v/>
      </c>
    </row>
    <row r="56">
      <c r="A56" s="26">
        <f>IF(53&lt;=_Engine!$B$32,53,"")</f>
        <v/>
      </c>
      <c r="B56" s="27">
        <f>IF($A56="","",EDATE(_Engine!$B$5,$A56-1))</f>
        <v/>
      </c>
      <c r="C56" s="28">
        <f>IF($A56="","",_Engine!$B$7)</f>
        <v/>
      </c>
      <c r="D56" s="28">
        <f>IF($A56="","",_Engine!$D114)</f>
        <v/>
      </c>
      <c r="E56" s="28">
        <f>IF($A56="","",_Engine!$B$7-_Engine!$D114)</f>
        <v/>
      </c>
      <c r="F56" s="28">
        <f>IF($A56="","",_Engine!$C114)</f>
        <v/>
      </c>
    </row>
    <row r="57">
      <c r="A57" s="26">
        <f>IF(54&lt;=_Engine!$B$32,54,"")</f>
        <v/>
      </c>
      <c r="B57" s="27">
        <f>IF($A57="","",EDATE(_Engine!$B$5,$A57-1))</f>
        <v/>
      </c>
      <c r="C57" s="28">
        <f>IF($A57="","",_Engine!$B$7)</f>
        <v/>
      </c>
      <c r="D57" s="28">
        <f>IF($A57="","",_Engine!$D115)</f>
        <v/>
      </c>
      <c r="E57" s="28">
        <f>IF($A57="","",_Engine!$B$7-_Engine!$D115)</f>
        <v/>
      </c>
      <c r="F57" s="28">
        <f>IF($A57="","",_Engine!$C115)</f>
        <v/>
      </c>
    </row>
    <row r="58">
      <c r="A58" s="26">
        <f>IF(55&lt;=_Engine!$B$32,55,"")</f>
        <v/>
      </c>
      <c r="B58" s="27">
        <f>IF($A58="","",EDATE(_Engine!$B$5,$A58-1))</f>
        <v/>
      </c>
      <c r="C58" s="28">
        <f>IF($A58="","",_Engine!$B$7)</f>
        <v/>
      </c>
      <c r="D58" s="28">
        <f>IF($A58="","",_Engine!$D116)</f>
        <v/>
      </c>
      <c r="E58" s="28">
        <f>IF($A58="","",_Engine!$B$7-_Engine!$D116)</f>
        <v/>
      </c>
      <c r="F58" s="28">
        <f>IF($A58="","",_Engine!$C116)</f>
        <v/>
      </c>
    </row>
    <row r="59">
      <c r="A59" s="26">
        <f>IF(56&lt;=_Engine!$B$32,56,"")</f>
        <v/>
      </c>
      <c r="B59" s="27">
        <f>IF($A59="","",EDATE(_Engine!$B$5,$A59-1))</f>
        <v/>
      </c>
      <c r="C59" s="28">
        <f>IF($A59="","",_Engine!$B$7)</f>
        <v/>
      </c>
      <c r="D59" s="28">
        <f>IF($A59="","",_Engine!$D117)</f>
        <v/>
      </c>
      <c r="E59" s="28">
        <f>IF($A59="","",_Engine!$B$7-_Engine!$D117)</f>
        <v/>
      </c>
      <c r="F59" s="28">
        <f>IF($A59="","",_Engine!$C117)</f>
        <v/>
      </c>
    </row>
    <row r="60">
      <c r="A60" s="26">
        <f>IF(57&lt;=_Engine!$B$32,57,"")</f>
        <v/>
      </c>
      <c r="B60" s="27">
        <f>IF($A60="","",EDATE(_Engine!$B$5,$A60-1))</f>
        <v/>
      </c>
      <c r="C60" s="28">
        <f>IF($A60="","",_Engine!$B$7)</f>
        <v/>
      </c>
      <c r="D60" s="28">
        <f>IF($A60="","",_Engine!$D118)</f>
        <v/>
      </c>
      <c r="E60" s="28">
        <f>IF($A60="","",_Engine!$B$7-_Engine!$D118)</f>
        <v/>
      </c>
      <c r="F60" s="28">
        <f>IF($A60="","",_Engine!$C118)</f>
        <v/>
      </c>
    </row>
    <row r="61">
      <c r="A61" s="26">
        <f>IF(58&lt;=_Engine!$B$32,58,"")</f>
        <v/>
      </c>
      <c r="B61" s="27">
        <f>IF($A61="","",EDATE(_Engine!$B$5,$A61-1))</f>
        <v/>
      </c>
      <c r="C61" s="28">
        <f>IF($A61="","",_Engine!$B$7)</f>
        <v/>
      </c>
      <c r="D61" s="28">
        <f>IF($A61="","",_Engine!$D119)</f>
        <v/>
      </c>
      <c r="E61" s="28">
        <f>IF($A61="","",_Engine!$B$7-_Engine!$D119)</f>
        <v/>
      </c>
      <c r="F61" s="28">
        <f>IF($A61="","",_Engine!$C119)</f>
        <v/>
      </c>
    </row>
    <row r="62">
      <c r="A62" s="26">
        <f>IF(59&lt;=_Engine!$B$32,59,"")</f>
        <v/>
      </c>
      <c r="B62" s="27">
        <f>IF($A62="","",EDATE(_Engine!$B$5,$A62-1))</f>
        <v/>
      </c>
      <c r="C62" s="28">
        <f>IF($A62="","",_Engine!$B$7)</f>
        <v/>
      </c>
      <c r="D62" s="28">
        <f>IF($A62="","",_Engine!$D120)</f>
        <v/>
      </c>
      <c r="E62" s="28">
        <f>IF($A62="","",_Engine!$B$7-_Engine!$D120)</f>
        <v/>
      </c>
      <c r="F62" s="28">
        <f>IF($A62="","",_Engine!$C120)</f>
        <v/>
      </c>
    </row>
    <row r="63">
      <c r="A63" s="26">
        <f>IF(60&lt;=_Engine!$B$32,60,"")</f>
        <v/>
      </c>
      <c r="B63" s="27">
        <f>IF($A63="","",EDATE(_Engine!$B$5,$A63-1))</f>
        <v/>
      </c>
      <c r="C63" s="28">
        <f>IF($A63="","",_Engine!$B$7)</f>
        <v/>
      </c>
      <c r="D63" s="28">
        <f>IF($A63="","",_Engine!$D121)</f>
        <v/>
      </c>
      <c r="E63" s="28">
        <f>IF($A63="","",_Engine!$B$7-_Engine!$D121)</f>
        <v/>
      </c>
      <c r="F63" s="28">
        <f>IF($A63="","",_Engine!$C121)</f>
        <v/>
      </c>
    </row>
    <row r="64">
      <c r="A64" s="26">
        <f>IF(61&lt;=_Engine!$B$32,61,"")</f>
        <v/>
      </c>
      <c r="B64" s="27">
        <f>IF($A64="","",EDATE(_Engine!$B$5,$A64-1))</f>
        <v/>
      </c>
      <c r="C64" s="28">
        <f>IF($A64="","",_Engine!$B$7)</f>
        <v/>
      </c>
      <c r="D64" s="28">
        <f>IF($A64="","",_Engine!$D122)</f>
        <v/>
      </c>
      <c r="E64" s="28">
        <f>IF($A64="","",_Engine!$B$7-_Engine!$D122)</f>
        <v/>
      </c>
      <c r="F64" s="28">
        <f>IF($A64="","",_Engine!$C122)</f>
        <v/>
      </c>
    </row>
    <row r="65">
      <c r="A65" s="26">
        <f>IF(62&lt;=_Engine!$B$32,62,"")</f>
        <v/>
      </c>
      <c r="B65" s="27">
        <f>IF($A65="","",EDATE(_Engine!$B$5,$A65-1))</f>
        <v/>
      </c>
      <c r="C65" s="28">
        <f>IF($A65="","",_Engine!$B$7)</f>
        <v/>
      </c>
      <c r="D65" s="28">
        <f>IF($A65="","",_Engine!$D123)</f>
        <v/>
      </c>
      <c r="E65" s="28">
        <f>IF($A65="","",_Engine!$B$7-_Engine!$D123)</f>
        <v/>
      </c>
      <c r="F65" s="28">
        <f>IF($A65="","",_Engine!$C123)</f>
        <v/>
      </c>
    </row>
    <row r="66">
      <c r="A66" s="26">
        <f>IF(63&lt;=_Engine!$B$32,63,"")</f>
        <v/>
      </c>
      <c r="B66" s="27">
        <f>IF($A66="","",EDATE(_Engine!$B$5,$A66-1))</f>
        <v/>
      </c>
      <c r="C66" s="28">
        <f>IF($A66="","",_Engine!$B$7)</f>
        <v/>
      </c>
      <c r="D66" s="28">
        <f>IF($A66="","",_Engine!$D124)</f>
        <v/>
      </c>
      <c r="E66" s="28">
        <f>IF($A66="","",_Engine!$B$7-_Engine!$D124)</f>
        <v/>
      </c>
      <c r="F66" s="28">
        <f>IF($A66="","",_Engine!$C124)</f>
        <v/>
      </c>
    </row>
    <row r="67">
      <c r="A67" s="26">
        <f>IF(64&lt;=_Engine!$B$32,64,"")</f>
        <v/>
      </c>
      <c r="B67" s="27">
        <f>IF($A67="","",EDATE(_Engine!$B$5,$A67-1))</f>
        <v/>
      </c>
      <c r="C67" s="28">
        <f>IF($A67="","",_Engine!$B$7)</f>
        <v/>
      </c>
      <c r="D67" s="28">
        <f>IF($A67="","",_Engine!$D125)</f>
        <v/>
      </c>
      <c r="E67" s="28">
        <f>IF($A67="","",_Engine!$B$7-_Engine!$D125)</f>
        <v/>
      </c>
      <c r="F67" s="28">
        <f>IF($A67="","",_Engine!$C125)</f>
        <v/>
      </c>
    </row>
    <row r="68">
      <c r="A68" s="26">
        <f>IF(65&lt;=_Engine!$B$32,65,"")</f>
        <v/>
      </c>
      <c r="B68" s="27">
        <f>IF($A68="","",EDATE(_Engine!$B$5,$A68-1))</f>
        <v/>
      </c>
      <c r="C68" s="28">
        <f>IF($A68="","",_Engine!$B$7)</f>
        <v/>
      </c>
      <c r="D68" s="28">
        <f>IF($A68="","",_Engine!$D126)</f>
        <v/>
      </c>
      <c r="E68" s="28">
        <f>IF($A68="","",_Engine!$B$7-_Engine!$D126)</f>
        <v/>
      </c>
      <c r="F68" s="28">
        <f>IF($A68="","",_Engine!$C126)</f>
        <v/>
      </c>
    </row>
    <row r="69">
      <c r="A69" s="26">
        <f>IF(66&lt;=_Engine!$B$32,66,"")</f>
        <v/>
      </c>
      <c r="B69" s="27">
        <f>IF($A69="","",EDATE(_Engine!$B$5,$A69-1))</f>
        <v/>
      </c>
      <c r="C69" s="28">
        <f>IF($A69="","",_Engine!$B$7)</f>
        <v/>
      </c>
      <c r="D69" s="28">
        <f>IF($A69="","",_Engine!$D127)</f>
        <v/>
      </c>
      <c r="E69" s="28">
        <f>IF($A69="","",_Engine!$B$7-_Engine!$D127)</f>
        <v/>
      </c>
      <c r="F69" s="28">
        <f>IF($A69="","",_Engine!$C127)</f>
        <v/>
      </c>
    </row>
    <row r="70">
      <c r="A70" s="26">
        <f>IF(67&lt;=_Engine!$B$32,67,"")</f>
        <v/>
      </c>
      <c r="B70" s="27">
        <f>IF($A70="","",EDATE(_Engine!$B$5,$A70-1))</f>
        <v/>
      </c>
      <c r="C70" s="28">
        <f>IF($A70="","",_Engine!$B$7)</f>
        <v/>
      </c>
      <c r="D70" s="28">
        <f>IF($A70="","",_Engine!$D128)</f>
        <v/>
      </c>
      <c r="E70" s="28">
        <f>IF($A70="","",_Engine!$B$7-_Engine!$D128)</f>
        <v/>
      </c>
      <c r="F70" s="28">
        <f>IF($A70="","",_Engine!$C128)</f>
        <v/>
      </c>
    </row>
    <row r="71">
      <c r="A71" s="26">
        <f>IF(68&lt;=_Engine!$B$32,68,"")</f>
        <v/>
      </c>
      <c r="B71" s="27">
        <f>IF($A71="","",EDATE(_Engine!$B$5,$A71-1))</f>
        <v/>
      </c>
      <c r="C71" s="28">
        <f>IF($A71="","",_Engine!$B$7)</f>
        <v/>
      </c>
      <c r="D71" s="28">
        <f>IF($A71="","",_Engine!$D129)</f>
        <v/>
      </c>
      <c r="E71" s="28">
        <f>IF($A71="","",_Engine!$B$7-_Engine!$D129)</f>
        <v/>
      </c>
      <c r="F71" s="28">
        <f>IF($A71="","",_Engine!$C129)</f>
        <v/>
      </c>
    </row>
    <row r="72">
      <c r="A72" s="26">
        <f>IF(69&lt;=_Engine!$B$32,69,"")</f>
        <v/>
      </c>
      <c r="B72" s="27">
        <f>IF($A72="","",EDATE(_Engine!$B$5,$A72-1))</f>
        <v/>
      </c>
      <c r="C72" s="28">
        <f>IF($A72="","",_Engine!$B$7)</f>
        <v/>
      </c>
      <c r="D72" s="28">
        <f>IF($A72="","",_Engine!$D130)</f>
        <v/>
      </c>
      <c r="E72" s="28">
        <f>IF($A72="","",_Engine!$B$7-_Engine!$D130)</f>
        <v/>
      </c>
      <c r="F72" s="28">
        <f>IF($A72="","",_Engine!$C130)</f>
        <v/>
      </c>
    </row>
    <row r="73">
      <c r="A73" s="26">
        <f>IF(70&lt;=_Engine!$B$32,70,"")</f>
        <v/>
      </c>
      <c r="B73" s="27">
        <f>IF($A73="","",EDATE(_Engine!$B$5,$A73-1))</f>
        <v/>
      </c>
      <c r="C73" s="28">
        <f>IF($A73="","",_Engine!$B$7)</f>
        <v/>
      </c>
      <c r="D73" s="28">
        <f>IF($A73="","",_Engine!$D131)</f>
        <v/>
      </c>
      <c r="E73" s="28">
        <f>IF($A73="","",_Engine!$B$7-_Engine!$D131)</f>
        <v/>
      </c>
      <c r="F73" s="28">
        <f>IF($A73="","",_Engine!$C131)</f>
        <v/>
      </c>
    </row>
    <row r="74">
      <c r="A74" s="26">
        <f>IF(71&lt;=_Engine!$B$32,71,"")</f>
        <v/>
      </c>
      <c r="B74" s="27">
        <f>IF($A74="","",EDATE(_Engine!$B$5,$A74-1))</f>
        <v/>
      </c>
      <c r="C74" s="28">
        <f>IF($A74="","",_Engine!$B$7)</f>
        <v/>
      </c>
      <c r="D74" s="28">
        <f>IF($A74="","",_Engine!$D132)</f>
        <v/>
      </c>
      <c r="E74" s="28">
        <f>IF($A74="","",_Engine!$B$7-_Engine!$D132)</f>
        <v/>
      </c>
      <c r="F74" s="28">
        <f>IF($A74="","",_Engine!$C132)</f>
        <v/>
      </c>
    </row>
    <row r="75">
      <c r="A75" s="26">
        <f>IF(72&lt;=_Engine!$B$32,72,"")</f>
        <v/>
      </c>
      <c r="B75" s="27">
        <f>IF($A75="","",EDATE(_Engine!$B$5,$A75-1))</f>
        <v/>
      </c>
      <c r="C75" s="28">
        <f>IF($A75="","",_Engine!$B$7)</f>
        <v/>
      </c>
      <c r="D75" s="28">
        <f>IF($A75="","",_Engine!$D133)</f>
        <v/>
      </c>
      <c r="E75" s="28">
        <f>IF($A75="","",_Engine!$B$7-_Engine!$D133)</f>
        <v/>
      </c>
      <c r="F75" s="28">
        <f>IF($A75="","",_Engine!$C133)</f>
        <v/>
      </c>
    </row>
    <row r="76">
      <c r="A76" s="26">
        <f>IF(73&lt;=_Engine!$B$32,73,"")</f>
        <v/>
      </c>
      <c r="B76" s="27">
        <f>IF($A76="","",EDATE(_Engine!$B$5,$A76-1))</f>
        <v/>
      </c>
      <c r="C76" s="28">
        <f>IF($A76="","",_Engine!$B$7)</f>
        <v/>
      </c>
      <c r="D76" s="28">
        <f>IF($A76="","",_Engine!$D134)</f>
        <v/>
      </c>
      <c r="E76" s="28">
        <f>IF($A76="","",_Engine!$B$7-_Engine!$D134)</f>
        <v/>
      </c>
      <c r="F76" s="28">
        <f>IF($A76="","",_Engine!$C134)</f>
        <v/>
      </c>
    </row>
    <row r="77">
      <c r="A77" s="26">
        <f>IF(74&lt;=_Engine!$B$32,74,"")</f>
        <v/>
      </c>
      <c r="B77" s="27">
        <f>IF($A77="","",EDATE(_Engine!$B$5,$A77-1))</f>
        <v/>
      </c>
      <c r="C77" s="28">
        <f>IF($A77="","",_Engine!$B$7)</f>
        <v/>
      </c>
      <c r="D77" s="28">
        <f>IF($A77="","",_Engine!$D135)</f>
        <v/>
      </c>
      <c r="E77" s="28">
        <f>IF($A77="","",_Engine!$B$7-_Engine!$D135)</f>
        <v/>
      </c>
      <c r="F77" s="28">
        <f>IF($A77="","",_Engine!$C135)</f>
        <v/>
      </c>
    </row>
    <row r="78">
      <c r="A78" s="26">
        <f>IF(75&lt;=_Engine!$B$32,75,"")</f>
        <v/>
      </c>
      <c r="B78" s="27">
        <f>IF($A78="","",EDATE(_Engine!$B$5,$A78-1))</f>
        <v/>
      </c>
      <c r="C78" s="28">
        <f>IF($A78="","",_Engine!$B$7)</f>
        <v/>
      </c>
      <c r="D78" s="28">
        <f>IF($A78="","",_Engine!$D136)</f>
        <v/>
      </c>
      <c r="E78" s="28">
        <f>IF($A78="","",_Engine!$B$7-_Engine!$D136)</f>
        <v/>
      </c>
      <c r="F78" s="28">
        <f>IF($A78="","",_Engine!$C136)</f>
        <v/>
      </c>
    </row>
    <row r="79">
      <c r="A79" s="26">
        <f>IF(76&lt;=_Engine!$B$32,76,"")</f>
        <v/>
      </c>
      <c r="B79" s="27">
        <f>IF($A79="","",EDATE(_Engine!$B$5,$A79-1))</f>
        <v/>
      </c>
      <c r="C79" s="28">
        <f>IF($A79="","",_Engine!$B$7)</f>
        <v/>
      </c>
      <c r="D79" s="28">
        <f>IF($A79="","",_Engine!$D137)</f>
        <v/>
      </c>
      <c r="E79" s="28">
        <f>IF($A79="","",_Engine!$B$7-_Engine!$D137)</f>
        <v/>
      </c>
      <c r="F79" s="28">
        <f>IF($A79="","",_Engine!$C137)</f>
        <v/>
      </c>
    </row>
    <row r="80">
      <c r="A80" s="26">
        <f>IF(77&lt;=_Engine!$B$32,77,"")</f>
        <v/>
      </c>
      <c r="B80" s="27">
        <f>IF($A80="","",EDATE(_Engine!$B$5,$A80-1))</f>
        <v/>
      </c>
      <c r="C80" s="28">
        <f>IF($A80="","",_Engine!$B$7)</f>
        <v/>
      </c>
      <c r="D80" s="28">
        <f>IF($A80="","",_Engine!$D138)</f>
        <v/>
      </c>
      <c r="E80" s="28">
        <f>IF($A80="","",_Engine!$B$7-_Engine!$D138)</f>
        <v/>
      </c>
      <c r="F80" s="28">
        <f>IF($A80="","",_Engine!$C138)</f>
        <v/>
      </c>
    </row>
    <row r="81">
      <c r="A81" s="26">
        <f>IF(78&lt;=_Engine!$B$32,78,"")</f>
        <v/>
      </c>
      <c r="B81" s="27">
        <f>IF($A81="","",EDATE(_Engine!$B$5,$A81-1))</f>
        <v/>
      </c>
      <c r="C81" s="28">
        <f>IF($A81="","",_Engine!$B$7)</f>
        <v/>
      </c>
      <c r="D81" s="28">
        <f>IF($A81="","",_Engine!$D139)</f>
        <v/>
      </c>
      <c r="E81" s="28">
        <f>IF($A81="","",_Engine!$B$7-_Engine!$D139)</f>
        <v/>
      </c>
      <c r="F81" s="28">
        <f>IF($A81="","",_Engine!$C139)</f>
        <v/>
      </c>
    </row>
    <row r="82">
      <c r="A82" s="26">
        <f>IF(79&lt;=_Engine!$B$32,79,"")</f>
        <v/>
      </c>
      <c r="B82" s="27">
        <f>IF($A82="","",EDATE(_Engine!$B$5,$A82-1))</f>
        <v/>
      </c>
      <c r="C82" s="28">
        <f>IF($A82="","",_Engine!$B$7)</f>
        <v/>
      </c>
      <c r="D82" s="28">
        <f>IF($A82="","",_Engine!$D140)</f>
        <v/>
      </c>
      <c r="E82" s="28">
        <f>IF($A82="","",_Engine!$B$7-_Engine!$D140)</f>
        <v/>
      </c>
      <c r="F82" s="28">
        <f>IF($A82="","",_Engine!$C140)</f>
        <v/>
      </c>
    </row>
    <row r="83">
      <c r="A83" s="26">
        <f>IF(80&lt;=_Engine!$B$32,80,"")</f>
        <v/>
      </c>
      <c r="B83" s="27">
        <f>IF($A83="","",EDATE(_Engine!$B$5,$A83-1))</f>
        <v/>
      </c>
      <c r="C83" s="28">
        <f>IF($A83="","",_Engine!$B$7)</f>
        <v/>
      </c>
      <c r="D83" s="28">
        <f>IF($A83="","",_Engine!$D141)</f>
        <v/>
      </c>
      <c r="E83" s="28">
        <f>IF($A83="","",_Engine!$B$7-_Engine!$D141)</f>
        <v/>
      </c>
      <c r="F83" s="28">
        <f>IF($A83="","",_Engine!$C141)</f>
        <v/>
      </c>
    </row>
    <row r="84">
      <c r="A84" s="26">
        <f>IF(81&lt;=_Engine!$B$32,81,"")</f>
        <v/>
      </c>
      <c r="B84" s="27">
        <f>IF($A84="","",EDATE(_Engine!$B$5,$A84-1))</f>
        <v/>
      </c>
      <c r="C84" s="28">
        <f>IF($A84="","",_Engine!$B$7)</f>
        <v/>
      </c>
      <c r="D84" s="28">
        <f>IF($A84="","",_Engine!$D142)</f>
        <v/>
      </c>
      <c r="E84" s="28">
        <f>IF($A84="","",_Engine!$B$7-_Engine!$D142)</f>
        <v/>
      </c>
      <c r="F84" s="28">
        <f>IF($A84="","",_Engine!$C142)</f>
        <v/>
      </c>
    </row>
    <row r="85">
      <c r="A85" s="26">
        <f>IF(82&lt;=_Engine!$B$32,82,"")</f>
        <v/>
      </c>
      <c r="B85" s="27">
        <f>IF($A85="","",EDATE(_Engine!$B$5,$A85-1))</f>
        <v/>
      </c>
      <c r="C85" s="28">
        <f>IF($A85="","",_Engine!$B$7)</f>
        <v/>
      </c>
      <c r="D85" s="28">
        <f>IF($A85="","",_Engine!$D143)</f>
        <v/>
      </c>
      <c r="E85" s="28">
        <f>IF($A85="","",_Engine!$B$7-_Engine!$D143)</f>
        <v/>
      </c>
      <c r="F85" s="28">
        <f>IF($A85="","",_Engine!$C143)</f>
        <v/>
      </c>
    </row>
    <row r="86">
      <c r="A86" s="26">
        <f>IF(83&lt;=_Engine!$B$32,83,"")</f>
        <v/>
      </c>
      <c r="B86" s="27">
        <f>IF($A86="","",EDATE(_Engine!$B$5,$A86-1))</f>
        <v/>
      </c>
      <c r="C86" s="28">
        <f>IF($A86="","",_Engine!$B$7)</f>
        <v/>
      </c>
      <c r="D86" s="28">
        <f>IF($A86="","",_Engine!$D144)</f>
        <v/>
      </c>
      <c r="E86" s="28">
        <f>IF($A86="","",_Engine!$B$7-_Engine!$D144)</f>
        <v/>
      </c>
      <c r="F86" s="28">
        <f>IF($A86="","",_Engine!$C144)</f>
        <v/>
      </c>
    </row>
    <row r="87">
      <c r="A87" s="26">
        <f>IF(84&lt;=_Engine!$B$32,84,"")</f>
        <v/>
      </c>
      <c r="B87" s="27">
        <f>IF($A87="","",EDATE(_Engine!$B$5,$A87-1))</f>
        <v/>
      </c>
      <c r="C87" s="28">
        <f>IF($A87="","",_Engine!$B$7)</f>
        <v/>
      </c>
      <c r="D87" s="28">
        <f>IF($A87="","",_Engine!$D145)</f>
        <v/>
      </c>
      <c r="E87" s="28">
        <f>IF($A87="","",_Engine!$B$7-_Engine!$D145)</f>
        <v/>
      </c>
      <c r="F87" s="28">
        <f>IF($A87="","",_Engine!$C145)</f>
        <v/>
      </c>
    </row>
    <row r="88">
      <c r="A88" s="26">
        <f>IF(85&lt;=_Engine!$B$32,85,"")</f>
        <v/>
      </c>
      <c r="B88" s="27">
        <f>IF($A88="","",EDATE(_Engine!$B$5,$A88-1))</f>
        <v/>
      </c>
      <c r="C88" s="28">
        <f>IF($A88="","",_Engine!$B$7)</f>
        <v/>
      </c>
      <c r="D88" s="28">
        <f>IF($A88="","",_Engine!$D146)</f>
        <v/>
      </c>
      <c r="E88" s="28">
        <f>IF($A88="","",_Engine!$B$7-_Engine!$D146)</f>
        <v/>
      </c>
      <c r="F88" s="28">
        <f>IF($A88="","",_Engine!$C146)</f>
        <v/>
      </c>
    </row>
    <row r="89">
      <c r="A89" s="26">
        <f>IF(86&lt;=_Engine!$B$32,86,"")</f>
        <v/>
      </c>
      <c r="B89" s="27">
        <f>IF($A89="","",EDATE(_Engine!$B$5,$A89-1))</f>
        <v/>
      </c>
      <c r="C89" s="28">
        <f>IF($A89="","",_Engine!$B$7)</f>
        <v/>
      </c>
      <c r="D89" s="28">
        <f>IF($A89="","",_Engine!$D147)</f>
        <v/>
      </c>
      <c r="E89" s="28">
        <f>IF($A89="","",_Engine!$B$7-_Engine!$D147)</f>
        <v/>
      </c>
      <c r="F89" s="28">
        <f>IF($A89="","",_Engine!$C147)</f>
        <v/>
      </c>
    </row>
    <row r="90">
      <c r="A90" s="26">
        <f>IF(87&lt;=_Engine!$B$32,87,"")</f>
        <v/>
      </c>
      <c r="B90" s="27">
        <f>IF($A90="","",EDATE(_Engine!$B$5,$A90-1))</f>
        <v/>
      </c>
      <c r="C90" s="28">
        <f>IF($A90="","",_Engine!$B$7)</f>
        <v/>
      </c>
      <c r="D90" s="28">
        <f>IF($A90="","",_Engine!$D148)</f>
        <v/>
      </c>
      <c r="E90" s="28">
        <f>IF($A90="","",_Engine!$B$7-_Engine!$D148)</f>
        <v/>
      </c>
      <c r="F90" s="28">
        <f>IF($A90="","",_Engine!$C148)</f>
        <v/>
      </c>
    </row>
    <row r="91">
      <c r="A91" s="26">
        <f>IF(88&lt;=_Engine!$B$32,88,"")</f>
        <v/>
      </c>
      <c r="B91" s="27">
        <f>IF($A91="","",EDATE(_Engine!$B$5,$A91-1))</f>
        <v/>
      </c>
      <c r="C91" s="28">
        <f>IF($A91="","",_Engine!$B$7)</f>
        <v/>
      </c>
      <c r="D91" s="28">
        <f>IF($A91="","",_Engine!$D149)</f>
        <v/>
      </c>
      <c r="E91" s="28">
        <f>IF($A91="","",_Engine!$B$7-_Engine!$D149)</f>
        <v/>
      </c>
      <c r="F91" s="28">
        <f>IF($A91="","",_Engine!$C149)</f>
        <v/>
      </c>
    </row>
    <row r="92">
      <c r="A92" s="26">
        <f>IF(89&lt;=_Engine!$B$32,89,"")</f>
        <v/>
      </c>
      <c r="B92" s="27">
        <f>IF($A92="","",EDATE(_Engine!$B$5,$A92-1))</f>
        <v/>
      </c>
      <c r="C92" s="28">
        <f>IF($A92="","",_Engine!$B$7)</f>
        <v/>
      </c>
      <c r="D92" s="28">
        <f>IF($A92="","",_Engine!$D150)</f>
        <v/>
      </c>
      <c r="E92" s="28">
        <f>IF($A92="","",_Engine!$B$7-_Engine!$D150)</f>
        <v/>
      </c>
      <c r="F92" s="28">
        <f>IF($A92="","",_Engine!$C150)</f>
        <v/>
      </c>
    </row>
    <row r="93">
      <c r="A93" s="26">
        <f>IF(90&lt;=_Engine!$B$32,90,"")</f>
        <v/>
      </c>
      <c r="B93" s="27">
        <f>IF($A93="","",EDATE(_Engine!$B$5,$A93-1))</f>
        <v/>
      </c>
      <c r="C93" s="28">
        <f>IF($A93="","",_Engine!$B$7)</f>
        <v/>
      </c>
      <c r="D93" s="28">
        <f>IF($A93="","",_Engine!$D151)</f>
        <v/>
      </c>
      <c r="E93" s="28">
        <f>IF($A93="","",_Engine!$B$7-_Engine!$D151)</f>
        <v/>
      </c>
      <c r="F93" s="28">
        <f>IF($A93="","",_Engine!$C151)</f>
        <v/>
      </c>
    </row>
    <row r="94">
      <c r="A94" s="26">
        <f>IF(91&lt;=_Engine!$B$32,91,"")</f>
        <v/>
      </c>
      <c r="B94" s="27">
        <f>IF($A94="","",EDATE(_Engine!$B$5,$A94-1))</f>
        <v/>
      </c>
      <c r="C94" s="28">
        <f>IF($A94="","",_Engine!$B$7)</f>
        <v/>
      </c>
      <c r="D94" s="28">
        <f>IF($A94="","",_Engine!$D152)</f>
        <v/>
      </c>
      <c r="E94" s="28">
        <f>IF($A94="","",_Engine!$B$7-_Engine!$D152)</f>
        <v/>
      </c>
      <c r="F94" s="28">
        <f>IF($A94="","",_Engine!$C152)</f>
        <v/>
      </c>
    </row>
    <row r="95">
      <c r="A95" s="26">
        <f>IF(92&lt;=_Engine!$B$32,92,"")</f>
        <v/>
      </c>
      <c r="B95" s="27">
        <f>IF($A95="","",EDATE(_Engine!$B$5,$A95-1))</f>
        <v/>
      </c>
      <c r="C95" s="28">
        <f>IF($A95="","",_Engine!$B$7)</f>
        <v/>
      </c>
      <c r="D95" s="28">
        <f>IF($A95="","",_Engine!$D153)</f>
        <v/>
      </c>
      <c r="E95" s="28">
        <f>IF($A95="","",_Engine!$B$7-_Engine!$D153)</f>
        <v/>
      </c>
      <c r="F95" s="28">
        <f>IF($A95="","",_Engine!$C153)</f>
        <v/>
      </c>
    </row>
    <row r="96">
      <c r="A96" s="26">
        <f>IF(93&lt;=_Engine!$B$32,93,"")</f>
        <v/>
      </c>
      <c r="B96" s="27">
        <f>IF($A96="","",EDATE(_Engine!$B$5,$A96-1))</f>
        <v/>
      </c>
      <c r="C96" s="28">
        <f>IF($A96="","",_Engine!$B$7)</f>
        <v/>
      </c>
      <c r="D96" s="28">
        <f>IF($A96="","",_Engine!$D154)</f>
        <v/>
      </c>
      <c r="E96" s="28">
        <f>IF($A96="","",_Engine!$B$7-_Engine!$D154)</f>
        <v/>
      </c>
      <c r="F96" s="28">
        <f>IF($A96="","",_Engine!$C154)</f>
        <v/>
      </c>
    </row>
    <row r="97">
      <c r="A97" s="26">
        <f>IF(94&lt;=_Engine!$B$32,94,"")</f>
        <v/>
      </c>
      <c r="B97" s="27">
        <f>IF($A97="","",EDATE(_Engine!$B$5,$A97-1))</f>
        <v/>
      </c>
      <c r="C97" s="28">
        <f>IF($A97="","",_Engine!$B$7)</f>
        <v/>
      </c>
      <c r="D97" s="28">
        <f>IF($A97="","",_Engine!$D155)</f>
        <v/>
      </c>
      <c r="E97" s="28">
        <f>IF($A97="","",_Engine!$B$7-_Engine!$D155)</f>
        <v/>
      </c>
      <c r="F97" s="28">
        <f>IF($A97="","",_Engine!$C155)</f>
        <v/>
      </c>
    </row>
    <row r="98">
      <c r="A98" s="26">
        <f>IF(95&lt;=_Engine!$B$32,95,"")</f>
        <v/>
      </c>
      <c r="B98" s="27">
        <f>IF($A98="","",EDATE(_Engine!$B$5,$A98-1))</f>
        <v/>
      </c>
      <c r="C98" s="28">
        <f>IF($A98="","",_Engine!$B$7)</f>
        <v/>
      </c>
      <c r="D98" s="28">
        <f>IF($A98="","",_Engine!$D156)</f>
        <v/>
      </c>
      <c r="E98" s="28">
        <f>IF($A98="","",_Engine!$B$7-_Engine!$D156)</f>
        <v/>
      </c>
      <c r="F98" s="28">
        <f>IF($A98="","",_Engine!$C156)</f>
        <v/>
      </c>
    </row>
    <row r="99">
      <c r="A99" s="26">
        <f>IF(96&lt;=_Engine!$B$32,96,"")</f>
        <v/>
      </c>
      <c r="B99" s="27">
        <f>IF($A99="","",EDATE(_Engine!$B$5,$A99-1))</f>
        <v/>
      </c>
      <c r="C99" s="28">
        <f>IF($A99="","",_Engine!$B$7)</f>
        <v/>
      </c>
      <c r="D99" s="28">
        <f>IF($A99="","",_Engine!$D157)</f>
        <v/>
      </c>
      <c r="E99" s="28">
        <f>IF($A99="","",_Engine!$B$7-_Engine!$D157)</f>
        <v/>
      </c>
      <c r="F99" s="28">
        <f>IF($A99="","",_Engine!$C157)</f>
        <v/>
      </c>
    </row>
    <row r="100">
      <c r="A100" s="26">
        <f>IF(97&lt;=_Engine!$B$32,97,"")</f>
        <v/>
      </c>
      <c r="B100" s="27">
        <f>IF($A100="","",EDATE(_Engine!$B$5,$A100-1))</f>
        <v/>
      </c>
      <c r="C100" s="28">
        <f>IF($A100="","",_Engine!$B$7)</f>
        <v/>
      </c>
      <c r="D100" s="28">
        <f>IF($A100="","",_Engine!$D158)</f>
        <v/>
      </c>
      <c r="E100" s="28">
        <f>IF($A100="","",_Engine!$B$7-_Engine!$D158)</f>
        <v/>
      </c>
      <c r="F100" s="28">
        <f>IF($A100="","",_Engine!$C158)</f>
        <v/>
      </c>
    </row>
    <row r="101">
      <c r="A101" s="26">
        <f>IF(98&lt;=_Engine!$B$32,98,"")</f>
        <v/>
      </c>
      <c r="B101" s="27">
        <f>IF($A101="","",EDATE(_Engine!$B$5,$A101-1))</f>
        <v/>
      </c>
      <c r="C101" s="28">
        <f>IF($A101="","",_Engine!$B$7)</f>
        <v/>
      </c>
      <c r="D101" s="28">
        <f>IF($A101="","",_Engine!$D159)</f>
        <v/>
      </c>
      <c r="E101" s="28">
        <f>IF($A101="","",_Engine!$B$7-_Engine!$D159)</f>
        <v/>
      </c>
      <c r="F101" s="28">
        <f>IF($A101="","",_Engine!$C159)</f>
        <v/>
      </c>
    </row>
    <row r="102">
      <c r="A102" s="26">
        <f>IF(99&lt;=_Engine!$B$32,99,"")</f>
        <v/>
      </c>
      <c r="B102" s="27">
        <f>IF($A102="","",EDATE(_Engine!$B$5,$A102-1))</f>
        <v/>
      </c>
      <c r="C102" s="28">
        <f>IF($A102="","",_Engine!$B$7)</f>
        <v/>
      </c>
      <c r="D102" s="28">
        <f>IF($A102="","",_Engine!$D160)</f>
        <v/>
      </c>
      <c r="E102" s="28">
        <f>IF($A102="","",_Engine!$B$7-_Engine!$D160)</f>
        <v/>
      </c>
      <c r="F102" s="28">
        <f>IF($A102="","",_Engine!$C160)</f>
        <v/>
      </c>
    </row>
    <row r="103">
      <c r="A103" s="26">
        <f>IF(100&lt;=_Engine!$B$32,100,"")</f>
        <v/>
      </c>
      <c r="B103" s="27">
        <f>IF($A103="","",EDATE(_Engine!$B$5,$A103-1))</f>
        <v/>
      </c>
      <c r="C103" s="28">
        <f>IF($A103="","",_Engine!$B$7)</f>
        <v/>
      </c>
      <c r="D103" s="28">
        <f>IF($A103="","",_Engine!$D161)</f>
        <v/>
      </c>
      <c r="E103" s="28">
        <f>IF($A103="","",_Engine!$B$7-_Engine!$D161)</f>
        <v/>
      </c>
      <c r="F103" s="28">
        <f>IF($A103="","",_Engine!$C161)</f>
        <v/>
      </c>
    </row>
    <row r="104">
      <c r="A104" s="26">
        <f>IF(101&lt;=_Engine!$B$32,101,"")</f>
        <v/>
      </c>
      <c r="B104" s="27">
        <f>IF($A104="","",EDATE(_Engine!$B$5,$A104-1))</f>
        <v/>
      </c>
      <c r="C104" s="28">
        <f>IF($A104="","",_Engine!$B$7)</f>
        <v/>
      </c>
      <c r="D104" s="28">
        <f>IF($A104="","",_Engine!$D162)</f>
        <v/>
      </c>
      <c r="E104" s="28">
        <f>IF($A104="","",_Engine!$B$7-_Engine!$D162)</f>
        <v/>
      </c>
      <c r="F104" s="28">
        <f>IF($A104="","",_Engine!$C162)</f>
        <v/>
      </c>
    </row>
    <row r="105">
      <c r="A105" s="26">
        <f>IF(102&lt;=_Engine!$B$32,102,"")</f>
        <v/>
      </c>
      <c r="B105" s="27">
        <f>IF($A105="","",EDATE(_Engine!$B$5,$A105-1))</f>
        <v/>
      </c>
      <c r="C105" s="28">
        <f>IF($A105="","",_Engine!$B$7)</f>
        <v/>
      </c>
      <c r="D105" s="28">
        <f>IF($A105="","",_Engine!$D163)</f>
        <v/>
      </c>
      <c r="E105" s="28">
        <f>IF($A105="","",_Engine!$B$7-_Engine!$D163)</f>
        <v/>
      </c>
      <c r="F105" s="28">
        <f>IF($A105="","",_Engine!$C163)</f>
        <v/>
      </c>
    </row>
    <row r="106">
      <c r="A106" s="26">
        <f>IF(103&lt;=_Engine!$B$32,103,"")</f>
        <v/>
      </c>
      <c r="B106" s="27">
        <f>IF($A106="","",EDATE(_Engine!$B$5,$A106-1))</f>
        <v/>
      </c>
      <c r="C106" s="28">
        <f>IF($A106="","",_Engine!$B$7)</f>
        <v/>
      </c>
      <c r="D106" s="28">
        <f>IF($A106="","",_Engine!$D164)</f>
        <v/>
      </c>
      <c r="E106" s="28">
        <f>IF($A106="","",_Engine!$B$7-_Engine!$D164)</f>
        <v/>
      </c>
      <c r="F106" s="28">
        <f>IF($A106="","",_Engine!$C164)</f>
        <v/>
      </c>
    </row>
    <row r="107">
      <c r="A107" s="26">
        <f>IF(104&lt;=_Engine!$B$32,104,"")</f>
        <v/>
      </c>
      <c r="B107" s="27">
        <f>IF($A107="","",EDATE(_Engine!$B$5,$A107-1))</f>
        <v/>
      </c>
      <c r="C107" s="28">
        <f>IF($A107="","",_Engine!$B$7)</f>
        <v/>
      </c>
      <c r="D107" s="28">
        <f>IF($A107="","",_Engine!$D165)</f>
        <v/>
      </c>
      <c r="E107" s="28">
        <f>IF($A107="","",_Engine!$B$7-_Engine!$D165)</f>
        <v/>
      </c>
      <c r="F107" s="28">
        <f>IF($A107="","",_Engine!$C165)</f>
        <v/>
      </c>
    </row>
    <row r="108">
      <c r="A108" s="26">
        <f>IF(105&lt;=_Engine!$B$32,105,"")</f>
        <v/>
      </c>
      <c r="B108" s="27">
        <f>IF($A108="","",EDATE(_Engine!$B$5,$A108-1))</f>
        <v/>
      </c>
      <c r="C108" s="28">
        <f>IF($A108="","",_Engine!$B$7)</f>
        <v/>
      </c>
      <c r="D108" s="28">
        <f>IF($A108="","",_Engine!$D166)</f>
        <v/>
      </c>
      <c r="E108" s="28">
        <f>IF($A108="","",_Engine!$B$7-_Engine!$D166)</f>
        <v/>
      </c>
      <c r="F108" s="28">
        <f>IF($A108="","",_Engine!$C166)</f>
        <v/>
      </c>
    </row>
    <row r="109">
      <c r="A109" s="26">
        <f>IF(106&lt;=_Engine!$B$32,106,"")</f>
        <v/>
      </c>
      <c r="B109" s="27">
        <f>IF($A109="","",EDATE(_Engine!$B$5,$A109-1))</f>
        <v/>
      </c>
      <c r="C109" s="28">
        <f>IF($A109="","",_Engine!$B$7)</f>
        <v/>
      </c>
      <c r="D109" s="28">
        <f>IF($A109="","",_Engine!$D167)</f>
        <v/>
      </c>
      <c r="E109" s="28">
        <f>IF($A109="","",_Engine!$B$7-_Engine!$D167)</f>
        <v/>
      </c>
      <c r="F109" s="28">
        <f>IF($A109="","",_Engine!$C167)</f>
        <v/>
      </c>
    </row>
    <row r="110">
      <c r="A110" s="26">
        <f>IF(107&lt;=_Engine!$B$32,107,"")</f>
        <v/>
      </c>
      <c r="B110" s="27">
        <f>IF($A110="","",EDATE(_Engine!$B$5,$A110-1))</f>
        <v/>
      </c>
      <c r="C110" s="28">
        <f>IF($A110="","",_Engine!$B$7)</f>
        <v/>
      </c>
      <c r="D110" s="28">
        <f>IF($A110="","",_Engine!$D168)</f>
        <v/>
      </c>
      <c r="E110" s="28">
        <f>IF($A110="","",_Engine!$B$7-_Engine!$D168)</f>
        <v/>
      </c>
      <c r="F110" s="28">
        <f>IF($A110="","",_Engine!$C168)</f>
        <v/>
      </c>
    </row>
    <row r="111">
      <c r="A111" s="26">
        <f>IF(108&lt;=_Engine!$B$32,108,"")</f>
        <v/>
      </c>
      <c r="B111" s="27">
        <f>IF($A111="","",EDATE(_Engine!$B$5,$A111-1))</f>
        <v/>
      </c>
      <c r="C111" s="28">
        <f>IF($A111="","",_Engine!$B$7)</f>
        <v/>
      </c>
      <c r="D111" s="28">
        <f>IF($A111="","",_Engine!$D169)</f>
        <v/>
      </c>
      <c r="E111" s="28">
        <f>IF($A111="","",_Engine!$B$7-_Engine!$D169)</f>
        <v/>
      </c>
      <c r="F111" s="28">
        <f>IF($A111="","",_Engine!$C169)</f>
        <v/>
      </c>
    </row>
    <row r="112">
      <c r="A112" s="26">
        <f>IF(109&lt;=_Engine!$B$32,109,"")</f>
        <v/>
      </c>
      <c r="B112" s="27">
        <f>IF($A112="","",EDATE(_Engine!$B$5,$A112-1))</f>
        <v/>
      </c>
      <c r="C112" s="28">
        <f>IF($A112="","",_Engine!$B$7)</f>
        <v/>
      </c>
      <c r="D112" s="28">
        <f>IF($A112="","",_Engine!$D170)</f>
        <v/>
      </c>
      <c r="E112" s="28">
        <f>IF($A112="","",_Engine!$B$7-_Engine!$D170)</f>
        <v/>
      </c>
      <c r="F112" s="28">
        <f>IF($A112="","",_Engine!$C170)</f>
        <v/>
      </c>
    </row>
    <row r="113">
      <c r="A113" s="26">
        <f>IF(110&lt;=_Engine!$B$32,110,"")</f>
        <v/>
      </c>
      <c r="B113" s="27">
        <f>IF($A113="","",EDATE(_Engine!$B$5,$A113-1))</f>
        <v/>
      </c>
      <c r="C113" s="28">
        <f>IF($A113="","",_Engine!$B$7)</f>
        <v/>
      </c>
      <c r="D113" s="28">
        <f>IF($A113="","",_Engine!$D171)</f>
        <v/>
      </c>
      <c r="E113" s="28">
        <f>IF($A113="","",_Engine!$B$7-_Engine!$D171)</f>
        <v/>
      </c>
      <c r="F113" s="28">
        <f>IF($A113="","",_Engine!$C171)</f>
        <v/>
      </c>
    </row>
    <row r="114">
      <c r="A114" s="26">
        <f>IF(111&lt;=_Engine!$B$32,111,"")</f>
        <v/>
      </c>
      <c r="B114" s="27">
        <f>IF($A114="","",EDATE(_Engine!$B$5,$A114-1))</f>
        <v/>
      </c>
      <c r="C114" s="28">
        <f>IF($A114="","",_Engine!$B$7)</f>
        <v/>
      </c>
      <c r="D114" s="28">
        <f>IF($A114="","",_Engine!$D172)</f>
        <v/>
      </c>
      <c r="E114" s="28">
        <f>IF($A114="","",_Engine!$B$7-_Engine!$D172)</f>
        <v/>
      </c>
      <c r="F114" s="28">
        <f>IF($A114="","",_Engine!$C172)</f>
        <v/>
      </c>
    </row>
    <row r="115">
      <c r="A115" s="26">
        <f>IF(112&lt;=_Engine!$B$32,112,"")</f>
        <v/>
      </c>
      <c r="B115" s="27">
        <f>IF($A115="","",EDATE(_Engine!$B$5,$A115-1))</f>
        <v/>
      </c>
      <c r="C115" s="28">
        <f>IF($A115="","",_Engine!$B$7)</f>
        <v/>
      </c>
      <c r="D115" s="28">
        <f>IF($A115="","",_Engine!$D173)</f>
        <v/>
      </c>
      <c r="E115" s="28">
        <f>IF($A115="","",_Engine!$B$7-_Engine!$D173)</f>
        <v/>
      </c>
      <c r="F115" s="28">
        <f>IF($A115="","",_Engine!$C173)</f>
        <v/>
      </c>
    </row>
    <row r="116">
      <c r="A116" s="26">
        <f>IF(113&lt;=_Engine!$B$32,113,"")</f>
        <v/>
      </c>
      <c r="B116" s="27">
        <f>IF($A116="","",EDATE(_Engine!$B$5,$A116-1))</f>
        <v/>
      </c>
      <c r="C116" s="28">
        <f>IF($A116="","",_Engine!$B$7)</f>
        <v/>
      </c>
      <c r="D116" s="28">
        <f>IF($A116="","",_Engine!$D174)</f>
        <v/>
      </c>
      <c r="E116" s="28">
        <f>IF($A116="","",_Engine!$B$7-_Engine!$D174)</f>
        <v/>
      </c>
      <c r="F116" s="28">
        <f>IF($A116="","",_Engine!$C174)</f>
        <v/>
      </c>
    </row>
    <row r="117">
      <c r="A117" s="26">
        <f>IF(114&lt;=_Engine!$B$32,114,"")</f>
        <v/>
      </c>
      <c r="B117" s="27">
        <f>IF($A117="","",EDATE(_Engine!$B$5,$A117-1))</f>
        <v/>
      </c>
      <c r="C117" s="28">
        <f>IF($A117="","",_Engine!$B$7)</f>
        <v/>
      </c>
      <c r="D117" s="28">
        <f>IF($A117="","",_Engine!$D175)</f>
        <v/>
      </c>
      <c r="E117" s="28">
        <f>IF($A117="","",_Engine!$B$7-_Engine!$D175)</f>
        <v/>
      </c>
      <c r="F117" s="28">
        <f>IF($A117="","",_Engine!$C175)</f>
        <v/>
      </c>
    </row>
    <row r="118">
      <c r="A118" s="26">
        <f>IF(115&lt;=_Engine!$B$32,115,"")</f>
        <v/>
      </c>
      <c r="B118" s="27">
        <f>IF($A118="","",EDATE(_Engine!$B$5,$A118-1))</f>
        <v/>
      </c>
      <c r="C118" s="28">
        <f>IF($A118="","",_Engine!$B$7)</f>
        <v/>
      </c>
      <c r="D118" s="28">
        <f>IF($A118="","",_Engine!$D176)</f>
        <v/>
      </c>
      <c r="E118" s="28">
        <f>IF($A118="","",_Engine!$B$7-_Engine!$D176)</f>
        <v/>
      </c>
      <c r="F118" s="28">
        <f>IF($A118="","",_Engine!$C176)</f>
        <v/>
      </c>
    </row>
    <row r="119">
      <c r="A119" s="26">
        <f>IF(116&lt;=_Engine!$B$32,116,"")</f>
        <v/>
      </c>
      <c r="B119" s="27">
        <f>IF($A119="","",EDATE(_Engine!$B$5,$A119-1))</f>
        <v/>
      </c>
      <c r="C119" s="28">
        <f>IF($A119="","",_Engine!$B$7)</f>
        <v/>
      </c>
      <c r="D119" s="28">
        <f>IF($A119="","",_Engine!$D177)</f>
        <v/>
      </c>
      <c r="E119" s="28">
        <f>IF($A119="","",_Engine!$B$7-_Engine!$D177)</f>
        <v/>
      </c>
      <c r="F119" s="28">
        <f>IF($A119="","",_Engine!$C177)</f>
        <v/>
      </c>
    </row>
    <row r="120">
      <c r="A120" s="26">
        <f>IF(117&lt;=_Engine!$B$32,117,"")</f>
        <v/>
      </c>
      <c r="B120" s="27">
        <f>IF($A120="","",EDATE(_Engine!$B$5,$A120-1))</f>
        <v/>
      </c>
      <c r="C120" s="28">
        <f>IF($A120="","",_Engine!$B$7)</f>
        <v/>
      </c>
      <c r="D120" s="28">
        <f>IF($A120="","",_Engine!$D178)</f>
        <v/>
      </c>
      <c r="E120" s="28">
        <f>IF($A120="","",_Engine!$B$7-_Engine!$D178)</f>
        <v/>
      </c>
      <c r="F120" s="28">
        <f>IF($A120="","",_Engine!$C178)</f>
        <v/>
      </c>
    </row>
    <row r="121">
      <c r="A121" s="26">
        <f>IF(118&lt;=_Engine!$B$32,118,"")</f>
        <v/>
      </c>
      <c r="B121" s="27">
        <f>IF($A121="","",EDATE(_Engine!$B$5,$A121-1))</f>
        <v/>
      </c>
      <c r="C121" s="28">
        <f>IF($A121="","",_Engine!$B$7)</f>
        <v/>
      </c>
      <c r="D121" s="28">
        <f>IF($A121="","",_Engine!$D179)</f>
        <v/>
      </c>
      <c r="E121" s="28">
        <f>IF($A121="","",_Engine!$B$7-_Engine!$D179)</f>
        <v/>
      </c>
      <c r="F121" s="28">
        <f>IF($A121="","",_Engine!$C179)</f>
        <v/>
      </c>
    </row>
    <row r="122">
      <c r="A122" s="26">
        <f>IF(119&lt;=_Engine!$B$32,119,"")</f>
        <v/>
      </c>
      <c r="B122" s="27">
        <f>IF($A122="","",EDATE(_Engine!$B$5,$A122-1))</f>
        <v/>
      </c>
      <c r="C122" s="28">
        <f>IF($A122="","",_Engine!$B$7)</f>
        <v/>
      </c>
      <c r="D122" s="28">
        <f>IF($A122="","",_Engine!$D180)</f>
        <v/>
      </c>
      <c r="E122" s="28">
        <f>IF($A122="","",_Engine!$B$7-_Engine!$D180)</f>
        <v/>
      </c>
      <c r="F122" s="28">
        <f>IF($A122="","",_Engine!$C180)</f>
        <v/>
      </c>
    </row>
    <row r="123">
      <c r="A123" s="26">
        <f>IF(120&lt;=_Engine!$B$32,120,"")</f>
        <v/>
      </c>
      <c r="B123" s="27">
        <f>IF($A123="","",EDATE(_Engine!$B$5,$A123-1))</f>
        <v/>
      </c>
      <c r="C123" s="28">
        <f>IF($A123="","",_Engine!$B$7)</f>
        <v/>
      </c>
      <c r="D123" s="28">
        <f>IF($A123="","",_Engine!$D181)</f>
        <v/>
      </c>
      <c r="E123" s="28">
        <f>IF($A123="","",_Engine!$B$7-_Engine!$D181)</f>
        <v/>
      </c>
      <c r="F123" s="28">
        <f>IF($A123="","",_Engine!$C181)</f>
        <v/>
      </c>
    </row>
  </sheetData>
  <sheetProtection selectLockedCells="0" selectUnlockedCells="0" sheet="1" objects="0" insertRows="1" insertHyperlinks="1" autoFilter="1" scenarios="0" formatColumns="1" deleteColumns="1" insertColumns="1" pivotTables="1" deleteRows="1" formatCells="0" formatRows="1" sort="1"/>
  <mergeCells count="2">
    <mergeCell ref="A2:F2"/>
    <mergeCell ref="A1:F1"/>
  </mergeCells>
  <pageMargins left="0.75" right="0.75" top="1" bottom="1" header="0.5" footer="0.5"/>
  <pageSetup orientation="portrait" fitToHeight="0" fitToWidth="1"/>
  <headerFooter>
    <oddHeader/>
    <oddFooter>&amp;Lneedtheseapps.com&amp;CLoan Payment Calculator&amp;RPage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showGridLines="0" workbookViewId="0">
      <selection activeCell="A1" sqref="A1"/>
    </sheetView>
  </sheetViews>
  <sheetFormatPr baseColWidth="8" defaultRowHeight="15"/>
  <cols>
    <col width="2.1" customWidth="1" min="1" max="1"/>
    <col width="42" customWidth="1" min="2" max="2"/>
    <col width="62" customWidth="1" min="3" max="3"/>
    <col width="2.1" customWidth="1" min="4" max="4"/>
  </cols>
  <sheetData>
    <row r="1">
      <c r="A1" s="29" t="n"/>
      <c r="B1" s="29" t="n"/>
      <c r="C1" s="29" t="n"/>
      <c r="D1" s="29" t="n"/>
    </row>
    <row r="2" ht="32.1" customHeight="1">
      <c r="A2" s="29" t="n"/>
      <c r="B2" s="30" t="inlineStr">
        <is>
          <t>About this workbook</t>
        </is>
      </c>
      <c r="C2" s="3" t="n"/>
      <c r="D2" s="29" t="n"/>
    </row>
    <row r="3">
      <c r="A3" s="29" t="n"/>
      <c r="B3" s="29" t="n"/>
      <c r="C3" s="29" t="n"/>
      <c r="D3" s="29" t="n"/>
    </row>
    <row r="4" ht="26.1" customHeight="1">
      <c r="A4" s="29" t="n"/>
      <c r="B4" s="6" t="inlineStr">
        <is>
          <t>WHAT THIS WORKBOOK DOES</t>
        </is>
      </c>
      <c r="C4" s="7" t="n"/>
      <c r="D4" s="29" t="n"/>
    </row>
    <row r="5" ht="39.95" customHeight="1">
      <c r="A5" s="29" t="n"/>
      <c r="B5" s="31" t="inlineStr">
        <is>
          <t>It answers the three questions of the Loan Payment Calculator offline, for one fixed-rate loan you are thinking of taking: what will this loan cost me each month and in total, how long will it take to pay back at a monthly amount you choose, and how the payment and the interest change from 2 to 7 years. It also shows what an upfront fee does, a month-by-month table and a chart.</t>
        </is>
      </c>
      <c r="C5" s="32" t="n"/>
      <c r="D5" s="29" t="n"/>
    </row>
    <row r="6" ht="39.95" customHeight="1">
      <c r="A6" s="29" t="n"/>
      <c r="B6" s="32" t="n"/>
      <c r="C6" s="32" t="n"/>
      <c r="D6" s="29" t="n"/>
    </row>
    <row r="7">
      <c r="A7" s="29" t="n"/>
      <c r="B7" s="29" t="n"/>
      <c r="C7" s="29" t="n"/>
      <c r="D7" s="29" t="n"/>
    </row>
    <row r="8" ht="26.1" customHeight="1">
      <c r="A8" s="29" t="n"/>
      <c r="B8" s="6" t="inlineStr">
        <is>
          <t>WHAT IT DOES NOT DO</t>
        </is>
      </c>
      <c r="C8" s="7" t="n"/>
      <c r="D8" s="29" t="n"/>
    </row>
    <row r="9" ht="32.1" customHeight="1">
      <c r="A9" s="29" t="n"/>
      <c r="B9" s="18" t="inlineStr">
        <is>
          <t>Loan type</t>
        </is>
      </c>
      <c r="C9" s="33" t="inlineStr">
        <is>
          <t>The site fills a typical car or personal loan rate: here you type your rate.</t>
        </is>
      </c>
      <c r="D9" s="29" t="n"/>
    </row>
    <row r="10" ht="32.1" customHeight="1">
      <c r="A10" s="29" t="n"/>
      <c r="B10" s="18" t="inlineStr">
        <is>
          <t>Car price helper</t>
        </is>
      </c>
      <c r="C10" s="33" t="inlineStr">
        <is>
          <t>Starting from a car price, a down payment and a trade-in: on the site, and on the Car Loan Calculator.</t>
        </is>
      </c>
      <c r="D10" s="29" t="n"/>
    </row>
    <row r="11" ht="21" customHeight="1">
      <c r="A11" s="29" t="n"/>
      <c r="B11" s="18" t="inlineStr">
        <is>
          <t>Country detection</t>
        </is>
      </c>
      <c r="C11" s="33" t="inlineStr">
        <is>
          <t>The site suggests your currency: here you type it.</t>
        </is>
      </c>
      <c r="D11" s="29" t="n"/>
    </row>
    <row r="12" ht="21" customHeight="1">
      <c r="A12" s="29" t="n"/>
      <c r="B12" s="18" t="inlineStr">
        <is>
          <t>The deeper insights</t>
        </is>
      </c>
      <c r="C12" s="33" t="inlineStr">
        <is>
          <t>"Show me what else my numbers reveal": on the site.</t>
        </is>
      </c>
      <c r="D12" s="29" t="n"/>
    </row>
    <row r="13" ht="21" customHeight="1">
      <c r="A13" s="29" t="n"/>
      <c r="B13" s="18" t="inlineStr">
        <is>
          <t>The Bigger Picture and the FAQ</t>
        </is>
      </c>
      <c r="C13" s="33" t="inlineStr">
        <is>
          <t>The guide to what the numbers mean: on the site.</t>
        </is>
      </c>
      <c r="D13" s="29" t="n"/>
    </row>
    <row r="14" ht="32.1" customHeight="1">
      <c r="A14" s="29" t="n"/>
      <c r="B14" s="18" t="inlineStr">
        <is>
          <t>Insurance, taxes and other fees</t>
        </is>
      </c>
      <c r="C14" s="33" t="inlineStr">
        <is>
          <t>Not included, except an upfront fee if you add one, as on the site.</t>
        </is>
      </c>
      <c r="D14" s="29" t="n"/>
    </row>
    <row r="15" ht="32.1" customHeight="1">
      <c r="A15" s="29" t="n"/>
      <c r="B15" s="18" t="inlineStr">
        <is>
          <t>It is not financial advice</t>
        </is>
      </c>
      <c r="C15" s="33" t="inlineStr">
        <is>
          <t>It does not name or recommend a lender or a loan, and it is not a loan offer.</t>
        </is>
      </c>
      <c r="D15" s="29" t="n"/>
    </row>
    <row r="16">
      <c r="A16" s="29" t="n"/>
      <c r="B16" s="29" t="n"/>
      <c r="C16" s="29" t="n"/>
      <c r="D16" s="29" t="n"/>
    </row>
    <row r="17" ht="24" customHeight="1">
      <c r="A17" s="29" t="n"/>
      <c r="B17" s="34" t="inlineStr">
        <is>
          <t>Open the full calculator online  ↗</t>
        </is>
      </c>
      <c r="C17" s="35" t="n"/>
      <c r="D17" s="29" t="n"/>
    </row>
    <row r="18">
      <c r="A18" s="29" t="n"/>
      <c r="B18" s="29" t="n"/>
      <c r="C18" s="29" t="n"/>
      <c r="D18" s="29" t="n"/>
    </row>
    <row r="19" ht="26.1" customHeight="1">
      <c r="A19" s="29" t="n"/>
      <c r="B19" s="6" t="inlineStr">
        <is>
          <t>ASSUMPTIONS USED</t>
        </is>
      </c>
      <c r="C19" s="7" t="n"/>
      <c r="D19" s="29" t="n"/>
    </row>
    <row r="20" ht="32.1" customHeight="1">
      <c r="A20" s="29" t="n"/>
      <c r="B20" s="18" t="inlineStr">
        <is>
          <t>Interest</t>
        </is>
      </c>
      <c r="C20" s="33" t="inlineStr">
        <is>
          <t>The yearly rate ÷ 12, charged each month on what you still owe. A fixed rate for the whole loan.</t>
        </is>
      </c>
      <c r="D20" s="29" t="n"/>
    </row>
    <row r="21" ht="32.1" customHeight="1">
      <c r="A21" s="29" t="n"/>
      <c r="B21" s="18" t="inlineStr">
        <is>
          <t>Payments</t>
        </is>
      </c>
      <c r="C21" s="33" t="inlineStr">
        <is>
          <t>The same payment at the end of every month, from the first payment month you type.</t>
        </is>
      </c>
      <c r="D21" s="29" t="n"/>
    </row>
    <row r="22" ht="32.1" customHeight="1">
      <c r="A22" s="29" t="n"/>
      <c r="B22" s="18" t="inlineStr">
        <is>
          <t>Monthly payment</t>
        </is>
      </c>
      <c r="C22" s="33" t="inlineStr">
        <is>
          <t>Amount × r ÷ (1 − (1 + r)^−n), with r the monthly rate and n the number of payments. At 0%: the amount ÷ n.</t>
        </is>
      </c>
      <c r="D22" s="29" t="n"/>
    </row>
    <row r="23" ht="32.1" customHeight="1">
      <c r="A23" s="29" t="n"/>
      <c r="B23" s="18" t="inlineStr">
        <is>
          <t>Interest you pay</t>
        </is>
      </c>
      <c r="C23" s="33" t="inlineStr">
        <is>
          <t>The exact monthly payment × the number of payments, minus the amount you borrow.</t>
        </is>
      </c>
      <c r="D23" s="29" t="n"/>
    </row>
    <row r="24" ht="32.1" customHeight="1">
      <c r="A24" s="29" t="n"/>
      <c r="B24" s="18" t="inlineStr">
        <is>
          <t>Upfront fee</t>
        </is>
      </c>
      <c r="C24" s="33" t="inlineStr">
        <is>
          <t>A share of the loan, taken from what you receive. The payment is still worked out on the full amount.</t>
        </is>
      </c>
      <c r="D24" s="29" t="n"/>
    </row>
    <row r="25" ht="32.1" customHeight="1">
      <c r="A25" s="29" t="n"/>
      <c r="B25" s="18" t="inlineStr">
        <is>
          <t>True yearly rate</t>
        </is>
      </c>
      <c r="C25" s="33" t="inlineStr">
        <is>
          <t>The yearly rate at which what you receive is repaid by the same monthly payments: the monthly rate × 12.</t>
        </is>
      </c>
      <c r="D25" s="29" t="n"/>
    </row>
    <row r="26" ht="44.1" customHeight="1">
      <c r="A26" s="29" t="n"/>
      <c r="B26" s="18" t="inlineStr">
        <is>
          <t>Question 2</t>
        </is>
      </c>
      <c r="C26" s="33" t="inlineStr">
        <is>
          <t>Month after month until the loan is paid. The last payment is often smaller. If the payment is not more than the first month's interest, the loan is never paid back.</t>
        </is>
      </c>
      <c r="D26" s="29" t="n"/>
    </row>
    <row r="27" ht="32.1" customHeight="1">
      <c r="A27" s="29" t="n"/>
      <c r="B27" s="18" t="inlineStr">
        <is>
          <t>Question 3</t>
        </is>
      </c>
      <c r="C27" s="33" t="inlineStr">
        <is>
          <t>Each length from 2 to 7 years, with your rate or a rate you type for that length.</t>
        </is>
      </c>
      <c r="D27" s="29" t="n"/>
    </row>
    <row r="28" ht="32.1" customHeight="1">
      <c r="A28" s="29" t="n"/>
      <c r="B28" s="18" t="inlineStr">
        <is>
          <t>Longest loan</t>
        </is>
      </c>
      <c r="C28" s="33" t="inlineStr">
        <is>
          <t>10 years (120 months). This page is not built for mortgages.</t>
        </is>
      </c>
      <c r="D28" s="29" t="n"/>
    </row>
    <row r="29" ht="32.1" customHeight="1">
      <c r="A29" s="29" t="n"/>
      <c r="B29" s="18" t="inlineStr">
        <is>
          <t>The first payment month</t>
        </is>
      </c>
      <c r="C29" s="33" t="inlineStr">
        <is>
          <t>An example you can change. The file never reads today's date.</t>
        </is>
      </c>
      <c r="D29" s="29" t="n"/>
    </row>
    <row r="30">
      <c r="A30" s="29" t="n"/>
      <c r="B30" s="29" t="n"/>
      <c r="C30" s="29" t="n"/>
      <c r="D30" s="29" t="n"/>
    </row>
    <row r="31" ht="26.1" customHeight="1">
      <c r="A31" s="29" t="n"/>
      <c r="B31" s="6" t="inlineStr">
        <is>
          <t>THE WORKBOOK</t>
        </is>
      </c>
      <c r="C31" s="7" t="n"/>
      <c r="D31" s="29" t="n"/>
    </row>
    <row r="32" ht="21" customHeight="1">
      <c r="A32" s="29" t="n"/>
      <c r="B32" s="18" t="inlineStr">
        <is>
          <t>Site</t>
        </is>
      </c>
      <c r="C32" s="33" t="inlineStr">
        <is>
          <t>needtheseapps.com</t>
        </is>
      </c>
      <c r="D32" s="29" t="n"/>
    </row>
    <row r="33" ht="21" customHeight="1">
      <c r="A33" s="29" t="n"/>
      <c r="B33" s="18" t="inlineStr">
        <is>
          <t>Sheets</t>
        </is>
      </c>
      <c r="C33" s="33" t="inlineStr">
        <is>
          <t>Calculator · Breakdown · About &amp; Assumptions</t>
        </is>
      </c>
      <c r="D33" s="29" t="n"/>
    </row>
    <row r="34" ht="21" customHeight="1">
      <c r="A34" s="29" t="n"/>
      <c r="B34" s="18" t="inlineStr">
        <is>
          <t>Version</t>
        </is>
      </c>
      <c r="C34" s="33" t="inlineStr">
        <is>
          <t>1.0</t>
        </is>
      </c>
      <c r="D34" s="29" t="n"/>
    </row>
    <row r="35" ht="21" customHeight="1">
      <c r="A35" s="29" t="n"/>
      <c r="B35" s="18" t="inlineStr">
        <is>
          <t>Generated</t>
        </is>
      </c>
      <c r="C35" s="33" t="inlineStr">
        <is>
          <t>Oct 13, 2026</t>
        </is>
      </c>
      <c r="D35" s="29" t="n"/>
    </row>
    <row r="36" ht="21" customHeight="1">
      <c r="A36" s="29" t="n"/>
      <c r="B36" s="18" t="inlineStr">
        <is>
          <t>Currency</t>
        </is>
      </c>
      <c r="C36" s="33">
        <f>"Shown in "&amp;Calculator!$C$8&amp;", which you set on the Calculator sheet."</f>
        <v/>
      </c>
      <c r="D36" s="29" t="n"/>
    </row>
    <row r="37">
      <c r="A37" s="29" t="n"/>
      <c r="B37" s="29" t="n"/>
      <c r="C37" s="29" t="n"/>
      <c r="D37" s="29" t="n"/>
    </row>
    <row r="38" ht="24" customHeight="1">
      <c r="A38" s="29" t="n"/>
      <c r="B38" s="36" t="inlineStr">
        <is>
          <t>This file is a snapshot. It does not update itself when the online calculator changes.</t>
        </is>
      </c>
      <c r="C38" s="32" t="n"/>
      <c r="D38" s="29" t="n"/>
    </row>
    <row r="39">
      <c r="A39" s="29" t="n"/>
      <c r="B39" s="29" t="n"/>
      <c r="C39" s="29" t="n"/>
      <c r="D39" s="29" t="n"/>
    </row>
    <row r="40">
      <c r="A40" s="29" t="n"/>
      <c r="B40" s="29" t="n"/>
      <c r="C40" s="29" t="n"/>
      <c r="D40" s="29" t="n"/>
    </row>
    <row r="41">
      <c r="A41" s="29" t="n"/>
      <c r="B41" s="29" t="n"/>
      <c r="C41" s="29" t="n"/>
      <c r="D41" s="29" t="n"/>
    </row>
  </sheetData>
  <sheetProtection selectLockedCells="0" selectUnlockedCells="0" sheet="1" objects="0" insertRows="1" insertHyperlinks="1" autoFilter="1" scenarios="0" formatColumns="1" deleteColumns="1" insertColumns="1" pivotTables="1" deleteRows="1" formatCells="0" formatRows="1" sort="1"/>
  <mergeCells count="8">
    <mergeCell ref="B38:C38"/>
    <mergeCell ref="B2:C2"/>
    <mergeCell ref="B19:C19"/>
    <mergeCell ref="B5:C6"/>
    <mergeCell ref="B31:C31"/>
    <mergeCell ref="B17:C17"/>
    <mergeCell ref="B8:C8"/>
    <mergeCell ref="B4:C4"/>
  </mergeCells>
  <hyperlinks>
    <hyperlink xmlns:r="http://schemas.openxmlformats.org/officeDocument/2006/relationships" ref="B17" r:id="rId1"/>
  </hyperlinks>
  <pageMargins left="0.75" right="0.75" top="1" bottom="1" header="0.5" footer="0.5"/>
  <pageSetup orientation="portrait" fitToHeight="0" fitToWidth="1"/>
  <headerFooter>
    <oddHeader/>
    <oddFooter>&amp;Lneedtheseapps.com&amp;CLoan Payment Calculator&amp;RPage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F181"/>
  <sheetViews>
    <sheetView workbookViewId="0">
      <selection activeCell="A1" sqref="A1"/>
    </sheetView>
  </sheetViews>
  <sheetFormatPr baseColWidth="8" defaultRowHeight="15"/>
  <cols>
    <col width="52" customWidth="1" min="1" max="1"/>
    <col width="18" customWidth="1" min="2" max="2"/>
  </cols>
  <sheetData>
    <row r="1">
      <c r="A1" s="37" t="inlineStr">
        <is>
          <t>Helper calculations. Do not edit.</t>
        </is>
      </c>
    </row>
    <row r="2">
      <c r="A2" t="inlineStr">
        <is>
          <t>Amount you borrow</t>
        </is>
      </c>
      <c r="B2">
        <f>N(Calculator!$C$9)</f>
        <v/>
      </c>
    </row>
    <row r="3">
      <c r="A3" t="inlineStr">
        <is>
          <t>Rate % a year</t>
        </is>
      </c>
      <c r="B3">
        <f>N(Calculator!$C$10)</f>
        <v/>
      </c>
    </row>
    <row r="4">
      <c r="A4" t="inlineStr">
        <is>
          <t>Monthly rate</t>
        </is>
      </c>
      <c r="B4">
        <f>B3/1200</f>
        <v/>
      </c>
    </row>
    <row r="5">
      <c r="A5" t="inlineStr">
        <is>
          <t>First payment month</t>
        </is>
      </c>
      <c r="B5" s="38">
        <f>DATE(YEAR(Calculator!$C$11),MONTH(Calculator!$C$11),1)</f>
        <v/>
      </c>
    </row>
    <row r="6">
      <c r="A6" t="inlineStr">
        <is>
          <t>Q1: number of payments</t>
        </is>
      </c>
      <c r="B6">
        <f>IF(Calculator!$D$15="Months",N(Calculator!$C$15),N(Calculator!$C$15)*12)</f>
        <v/>
      </c>
    </row>
    <row r="7">
      <c r="A7" t="inlineStr">
        <is>
          <t>Q1: monthly payment (exact)</t>
        </is>
      </c>
      <c r="B7">
        <f>IF(B15&lt;2,0,IF(B4=0,B2/B6,PMT(B4,B6,-B2)))</f>
        <v/>
      </c>
    </row>
    <row r="8">
      <c r="A8" t="inlineStr">
        <is>
          <t>Q1: interest</t>
        </is>
      </c>
      <c r="B8">
        <f>B7*B6-B2</f>
        <v/>
      </c>
    </row>
    <row r="9">
      <c r="A9" t="inlineStr">
        <is>
          <t>Q1: total you pay</t>
        </is>
      </c>
      <c r="B9">
        <f>B2+B8</f>
        <v/>
      </c>
    </row>
    <row r="10">
      <c r="A10" t="inlineStr">
        <is>
          <t>Q1: last payment month</t>
        </is>
      </c>
      <c r="B10" s="38">
        <f>EDATE(B5,MAX(B6,1)-1)</f>
        <v/>
      </c>
    </row>
    <row r="11">
      <c r="A11" t="inlineStr">
        <is>
          <t>Upfront fee (fraction)</t>
        </is>
      </c>
      <c r="B11">
        <f>N(Calculator!$C$16)/100</f>
        <v/>
      </c>
    </row>
    <row r="12">
      <c r="A12" t="inlineStr">
        <is>
          <t>Upfront fee (amount)</t>
        </is>
      </c>
      <c r="B12">
        <f>B2*B11</f>
        <v/>
      </c>
    </row>
    <row r="13">
      <c r="A13" t="inlineStr">
        <is>
          <t>You receive</t>
        </is>
      </c>
      <c r="B13">
        <f>B2-B12</f>
        <v/>
      </c>
    </row>
    <row r="14">
      <c r="A14" t="inlineStr">
        <is>
          <t>True yearly rate with the fee (%)</t>
        </is>
      </c>
      <c r="B14">
        <f>IF(AND(B15=2,B11&gt;0,B11&lt;1),RATE(B6,-B7,B13)*1200,B3)</f>
        <v/>
      </c>
    </row>
    <row r="15">
      <c r="A15" t="inlineStr">
        <is>
          <t>Q1 state: 0 no amount, 1 bad length, 2 answer</t>
        </is>
      </c>
      <c r="B15">
        <f>IF(B2&lt;=0,0,IF(OR(B6&lt;&gt;INT(B6),B6&lt;12,B6&gt;120,AND(Calculator!$D$15="Years",N(Calculator!$C$15)&gt;10)),1,2))</f>
        <v/>
      </c>
    </row>
    <row r="16">
      <c r="A16" t="inlineStr">
        <is>
          <t>Q2: payment you can afford</t>
        </is>
      </c>
      <c r="B16">
        <f>N(Calculator!$C$27)</f>
        <v/>
      </c>
    </row>
    <row r="17">
      <c r="A17" t="inlineStr">
        <is>
          <t>Q2: never paid back (1/0)</t>
        </is>
      </c>
      <c r="B17">
        <f>IF(AND(B20&gt;0,B4&gt;0,B16&lt;=B2*B4),1,0)</f>
        <v/>
      </c>
    </row>
    <row r="18">
      <c r="A18" t="inlineStr">
        <is>
          <t>(spare)</t>
        </is>
      </c>
      <c r="B18">
        <f>0</f>
        <v/>
      </c>
    </row>
    <row r="19">
      <c r="A19" t="inlineStr">
        <is>
          <t>(spare)</t>
        </is>
      </c>
      <c r="B19">
        <f>0</f>
        <v/>
      </c>
    </row>
    <row r="20">
      <c r="A20" t="inlineStr">
        <is>
          <t>Q2: amount (same as above)</t>
        </is>
      </c>
      <c r="B20">
        <f>B2</f>
        <v/>
      </c>
    </row>
    <row r="21">
      <c r="A21" t="inlineStr">
        <is>
          <t>(spare)</t>
        </is>
      </c>
      <c r="B21">
        <f>0</f>
        <v/>
      </c>
    </row>
    <row r="22">
      <c r="A22" t="inlineStr">
        <is>
          <t>Q2: number of payments</t>
        </is>
      </c>
      <c r="B22">
        <f>IF(B27&lt;2,0,IF(B4=0,ROUNDUP(B2/B16-1E-9,0),ROUNDUP(NPER(B4,-B16,B2)-1E-9,0)))</f>
        <v/>
      </c>
    </row>
    <row r="23">
      <c r="A23" t="inlineStr">
        <is>
          <t>Q2: total you pay</t>
        </is>
      </c>
      <c r="B23">
        <f>IF(B27&lt;2,0,IF(B4=0,B2,B16*(B22-1)+FV(B4,B22-1,B16,-B2)*(1+B4)))</f>
        <v/>
      </c>
    </row>
    <row r="24">
      <c r="A24" t="inlineStr">
        <is>
          <t>Q2: interest</t>
        </is>
      </c>
      <c r="B24">
        <f>B23-B2</f>
        <v/>
      </c>
    </row>
    <row r="25">
      <c r="A25" t="inlineStr">
        <is>
          <t>Q2: last payment month</t>
        </is>
      </c>
      <c r="B25" s="38">
        <f>EDATE(B5,MAX(B22,1)-1)</f>
        <v/>
      </c>
    </row>
    <row r="26">
      <c r="A26" t="inlineStr">
        <is>
          <t>Q2: time in words</t>
        </is>
      </c>
      <c r="B26">
        <f>IF(INT(B22/12)&gt;0,INT(B22/12)&amp;IF(INT(B22/12)=1," year"," years"),"")&amp;IF(AND(INT(B22/12)&gt;0,MOD(B22,12)&gt;0)," and ","")&amp;IF(MOD(B22,12)&gt;0,MOD(B22,12)&amp;IF(MOD(B22,12)=1," month"," months"),"")</f>
        <v/>
      </c>
    </row>
    <row r="27">
      <c r="A27" t="inlineStr">
        <is>
          <t>Q2 state: 0 missing, 1 never, 2 answer</t>
        </is>
      </c>
      <c r="B27">
        <f>IF(OR(B2&lt;=0,B16&lt;=0),0,IF(B17=1,1,2))</f>
        <v/>
      </c>
    </row>
    <row r="28">
      <c r="A28" t="inlineStr">
        <is>
          <t>Q2: payment for 10 years</t>
        </is>
      </c>
      <c r="B28">
        <f>IF(B4=0,B2/120,PMT(B4,120,-B2))</f>
        <v/>
      </c>
    </row>
    <row r="29">
      <c r="A29" t="inlineStr">
        <is>
          <t>Q2: first month interest</t>
        </is>
      </c>
      <c r="B29">
        <f>B2*B4</f>
        <v/>
      </c>
    </row>
    <row r="30">
      <c r="A30" t="inlineStr">
        <is>
          <t>Q2: you could borrow over the Q1 length</t>
        </is>
      </c>
      <c r="B30">
        <f>IF(B6&lt;1,0,ROUNDDOWN(IF(B4=0,B16*B6,PV(B4,B6,-B16)),0))</f>
        <v/>
      </c>
    </row>
    <row r="31">
      <c r="A31" t="inlineStr">
        <is>
          <t>Q1 length in words</t>
        </is>
      </c>
      <c r="B31">
        <f>IF(MOD(B6,12)=0,IF(INT(B6/12)&gt;0,INT(B6/12)&amp;IF(INT(B6/12)=1," year"," years"),"")&amp;IF(AND(INT(B6/12)&gt;0,MOD(B6,12)&gt;0)," and ","")&amp;IF(MOD(B6,12)&gt;0,MOD(B6,12)&amp;IF(MOD(B6,12)=1," month"," months"),""),B6&amp;" months")</f>
        <v/>
      </c>
    </row>
    <row r="32">
      <c r="A32" t="inlineStr">
        <is>
          <t>Breakdown/chart: payments shown</t>
        </is>
      </c>
      <c r="B32">
        <f>IF(B15=2,B6,0)</f>
        <v/>
      </c>
    </row>
    <row r="33">
      <c r="A33" t="inlineStr">
        <is>
          <t>Chart: points</t>
        </is>
      </c>
      <c r="B33">
        <f>MAX(B32,0)+1</f>
        <v/>
      </c>
    </row>
    <row r="40">
      <c r="B40" s="39" t="inlineStr">
        <is>
          <t>Years</t>
        </is>
      </c>
      <c r="C40" s="39" t="inlineStr">
        <is>
          <t>Rate used %</t>
        </is>
      </c>
      <c r="D40" s="39" t="inlineStr">
        <is>
          <t>Per month</t>
        </is>
      </c>
      <c r="E40" s="39" t="inlineStr">
        <is>
          <t>Interest</t>
        </is>
      </c>
      <c r="F40" s="39" t="inlineStr">
        <is>
          <t>Total</t>
        </is>
      </c>
    </row>
    <row r="41">
      <c r="B41" t="n">
        <v>2</v>
      </c>
      <c r="C41">
        <f>IF(ISNUMBER(Calculator!$C$34),Calculator!$C$34,$B$3)</f>
        <v/>
      </c>
      <c r="D41">
        <f>IF($B$2&lt;=0,0,IF(C41=0,$B$2/(B41*12),PMT(C41/1200,B41*12,-$B$2)))</f>
        <v/>
      </c>
      <c r="E41">
        <f>D41*B41*12-$B$2</f>
        <v/>
      </c>
      <c r="F41">
        <f>$B$2+E41</f>
        <v/>
      </c>
    </row>
    <row r="42">
      <c r="B42" t="n">
        <v>3</v>
      </c>
      <c r="C42">
        <f>IF(ISNUMBER(Calculator!$C$35),Calculator!$C$35,$B$3)</f>
        <v/>
      </c>
      <c r="D42">
        <f>IF($B$2&lt;=0,0,IF(C42=0,$B$2/(B42*12),PMT(C42/1200,B42*12,-$B$2)))</f>
        <v/>
      </c>
      <c r="E42">
        <f>D42*B42*12-$B$2</f>
        <v/>
      </c>
      <c r="F42">
        <f>$B$2+E42</f>
        <v/>
      </c>
    </row>
    <row r="43">
      <c r="B43" t="n">
        <v>4</v>
      </c>
      <c r="C43">
        <f>IF(ISNUMBER(Calculator!$C$36),Calculator!$C$36,$B$3)</f>
        <v/>
      </c>
      <c r="D43">
        <f>IF($B$2&lt;=0,0,IF(C43=0,$B$2/(B43*12),PMT(C43/1200,B43*12,-$B$2)))</f>
        <v/>
      </c>
      <c r="E43">
        <f>D43*B43*12-$B$2</f>
        <v/>
      </c>
      <c r="F43">
        <f>$B$2+E43</f>
        <v/>
      </c>
    </row>
    <row r="44">
      <c r="B44" t="n">
        <v>5</v>
      </c>
      <c r="C44">
        <f>IF(ISNUMBER(Calculator!$C$37),Calculator!$C$37,$B$3)</f>
        <v/>
      </c>
      <c r="D44">
        <f>IF($B$2&lt;=0,0,IF(C44=0,$B$2/(B44*12),PMT(C44/1200,B44*12,-$B$2)))</f>
        <v/>
      </c>
      <c r="E44">
        <f>D44*B44*12-$B$2</f>
        <v/>
      </c>
      <c r="F44">
        <f>$B$2+E44</f>
        <v/>
      </c>
    </row>
    <row r="45">
      <c r="B45" t="n">
        <v>6</v>
      </c>
      <c r="C45">
        <f>IF(ISNUMBER(Calculator!$C$38),Calculator!$C$38,$B$3)</f>
        <v/>
      </c>
      <c r="D45">
        <f>IF($B$2&lt;=0,0,IF(C45=0,$B$2/(B45*12),PMT(C45/1200,B45*12,-$B$2)))</f>
        <v/>
      </c>
      <c r="E45">
        <f>D45*B45*12-$B$2</f>
        <v/>
      </c>
      <c r="F45">
        <f>$B$2+E45</f>
        <v/>
      </c>
    </row>
    <row r="46">
      <c r="B46" t="n">
        <v>7</v>
      </c>
      <c r="C46">
        <f>IF(ISNUMBER(Calculator!$C$39),Calculator!$C$39,$B$3)</f>
        <v/>
      </c>
      <c r="D46">
        <f>IF($B$2&lt;=0,0,IF(C46=0,$B$2/(B46*12),PMT(C46/1200,B46*12,-$B$2)))</f>
        <v/>
      </c>
      <c r="E46">
        <f>D46*B46*12-$B$2</f>
        <v/>
      </c>
      <c r="F46">
        <f>$B$2+E46</f>
        <v/>
      </c>
    </row>
    <row r="60">
      <c r="B60" t="inlineStr">
        <is>
          <t>Payment no.</t>
        </is>
      </c>
      <c r="C60" t="inlineStr">
        <is>
          <t>Left to pay</t>
        </is>
      </c>
      <c r="D60" t="inlineStr">
        <is>
          <t>Interest</t>
        </is>
      </c>
      <c r="E60" t="inlineStr">
        <is>
          <t>Chart label</t>
        </is>
      </c>
      <c r="F60" t="inlineStr">
        <is>
          <t>Chart balance</t>
        </is>
      </c>
    </row>
    <row r="61">
      <c r="B61" t="n">
        <v>0</v>
      </c>
      <c r="C61">
        <f>$B$2</f>
        <v/>
      </c>
      <c r="E61" t="inlineStr">
        <is>
          <t>Start</t>
        </is>
      </c>
      <c r="F61">
        <f>C61</f>
        <v/>
      </c>
    </row>
    <row r="62">
      <c r="B62" t="n">
        <v>1</v>
      </c>
      <c r="C62">
        <f>IF(B62&lt;=$B$32,IF(C61+D62-$B$7&gt;0.005,C61+D62-$B$7,0),0)</f>
        <v/>
      </c>
      <c r="D62">
        <f>IF(B62&lt;=$B$32,C61*$B$4,0)</f>
        <v/>
      </c>
      <c r="E62">
        <f>TEXT(EDATE($B$5,B62-1),"mmm yyyy")</f>
        <v/>
      </c>
      <c r="F62">
        <f>C62</f>
        <v/>
      </c>
    </row>
    <row r="63">
      <c r="B63" t="n">
        <v>2</v>
      </c>
      <c r="C63">
        <f>IF(B63&lt;=$B$32,IF(C62+D63-$B$7&gt;0.005,C62+D63-$B$7,0),0)</f>
        <v/>
      </c>
      <c r="D63">
        <f>IF(B63&lt;=$B$32,C62*$B$4,0)</f>
        <v/>
      </c>
      <c r="E63">
        <f>TEXT(EDATE($B$5,B63-1),"mmm yyyy")</f>
        <v/>
      </c>
      <c r="F63">
        <f>C63</f>
        <v/>
      </c>
    </row>
    <row r="64">
      <c r="B64" t="n">
        <v>3</v>
      </c>
      <c r="C64">
        <f>IF(B64&lt;=$B$32,IF(C63+D64-$B$7&gt;0.005,C63+D64-$B$7,0),0)</f>
        <v/>
      </c>
      <c r="D64">
        <f>IF(B64&lt;=$B$32,C63*$B$4,0)</f>
        <v/>
      </c>
      <c r="E64">
        <f>TEXT(EDATE($B$5,B64-1),"mmm yyyy")</f>
        <v/>
      </c>
      <c r="F64">
        <f>C64</f>
        <v/>
      </c>
    </row>
    <row r="65">
      <c r="B65" t="n">
        <v>4</v>
      </c>
      <c r="C65">
        <f>IF(B65&lt;=$B$32,IF(C64+D65-$B$7&gt;0.005,C64+D65-$B$7,0),0)</f>
        <v/>
      </c>
      <c r="D65">
        <f>IF(B65&lt;=$B$32,C64*$B$4,0)</f>
        <v/>
      </c>
      <c r="E65">
        <f>TEXT(EDATE($B$5,B65-1),"mmm yyyy")</f>
        <v/>
      </c>
      <c r="F65">
        <f>C65</f>
        <v/>
      </c>
    </row>
    <row r="66">
      <c r="B66" t="n">
        <v>5</v>
      </c>
      <c r="C66">
        <f>IF(B66&lt;=$B$32,IF(C65+D66-$B$7&gt;0.005,C65+D66-$B$7,0),0)</f>
        <v/>
      </c>
      <c r="D66">
        <f>IF(B66&lt;=$B$32,C65*$B$4,0)</f>
        <v/>
      </c>
      <c r="E66">
        <f>TEXT(EDATE($B$5,B66-1),"mmm yyyy")</f>
        <v/>
      </c>
      <c r="F66">
        <f>C66</f>
        <v/>
      </c>
    </row>
    <row r="67">
      <c r="B67" t="n">
        <v>6</v>
      </c>
      <c r="C67">
        <f>IF(B67&lt;=$B$32,IF(C66+D67-$B$7&gt;0.005,C66+D67-$B$7,0),0)</f>
        <v/>
      </c>
      <c r="D67">
        <f>IF(B67&lt;=$B$32,C66*$B$4,0)</f>
        <v/>
      </c>
      <c r="E67">
        <f>TEXT(EDATE($B$5,B67-1),"mmm yyyy")</f>
        <v/>
      </c>
      <c r="F67">
        <f>C67</f>
        <v/>
      </c>
    </row>
    <row r="68">
      <c r="B68" t="n">
        <v>7</v>
      </c>
      <c r="C68">
        <f>IF(B68&lt;=$B$32,IF(C67+D68-$B$7&gt;0.005,C67+D68-$B$7,0),0)</f>
        <v/>
      </c>
      <c r="D68">
        <f>IF(B68&lt;=$B$32,C67*$B$4,0)</f>
        <v/>
      </c>
      <c r="E68">
        <f>TEXT(EDATE($B$5,B68-1),"mmm yyyy")</f>
        <v/>
      </c>
      <c r="F68">
        <f>C68</f>
        <v/>
      </c>
    </row>
    <row r="69">
      <c r="B69" t="n">
        <v>8</v>
      </c>
      <c r="C69">
        <f>IF(B69&lt;=$B$32,IF(C68+D69-$B$7&gt;0.005,C68+D69-$B$7,0),0)</f>
        <v/>
      </c>
      <c r="D69">
        <f>IF(B69&lt;=$B$32,C68*$B$4,0)</f>
        <v/>
      </c>
      <c r="E69">
        <f>TEXT(EDATE($B$5,B69-1),"mmm yyyy")</f>
        <v/>
      </c>
      <c r="F69">
        <f>C69</f>
        <v/>
      </c>
    </row>
    <row r="70">
      <c r="B70" t="n">
        <v>9</v>
      </c>
      <c r="C70">
        <f>IF(B70&lt;=$B$32,IF(C69+D70-$B$7&gt;0.005,C69+D70-$B$7,0),0)</f>
        <v/>
      </c>
      <c r="D70">
        <f>IF(B70&lt;=$B$32,C69*$B$4,0)</f>
        <v/>
      </c>
      <c r="E70">
        <f>TEXT(EDATE($B$5,B70-1),"mmm yyyy")</f>
        <v/>
      </c>
      <c r="F70">
        <f>C70</f>
        <v/>
      </c>
    </row>
    <row r="71">
      <c r="B71" t="n">
        <v>10</v>
      </c>
      <c r="C71">
        <f>IF(B71&lt;=$B$32,IF(C70+D71-$B$7&gt;0.005,C70+D71-$B$7,0),0)</f>
        <v/>
      </c>
      <c r="D71">
        <f>IF(B71&lt;=$B$32,C70*$B$4,0)</f>
        <v/>
      </c>
      <c r="E71">
        <f>TEXT(EDATE($B$5,B71-1),"mmm yyyy")</f>
        <v/>
      </c>
      <c r="F71">
        <f>C71</f>
        <v/>
      </c>
    </row>
    <row r="72">
      <c r="B72" t="n">
        <v>11</v>
      </c>
      <c r="C72">
        <f>IF(B72&lt;=$B$32,IF(C71+D72-$B$7&gt;0.005,C71+D72-$B$7,0),0)</f>
        <v/>
      </c>
      <c r="D72">
        <f>IF(B72&lt;=$B$32,C71*$B$4,0)</f>
        <v/>
      </c>
      <c r="E72">
        <f>TEXT(EDATE($B$5,B72-1),"mmm yyyy")</f>
        <v/>
      </c>
      <c r="F72">
        <f>C72</f>
        <v/>
      </c>
    </row>
    <row r="73">
      <c r="B73" t="n">
        <v>12</v>
      </c>
      <c r="C73">
        <f>IF(B73&lt;=$B$32,IF(C72+D73-$B$7&gt;0.005,C72+D73-$B$7,0),0)</f>
        <v/>
      </c>
      <c r="D73">
        <f>IF(B73&lt;=$B$32,C72*$B$4,0)</f>
        <v/>
      </c>
      <c r="E73">
        <f>TEXT(EDATE($B$5,B73-1),"mmm yyyy")</f>
        <v/>
      </c>
      <c r="F73">
        <f>C73</f>
        <v/>
      </c>
    </row>
    <row r="74">
      <c r="B74" t="n">
        <v>13</v>
      </c>
      <c r="C74">
        <f>IF(B74&lt;=$B$32,IF(C73+D74-$B$7&gt;0.005,C73+D74-$B$7,0),0)</f>
        <v/>
      </c>
      <c r="D74">
        <f>IF(B74&lt;=$B$32,C73*$B$4,0)</f>
        <v/>
      </c>
      <c r="E74">
        <f>TEXT(EDATE($B$5,B74-1),"mmm yyyy")</f>
        <v/>
      </c>
      <c r="F74">
        <f>C74</f>
        <v/>
      </c>
    </row>
    <row r="75">
      <c r="B75" t="n">
        <v>14</v>
      </c>
      <c r="C75">
        <f>IF(B75&lt;=$B$32,IF(C74+D75-$B$7&gt;0.005,C74+D75-$B$7,0),0)</f>
        <v/>
      </c>
      <c r="D75">
        <f>IF(B75&lt;=$B$32,C74*$B$4,0)</f>
        <v/>
      </c>
      <c r="E75">
        <f>TEXT(EDATE($B$5,B75-1),"mmm yyyy")</f>
        <v/>
      </c>
      <c r="F75">
        <f>C75</f>
        <v/>
      </c>
    </row>
    <row r="76">
      <c r="B76" t="n">
        <v>15</v>
      </c>
      <c r="C76">
        <f>IF(B76&lt;=$B$32,IF(C75+D76-$B$7&gt;0.005,C75+D76-$B$7,0),0)</f>
        <v/>
      </c>
      <c r="D76">
        <f>IF(B76&lt;=$B$32,C75*$B$4,0)</f>
        <v/>
      </c>
      <c r="E76">
        <f>TEXT(EDATE($B$5,B76-1),"mmm yyyy")</f>
        <v/>
      </c>
      <c r="F76">
        <f>C76</f>
        <v/>
      </c>
    </row>
    <row r="77">
      <c r="B77" t="n">
        <v>16</v>
      </c>
      <c r="C77">
        <f>IF(B77&lt;=$B$32,IF(C76+D77-$B$7&gt;0.005,C76+D77-$B$7,0),0)</f>
        <v/>
      </c>
      <c r="D77">
        <f>IF(B77&lt;=$B$32,C76*$B$4,0)</f>
        <v/>
      </c>
      <c r="E77">
        <f>TEXT(EDATE($B$5,B77-1),"mmm yyyy")</f>
        <v/>
      </c>
      <c r="F77">
        <f>C77</f>
        <v/>
      </c>
    </row>
    <row r="78">
      <c r="B78" t="n">
        <v>17</v>
      </c>
      <c r="C78">
        <f>IF(B78&lt;=$B$32,IF(C77+D78-$B$7&gt;0.005,C77+D78-$B$7,0),0)</f>
        <v/>
      </c>
      <c r="D78">
        <f>IF(B78&lt;=$B$32,C77*$B$4,0)</f>
        <v/>
      </c>
      <c r="E78">
        <f>TEXT(EDATE($B$5,B78-1),"mmm yyyy")</f>
        <v/>
      </c>
      <c r="F78">
        <f>C78</f>
        <v/>
      </c>
    </row>
    <row r="79">
      <c r="B79" t="n">
        <v>18</v>
      </c>
      <c r="C79">
        <f>IF(B79&lt;=$B$32,IF(C78+D79-$B$7&gt;0.005,C78+D79-$B$7,0),0)</f>
        <v/>
      </c>
      <c r="D79">
        <f>IF(B79&lt;=$B$32,C78*$B$4,0)</f>
        <v/>
      </c>
      <c r="E79">
        <f>TEXT(EDATE($B$5,B79-1),"mmm yyyy")</f>
        <v/>
      </c>
      <c r="F79">
        <f>C79</f>
        <v/>
      </c>
    </row>
    <row r="80">
      <c r="B80" t="n">
        <v>19</v>
      </c>
      <c r="C80">
        <f>IF(B80&lt;=$B$32,IF(C79+D80-$B$7&gt;0.005,C79+D80-$B$7,0),0)</f>
        <v/>
      </c>
      <c r="D80">
        <f>IF(B80&lt;=$B$32,C79*$B$4,0)</f>
        <v/>
      </c>
      <c r="E80">
        <f>TEXT(EDATE($B$5,B80-1),"mmm yyyy")</f>
        <v/>
      </c>
      <c r="F80">
        <f>C80</f>
        <v/>
      </c>
    </row>
    <row r="81">
      <c r="B81" t="n">
        <v>20</v>
      </c>
      <c r="C81">
        <f>IF(B81&lt;=$B$32,IF(C80+D81-$B$7&gt;0.005,C80+D81-$B$7,0),0)</f>
        <v/>
      </c>
      <c r="D81">
        <f>IF(B81&lt;=$B$32,C80*$B$4,0)</f>
        <v/>
      </c>
      <c r="E81">
        <f>TEXT(EDATE($B$5,B81-1),"mmm yyyy")</f>
        <v/>
      </c>
      <c r="F81">
        <f>C81</f>
        <v/>
      </c>
    </row>
    <row r="82">
      <c r="B82" t="n">
        <v>21</v>
      </c>
      <c r="C82">
        <f>IF(B82&lt;=$B$32,IF(C81+D82-$B$7&gt;0.005,C81+D82-$B$7,0),0)</f>
        <v/>
      </c>
      <c r="D82">
        <f>IF(B82&lt;=$B$32,C81*$B$4,0)</f>
        <v/>
      </c>
      <c r="E82">
        <f>TEXT(EDATE($B$5,B82-1),"mmm yyyy")</f>
        <v/>
      </c>
      <c r="F82">
        <f>C82</f>
        <v/>
      </c>
    </row>
    <row r="83">
      <c r="B83" t="n">
        <v>22</v>
      </c>
      <c r="C83">
        <f>IF(B83&lt;=$B$32,IF(C82+D83-$B$7&gt;0.005,C82+D83-$B$7,0),0)</f>
        <v/>
      </c>
      <c r="D83">
        <f>IF(B83&lt;=$B$32,C82*$B$4,0)</f>
        <v/>
      </c>
      <c r="E83">
        <f>TEXT(EDATE($B$5,B83-1),"mmm yyyy")</f>
        <v/>
      </c>
      <c r="F83">
        <f>C83</f>
        <v/>
      </c>
    </row>
    <row r="84">
      <c r="B84" t="n">
        <v>23</v>
      </c>
      <c r="C84">
        <f>IF(B84&lt;=$B$32,IF(C83+D84-$B$7&gt;0.005,C83+D84-$B$7,0),0)</f>
        <v/>
      </c>
      <c r="D84">
        <f>IF(B84&lt;=$B$32,C83*$B$4,0)</f>
        <v/>
      </c>
      <c r="E84">
        <f>TEXT(EDATE($B$5,B84-1),"mmm yyyy")</f>
        <v/>
      </c>
      <c r="F84">
        <f>C84</f>
        <v/>
      </c>
    </row>
    <row r="85">
      <c r="B85" t="n">
        <v>24</v>
      </c>
      <c r="C85">
        <f>IF(B85&lt;=$B$32,IF(C84+D85-$B$7&gt;0.005,C84+D85-$B$7,0),0)</f>
        <v/>
      </c>
      <c r="D85">
        <f>IF(B85&lt;=$B$32,C84*$B$4,0)</f>
        <v/>
      </c>
      <c r="E85">
        <f>TEXT(EDATE($B$5,B85-1),"mmm yyyy")</f>
        <v/>
      </c>
      <c r="F85">
        <f>C85</f>
        <v/>
      </c>
    </row>
    <row r="86">
      <c r="B86" t="n">
        <v>25</v>
      </c>
      <c r="C86">
        <f>IF(B86&lt;=$B$32,IF(C85+D86-$B$7&gt;0.005,C85+D86-$B$7,0),0)</f>
        <v/>
      </c>
      <c r="D86">
        <f>IF(B86&lt;=$B$32,C85*$B$4,0)</f>
        <v/>
      </c>
      <c r="E86">
        <f>TEXT(EDATE($B$5,B86-1),"mmm yyyy")</f>
        <v/>
      </c>
      <c r="F86">
        <f>C86</f>
        <v/>
      </c>
    </row>
    <row r="87">
      <c r="B87" t="n">
        <v>26</v>
      </c>
      <c r="C87">
        <f>IF(B87&lt;=$B$32,IF(C86+D87-$B$7&gt;0.005,C86+D87-$B$7,0),0)</f>
        <v/>
      </c>
      <c r="D87">
        <f>IF(B87&lt;=$B$32,C86*$B$4,0)</f>
        <v/>
      </c>
      <c r="E87">
        <f>TEXT(EDATE($B$5,B87-1),"mmm yyyy")</f>
        <v/>
      </c>
      <c r="F87">
        <f>C87</f>
        <v/>
      </c>
    </row>
    <row r="88">
      <c r="B88" t="n">
        <v>27</v>
      </c>
      <c r="C88">
        <f>IF(B88&lt;=$B$32,IF(C87+D88-$B$7&gt;0.005,C87+D88-$B$7,0),0)</f>
        <v/>
      </c>
      <c r="D88">
        <f>IF(B88&lt;=$B$32,C87*$B$4,0)</f>
        <v/>
      </c>
      <c r="E88">
        <f>TEXT(EDATE($B$5,B88-1),"mmm yyyy")</f>
        <v/>
      </c>
      <c r="F88">
        <f>C88</f>
        <v/>
      </c>
    </row>
    <row r="89">
      <c r="B89" t="n">
        <v>28</v>
      </c>
      <c r="C89">
        <f>IF(B89&lt;=$B$32,IF(C88+D89-$B$7&gt;0.005,C88+D89-$B$7,0),0)</f>
        <v/>
      </c>
      <c r="D89">
        <f>IF(B89&lt;=$B$32,C88*$B$4,0)</f>
        <v/>
      </c>
      <c r="E89">
        <f>TEXT(EDATE($B$5,B89-1),"mmm yyyy")</f>
        <v/>
      </c>
      <c r="F89">
        <f>C89</f>
        <v/>
      </c>
    </row>
    <row r="90">
      <c r="B90" t="n">
        <v>29</v>
      </c>
      <c r="C90">
        <f>IF(B90&lt;=$B$32,IF(C89+D90-$B$7&gt;0.005,C89+D90-$B$7,0),0)</f>
        <v/>
      </c>
      <c r="D90">
        <f>IF(B90&lt;=$B$32,C89*$B$4,0)</f>
        <v/>
      </c>
      <c r="E90">
        <f>TEXT(EDATE($B$5,B90-1),"mmm yyyy")</f>
        <v/>
      </c>
      <c r="F90">
        <f>C90</f>
        <v/>
      </c>
    </row>
    <row r="91">
      <c r="B91" t="n">
        <v>30</v>
      </c>
      <c r="C91">
        <f>IF(B91&lt;=$B$32,IF(C90+D91-$B$7&gt;0.005,C90+D91-$B$7,0),0)</f>
        <v/>
      </c>
      <c r="D91">
        <f>IF(B91&lt;=$B$32,C90*$B$4,0)</f>
        <v/>
      </c>
      <c r="E91">
        <f>TEXT(EDATE($B$5,B91-1),"mmm yyyy")</f>
        <v/>
      </c>
      <c r="F91">
        <f>C91</f>
        <v/>
      </c>
    </row>
    <row r="92">
      <c r="B92" t="n">
        <v>31</v>
      </c>
      <c r="C92">
        <f>IF(B92&lt;=$B$32,IF(C91+D92-$B$7&gt;0.005,C91+D92-$B$7,0),0)</f>
        <v/>
      </c>
      <c r="D92">
        <f>IF(B92&lt;=$B$32,C91*$B$4,0)</f>
        <v/>
      </c>
      <c r="E92">
        <f>TEXT(EDATE($B$5,B92-1),"mmm yyyy")</f>
        <v/>
      </c>
      <c r="F92">
        <f>C92</f>
        <v/>
      </c>
    </row>
    <row r="93">
      <c r="B93" t="n">
        <v>32</v>
      </c>
      <c r="C93">
        <f>IF(B93&lt;=$B$32,IF(C92+D93-$B$7&gt;0.005,C92+D93-$B$7,0),0)</f>
        <v/>
      </c>
      <c r="D93">
        <f>IF(B93&lt;=$B$32,C92*$B$4,0)</f>
        <v/>
      </c>
      <c r="E93">
        <f>TEXT(EDATE($B$5,B93-1),"mmm yyyy")</f>
        <v/>
      </c>
      <c r="F93">
        <f>C93</f>
        <v/>
      </c>
    </row>
    <row r="94">
      <c r="B94" t="n">
        <v>33</v>
      </c>
      <c r="C94">
        <f>IF(B94&lt;=$B$32,IF(C93+D94-$B$7&gt;0.005,C93+D94-$B$7,0),0)</f>
        <v/>
      </c>
      <c r="D94">
        <f>IF(B94&lt;=$B$32,C93*$B$4,0)</f>
        <v/>
      </c>
      <c r="E94">
        <f>TEXT(EDATE($B$5,B94-1),"mmm yyyy")</f>
        <v/>
      </c>
      <c r="F94">
        <f>C94</f>
        <v/>
      </c>
    </row>
    <row r="95">
      <c r="B95" t="n">
        <v>34</v>
      </c>
      <c r="C95">
        <f>IF(B95&lt;=$B$32,IF(C94+D95-$B$7&gt;0.005,C94+D95-$B$7,0),0)</f>
        <v/>
      </c>
      <c r="D95">
        <f>IF(B95&lt;=$B$32,C94*$B$4,0)</f>
        <v/>
      </c>
      <c r="E95">
        <f>TEXT(EDATE($B$5,B95-1),"mmm yyyy")</f>
        <v/>
      </c>
      <c r="F95">
        <f>C95</f>
        <v/>
      </c>
    </row>
    <row r="96">
      <c r="B96" t="n">
        <v>35</v>
      </c>
      <c r="C96">
        <f>IF(B96&lt;=$B$32,IF(C95+D96-$B$7&gt;0.005,C95+D96-$B$7,0),0)</f>
        <v/>
      </c>
      <c r="D96">
        <f>IF(B96&lt;=$B$32,C95*$B$4,0)</f>
        <v/>
      </c>
      <c r="E96">
        <f>TEXT(EDATE($B$5,B96-1),"mmm yyyy")</f>
        <v/>
      </c>
      <c r="F96">
        <f>C96</f>
        <v/>
      </c>
    </row>
    <row r="97">
      <c r="B97" t="n">
        <v>36</v>
      </c>
      <c r="C97">
        <f>IF(B97&lt;=$B$32,IF(C96+D97-$B$7&gt;0.005,C96+D97-$B$7,0),0)</f>
        <v/>
      </c>
      <c r="D97">
        <f>IF(B97&lt;=$B$32,C96*$B$4,0)</f>
        <v/>
      </c>
      <c r="E97">
        <f>TEXT(EDATE($B$5,B97-1),"mmm yyyy")</f>
        <v/>
      </c>
      <c r="F97">
        <f>C97</f>
        <v/>
      </c>
    </row>
    <row r="98">
      <c r="B98" t="n">
        <v>37</v>
      </c>
      <c r="C98">
        <f>IF(B98&lt;=$B$32,IF(C97+D98-$B$7&gt;0.005,C97+D98-$B$7,0),0)</f>
        <v/>
      </c>
      <c r="D98">
        <f>IF(B98&lt;=$B$32,C97*$B$4,0)</f>
        <v/>
      </c>
      <c r="E98">
        <f>TEXT(EDATE($B$5,B98-1),"mmm yyyy")</f>
        <v/>
      </c>
      <c r="F98">
        <f>C98</f>
        <v/>
      </c>
    </row>
    <row r="99">
      <c r="B99" t="n">
        <v>38</v>
      </c>
      <c r="C99">
        <f>IF(B99&lt;=$B$32,IF(C98+D99-$B$7&gt;0.005,C98+D99-$B$7,0),0)</f>
        <v/>
      </c>
      <c r="D99">
        <f>IF(B99&lt;=$B$32,C98*$B$4,0)</f>
        <v/>
      </c>
      <c r="E99">
        <f>TEXT(EDATE($B$5,B99-1),"mmm yyyy")</f>
        <v/>
      </c>
      <c r="F99">
        <f>C99</f>
        <v/>
      </c>
    </row>
    <row r="100">
      <c r="B100" t="n">
        <v>39</v>
      </c>
      <c r="C100">
        <f>IF(B100&lt;=$B$32,IF(C99+D100-$B$7&gt;0.005,C99+D100-$B$7,0),0)</f>
        <v/>
      </c>
      <c r="D100">
        <f>IF(B100&lt;=$B$32,C99*$B$4,0)</f>
        <v/>
      </c>
      <c r="E100">
        <f>TEXT(EDATE($B$5,B100-1),"mmm yyyy")</f>
        <v/>
      </c>
      <c r="F100">
        <f>C100</f>
        <v/>
      </c>
    </row>
    <row r="101">
      <c r="B101" t="n">
        <v>40</v>
      </c>
      <c r="C101">
        <f>IF(B101&lt;=$B$32,IF(C100+D101-$B$7&gt;0.005,C100+D101-$B$7,0),0)</f>
        <v/>
      </c>
      <c r="D101">
        <f>IF(B101&lt;=$B$32,C100*$B$4,0)</f>
        <v/>
      </c>
      <c r="E101">
        <f>TEXT(EDATE($B$5,B101-1),"mmm yyyy")</f>
        <v/>
      </c>
      <c r="F101">
        <f>C101</f>
        <v/>
      </c>
    </row>
    <row r="102">
      <c r="B102" t="n">
        <v>41</v>
      </c>
      <c r="C102">
        <f>IF(B102&lt;=$B$32,IF(C101+D102-$B$7&gt;0.005,C101+D102-$B$7,0),0)</f>
        <v/>
      </c>
      <c r="D102">
        <f>IF(B102&lt;=$B$32,C101*$B$4,0)</f>
        <v/>
      </c>
      <c r="E102">
        <f>TEXT(EDATE($B$5,B102-1),"mmm yyyy")</f>
        <v/>
      </c>
      <c r="F102">
        <f>C102</f>
        <v/>
      </c>
    </row>
    <row r="103">
      <c r="B103" t="n">
        <v>42</v>
      </c>
      <c r="C103">
        <f>IF(B103&lt;=$B$32,IF(C102+D103-$B$7&gt;0.005,C102+D103-$B$7,0),0)</f>
        <v/>
      </c>
      <c r="D103">
        <f>IF(B103&lt;=$B$32,C102*$B$4,0)</f>
        <v/>
      </c>
      <c r="E103">
        <f>TEXT(EDATE($B$5,B103-1),"mmm yyyy")</f>
        <v/>
      </c>
      <c r="F103">
        <f>C103</f>
        <v/>
      </c>
    </row>
    <row r="104">
      <c r="B104" t="n">
        <v>43</v>
      </c>
      <c r="C104">
        <f>IF(B104&lt;=$B$32,IF(C103+D104-$B$7&gt;0.005,C103+D104-$B$7,0),0)</f>
        <v/>
      </c>
      <c r="D104">
        <f>IF(B104&lt;=$B$32,C103*$B$4,0)</f>
        <v/>
      </c>
      <c r="E104">
        <f>TEXT(EDATE($B$5,B104-1),"mmm yyyy")</f>
        <v/>
      </c>
      <c r="F104">
        <f>C104</f>
        <v/>
      </c>
    </row>
    <row r="105">
      <c r="B105" t="n">
        <v>44</v>
      </c>
      <c r="C105">
        <f>IF(B105&lt;=$B$32,IF(C104+D105-$B$7&gt;0.005,C104+D105-$B$7,0),0)</f>
        <v/>
      </c>
      <c r="D105">
        <f>IF(B105&lt;=$B$32,C104*$B$4,0)</f>
        <v/>
      </c>
      <c r="E105">
        <f>TEXT(EDATE($B$5,B105-1),"mmm yyyy")</f>
        <v/>
      </c>
      <c r="F105">
        <f>C105</f>
        <v/>
      </c>
    </row>
    <row r="106">
      <c r="B106" t="n">
        <v>45</v>
      </c>
      <c r="C106">
        <f>IF(B106&lt;=$B$32,IF(C105+D106-$B$7&gt;0.005,C105+D106-$B$7,0),0)</f>
        <v/>
      </c>
      <c r="D106">
        <f>IF(B106&lt;=$B$32,C105*$B$4,0)</f>
        <v/>
      </c>
      <c r="E106">
        <f>TEXT(EDATE($B$5,B106-1),"mmm yyyy")</f>
        <v/>
      </c>
      <c r="F106">
        <f>C106</f>
        <v/>
      </c>
    </row>
    <row r="107">
      <c r="B107" t="n">
        <v>46</v>
      </c>
      <c r="C107">
        <f>IF(B107&lt;=$B$32,IF(C106+D107-$B$7&gt;0.005,C106+D107-$B$7,0),0)</f>
        <v/>
      </c>
      <c r="D107">
        <f>IF(B107&lt;=$B$32,C106*$B$4,0)</f>
        <v/>
      </c>
      <c r="E107">
        <f>TEXT(EDATE($B$5,B107-1),"mmm yyyy")</f>
        <v/>
      </c>
      <c r="F107">
        <f>C107</f>
        <v/>
      </c>
    </row>
    <row r="108">
      <c r="B108" t="n">
        <v>47</v>
      </c>
      <c r="C108">
        <f>IF(B108&lt;=$B$32,IF(C107+D108-$B$7&gt;0.005,C107+D108-$B$7,0),0)</f>
        <v/>
      </c>
      <c r="D108">
        <f>IF(B108&lt;=$B$32,C107*$B$4,0)</f>
        <v/>
      </c>
      <c r="E108">
        <f>TEXT(EDATE($B$5,B108-1),"mmm yyyy")</f>
        <v/>
      </c>
      <c r="F108">
        <f>C108</f>
        <v/>
      </c>
    </row>
    <row r="109">
      <c r="B109" t="n">
        <v>48</v>
      </c>
      <c r="C109">
        <f>IF(B109&lt;=$B$32,IF(C108+D109-$B$7&gt;0.005,C108+D109-$B$7,0),0)</f>
        <v/>
      </c>
      <c r="D109">
        <f>IF(B109&lt;=$B$32,C108*$B$4,0)</f>
        <v/>
      </c>
      <c r="E109">
        <f>TEXT(EDATE($B$5,B109-1),"mmm yyyy")</f>
        <v/>
      </c>
      <c r="F109">
        <f>C109</f>
        <v/>
      </c>
    </row>
    <row r="110">
      <c r="B110" t="n">
        <v>49</v>
      </c>
      <c r="C110">
        <f>IF(B110&lt;=$B$32,IF(C109+D110-$B$7&gt;0.005,C109+D110-$B$7,0),0)</f>
        <v/>
      </c>
      <c r="D110">
        <f>IF(B110&lt;=$B$32,C109*$B$4,0)</f>
        <v/>
      </c>
      <c r="E110">
        <f>TEXT(EDATE($B$5,B110-1),"mmm yyyy")</f>
        <v/>
      </c>
      <c r="F110">
        <f>C110</f>
        <v/>
      </c>
    </row>
    <row r="111">
      <c r="B111" t="n">
        <v>50</v>
      </c>
      <c r="C111">
        <f>IF(B111&lt;=$B$32,IF(C110+D111-$B$7&gt;0.005,C110+D111-$B$7,0),0)</f>
        <v/>
      </c>
      <c r="D111">
        <f>IF(B111&lt;=$B$32,C110*$B$4,0)</f>
        <v/>
      </c>
      <c r="E111">
        <f>TEXT(EDATE($B$5,B111-1),"mmm yyyy")</f>
        <v/>
      </c>
      <c r="F111">
        <f>C111</f>
        <v/>
      </c>
    </row>
    <row r="112">
      <c r="B112" t="n">
        <v>51</v>
      </c>
      <c r="C112">
        <f>IF(B112&lt;=$B$32,IF(C111+D112-$B$7&gt;0.005,C111+D112-$B$7,0),0)</f>
        <v/>
      </c>
      <c r="D112">
        <f>IF(B112&lt;=$B$32,C111*$B$4,0)</f>
        <v/>
      </c>
      <c r="E112">
        <f>TEXT(EDATE($B$5,B112-1),"mmm yyyy")</f>
        <v/>
      </c>
      <c r="F112">
        <f>C112</f>
        <v/>
      </c>
    </row>
    <row r="113">
      <c r="B113" t="n">
        <v>52</v>
      </c>
      <c r="C113">
        <f>IF(B113&lt;=$B$32,IF(C112+D113-$B$7&gt;0.005,C112+D113-$B$7,0),0)</f>
        <v/>
      </c>
      <c r="D113">
        <f>IF(B113&lt;=$B$32,C112*$B$4,0)</f>
        <v/>
      </c>
      <c r="E113">
        <f>TEXT(EDATE($B$5,B113-1),"mmm yyyy")</f>
        <v/>
      </c>
      <c r="F113">
        <f>C113</f>
        <v/>
      </c>
    </row>
    <row r="114">
      <c r="B114" t="n">
        <v>53</v>
      </c>
      <c r="C114">
        <f>IF(B114&lt;=$B$32,IF(C113+D114-$B$7&gt;0.005,C113+D114-$B$7,0),0)</f>
        <v/>
      </c>
      <c r="D114">
        <f>IF(B114&lt;=$B$32,C113*$B$4,0)</f>
        <v/>
      </c>
      <c r="E114">
        <f>TEXT(EDATE($B$5,B114-1),"mmm yyyy")</f>
        <v/>
      </c>
      <c r="F114">
        <f>C114</f>
        <v/>
      </c>
    </row>
    <row r="115">
      <c r="B115" t="n">
        <v>54</v>
      </c>
      <c r="C115">
        <f>IF(B115&lt;=$B$32,IF(C114+D115-$B$7&gt;0.005,C114+D115-$B$7,0),0)</f>
        <v/>
      </c>
      <c r="D115">
        <f>IF(B115&lt;=$B$32,C114*$B$4,0)</f>
        <v/>
      </c>
      <c r="E115">
        <f>TEXT(EDATE($B$5,B115-1),"mmm yyyy")</f>
        <v/>
      </c>
      <c r="F115">
        <f>C115</f>
        <v/>
      </c>
    </row>
    <row r="116">
      <c r="B116" t="n">
        <v>55</v>
      </c>
      <c r="C116">
        <f>IF(B116&lt;=$B$32,IF(C115+D116-$B$7&gt;0.005,C115+D116-$B$7,0),0)</f>
        <v/>
      </c>
      <c r="D116">
        <f>IF(B116&lt;=$B$32,C115*$B$4,0)</f>
        <v/>
      </c>
      <c r="E116">
        <f>TEXT(EDATE($B$5,B116-1),"mmm yyyy")</f>
        <v/>
      </c>
      <c r="F116">
        <f>C116</f>
        <v/>
      </c>
    </row>
    <row r="117">
      <c r="B117" t="n">
        <v>56</v>
      </c>
      <c r="C117">
        <f>IF(B117&lt;=$B$32,IF(C116+D117-$B$7&gt;0.005,C116+D117-$B$7,0),0)</f>
        <v/>
      </c>
      <c r="D117">
        <f>IF(B117&lt;=$B$32,C116*$B$4,0)</f>
        <v/>
      </c>
      <c r="E117">
        <f>TEXT(EDATE($B$5,B117-1),"mmm yyyy")</f>
        <v/>
      </c>
      <c r="F117">
        <f>C117</f>
        <v/>
      </c>
    </row>
    <row r="118">
      <c r="B118" t="n">
        <v>57</v>
      </c>
      <c r="C118">
        <f>IF(B118&lt;=$B$32,IF(C117+D118-$B$7&gt;0.005,C117+D118-$B$7,0),0)</f>
        <v/>
      </c>
      <c r="D118">
        <f>IF(B118&lt;=$B$32,C117*$B$4,0)</f>
        <v/>
      </c>
      <c r="E118">
        <f>TEXT(EDATE($B$5,B118-1),"mmm yyyy")</f>
        <v/>
      </c>
      <c r="F118">
        <f>C118</f>
        <v/>
      </c>
    </row>
    <row r="119">
      <c r="B119" t="n">
        <v>58</v>
      </c>
      <c r="C119">
        <f>IF(B119&lt;=$B$32,IF(C118+D119-$B$7&gt;0.005,C118+D119-$B$7,0),0)</f>
        <v/>
      </c>
      <c r="D119">
        <f>IF(B119&lt;=$B$32,C118*$B$4,0)</f>
        <v/>
      </c>
      <c r="E119">
        <f>TEXT(EDATE($B$5,B119-1),"mmm yyyy")</f>
        <v/>
      </c>
      <c r="F119">
        <f>C119</f>
        <v/>
      </c>
    </row>
    <row r="120">
      <c r="B120" t="n">
        <v>59</v>
      </c>
      <c r="C120">
        <f>IF(B120&lt;=$B$32,IF(C119+D120-$B$7&gt;0.005,C119+D120-$B$7,0),0)</f>
        <v/>
      </c>
      <c r="D120">
        <f>IF(B120&lt;=$B$32,C119*$B$4,0)</f>
        <v/>
      </c>
      <c r="E120">
        <f>TEXT(EDATE($B$5,B120-1),"mmm yyyy")</f>
        <v/>
      </c>
      <c r="F120">
        <f>C120</f>
        <v/>
      </c>
    </row>
    <row r="121">
      <c r="B121" t="n">
        <v>60</v>
      </c>
      <c r="C121">
        <f>IF(B121&lt;=$B$32,IF(C120+D121-$B$7&gt;0.005,C120+D121-$B$7,0),0)</f>
        <v/>
      </c>
      <c r="D121">
        <f>IF(B121&lt;=$B$32,C120*$B$4,0)</f>
        <v/>
      </c>
      <c r="E121">
        <f>TEXT(EDATE($B$5,B121-1),"mmm yyyy")</f>
        <v/>
      </c>
      <c r="F121">
        <f>C121</f>
        <v/>
      </c>
    </row>
    <row r="122">
      <c r="B122" t="n">
        <v>61</v>
      </c>
      <c r="C122">
        <f>IF(B122&lt;=$B$32,IF(C121+D122-$B$7&gt;0.005,C121+D122-$B$7,0),0)</f>
        <v/>
      </c>
      <c r="D122">
        <f>IF(B122&lt;=$B$32,C121*$B$4,0)</f>
        <v/>
      </c>
      <c r="E122">
        <f>TEXT(EDATE($B$5,B122-1),"mmm yyyy")</f>
        <v/>
      </c>
      <c r="F122">
        <f>C122</f>
        <v/>
      </c>
    </row>
    <row r="123">
      <c r="B123" t="n">
        <v>62</v>
      </c>
      <c r="C123">
        <f>IF(B123&lt;=$B$32,IF(C122+D123-$B$7&gt;0.005,C122+D123-$B$7,0),0)</f>
        <v/>
      </c>
      <c r="D123">
        <f>IF(B123&lt;=$B$32,C122*$B$4,0)</f>
        <v/>
      </c>
      <c r="E123">
        <f>TEXT(EDATE($B$5,B123-1),"mmm yyyy")</f>
        <v/>
      </c>
      <c r="F123">
        <f>C123</f>
        <v/>
      </c>
    </row>
    <row r="124">
      <c r="B124" t="n">
        <v>63</v>
      </c>
      <c r="C124">
        <f>IF(B124&lt;=$B$32,IF(C123+D124-$B$7&gt;0.005,C123+D124-$B$7,0),0)</f>
        <v/>
      </c>
      <c r="D124">
        <f>IF(B124&lt;=$B$32,C123*$B$4,0)</f>
        <v/>
      </c>
      <c r="E124">
        <f>TEXT(EDATE($B$5,B124-1),"mmm yyyy")</f>
        <v/>
      </c>
      <c r="F124">
        <f>C124</f>
        <v/>
      </c>
    </row>
    <row r="125">
      <c r="B125" t="n">
        <v>64</v>
      </c>
      <c r="C125">
        <f>IF(B125&lt;=$B$32,IF(C124+D125-$B$7&gt;0.005,C124+D125-$B$7,0),0)</f>
        <v/>
      </c>
      <c r="D125">
        <f>IF(B125&lt;=$B$32,C124*$B$4,0)</f>
        <v/>
      </c>
      <c r="E125">
        <f>TEXT(EDATE($B$5,B125-1),"mmm yyyy")</f>
        <v/>
      </c>
      <c r="F125">
        <f>C125</f>
        <v/>
      </c>
    </row>
    <row r="126">
      <c r="B126" t="n">
        <v>65</v>
      </c>
      <c r="C126">
        <f>IF(B126&lt;=$B$32,IF(C125+D126-$B$7&gt;0.005,C125+D126-$B$7,0),0)</f>
        <v/>
      </c>
      <c r="D126">
        <f>IF(B126&lt;=$B$32,C125*$B$4,0)</f>
        <v/>
      </c>
      <c r="E126">
        <f>TEXT(EDATE($B$5,B126-1),"mmm yyyy")</f>
        <v/>
      </c>
      <c r="F126">
        <f>C126</f>
        <v/>
      </c>
    </row>
    <row r="127">
      <c r="B127" t="n">
        <v>66</v>
      </c>
      <c r="C127">
        <f>IF(B127&lt;=$B$32,IF(C126+D127-$B$7&gt;0.005,C126+D127-$B$7,0),0)</f>
        <v/>
      </c>
      <c r="D127">
        <f>IF(B127&lt;=$B$32,C126*$B$4,0)</f>
        <v/>
      </c>
      <c r="E127">
        <f>TEXT(EDATE($B$5,B127-1),"mmm yyyy")</f>
        <v/>
      </c>
      <c r="F127">
        <f>C127</f>
        <v/>
      </c>
    </row>
    <row r="128">
      <c r="B128" t="n">
        <v>67</v>
      </c>
      <c r="C128">
        <f>IF(B128&lt;=$B$32,IF(C127+D128-$B$7&gt;0.005,C127+D128-$B$7,0),0)</f>
        <v/>
      </c>
      <c r="D128">
        <f>IF(B128&lt;=$B$32,C127*$B$4,0)</f>
        <v/>
      </c>
      <c r="E128">
        <f>TEXT(EDATE($B$5,B128-1),"mmm yyyy")</f>
        <v/>
      </c>
      <c r="F128">
        <f>C128</f>
        <v/>
      </c>
    </row>
    <row r="129">
      <c r="B129" t="n">
        <v>68</v>
      </c>
      <c r="C129">
        <f>IF(B129&lt;=$B$32,IF(C128+D129-$B$7&gt;0.005,C128+D129-$B$7,0),0)</f>
        <v/>
      </c>
      <c r="D129">
        <f>IF(B129&lt;=$B$32,C128*$B$4,0)</f>
        <v/>
      </c>
      <c r="E129">
        <f>TEXT(EDATE($B$5,B129-1),"mmm yyyy")</f>
        <v/>
      </c>
      <c r="F129">
        <f>C129</f>
        <v/>
      </c>
    </row>
    <row r="130">
      <c r="B130" t="n">
        <v>69</v>
      </c>
      <c r="C130">
        <f>IF(B130&lt;=$B$32,IF(C129+D130-$B$7&gt;0.005,C129+D130-$B$7,0),0)</f>
        <v/>
      </c>
      <c r="D130">
        <f>IF(B130&lt;=$B$32,C129*$B$4,0)</f>
        <v/>
      </c>
      <c r="E130">
        <f>TEXT(EDATE($B$5,B130-1),"mmm yyyy")</f>
        <v/>
      </c>
      <c r="F130">
        <f>C130</f>
        <v/>
      </c>
    </row>
    <row r="131">
      <c r="B131" t="n">
        <v>70</v>
      </c>
      <c r="C131">
        <f>IF(B131&lt;=$B$32,IF(C130+D131-$B$7&gt;0.005,C130+D131-$B$7,0),0)</f>
        <v/>
      </c>
      <c r="D131">
        <f>IF(B131&lt;=$B$32,C130*$B$4,0)</f>
        <v/>
      </c>
      <c r="E131">
        <f>TEXT(EDATE($B$5,B131-1),"mmm yyyy")</f>
        <v/>
      </c>
      <c r="F131">
        <f>C131</f>
        <v/>
      </c>
    </row>
    <row r="132">
      <c r="B132" t="n">
        <v>71</v>
      </c>
      <c r="C132">
        <f>IF(B132&lt;=$B$32,IF(C131+D132-$B$7&gt;0.005,C131+D132-$B$7,0),0)</f>
        <v/>
      </c>
      <c r="D132">
        <f>IF(B132&lt;=$B$32,C131*$B$4,0)</f>
        <v/>
      </c>
      <c r="E132">
        <f>TEXT(EDATE($B$5,B132-1),"mmm yyyy")</f>
        <v/>
      </c>
      <c r="F132">
        <f>C132</f>
        <v/>
      </c>
    </row>
    <row r="133">
      <c r="B133" t="n">
        <v>72</v>
      </c>
      <c r="C133">
        <f>IF(B133&lt;=$B$32,IF(C132+D133-$B$7&gt;0.005,C132+D133-$B$7,0),0)</f>
        <v/>
      </c>
      <c r="D133">
        <f>IF(B133&lt;=$B$32,C132*$B$4,0)</f>
        <v/>
      </c>
      <c r="E133">
        <f>TEXT(EDATE($B$5,B133-1),"mmm yyyy")</f>
        <v/>
      </c>
      <c r="F133">
        <f>C133</f>
        <v/>
      </c>
    </row>
    <row r="134">
      <c r="B134" t="n">
        <v>73</v>
      </c>
      <c r="C134">
        <f>IF(B134&lt;=$B$32,IF(C133+D134-$B$7&gt;0.005,C133+D134-$B$7,0),0)</f>
        <v/>
      </c>
      <c r="D134">
        <f>IF(B134&lt;=$B$32,C133*$B$4,0)</f>
        <v/>
      </c>
      <c r="E134">
        <f>TEXT(EDATE($B$5,B134-1),"mmm yyyy")</f>
        <v/>
      </c>
      <c r="F134">
        <f>C134</f>
        <v/>
      </c>
    </row>
    <row r="135">
      <c r="B135" t="n">
        <v>74</v>
      </c>
      <c r="C135">
        <f>IF(B135&lt;=$B$32,IF(C134+D135-$B$7&gt;0.005,C134+D135-$B$7,0),0)</f>
        <v/>
      </c>
      <c r="D135">
        <f>IF(B135&lt;=$B$32,C134*$B$4,0)</f>
        <v/>
      </c>
      <c r="E135">
        <f>TEXT(EDATE($B$5,B135-1),"mmm yyyy")</f>
        <v/>
      </c>
      <c r="F135">
        <f>C135</f>
        <v/>
      </c>
    </row>
    <row r="136">
      <c r="B136" t="n">
        <v>75</v>
      </c>
      <c r="C136">
        <f>IF(B136&lt;=$B$32,IF(C135+D136-$B$7&gt;0.005,C135+D136-$B$7,0),0)</f>
        <v/>
      </c>
      <c r="D136">
        <f>IF(B136&lt;=$B$32,C135*$B$4,0)</f>
        <v/>
      </c>
      <c r="E136">
        <f>TEXT(EDATE($B$5,B136-1),"mmm yyyy")</f>
        <v/>
      </c>
      <c r="F136">
        <f>C136</f>
        <v/>
      </c>
    </row>
    <row r="137">
      <c r="B137" t="n">
        <v>76</v>
      </c>
      <c r="C137">
        <f>IF(B137&lt;=$B$32,IF(C136+D137-$B$7&gt;0.005,C136+D137-$B$7,0),0)</f>
        <v/>
      </c>
      <c r="D137">
        <f>IF(B137&lt;=$B$32,C136*$B$4,0)</f>
        <v/>
      </c>
      <c r="E137">
        <f>TEXT(EDATE($B$5,B137-1),"mmm yyyy")</f>
        <v/>
      </c>
      <c r="F137">
        <f>C137</f>
        <v/>
      </c>
    </row>
    <row r="138">
      <c r="B138" t="n">
        <v>77</v>
      </c>
      <c r="C138">
        <f>IF(B138&lt;=$B$32,IF(C137+D138-$B$7&gt;0.005,C137+D138-$B$7,0),0)</f>
        <v/>
      </c>
      <c r="D138">
        <f>IF(B138&lt;=$B$32,C137*$B$4,0)</f>
        <v/>
      </c>
      <c r="E138">
        <f>TEXT(EDATE($B$5,B138-1),"mmm yyyy")</f>
        <v/>
      </c>
      <c r="F138">
        <f>C138</f>
        <v/>
      </c>
    </row>
    <row r="139">
      <c r="B139" t="n">
        <v>78</v>
      </c>
      <c r="C139">
        <f>IF(B139&lt;=$B$32,IF(C138+D139-$B$7&gt;0.005,C138+D139-$B$7,0),0)</f>
        <v/>
      </c>
      <c r="D139">
        <f>IF(B139&lt;=$B$32,C138*$B$4,0)</f>
        <v/>
      </c>
      <c r="E139">
        <f>TEXT(EDATE($B$5,B139-1),"mmm yyyy")</f>
        <v/>
      </c>
      <c r="F139">
        <f>C139</f>
        <v/>
      </c>
    </row>
    <row r="140">
      <c r="B140" t="n">
        <v>79</v>
      </c>
      <c r="C140">
        <f>IF(B140&lt;=$B$32,IF(C139+D140-$B$7&gt;0.005,C139+D140-$B$7,0),0)</f>
        <v/>
      </c>
      <c r="D140">
        <f>IF(B140&lt;=$B$32,C139*$B$4,0)</f>
        <v/>
      </c>
      <c r="E140">
        <f>TEXT(EDATE($B$5,B140-1),"mmm yyyy")</f>
        <v/>
      </c>
      <c r="F140">
        <f>C140</f>
        <v/>
      </c>
    </row>
    <row r="141">
      <c r="B141" t="n">
        <v>80</v>
      </c>
      <c r="C141">
        <f>IF(B141&lt;=$B$32,IF(C140+D141-$B$7&gt;0.005,C140+D141-$B$7,0),0)</f>
        <v/>
      </c>
      <c r="D141">
        <f>IF(B141&lt;=$B$32,C140*$B$4,0)</f>
        <v/>
      </c>
      <c r="E141">
        <f>TEXT(EDATE($B$5,B141-1),"mmm yyyy")</f>
        <v/>
      </c>
      <c r="F141">
        <f>C141</f>
        <v/>
      </c>
    </row>
    <row r="142">
      <c r="B142" t="n">
        <v>81</v>
      </c>
      <c r="C142">
        <f>IF(B142&lt;=$B$32,IF(C141+D142-$B$7&gt;0.005,C141+D142-$B$7,0),0)</f>
        <v/>
      </c>
      <c r="D142">
        <f>IF(B142&lt;=$B$32,C141*$B$4,0)</f>
        <v/>
      </c>
      <c r="E142">
        <f>TEXT(EDATE($B$5,B142-1),"mmm yyyy")</f>
        <v/>
      </c>
      <c r="F142">
        <f>C142</f>
        <v/>
      </c>
    </row>
    <row r="143">
      <c r="B143" t="n">
        <v>82</v>
      </c>
      <c r="C143">
        <f>IF(B143&lt;=$B$32,IF(C142+D143-$B$7&gt;0.005,C142+D143-$B$7,0),0)</f>
        <v/>
      </c>
      <c r="D143">
        <f>IF(B143&lt;=$B$32,C142*$B$4,0)</f>
        <v/>
      </c>
      <c r="E143">
        <f>TEXT(EDATE($B$5,B143-1),"mmm yyyy")</f>
        <v/>
      </c>
      <c r="F143">
        <f>C143</f>
        <v/>
      </c>
    </row>
    <row r="144">
      <c r="B144" t="n">
        <v>83</v>
      </c>
      <c r="C144">
        <f>IF(B144&lt;=$B$32,IF(C143+D144-$B$7&gt;0.005,C143+D144-$B$7,0),0)</f>
        <v/>
      </c>
      <c r="D144">
        <f>IF(B144&lt;=$B$32,C143*$B$4,0)</f>
        <v/>
      </c>
      <c r="E144">
        <f>TEXT(EDATE($B$5,B144-1),"mmm yyyy")</f>
        <v/>
      </c>
      <c r="F144">
        <f>C144</f>
        <v/>
      </c>
    </row>
    <row r="145">
      <c r="B145" t="n">
        <v>84</v>
      </c>
      <c r="C145">
        <f>IF(B145&lt;=$B$32,IF(C144+D145-$B$7&gt;0.005,C144+D145-$B$7,0),0)</f>
        <v/>
      </c>
      <c r="D145">
        <f>IF(B145&lt;=$B$32,C144*$B$4,0)</f>
        <v/>
      </c>
      <c r="E145">
        <f>TEXT(EDATE($B$5,B145-1),"mmm yyyy")</f>
        <v/>
      </c>
      <c r="F145">
        <f>C145</f>
        <v/>
      </c>
    </row>
    <row r="146">
      <c r="B146" t="n">
        <v>85</v>
      </c>
      <c r="C146">
        <f>IF(B146&lt;=$B$32,IF(C145+D146-$B$7&gt;0.005,C145+D146-$B$7,0),0)</f>
        <v/>
      </c>
      <c r="D146">
        <f>IF(B146&lt;=$B$32,C145*$B$4,0)</f>
        <v/>
      </c>
      <c r="E146">
        <f>TEXT(EDATE($B$5,B146-1),"mmm yyyy")</f>
        <v/>
      </c>
      <c r="F146">
        <f>C146</f>
        <v/>
      </c>
    </row>
    <row r="147">
      <c r="B147" t="n">
        <v>86</v>
      </c>
      <c r="C147">
        <f>IF(B147&lt;=$B$32,IF(C146+D147-$B$7&gt;0.005,C146+D147-$B$7,0),0)</f>
        <v/>
      </c>
      <c r="D147">
        <f>IF(B147&lt;=$B$32,C146*$B$4,0)</f>
        <v/>
      </c>
      <c r="E147">
        <f>TEXT(EDATE($B$5,B147-1),"mmm yyyy")</f>
        <v/>
      </c>
      <c r="F147">
        <f>C147</f>
        <v/>
      </c>
    </row>
    <row r="148">
      <c r="B148" t="n">
        <v>87</v>
      </c>
      <c r="C148">
        <f>IF(B148&lt;=$B$32,IF(C147+D148-$B$7&gt;0.005,C147+D148-$B$7,0),0)</f>
        <v/>
      </c>
      <c r="D148">
        <f>IF(B148&lt;=$B$32,C147*$B$4,0)</f>
        <v/>
      </c>
      <c r="E148">
        <f>TEXT(EDATE($B$5,B148-1),"mmm yyyy")</f>
        <v/>
      </c>
      <c r="F148">
        <f>C148</f>
        <v/>
      </c>
    </row>
    <row r="149">
      <c r="B149" t="n">
        <v>88</v>
      </c>
      <c r="C149">
        <f>IF(B149&lt;=$B$32,IF(C148+D149-$B$7&gt;0.005,C148+D149-$B$7,0),0)</f>
        <v/>
      </c>
      <c r="D149">
        <f>IF(B149&lt;=$B$32,C148*$B$4,0)</f>
        <v/>
      </c>
      <c r="E149">
        <f>TEXT(EDATE($B$5,B149-1),"mmm yyyy")</f>
        <v/>
      </c>
      <c r="F149">
        <f>C149</f>
        <v/>
      </c>
    </row>
    <row r="150">
      <c r="B150" t="n">
        <v>89</v>
      </c>
      <c r="C150">
        <f>IF(B150&lt;=$B$32,IF(C149+D150-$B$7&gt;0.005,C149+D150-$B$7,0),0)</f>
        <v/>
      </c>
      <c r="D150">
        <f>IF(B150&lt;=$B$32,C149*$B$4,0)</f>
        <v/>
      </c>
      <c r="E150">
        <f>TEXT(EDATE($B$5,B150-1),"mmm yyyy")</f>
        <v/>
      </c>
      <c r="F150">
        <f>C150</f>
        <v/>
      </c>
    </row>
    <row r="151">
      <c r="B151" t="n">
        <v>90</v>
      </c>
      <c r="C151">
        <f>IF(B151&lt;=$B$32,IF(C150+D151-$B$7&gt;0.005,C150+D151-$B$7,0),0)</f>
        <v/>
      </c>
      <c r="D151">
        <f>IF(B151&lt;=$B$32,C150*$B$4,0)</f>
        <v/>
      </c>
      <c r="E151">
        <f>TEXT(EDATE($B$5,B151-1),"mmm yyyy")</f>
        <v/>
      </c>
      <c r="F151">
        <f>C151</f>
        <v/>
      </c>
    </row>
    <row r="152">
      <c r="B152" t="n">
        <v>91</v>
      </c>
      <c r="C152">
        <f>IF(B152&lt;=$B$32,IF(C151+D152-$B$7&gt;0.005,C151+D152-$B$7,0),0)</f>
        <v/>
      </c>
      <c r="D152">
        <f>IF(B152&lt;=$B$32,C151*$B$4,0)</f>
        <v/>
      </c>
      <c r="E152">
        <f>TEXT(EDATE($B$5,B152-1),"mmm yyyy")</f>
        <v/>
      </c>
      <c r="F152">
        <f>C152</f>
        <v/>
      </c>
    </row>
    <row r="153">
      <c r="B153" t="n">
        <v>92</v>
      </c>
      <c r="C153">
        <f>IF(B153&lt;=$B$32,IF(C152+D153-$B$7&gt;0.005,C152+D153-$B$7,0),0)</f>
        <v/>
      </c>
      <c r="D153">
        <f>IF(B153&lt;=$B$32,C152*$B$4,0)</f>
        <v/>
      </c>
      <c r="E153">
        <f>TEXT(EDATE($B$5,B153-1),"mmm yyyy")</f>
        <v/>
      </c>
      <c r="F153">
        <f>C153</f>
        <v/>
      </c>
    </row>
    <row r="154">
      <c r="B154" t="n">
        <v>93</v>
      </c>
      <c r="C154">
        <f>IF(B154&lt;=$B$32,IF(C153+D154-$B$7&gt;0.005,C153+D154-$B$7,0),0)</f>
        <v/>
      </c>
      <c r="D154">
        <f>IF(B154&lt;=$B$32,C153*$B$4,0)</f>
        <v/>
      </c>
      <c r="E154">
        <f>TEXT(EDATE($B$5,B154-1),"mmm yyyy")</f>
        <v/>
      </c>
      <c r="F154">
        <f>C154</f>
        <v/>
      </c>
    </row>
    <row r="155">
      <c r="B155" t="n">
        <v>94</v>
      </c>
      <c r="C155">
        <f>IF(B155&lt;=$B$32,IF(C154+D155-$B$7&gt;0.005,C154+D155-$B$7,0),0)</f>
        <v/>
      </c>
      <c r="D155">
        <f>IF(B155&lt;=$B$32,C154*$B$4,0)</f>
        <v/>
      </c>
      <c r="E155">
        <f>TEXT(EDATE($B$5,B155-1),"mmm yyyy")</f>
        <v/>
      </c>
      <c r="F155">
        <f>C155</f>
        <v/>
      </c>
    </row>
    <row r="156">
      <c r="B156" t="n">
        <v>95</v>
      </c>
      <c r="C156">
        <f>IF(B156&lt;=$B$32,IF(C155+D156-$B$7&gt;0.005,C155+D156-$B$7,0),0)</f>
        <v/>
      </c>
      <c r="D156">
        <f>IF(B156&lt;=$B$32,C155*$B$4,0)</f>
        <v/>
      </c>
      <c r="E156">
        <f>TEXT(EDATE($B$5,B156-1),"mmm yyyy")</f>
        <v/>
      </c>
      <c r="F156">
        <f>C156</f>
        <v/>
      </c>
    </row>
    <row r="157">
      <c r="B157" t="n">
        <v>96</v>
      </c>
      <c r="C157">
        <f>IF(B157&lt;=$B$32,IF(C156+D157-$B$7&gt;0.005,C156+D157-$B$7,0),0)</f>
        <v/>
      </c>
      <c r="D157">
        <f>IF(B157&lt;=$B$32,C156*$B$4,0)</f>
        <v/>
      </c>
      <c r="E157">
        <f>TEXT(EDATE($B$5,B157-1),"mmm yyyy")</f>
        <v/>
      </c>
      <c r="F157">
        <f>C157</f>
        <v/>
      </c>
    </row>
    <row r="158">
      <c r="B158" t="n">
        <v>97</v>
      </c>
      <c r="C158">
        <f>IF(B158&lt;=$B$32,IF(C157+D158-$B$7&gt;0.005,C157+D158-$B$7,0),0)</f>
        <v/>
      </c>
      <c r="D158">
        <f>IF(B158&lt;=$B$32,C157*$B$4,0)</f>
        <v/>
      </c>
      <c r="E158">
        <f>TEXT(EDATE($B$5,B158-1),"mmm yyyy")</f>
        <v/>
      </c>
      <c r="F158">
        <f>C158</f>
        <v/>
      </c>
    </row>
    <row r="159">
      <c r="B159" t="n">
        <v>98</v>
      </c>
      <c r="C159">
        <f>IF(B159&lt;=$B$32,IF(C158+D159-$B$7&gt;0.005,C158+D159-$B$7,0),0)</f>
        <v/>
      </c>
      <c r="D159">
        <f>IF(B159&lt;=$B$32,C158*$B$4,0)</f>
        <v/>
      </c>
      <c r="E159">
        <f>TEXT(EDATE($B$5,B159-1),"mmm yyyy")</f>
        <v/>
      </c>
      <c r="F159">
        <f>C159</f>
        <v/>
      </c>
    </row>
    <row r="160">
      <c r="B160" t="n">
        <v>99</v>
      </c>
      <c r="C160">
        <f>IF(B160&lt;=$B$32,IF(C159+D160-$B$7&gt;0.005,C159+D160-$B$7,0),0)</f>
        <v/>
      </c>
      <c r="D160">
        <f>IF(B160&lt;=$B$32,C159*$B$4,0)</f>
        <v/>
      </c>
      <c r="E160">
        <f>TEXT(EDATE($B$5,B160-1),"mmm yyyy")</f>
        <v/>
      </c>
      <c r="F160">
        <f>C160</f>
        <v/>
      </c>
    </row>
    <row r="161">
      <c r="B161" t="n">
        <v>100</v>
      </c>
      <c r="C161">
        <f>IF(B161&lt;=$B$32,IF(C160+D161-$B$7&gt;0.005,C160+D161-$B$7,0),0)</f>
        <v/>
      </c>
      <c r="D161">
        <f>IF(B161&lt;=$B$32,C160*$B$4,0)</f>
        <v/>
      </c>
      <c r="E161">
        <f>TEXT(EDATE($B$5,B161-1),"mmm yyyy")</f>
        <v/>
      </c>
      <c r="F161">
        <f>C161</f>
        <v/>
      </c>
    </row>
    <row r="162">
      <c r="B162" t="n">
        <v>101</v>
      </c>
      <c r="C162">
        <f>IF(B162&lt;=$B$32,IF(C161+D162-$B$7&gt;0.005,C161+D162-$B$7,0),0)</f>
        <v/>
      </c>
      <c r="D162">
        <f>IF(B162&lt;=$B$32,C161*$B$4,0)</f>
        <v/>
      </c>
      <c r="E162">
        <f>TEXT(EDATE($B$5,B162-1),"mmm yyyy")</f>
        <v/>
      </c>
      <c r="F162">
        <f>C162</f>
        <v/>
      </c>
    </row>
    <row r="163">
      <c r="B163" t="n">
        <v>102</v>
      </c>
      <c r="C163">
        <f>IF(B163&lt;=$B$32,IF(C162+D163-$B$7&gt;0.005,C162+D163-$B$7,0),0)</f>
        <v/>
      </c>
      <c r="D163">
        <f>IF(B163&lt;=$B$32,C162*$B$4,0)</f>
        <v/>
      </c>
      <c r="E163">
        <f>TEXT(EDATE($B$5,B163-1),"mmm yyyy")</f>
        <v/>
      </c>
      <c r="F163">
        <f>C163</f>
        <v/>
      </c>
    </row>
    <row r="164">
      <c r="B164" t="n">
        <v>103</v>
      </c>
      <c r="C164">
        <f>IF(B164&lt;=$B$32,IF(C163+D164-$B$7&gt;0.005,C163+D164-$B$7,0),0)</f>
        <v/>
      </c>
      <c r="D164">
        <f>IF(B164&lt;=$B$32,C163*$B$4,0)</f>
        <v/>
      </c>
      <c r="E164">
        <f>TEXT(EDATE($B$5,B164-1),"mmm yyyy")</f>
        <v/>
      </c>
      <c r="F164">
        <f>C164</f>
        <v/>
      </c>
    </row>
    <row r="165">
      <c r="B165" t="n">
        <v>104</v>
      </c>
      <c r="C165">
        <f>IF(B165&lt;=$B$32,IF(C164+D165-$B$7&gt;0.005,C164+D165-$B$7,0),0)</f>
        <v/>
      </c>
      <c r="D165">
        <f>IF(B165&lt;=$B$32,C164*$B$4,0)</f>
        <v/>
      </c>
      <c r="E165">
        <f>TEXT(EDATE($B$5,B165-1),"mmm yyyy")</f>
        <v/>
      </c>
      <c r="F165">
        <f>C165</f>
        <v/>
      </c>
    </row>
    <row r="166">
      <c r="B166" t="n">
        <v>105</v>
      </c>
      <c r="C166">
        <f>IF(B166&lt;=$B$32,IF(C165+D166-$B$7&gt;0.005,C165+D166-$B$7,0),0)</f>
        <v/>
      </c>
      <c r="D166">
        <f>IF(B166&lt;=$B$32,C165*$B$4,0)</f>
        <v/>
      </c>
      <c r="E166">
        <f>TEXT(EDATE($B$5,B166-1),"mmm yyyy")</f>
        <v/>
      </c>
      <c r="F166">
        <f>C166</f>
        <v/>
      </c>
    </row>
    <row r="167">
      <c r="B167" t="n">
        <v>106</v>
      </c>
      <c r="C167">
        <f>IF(B167&lt;=$B$32,IF(C166+D167-$B$7&gt;0.005,C166+D167-$B$7,0),0)</f>
        <v/>
      </c>
      <c r="D167">
        <f>IF(B167&lt;=$B$32,C166*$B$4,0)</f>
        <v/>
      </c>
      <c r="E167">
        <f>TEXT(EDATE($B$5,B167-1),"mmm yyyy")</f>
        <v/>
      </c>
      <c r="F167">
        <f>C167</f>
        <v/>
      </c>
    </row>
    <row r="168">
      <c r="B168" t="n">
        <v>107</v>
      </c>
      <c r="C168">
        <f>IF(B168&lt;=$B$32,IF(C167+D168-$B$7&gt;0.005,C167+D168-$B$7,0),0)</f>
        <v/>
      </c>
      <c r="D168">
        <f>IF(B168&lt;=$B$32,C167*$B$4,0)</f>
        <v/>
      </c>
      <c r="E168">
        <f>TEXT(EDATE($B$5,B168-1),"mmm yyyy")</f>
        <v/>
      </c>
      <c r="F168">
        <f>C168</f>
        <v/>
      </c>
    </row>
    <row r="169">
      <c r="B169" t="n">
        <v>108</v>
      </c>
      <c r="C169">
        <f>IF(B169&lt;=$B$32,IF(C168+D169-$B$7&gt;0.005,C168+D169-$B$7,0),0)</f>
        <v/>
      </c>
      <c r="D169">
        <f>IF(B169&lt;=$B$32,C168*$B$4,0)</f>
        <v/>
      </c>
      <c r="E169">
        <f>TEXT(EDATE($B$5,B169-1),"mmm yyyy")</f>
        <v/>
      </c>
      <c r="F169">
        <f>C169</f>
        <v/>
      </c>
    </row>
    <row r="170">
      <c r="B170" t="n">
        <v>109</v>
      </c>
      <c r="C170">
        <f>IF(B170&lt;=$B$32,IF(C169+D170-$B$7&gt;0.005,C169+D170-$B$7,0),0)</f>
        <v/>
      </c>
      <c r="D170">
        <f>IF(B170&lt;=$B$32,C169*$B$4,0)</f>
        <v/>
      </c>
      <c r="E170">
        <f>TEXT(EDATE($B$5,B170-1),"mmm yyyy")</f>
        <v/>
      </c>
      <c r="F170">
        <f>C170</f>
        <v/>
      </c>
    </row>
    <row r="171">
      <c r="B171" t="n">
        <v>110</v>
      </c>
      <c r="C171">
        <f>IF(B171&lt;=$B$32,IF(C170+D171-$B$7&gt;0.005,C170+D171-$B$7,0),0)</f>
        <v/>
      </c>
      <c r="D171">
        <f>IF(B171&lt;=$B$32,C170*$B$4,0)</f>
        <v/>
      </c>
      <c r="E171">
        <f>TEXT(EDATE($B$5,B171-1),"mmm yyyy")</f>
        <v/>
      </c>
      <c r="F171">
        <f>C171</f>
        <v/>
      </c>
    </row>
    <row r="172">
      <c r="B172" t="n">
        <v>111</v>
      </c>
      <c r="C172">
        <f>IF(B172&lt;=$B$32,IF(C171+D172-$B$7&gt;0.005,C171+D172-$B$7,0),0)</f>
        <v/>
      </c>
      <c r="D172">
        <f>IF(B172&lt;=$B$32,C171*$B$4,0)</f>
        <v/>
      </c>
      <c r="E172">
        <f>TEXT(EDATE($B$5,B172-1),"mmm yyyy")</f>
        <v/>
      </c>
      <c r="F172">
        <f>C172</f>
        <v/>
      </c>
    </row>
    <row r="173">
      <c r="B173" t="n">
        <v>112</v>
      </c>
      <c r="C173">
        <f>IF(B173&lt;=$B$32,IF(C172+D173-$B$7&gt;0.005,C172+D173-$B$7,0),0)</f>
        <v/>
      </c>
      <c r="D173">
        <f>IF(B173&lt;=$B$32,C172*$B$4,0)</f>
        <v/>
      </c>
      <c r="E173">
        <f>TEXT(EDATE($B$5,B173-1),"mmm yyyy")</f>
        <v/>
      </c>
      <c r="F173">
        <f>C173</f>
        <v/>
      </c>
    </row>
    <row r="174">
      <c r="B174" t="n">
        <v>113</v>
      </c>
      <c r="C174">
        <f>IF(B174&lt;=$B$32,IF(C173+D174-$B$7&gt;0.005,C173+D174-$B$7,0),0)</f>
        <v/>
      </c>
      <c r="D174">
        <f>IF(B174&lt;=$B$32,C173*$B$4,0)</f>
        <v/>
      </c>
      <c r="E174">
        <f>TEXT(EDATE($B$5,B174-1),"mmm yyyy")</f>
        <v/>
      </c>
      <c r="F174">
        <f>C174</f>
        <v/>
      </c>
    </row>
    <row r="175">
      <c r="B175" t="n">
        <v>114</v>
      </c>
      <c r="C175">
        <f>IF(B175&lt;=$B$32,IF(C174+D175-$B$7&gt;0.005,C174+D175-$B$7,0),0)</f>
        <v/>
      </c>
      <c r="D175">
        <f>IF(B175&lt;=$B$32,C174*$B$4,0)</f>
        <v/>
      </c>
      <c r="E175">
        <f>TEXT(EDATE($B$5,B175-1),"mmm yyyy")</f>
        <v/>
      </c>
      <c r="F175">
        <f>C175</f>
        <v/>
      </c>
    </row>
    <row r="176">
      <c r="B176" t="n">
        <v>115</v>
      </c>
      <c r="C176">
        <f>IF(B176&lt;=$B$32,IF(C175+D176-$B$7&gt;0.005,C175+D176-$B$7,0),0)</f>
        <v/>
      </c>
      <c r="D176">
        <f>IF(B176&lt;=$B$32,C175*$B$4,0)</f>
        <v/>
      </c>
      <c r="E176">
        <f>TEXT(EDATE($B$5,B176-1),"mmm yyyy")</f>
        <v/>
      </c>
      <c r="F176">
        <f>C176</f>
        <v/>
      </c>
    </row>
    <row r="177">
      <c r="B177" t="n">
        <v>116</v>
      </c>
      <c r="C177">
        <f>IF(B177&lt;=$B$32,IF(C176+D177-$B$7&gt;0.005,C176+D177-$B$7,0),0)</f>
        <v/>
      </c>
      <c r="D177">
        <f>IF(B177&lt;=$B$32,C176*$B$4,0)</f>
        <v/>
      </c>
      <c r="E177">
        <f>TEXT(EDATE($B$5,B177-1),"mmm yyyy")</f>
        <v/>
      </c>
      <c r="F177">
        <f>C177</f>
        <v/>
      </c>
    </row>
    <row r="178">
      <c r="B178" t="n">
        <v>117</v>
      </c>
      <c r="C178">
        <f>IF(B178&lt;=$B$32,IF(C177+D178-$B$7&gt;0.005,C177+D178-$B$7,0),0)</f>
        <v/>
      </c>
      <c r="D178">
        <f>IF(B178&lt;=$B$32,C177*$B$4,0)</f>
        <v/>
      </c>
      <c r="E178">
        <f>TEXT(EDATE($B$5,B178-1),"mmm yyyy")</f>
        <v/>
      </c>
      <c r="F178">
        <f>C178</f>
        <v/>
      </c>
    </row>
    <row r="179">
      <c r="B179" t="n">
        <v>118</v>
      </c>
      <c r="C179">
        <f>IF(B179&lt;=$B$32,IF(C178+D179-$B$7&gt;0.005,C178+D179-$B$7,0),0)</f>
        <v/>
      </c>
      <c r="D179">
        <f>IF(B179&lt;=$B$32,C178*$B$4,0)</f>
        <v/>
      </c>
      <c r="E179">
        <f>TEXT(EDATE($B$5,B179-1),"mmm yyyy")</f>
        <v/>
      </c>
      <c r="F179">
        <f>C179</f>
        <v/>
      </c>
    </row>
    <row r="180">
      <c r="B180" t="n">
        <v>119</v>
      </c>
      <c r="C180">
        <f>IF(B180&lt;=$B$32,IF(C179+D180-$B$7&gt;0.005,C179+D180-$B$7,0),0)</f>
        <v/>
      </c>
      <c r="D180">
        <f>IF(B180&lt;=$B$32,C179*$B$4,0)</f>
        <v/>
      </c>
      <c r="E180">
        <f>TEXT(EDATE($B$5,B180-1),"mmm yyyy")</f>
        <v/>
      </c>
      <c r="F180">
        <f>C180</f>
        <v/>
      </c>
    </row>
    <row r="181">
      <c r="B181" t="n">
        <v>120</v>
      </c>
      <c r="C181">
        <f>IF(B181&lt;=$B$32,IF(C180+D181-$B$7&gt;0.005,C180+D181-$B$7,0),0)</f>
        <v/>
      </c>
      <c r="D181">
        <f>IF(B181&lt;=$B$32,C180*$B$4,0)</f>
        <v/>
      </c>
      <c r="E181">
        <f>TEXT(EDATE($B$5,B181-1),"mmm yyyy")</f>
        <v/>
      </c>
      <c r="F181">
        <f>C181</f>
        <v/>
      </c>
    </row>
  </sheetData>
  <sheetProtection selectLockedCells="0" selectUnlockedCells="0" sheet="1" objects="0" insertRows="1" insertHyperlinks="1" autoFilter="1" scenarios="0" formatColumns="1" deleteColumns="1" insertColumns="1" pivotTables="1" deleteRows="1" formatCells="0"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2026-10-13T16:36:57Z</dcterms:created>
  <dcterms:modified xmlns:dcterms="http://purl.org/dc/terms/" xmlns:xsi="http://www.w3.org/2001/XMLSchema-instance" xsi:type="dcterms:W3CDTF">2026-10-13T16:36:58Z</dcterms:modified>
</cp:coreProperties>
</file>