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55lpqhc3\"/>
    </mc:Choice>
  </mc:AlternateContent>
  <xr:revisionPtr revIDLastSave="0" documentId="13_ncr:1_{5D477676-DD13-47B0-8A99-02042E8116E5}" xr6:coauthVersionLast="47" xr6:coauthVersionMax="47" xr10:uidLastSave="{00000000-0000-0000-0000-000000000000}"/>
  <bookViews>
    <workbookView xWindow="28815" yWindow="-1170" windowWidth="28770" windowHeight="15450" xr2:uid="{00000000-000D-0000-FFFF-FFFF00000000}"/>
  </bookViews>
  <sheets>
    <sheet name="Calculator" sheetId="1" r:id="rId1"/>
    <sheet name="Breakdown" sheetId="2" r:id="rId2"/>
    <sheet name="About &amp; Assumptions" sheetId="3" r:id="rId3"/>
    <sheet name="_Engine" sheetId="4" state="hidden" r:id="rId4"/>
  </sheets>
  <definedNames>
    <definedName name="ch_b1" localSheetId="3">OFFSET(_Engine!$K$40,0,0,_Engine!$B$25,1)</definedName>
    <definedName name="ch_b2" localSheetId="3">OFFSET(_Engine!$M$40,0,0,_Engine!$B$25,1)</definedName>
    <definedName name="ch_g1" localSheetId="3">OFFSET(_Engine!$L$40,0,0,_Engine!$B$25,1)</definedName>
    <definedName name="ch_g2" localSheetId="3">OFFSET(_Engine!$N$40,0,0,_Engine!$B$25,1)</definedName>
    <definedName name="ch_m" localSheetId="3">OFFSET(_Engine!$D$40,0,0,_Engine!$B$25,1)</definedName>
    <definedName name="_xlnm.Print_Area" localSheetId="1">OFFSET(Breakdown!$A$1,0,0,MIN(MAX(MAX(_Engine!$B$23,_Engine!$B$24),1),600)+3,6)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4" l="1"/>
  <c r="G41" i="4" s="1"/>
  <c r="E40" i="4"/>
  <c r="B6" i="4"/>
  <c r="B5" i="4"/>
  <c r="H290" i="4" s="1"/>
  <c r="B4" i="4"/>
  <c r="B3" i="4"/>
  <c r="B2" i="4"/>
  <c r="C34" i="3"/>
  <c r="A2" i="2"/>
  <c r="B29" i="1"/>
  <c r="B22" i="1"/>
  <c r="B15" i="1"/>
  <c r="H52" i="4" l="1"/>
  <c r="H56" i="4"/>
  <c r="H80" i="4"/>
  <c r="H64" i="4"/>
  <c r="H68" i="4"/>
  <c r="H72" i="4"/>
  <c r="H84" i="4"/>
  <c r="H88" i="4"/>
  <c r="H96" i="4"/>
  <c r="H100" i="4"/>
  <c r="H142" i="4"/>
  <c r="H48" i="4"/>
  <c r="H343" i="4"/>
  <c r="G42" i="4"/>
  <c r="H158" i="4"/>
  <c r="B7" i="4"/>
  <c r="H44" i="4"/>
  <c r="H60" i="4"/>
  <c r="H76" i="4"/>
  <c r="H92" i="4"/>
  <c r="H126" i="4"/>
  <c r="H110" i="4"/>
  <c r="H639" i="4"/>
  <c r="H635" i="4"/>
  <c r="H631" i="4"/>
  <c r="H627" i="4"/>
  <c r="H623" i="4"/>
  <c r="H619" i="4"/>
  <c r="H615" i="4"/>
  <c r="H611" i="4"/>
  <c r="H607" i="4"/>
  <c r="H603" i="4"/>
  <c r="H599" i="4"/>
  <c r="H595" i="4"/>
  <c r="H591" i="4"/>
  <c r="H587" i="4"/>
  <c r="H583" i="4"/>
  <c r="H579" i="4"/>
  <c r="H575" i="4"/>
  <c r="H571" i="4"/>
  <c r="H567" i="4"/>
  <c r="H563" i="4"/>
  <c r="H559" i="4"/>
  <c r="H555" i="4"/>
  <c r="H551" i="4"/>
  <c r="H547" i="4"/>
  <c r="H543" i="4"/>
  <c r="H539" i="4"/>
  <c r="H535" i="4"/>
  <c r="H531" i="4"/>
  <c r="H640" i="4"/>
  <c r="H636" i="4"/>
  <c r="H632" i="4"/>
  <c r="H628" i="4"/>
  <c r="H624" i="4"/>
  <c r="H620" i="4"/>
  <c r="H616" i="4"/>
  <c r="H612" i="4"/>
  <c r="H608" i="4"/>
  <c r="H604" i="4"/>
  <c r="H600" i="4"/>
  <c r="H596" i="4"/>
  <c r="H592" i="4"/>
  <c r="H588" i="4"/>
  <c r="H584" i="4"/>
  <c r="H580" i="4"/>
  <c r="H576" i="4"/>
  <c r="H572" i="4"/>
  <c r="H568" i="4"/>
  <c r="H564" i="4"/>
  <c r="H560" i="4"/>
  <c r="H556" i="4"/>
  <c r="H552" i="4"/>
  <c r="H548" i="4"/>
  <c r="H544" i="4"/>
  <c r="H540" i="4"/>
  <c r="H536" i="4"/>
  <c r="H532" i="4"/>
  <c r="H528" i="4"/>
  <c r="H637" i="4"/>
  <c r="H633" i="4"/>
  <c r="H629" i="4"/>
  <c r="H625" i="4"/>
  <c r="H621" i="4"/>
  <c r="H617" i="4"/>
  <c r="H613" i="4"/>
  <c r="H609" i="4"/>
  <c r="H605" i="4"/>
  <c r="H601" i="4"/>
  <c r="H597" i="4"/>
  <c r="H593" i="4"/>
  <c r="H589" i="4"/>
  <c r="H585" i="4"/>
  <c r="H581" i="4"/>
  <c r="H577" i="4"/>
  <c r="H573" i="4"/>
  <c r="H569" i="4"/>
  <c r="H565" i="4"/>
  <c r="H561" i="4"/>
  <c r="H557" i="4"/>
  <c r="H553" i="4"/>
  <c r="H549" i="4"/>
  <c r="H545" i="4"/>
  <c r="H541" i="4"/>
  <c r="H537" i="4"/>
  <c r="H533" i="4"/>
  <c r="H529" i="4"/>
  <c r="H634" i="4"/>
  <c r="H618" i="4"/>
  <c r="H602" i="4"/>
  <c r="H586" i="4"/>
  <c r="H574" i="4"/>
  <c r="H566" i="4"/>
  <c r="H558" i="4"/>
  <c r="H550" i="4"/>
  <c r="H542" i="4"/>
  <c r="H524" i="4"/>
  <c r="H520" i="4"/>
  <c r="H516" i="4"/>
  <c r="H512" i="4"/>
  <c r="H508" i="4"/>
  <c r="H504" i="4"/>
  <c r="H500" i="4"/>
  <c r="H496" i="4"/>
  <c r="H492" i="4"/>
  <c r="H488" i="4"/>
  <c r="H484" i="4"/>
  <c r="H480" i="4"/>
  <c r="H476" i="4"/>
  <c r="H472" i="4"/>
  <c r="H468" i="4"/>
  <c r="H464" i="4"/>
  <c r="H460" i="4"/>
  <c r="H456" i="4"/>
  <c r="H452" i="4"/>
  <c r="H448" i="4"/>
  <c r="H444" i="4"/>
  <c r="H440" i="4"/>
  <c r="H436" i="4"/>
  <c r="H432" i="4"/>
  <c r="H534" i="4"/>
  <c r="H630" i="4"/>
  <c r="H614" i="4"/>
  <c r="H598" i="4"/>
  <c r="H582" i="4"/>
  <c r="H525" i="4"/>
  <c r="H521" i="4"/>
  <c r="H517" i="4"/>
  <c r="H513" i="4"/>
  <c r="H509" i="4"/>
  <c r="H505" i="4"/>
  <c r="H501" i="4"/>
  <c r="H497" i="4"/>
  <c r="H493" i="4"/>
  <c r="H626" i="4"/>
  <c r="H610" i="4"/>
  <c r="H594" i="4"/>
  <c r="H578" i="4"/>
  <c r="H570" i="4"/>
  <c r="H562" i="4"/>
  <c r="H554" i="4"/>
  <c r="H546" i="4"/>
  <c r="H538" i="4"/>
  <c r="H526" i="4"/>
  <c r="H522" i="4"/>
  <c r="H518" i="4"/>
  <c r="H514" i="4"/>
  <c r="H510" i="4"/>
  <c r="H506" i="4"/>
  <c r="H502" i="4"/>
  <c r="H498" i="4"/>
  <c r="H494" i="4"/>
  <c r="H490" i="4"/>
  <c r="H486" i="4"/>
  <c r="H482" i="4"/>
  <c r="H478" i="4"/>
  <c r="H474" i="4"/>
  <c r="H470" i="4"/>
  <c r="H466" i="4"/>
  <c r="H462" i="4"/>
  <c r="H458" i="4"/>
  <c r="H454" i="4"/>
  <c r="H450" i="4"/>
  <c r="H446" i="4"/>
  <c r="H442" i="4"/>
  <c r="H438" i="4"/>
  <c r="H434" i="4"/>
  <c r="H430" i="4"/>
  <c r="H638" i="4"/>
  <c r="H606" i="4"/>
  <c r="H523" i="4"/>
  <c r="H515" i="4"/>
  <c r="H507" i="4"/>
  <c r="H499" i="4"/>
  <c r="H475" i="4"/>
  <c r="H459" i="4"/>
  <c r="H449" i="4"/>
  <c r="H441" i="4"/>
  <c r="H433" i="4"/>
  <c r="H530" i="4"/>
  <c r="H425" i="4"/>
  <c r="H421" i="4"/>
  <c r="H417" i="4"/>
  <c r="H413" i="4"/>
  <c r="H409" i="4"/>
  <c r="H405" i="4"/>
  <c r="H401" i="4"/>
  <c r="H622" i="4"/>
  <c r="H590" i="4"/>
  <c r="H527" i="4"/>
  <c r="H519" i="4"/>
  <c r="H511" i="4"/>
  <c r="H503" i="4"/>
  <c r="H495" i="4"/>
  <c r="H483" i="4"/>
  <c r="H467" i="4"/>
  <c r="H453" i="4"/>
  <c r="H445" i="4"/>
  <c r="H437" i="4"/>
  <c r="H429" i="4"/>
  <c r="H479" i="4"/>
  <c r="H463" i="4"/>
  <c r="H451" i="4"/>
  <c r="H443" i="4"/>
  <c r="H435" i="4"/>
  <c r="H489" i="4"/>
  <c r="H428" i="4"/>
  <c r="H426" i="4"/>
  <c r="H424" i="4"/>
  <c r="H422" i="4"/>
  <c r="H420" i="4"/>
  <c r="H418" i="4"/>
  <c r="H397" i="4"/>
  <c r="H381" i="4"/>
  <c r="H365" i="4"/>
  <c r="H349" i="4"/>
  <c r="H491" i="4"/>
  <c r="H477" i="4"/>
  <c r="H461" i="4"/>
  <c r="H439" i="4"/>
  <c r="H410" i="4"/>
  <c r="H403" i="4"/>
  <c r="H395" i="4"/>
  <c r="H392" i="4"/>
  <c r="H379" i="4"/>
  <c r="H376" i="4"/>
  <c r="H363" i="4"/>
  <c r="H360" i="4"/>
  <c r="H347" i="4"/>
  <c r="H344" i="4"/>
  <c r="H331" i="4"/>
  <c r="H328" i="4"/>
  <c r="H315" i="4"/>
  <c r="H312" i="4"/>
  <c r="H485" i="4"/>
  <c r="H469" i="4"/>
  <c r="H427" i="4"/>
  <c r="H423" i="4"/>
  <c r="H419" i="4"/>
  <c r="H389" i="4"/>
  <c r="H373" i="4"/>
  <c r="H357" i="4"/>
  <c r="H404" i="4"/>
  <c r="H390" i="4"/>
  <c r="H374" i="4"/>
  <c r="H358" i="4"/>
  <c r="H342" i="4"/>
  <c r="H481" i="4"/>
  <c r="H473" i="4"/>
  <c r="H465" i="4"/>
  <c r="H457" i="4"/>
  <c r="H431" i="4"/>
  <c r="H393" i="4"/>
  <c r="H369" i="4"/>
  <c r="H337" i="4"/>
  <c r="H329" i="4"/>
  <c r="H318" i="4"/>
  <c r="H310" i="4"/>
  <c r="H299" i="4"/>
  <c r="H386" i="4"/>
  <c r="H415" i="4"/>
  <c r="H407" i="4"/>
  <c r="H388" i="4"/>
  <c r="H375" i="4"/>
  <c r="H364" i="4"/>
  <c r="H351" i="4"/>
  <c r="H345" i="4"/>
  <c r="H447" i="4"/>
  <c r="H394" i="4"/>
  <c r="H370" i="4"/>
  <c r="H371" i="4"/>
  <c r="H368" i="4"/>
  <c r="H352" i="4"/>
  <c r="H334" i="4"/>
  <c r="H332" i="4"/>
  <c r="H327" i="4"/>
  <c r="H398" i="4"/>
  <c r="H367" i="4"/>
  <c r="H346" i="4"/>
  <c r="H340" i="4"/>
  <c r="H321" i="4"/>
  <c r="H302" i="4"/>
  <c r="H297" i="4"/>
  <c r="H281" i="4"/>
  <c r="H274" i="4"/>
  <c r="H270" i="4"/>
  <c r="H266" i="4"/>
  <c r="H262" i="4"/>
  <c r="H258" i="4"/>
  <c r="H356" i="4"/>
  <c r="H348" i="4"/>
  <c r="H333" i="4"/>
  <c r="H314" i="4"/>
  <c r="H300" i="4"/>
  <c r="H294" i="4"/>
  <c r="H278" i="4"/>
  <c r="H391" i="4"/>
  <c r="H378" i="4"/>
  <c r="H372" i="4"/>
  <c r="H361" i="4"/>
  <c r="H353" i="4"/>
  <c r="H338" i="4"/>
  <c r="H326" i="4"/>
  <c r="H384" i="4"/>
  <c r="H324" i="4"/>
  <c r="H305" i="4"/>
  <c r="H285" i="4"/>
  <c r="H275" i="4"/>
  <c r="H271" i="4"/>
  <c r="H267" i="4"/>
  <c r="H487" i="4"/>
  <c r="H471" i="4"/>
  <c r="H455" i="4"/>
  <c r="H387" i="4"/>
  <c r="H366" i="4"/>
  <c r="H336" i="4"/>
  <c r="H317" i="4"/>
  <c r="H282" i="4"/>
  <c r="H399" i="4"/>
  <c r="H339" i="4"/>
  <c r="H323" i="4"/>
  <c r="H320" i="4"/>
  <c r="H286" i="4"/>
  <c r="H284" i="4"/>
  <c r="H362" i="4"/>
  <c r="H325" i="4"/>
  <c r="H307" i="4"/>
  <c r="H414" i="4"/>
  <c r="H406" i="4"/>
  <c r="H322" i="4"/>
  <c r="H385" i="4"/>
  <c r="H335" i="4"/>
  <c r="H304" i="4"/>
  <c r="H412" i="4"/>
  <c r="H355" i="4"/>
  <c r="H350" i="4"/>
  <c r="H309" i="4"/>
  <c r="H301" i="4"/>
  <c r="H251" i="4"/>
  <c r="H247" i="4"/>
  <c r="H243" i="4"/>
  <c r="H239" i="4"/>
  <c r="H235" i="4"/>
  <c r="H231" i="4"/>
  <c r="H227" i="4"/>
  <c r="H223" i="4"/>
  <c r="H219" i="4"/>
  <c r="H215" i="4"/>
  <c r="H211" i="4"/>
  <c r="H207" i="4"/>
  <c r="H203" i="4"/>
  <c r="H199" i="4"/>
  <c r="H195" i="4"/>
  <c r="H191" i="4"/>
  <c r="H187" i="4"/>
  <c r="H183" i="4"/>
  <c r="H179" i="4"/>
  <c r="H175" i="4"/>
  <c r="H171" i="4"/>
  <c r="H167" i="4"/>
  <c r="H163" i="4"/>
  <c r="H159" i="4"/>
  <c r="H155" i="4"/>
  <c r="H151" i="4"/>
  <c r="H147" i="4"/>
  <c r="H143" i="4"/>
  <c r="H139" i="4"/>
  <c r="H135" i="4"/>
  <c r="H131" i="4"/>
  <c r="H127" i="4"/>
  <c r="H123" i="4"/>
  <c r="H119" i="4"/>
  <c r="H115" i="4"/>
  <c r="H111" i="4"/>
  <c r="H107" i="4"/>
  <c r="H103" i="4"/>
  <c r="H396" i="4"/>
  <c r="H383" i="4"/>
  <c r="H377" i="4"/>
  <c r="H341" i="4"/>
  <c r="H319" i="4"/>
  <c r="H306" i="4"/>
  <c r="H296" i="4"/>
  <c r="H283" i="4"/>
  <c r="H255" i="4"/>
  <c r="H411" i="4"/>
  <c r="H303" i="4"/>
  <c r="H298" i="4"/>
  <c r="H316" i="4"/>
  <c r="H311" i="4"/>
  <c r="H308" i="4"/>
  <c r="H289" i="4"/>
  <c r="H276" i="4"/>
  <c r="H272" i="4"/>
  <c r="H268" i="4"/>
  <c r="H261" i="4"/>
  <c r="H252" i="4"/>
  <c r="H248" i="4"/>
  <c r="H244" i="4"/>
  <c r="H240" i="4"/>
  <c r="H236" i="4"/>
  <c r="H232" i="4"/>
  <c r="H228" i="4"/>
  <c r="H224" i="4"/>
  <c r="H220" i="4"/>
  <c r="H216" i="4"/>
  <c r="H212" i="4"/>
  <c r="H208" i="4"/>
  <c r="H204" i="4"/>
  <c r="H200" i="4"/>
  <c r="H196" i="4"/>
  <c r="H192" i="4"/>
  <c r="H188" i="4"/>
  <c r="H354" i="4"/>
  <c r="H330" i="4"/>
  <c r="H313" i="4"/>
  <c r="H402" i="4"/>
  <c r="H382" i="4"/>
  <c r="H359" i="4"/>
  <c r="H291" i="4"/>
  <c r="H280" i="4"/>
  <c r="H259" i="4"/>
  <c r="H256" i="4"/>
  <c r="H408" i="4"/>
  <c r="H264" i="4"/>
  <c r="H170" i="4"/>
  <c r="H152" i="4"/>
  <c r="H136" i="4"/>
  <c r="H120" i="4"/>
  <c r="H104" i="4"/>
  <c r="H293" i="4"/>
  <c r="H249" i="4"/>
  <c r="H241" i="4"/>
  <c r="H233" i="4"/>
  <c r="H225" i="4"/>
  <c r="H217" i="4"/>
  <c r="H209" i="4"/>
  <c r="H201" i="4"/>
  <c r="H193" i="4"/>
  <c r="H165" i="4"/>
  <c r="H149" i="4"/>
  <c r="H133" i="4"/>
  <c r="H117" i="4"/>
  <c r="H400" i="4"/>
  <c r="H185" i="4"/>
  <c r="H181" i="4"/>
  <c r="H177" i="4"/>
  <c r="H173" i="4"/>
  <c r="H162" i="4"/>
  <c r="H146" i="4"/>
  <c r="H130" i="4"/>
  <c r="H114" i="4"/>
  <c r="H101" i="4"/>
  <c r="H97" i="4"/>
  <c r="H93" i="4"/>
  <c r="H89" i="4"/>
  <c r="H85" i="4"/>
  <c r="H81" i="4"/>
  <c r="H77" i="4"/>
  <c r="H73" i="4"/>
  <c r="H69" i="4"/>
  <c r="H65" i="4"/>
  <c r="H61" i="4"/>
  <c r="H57" i="4"/>
  <c r="H53" i="4"/>
  <c r="H49" i="4"/>
  <c r="H45" i="4"/>
  <c r="H41" i="4"/>
  <c r="J41" i="4" s="1"/>
  <c r="H288" i="4"/>
  <c r="H257" i="4"/>
  <c r="H246" i="4"/>
  <c r="H238" i="4"/>
  <c r="H230" i="4"/>
  <c r="H222" i="4"/>
  <c r="H214" i="4"/>
  <c r="H206" i="4"/>
  <c r="H198" i="4"/>
  <c r="H190" i="4"/>
  <c r="H168" i="4"/>
  <c r="H156" i="4"/>
  <c r="H140" i="4"/>
  <c r="H124" i="4"/>
  <c r="H108" i="4"/>
  <c r="H292" i="4"/>
  <c r="H279" i="4"/>
  <c r="H260" i="4"/>
  <c r="H254" i="4"/>
  <c r="H153" i="4"/>
  <c r="H137" i="4"/>
  <c r="H121" i="4"/>
  <c r="H105" i="4"/>
  <c r="H263" i="4"/>
  <c r="H150" i="4"/>
  <c r="H134" i="4"/>
  <c r="H118" i="4"/>
  <c r="H102" i="4"/>
  <c r="H98" i="4"/>
  <c r="H94" i="4"/>
  <c r="H90" i="4"/>
  <c r="H86" i="4"/>
  <c r="H82" i="4"/>
  <c r="H78" i="4"/>
  <c r="H74" i="4"/>
  <c r="H70" i="4"/>
  <c r="H66" i="4"/>
  <c r="H62" i="4"/>
  <c r="H58" i="4"/>
  <c r="H54" i="4"/>
  <c r="H50" i="4"/>
  <c r="H46" i="4"/>
  <c r="H42" i="4"/>
  <c r="H287" i="4"/>
  <c r="H166" i="4"/>
  <c r="H160" i="4"/>
  <c r="H144" i="4"/>
  <c r="H128" i="4"/>
  <c r="H112" i="4"/>
  <c r="H295" i="4"/>
  <c r="H253" i="4"/>
  <c r="H245" i="4"/>
  <c r="H237" i="4"/>
  <c r="H229" i="4"/>
  <c r="H221" i="4"/>
  <c r="H213" i="4"/>
  <c r="H205" i="4"/>
  <c r="H197" i="4"/>
  <c r="H189" i="4"/>
  <c r="H169" i="4"/>
  <c r="H157" i="4"/>
  <c r="H141" i="4"/>
  <c r="H125" i="4"/>
  <c r="H109" i="4"/>
  <c r="H184" i="4"/>
  <c r="H180" i="4"/>
  <c r="H176" i="4"/>
  <c r="H154" i="4"/>
  <c r="H138" i="4"/>
  <c r="H122" i="4"/>
  <c r="H106" i="4"/>
  <c r="H99" i="4"/>
  <c r="H95" i="4"/>
  <c r="H91" i="4"/>
  <c r="H87" i="4"/>
  <c r="H83" i="4"/>
  <c r="H79" i="4"/>
  <c r="H75" i="4"/>
  <c r="H71" i="4"/>
  <c r="H67" i="4"/>
  <c r="H63" i="4"/>
  <c r="H59" i="4"/>
  <c r="H55" i="4"/>
  <c r="H51" i="4"/>
  <c r="H47" i="4"/>
  <c r="H43" i="4"/>
  <c r="H380" i="4"/>
  <c r="H250" i="4"/>
  <c r="H242" i="4"/>
  <c r="H234" i="4"/>
  <c r="H226" i="4"/>
  <c r="H218" i="4"/>
  <c r="H210" i="4"/>
  <c r="H202" i="4"/>
  <c r="H194" i="4"/>
  <c r="H182" i="4"/>
  <c r="H178" i="4"/>
  <c r="H174" i="4"/>
  <c r="H172" i="4"/>
  <c r="H164" i="4"/>
  <c r="H148" i="4"/>
  <c r="H132" i="4"/>
  <c r="H116" i="4"/>
  <c r="H416" i="4"/>
  <c r="H277" i="4"/>
  <c r="H273" i="4"/>
  <c r="H269" i="4"/>
  <c r="H265" i="4"/>
  <c r="H186" i="4"/>
  <c r="H161" i="4"/>
  <c r="H145" i="4"/>
  <c r="H129" i="4"/>
  <c r="H113" i="4"/>
  <c r="H40" i="4"/>
  <c r="B8" i="4"/>
  <c r="F638" i="4" l="1"/>
  <c r="F634" i="4"/>
  <c r="F630" i="4"/>
  <c r="F626" i="4"/>
  <c r="F622" i="4"/>
  <c r="F618" i="4"/>
  <c r="F614" i="4"/>
  <c r="F610" i="4"/>
  <c r="F606" i="4"/>
  <c r="F602" i="4"/>
  <c r="F598" i="4"/>
  <c r="F594" i="4"/>
  <c r="F590" i="4"/>
  <c r="F586" i="4"/>
  <c r="F582" i="4"/>
  <c r="F578" i="4"/>
  <c r="F574" i="4"/>
  <c r="F570" i="4"/>
  <c r="F566" i="4"/>
  <c r="F562" i="4"/>
  <c r="F558" i="4"/>
  <c r="F554" i="4"/>
  <c r="F550" i="4"/>
  <c r="F546" i="4"/>
  <c r="F542" i="4"/>
  <c r="F538" i="4"/>
  <c r="F534" i="4"/>
  <c r="F530" i="4"/>
  <c r="E638" i="4"/>
  <c r="E634" i="4"/>
  <c r="E630" i="4"/>
  <c r="E626" i="4"/>
  <c r="E622" i="4"/>
  <c r="E618" i="4"/>
  <c r="E614" i="4"/>
  <c r="E610" i="4"/>
  <c r="E606" i="4"/>
  <c r="E602" i="4"/>
  <c r="E598" i="4"/>
  <c r="E594" i="4"/>
  <c r="E590" i="4"/>
  <c r="E586" i="4"/>
  <c r="E582" i="4"/>
  <c r="E578" i="4"/>
  <c r="E574" i="4"/>
  <c r="E570" i="4"/>
  <c r="E566" i="4"/>
  <c r="E562" i="4"/>
  <c r="E558" i="4"/>
  <c r="E554" i="4"/>
  <c r="E550" i="4"/>
  <c r="E546" i="4"/>
  <c r="E542" i="4"/>
  <c r="E538" i="4"/>
  <c r="E534" i="4"/>
  <c r="E530" i="4"/>
  <c r="F639" i="4"/>
  <c r="F635" i="4"/>
  <c r="F631" i="4"/>
  <c r="F627" i="4"/>
  <c r="F623" i="4"/>
  <c r="F619" i="4"/>
  <c r="F615" i="4"/>
  <c r="F611" i="4"/>
  <c r="F607" i="4"/>
  <c r="F603" i="4"/>
  <c r="F599" i="4"/>
  <c r="F595" i="4"/>
  <c r="F591" i="4"/>
  <c r="F587" i="4"/>
  <c r="F583" i="4"/>
  <c r="F579" i="4"/>
  <c r="F575" i="4"/>
  <c r="F571" i="4"/>
  <c r="F567" i="4"/>
  <c r="F563" i="4"/>
  <c r="F559" i="4"/>
  <c r="F555" i="4"/>
  <c r="F551" i="4"/>
  <c r="F547" i="4"/>
  <c r="F543" i="4"/>
  <c r="F539" i="4"/>
  <c r="F535" i="4"/>
  <c r="F531" i="4"/>
  <c r="E639" i="4"/>
  <c r="E635" i="4"/>
  <c r="E631" i="4"/>
  <c r="E627" i="4"/>
  <c r="E623" i="4"/>
  <c r="E619" i="4"/>
  <c r="E615" i="4"/>
  <c r="E611" i="4"/>
  <c r="E607" i="4"/>
  <c r="E603" i="4"/>
  <c r="E599" i="4"/>
  <c r="E595" i="4"/>
  <c r="E591" i="4"/>
  <c r="E587" i="4"/>
  <c r="E583" i="4"/>
  <c r="E579" i="4"/>
  <c r="E575" i="4"/>
  <c r="E571" i="4"/>
  <c r="E567" i="4"/>
  <c r="E563" i="4"/>
  <c r="E559" i="4"/>
  <c r="E555" i="4"/>
  <c r="E551" i="4"/>
  <c r="E547" i="4"/>
  <c r="E543" i="4"/>
  <c r="E539" i="4"/>
  <c r="E535" i="4"/>
  <c r="E531" i="4"/>
  <c r="F640" i="4"/>
  <c r="F636" i="4"/>
  <c r="F632" i="4"/>
  <c r="F628" i="4"/>
  <c r="F624" i="4"/>
  <c r="F620" i="4"/>
  <c r="F616" i="4"/>
  <c r="F612" i="4"/>
  <c r="F608" i="4"/>
  <c r="F604" i="4"/>
  <c r="F600" i="4"/>
  <c r="F596" i="4"/>
  <c r="F592" i="4"/>
  <c r="F588" i="4"/>
  <c r="F584" i="4"/>
  <c r="F580" i="4"/>
  <c r="F576" i="4"/>
  <c r="F572" i="4"/>
  <c r="F568" i="4"/>
  <c r="F564" i="4"/>
  <c r="F560" i="4"/>
  <c r="F556" i="4"/>
  <c r="F552" i="4"/>
  <c r="F548" i="4"/>
  <c r="F544" i="4"/>
  <c r="F540" i="4"/>
  <c r="F536" i="4"/>
  <c r="F532" i="4"/>
  <c r="F528" i="4"/>
  <c r="E640" i="4"/>
  <c r="E636" i="4"/>
  <c r="E632" i="4"/>
  <c r="E628" i="4"/>
  <c r="E624" i="4"/>
  <c r="E620" i="4"/>
  <c r="E616" i="4"/>
  <c r="E612" i="4"/>
  <c r="E608" i="4"/>
  <c r="E604" i="4"/>
  <c r="E600" i="4"/>
  <c r="E596" i="4"/>
  <c r="E592" i="4"/>
  <c r="E588" i="4"/>
  <c r="E584" i="4"/>
  <c r="E580" i="4"/>
  <c r="E576" i="4"/>
  <c r="E572" i="4"/>
  <c r="E568" i="4"/>
  <c r="E564" i="4"/>
  <c r="E560" i="4"/>
  <c r="E556" i="4"/>
  <c r="E552" i="4"/>
  <c r="E548" i="4"/>
  <c r="E544" i="4"/>
  <c r="E540" i="4"/>
  <c r="E536" i="4"/>
  <c r="E532" i="4"/>
  <c r="E528" i="4"/>
  <c r="F637" i="4"/>
  <c r="F633" i="4"/>
  <c r="F629" i="4"/>
  <c r="F625" i="4"/>
  <c r="F621" i="4"/>
  <c r="F617" i="4"/>
  <c r="F613" i="4"/>
  <c r="F609" i="4"/>
  <c r="F605" i="4"/>
  <c r="F601" i="4"/>
  <c r="F597" i="4"/>
  <c r="F593" i="4"/>
  <c r="F589" i="4"/>
  <c r="F585" i="4"/>
  <c r="F581" i="4"/>
  <c r="F577" i="4"/>
  <c r="F573" i="4"/>
  <c r="F569" i="4"/>
  <c r="F565" i="4"/>
  <c r="F561" i="4"/>
  <c r="F557" i="4"/>
  <c r="F553" i="4"/>
  <c r="F549" i="4"/>
  <c r="F545" i="4"/>
  <c r="F541" i="4"/>
  <c r="F537" i="4"/>
  <c r="F533" i="4"/>
  <c r="F529" i="4"/>
  <c r="E577" i="4"/>
  <c r="E569" i="4"/>
  <c r="E561" i="4"/>
  <c r="E553" i="4"/>
  <c r="E545" i="4"/>
  <c r="E537" i="4"/>
  <c r="F526" i="4"/>
  <c r="F522" i="4"/>
  <c r="F518" i="4"/>
  <c r="F514" i="4"/>
  <c r="F510" i="4"/>
  <c r="F506" i="4"/>
  <c r="F502" i="4"/>
  <c r="F498" i="4"/>
  <c r="F494" i="4"/>
  <c r="E527" i="4"/>
  <c r="E523" i="4"/>
  <c r="E519" i="4"/>
  <c r="E515" i="4"/>
  <c r="E511" i="4"/>
  <c r="E507" i="4"/>
  <c r="E503" i="4"/>
  <c r="E499" i="4"/>
  <c r="E495" i="4"/>
  <c r="E491" i="4"/>
  <c r="E487" i="4"/>
  <c r="E483" i="4"/>
  <c r="E479" i="4"/>
  <c r="E475" i="4"/>
  <c r="E471" i="4"/>
  <c r="E467" i="4"/>
  <c r="E463" i="4"/>
  <c r="E459" i="4"/>
  <c r="E455" i="4"/>
  <c r="E451" i="4"/>
  <c r="E447" i="4"/>
  <c r="E443" i="4"/>
  <c r="E439" i="4"/>
  <c r="E435" i="4"/>
  <c r="E431" i="4"/>
  <c r="E633" i="4"/>
  <c r="E617" i="4"/>
  <c r="E601" i="4"/>
  <c r="E585" i="4"/>
  <c r="E573" i="4"/>
  <c r="E565" i="4"/>
  <c r="E557" i="4"/>
  <c r="E549" i="4"/>
  <c r="E541" i="4"/>
  <c r="E529" i="4"/>
  <c r="F524" i="4"/>
  <c r="F520" i="4"/>
  <c r="F516" i="4"/>
  <c r="F512" i="4"/>
  <c r="F508" i="4"/>
  <c r="F504" i="4"/>
  <c r="F500" i="4"/>
  <c r="F496" i="4"/>
  <c r="F492" i="4"/>
  <c r="F488" i="4"/>
  <c r="E524" i="4"/>
  <c r="E520" i="4"/>
  <c r="E516" i="4"/>
  <c r="E512" i="4"/>
  <c r="E508" i="4"/>
  <c r="E504" i="4"/>
  <c r="E500" i="4"/>
  <c r="E496" i="4"/>
  <c r="E525" i="4"/>
  <c r="E521" i="4"/>
  <c r="E517" i="4"/>
  <c r="E513" i="4"/>
  <c r="E509" i="4"/>
  <c r="E505" i="4"/>
  <c r="E501" i="4"/>
  <c r="E497" i="4"/>
  <c r="E493" i="4"/>
  <c r="E489" i="4"/>
  <c r="E485" i="4"/>
  <c r="E481" i="4"/>
  <c r="E477" i="4"/>
  <c r="E473" i="4"/>
  <c r="E469" i="4"/>
  <c r="E465" i="4"/>
  <c r="E461" i="4"/>
  <c r="E457" i="4"/>
  <c r="E453" i="4"/>
  <c r="E449" i="4"/>
  <c r="E445" i="4"/>
  <c r="E441" i="4"/>
  <c r="E437" i="4"/>
  <c r="E433" i="4"/>
  <c r="E429" i="4"/>
  <c r="E526" i="4"/>
  <c r="E518" i="4"/>
  <c r="E510" i="4"/>
  <c r="E502" i="4"/>
  <c r="E494" i="4"/>
  <c r="E486" i="4"/>
  <c r="F484" i="4"/>
  <c r="F477" i="4"/>
  <c r="E470" i="4"/>
  <c r="F468" i="4"/>
  <c r="F461" i="4"/>
  <c r="F454" i="4"/>
  <c r="F446" i="4"/>
  <c r="F438" i="4"/>
  <c r="F430" i="4"/>
  <c r="E637" i="4"/>
  <c r="E605" i="4"/>
  <c r="F523" i="4"/>
  <c r="F515" i="4"/>
  <c r="E625" i="4"/>
  <c r="E593" i="4"/>
  <c r="F491" i="4"/>
  <c r="F487" i="4"/>
  <c r="F478" i="4"/>
  <c r="F471" i="4"/>
  <c r="F462" i="4"/>
  <c r="F455" i="4"/>
  <c r="F447" i="4"/>
  <c r="F439" i="4"/>
  <c r="F431" i="4"/>
  <c r="E428" i="4"/>
  <c r="E424" i="4"/>
  <c r="E420" i="4"/>
  <c r="E416" i="4"/>
  <c r="E412" i="4"/>
  <c r="E408" i="4"/>
  <c r="E404" i="4"/>
  <c r="E400" i="4"/>
  <c r="E522" i="4"/>
  <c r="E514" i="4"/>
  <c r="E506" i="4"/>
  <c r="E498" i="4"/>
  <c r="F485" i="4"/>
  <c r="E478" i="4"/>
  <c r="F476" i="4"/>
  <c r="F469" i="4"/>
  <c r="E462" i="4"/>
  <c r="F460" i="4"/>
  <c r="F450" i="4"/>
  <c r="F442" i="4"/>
  <c r="F434" i="4"/>
  <c r="E621" i="4"/>
  <c r="E589" i="4"/>
  <c r="F527" i="4"/>
  <c r="F519" i="4"/>
  <c r="E613" i="4"/>
  <c r="E581" i="4"/>
  <c r="E533" i="4"/>
  <c r="F481" i="4"/>
  <c r="E474" i="4"/>
  <c r="F472" i="4"/>
  <c r="F465" i="4"/>
  <c r="E458" i="4"/>
  <c r="F456" i="4"/>
  <c r="F448" i="4"/>
  <c r="F440" i="4"/>
  <c r="F432" i="4"/>
  <c r="E629" i="4"/>
  <c r="F445" i="4"/>
  <c r="F433" i="4"/>
  <c r="F411" i="4"/>
  <c r="F404" i="4"/>
  <c r="E393" i="4"/>
  <c r="F390" i="4"/>
  <c r="F387" i="4"/>
  <c r="E377" i="4"/>
  <c r="F374" i="4"/>
  <c r="F371" i="4"/>
  <c r="E361" i="4"/>
  <c r="F358" i="4"/>
  <c r="F355" i="4"/>
  <c r="F525" i="4"/>
  <c r="F517" i="4"/>
  <c r="E609" i="4"/>
  <c r="E597" i="4"/>
  <c r="F511" i="4"/>
  <c r="F507" i="4"/>
  <c r="F503" i="4"/>
  <c r="E488" i="4"/>
  <c r="F480" i="4"/>
  <c r="E472" i="4"/>
  <c r="F464" i="4"/>
  <c r="E456" i="4"/>
  <c r="F444" i="4"/>
  <c r="E432" i="4"/>
  <c r="E414" i="4"/>
  <c r="E405" i="4"/>
  <c r="E388" i="4"/>
  <c r="F385" i="4"/>
  <c r="E372" i="4"/>
  <c r="F369" i="4"/>
  <c r="E356" i="4"/>
  <c r="F353" i="4"/>
  <c r="E340" i="4"/>
  <c r="F337" i="4"/>
  <c r="E324" i="4"/>
  <c r="F321" i="4"/>
  <c r="E308" i="4"/>
  <c r="F305" i="4"/>
  <c r="F521" i="4"/>
  <c r="E480" i="4"/>
  <c r="E464" i="4"/>
  <c r="F451" i="4"/>
  <c r="E444" i="4"/>
  <c r="F412" i="4"/>
  <c r="F403" i="4"/>
  <c r="F398" i="4"/>
  <c r="F395" i="4"/>
  <c r="E385" i="4"/>
  <c r="F382" i="4"/>
  <c r="F379" i="4"/>
  <c r="E369" i="4"/>
  <c r="F366" i="4"/>
  <c r="F363" i="4"/>
  <c r="E353" i="4"/>
  <c r="F350" i="4"/>
  <c r="F509" i="4"/>
  <c r="F501" i="4"/>
  <c r="F493" i="4"/>
  <c r="E490" i="4"/>
  <c r="F479" i="4"/>
  <c r="F463" i="4"/>
  <c r="F443" i="4"/>
  <c r="E436" i="4"/>
  <c r="E415" i="4"/>
  <c r="F413" i="4"/>
  <c r="F406" i="4"/>
  <c r="F399" i="4"/>
  <c r="F396" i="4"/>
  <c r="E386" i="4"/>
  <c r="E383" i="4"/>
  <c r="F380" i="4"/>
  <c r="E370" i="4"/>
  <c r="E367" i="4"/>
  <c r="F364" i="4"/>
  <c r="E354" i="4"/>
  <c r="E351" i="4"/>
  <c r="F348" i="4"/>
  <c r="F495" i="4"/>
  <c r="E450" i="4"/>
  <c r="E442" i="4"/>
  <c r="F416" i="4"/>
  <c r="F408" i="4"/>
  <c r="F400" i="4"/>
  <c r="F391" i="4"/>
  <c r="E389" i="4"/>
  <c r="F378" i="4"/>
  <c r="F367" i="4"/>
  <c r="E365" i="4"/>
  <c r="F354" i="4"/>
  <c r="E344" i="4"/>
  <c r="F334" i="4"/>
  <c r="E323" i="4"/>
  <c r="E315" i="4"/>
  <c r="F307" i="4"/>
  <c r="E304" i="4"/>
  <c r="E492" i="4"/>
  <c r="F452" i="4"/>
  <c r="E434" i="4"/>
  <c r="F427" i="4"/>
  <c r="F421" i="4"/>
  <c r="F418" i="4"/>
  <c r="F410" i="4"/>
  <c r="F402" i="4"/>
  <c r="E395" i="4"/>
  <c r="F384" i="4"/>
  <c r="E382" i="4"/>
  <c r="F513" i="4"/>
  <c r="E452" i="4"/>
  <c r="F441" i="4"/>
  <c r="E427" i="4"/>
  <c r="F424" i="4"/>
  <c r="E421" i="4"/>
  <c r="E418" i="4"/>
  <c r="E410" i="4"/>
  <c r="E402" i="4"/>
  <c r="F397" i="4"/>
  <c r="E384" i="4"/>
  <c r="F373" i="4"/>
  <c r="E360" i="4"/>
  <c r="F349" i="4"/>
  <c r="E347" i="4"/>
  <c r="F483" i="4"/>
  <c r="F475" i="4"/>
  <c r="F467" i="4"/>
  <c r="F459" i="4"/>
  <c r="F437" i="4"/>
  <c r="E440" i="4"/>
  <c r="F426" i="4"/>
  <c r="F423" i="4"/>
  <c r="F417" i="4"/>
  <c r="F409" i="4"/>
  <c r="F401" i="4"/>
  <c r="F392" i="4"/>
  <c r="E390" i="4"/>
  <c r="E379" i="4"/>
  <c r="F368" i="4"/>
  <c r="E366" i="4"/>
  <c r="E446" i="4"/>
  <c r="F425" i="4"/>
  <c r="F393" i="4"/>
  <c r="F383" i="4"/>
  <c r="E380" i="4"/>
  <c r="F377" i="4"/>
  <c r="F360" i="4"/>
  <c r="F347" i="4"/>
  <c r="E345" i="4"/>
  <c r="F343" i="4"/>
  <c r="E336" i="4"/>
  <c r="E329" i="4"/>
  <c r="F490" i="4"/>
  <c r="E482" i="4"/>
  <c r="E466" i="4"/>
  <c r="F436" i="4"/>
  <c r="F414" i="4"/>
  <c r="E406" i="4"/>
  <c r="E376" i="4"/>
  <c r="E373" i="4"/>
  <c r="F370" i="4"/>
  <c r="F359" i="4"/>
  <c r="F351" i="4"/>
  <c r="F335" i="4"/>
  <c r="F330" i="4"/>
  <c r="F323" i="4"/>
  <c r="F316" i="4"/>
  <c r="E311" i="4"/>
  <c r="F304" i="4"/>
  <c r="E293" i="4"/>
  <c r="F290" i="4"/>
  <c r="F287" i="4"/>
  <c r="E277" i="4"/>
  <c r="E273" i="4"/>
  <c r="E269" i="4"/>
  <c r="E265" i="4"/>
  <c r="E261" i="4"/>
  <c r="F473" i="4"/>
  <c r="F457" i="4"/>
  <c r="F422" i="4"/>
  <c r="E398" i="4"/>
  <c r="F388" i="4"/>
  <c r="E364" i="4"/>
  <c r="E359" i="4"/>
  <c r="F344" i="4"/>
  <c r="F342" i="4"/>
  <c r="E335" i="4"/>
  <c r="E330" i="4"/>
  <c r="F328" i="4"/>
  <c r="E316" i="4"/>
  <c r="F309" i="4"/>
  <c r="F302" i="4"/>
  <c r="E290" i="4"/>
  <c r="E287" i="4"/>
  <c r="F284" i="4"/>
  <c r="F489" i="4"/>
  <c r="F435" i="4"/>
  <c r="F428" i="4"/>
  <c r="E422" i="4"/>
  <c r="E417" i="4"/>
  <c r="E409" i="4"/>
  <c r="E401" i="4"/>
  <c r="F381" i="4"/>
  <c r="F356" i="4"/>
  <c r="F346" i="4"/>
  <c r="E342" i="4"/>
  <c r="F340" i="4"/>
  <c r="E328" i="4"/>
  <c r="F499" i="4"/>
  <c r="F449" i="4"/>
  <c r="E413" i="4"/>
  <c r="F405" i="4"/>
  <c r="F394" i="4"/>
  <c r="E391" i="4"/>
  <c r="E381" i="4"/>
  <c r="F375" i="4"/>
  <c r="F361" i="4"/>
  <c r="E348" i="4"/>
  <c r="E346" i="4"/>
  <c r="F333" i="4"/>
  <c r="F326" i="4"/>
  <c r="F319" i="4"/>
  <c r="F314" i="4"/>
  <c r="E307" i="4"/>
  <c r="F300" i="4"/>
  <c r="E297" i="4"/>
  <c r="F294" i="4"/>
  <c r="F291" i="4"/>
  <c r="E281" i="4"/>
  <c r="F278" i="4"/>
  <c r="E274" i="4"/>
  <c r="E270" i="4"/>
  <c r="E266" i="4"/>
  <c r="F497" i="4"/>
  <c r="E448" i="4"/>
  <c r="E397" i="4"/>
  <c r="E394" i="4"/>
  <c r="E378" i="4"/>
  <c r="E375" i="4"/>
  <c r="F372" i="4"/>
  <c r="F338" i="4"/>
  <c r="E333" i="4"/>
  <c r="F331" i="4"/>
  <c r="E326" i="4"/>
  <c r="E319" i="4"/>
  <c r="E314" i="4"/>
  <c r="F312" i="4"/>
  <c r="E300" i="4"/>
  <c r="E294" i="4"/>
  <c r="E291" i="4"/>
  <c r="F288" i="4"/>
  <c r="E278" i="4"/>
  <c r="F453" i="4"/>
  <c r="E425" i="4"/>
  <c r="F415" i="4"/>
  <c r="F407" i="4"/>
  <c r="F386" i="4"/>
  <c r="E374" i="4"/>
  <c r="E368" i="4"/>
  <c r="F352" i="4"/>
  <c r="E343" i="4"/>
  <c r="E318" i="4"/>
  <c r="F315" i="4"/>
  <c r="E310" i="4"/>
  <c r="E295" i="4"/>
  <c r="F293" i="4"/>
  <c r="E282" i="4"/>
  <c r="E280" i="4"/>
  <c r="F262" i="4"/>
  <c r="E259" i="4"/>
  <c r="E256" i="4"/>
  <c r="F253" i="4"/>
  <c r="F249" i="4"/>
  <c r="F245" i="4"/>
  <c r="F241" i="4"/>
  <c r="F237" i="4"/>
  <c r="F233" i="4"/>
  <c r="F229" i="4"/>
  <c r="F225" i="4"/>
  <c r="F221" i="4"/>
  <c r="F217" i="4"/>
  <c r="F213" i="4"/>
  <c r="F209" i="4"/>
  <c r="F205" i="4"/>
  <c r="F201" i="4"/>
  <c r="F197" i="4"/>
  <c r="F193" i="4"/>
  <c r="F189" i="4"/>
  <c r="E484" i="4"/>
  <c r="E468" i="4"/>
  <c r="E438" i="4"/>
  <c r="E407" i="4"/>
  <c r="E399" i="4"/>
  <c r="F357" i="4"/>
  <c r="E352" i="4"/>
  <c r="F339" i="4"/>
  <c r="F332" i="4"/>
  <c r="E392" i="4"/>
  <c r="F362" i="4"/>
  <c r="E357" i="4"/>
  <c r="E339" i="4"/>
  <c r="E332" i="4"/>
  <c r="F320" i="4"/>
  <c r="E312" i="4"/>
  <c r="F505" i="4"/>
  <c r="F482" i="4"/>
  <c r="F466" i="4"/>
  <c r="E423" i="4"/>
  <c r="E362" i="4"/>
  <c r="F325" i="4"/>
  <c r="E320" i="4"/>
  <c r="F317" i="4"/>
  <c r="E338" i="4"/>
  <c r="E331" i="4"/>
  <c r="E325" i="4"/>
  <c r="F322" i="4"/>
  <c r="E317" i="4"/>
  <c r="E299" i="4"/>
  <c r="F292" i="4"/>
  <c r="E279" i="4"/>
  <c r="F277" i="4"/>
  <c r="F273" i="4"/>
  <c r="F269" i="4"/>
  <c r="F265" i="4"/>
  <c r="F260" i="4"/>
  <c r="E257" i="4"/>
  <c r="E254" i="4"/>
  <c r="E250" i="4"/>
  <c r="E246" i="4"/>
  <c r="E242" i="4"/>
  <c r="E238" i="4"/>
  <c r="E234" i="4"/>
  <c r="E230" i="4"/>
  <c r="E226" i="4"/>
  <c r="E222" i="4"/>
  <c r="E218" i="4"/>
  <c r="E214" i="4"/>
  <c r="E210" i="4"/>
  <c r="E206" i="4"/>
  <c r="E202" i="4"/>
  <c r="E198" i="4"/>
  <c r="E194" i="4"/>
  <c r="E190" i="4"/>
  <c r="E186" i="4"/>
  <c r="E182" i="4"/>
  <c r="E178" i="4"/>
  <c r="E174" i="4"/>
  <c r="E170" i="4"/>
  <c r="E166" i="4"/>
  <c r="E162" i="4"/>
  <c r="E158" i="4"/>
  <c r="E154" i="4"/>
  <c r="E150" i="4"/>
  <c r="E146" i="4"/>
  <c r="E142" i="4"/>
  <c r="E138" i="4"/>
  <c r="E134" i="4"/>
  <c r="E130" i="4"/>
  <c r="E126" i="4"/>
  <c r="E122" i="4"/>
  <c r="E118" i="4"/>
  <c r="E114" i="4"/>
  <c r="E110" i="4"/>
  <c r="E106" i="4"/>
  <c r="F420" i="4"/>
  <c r="E355" i="4"/>
  <c r="E350" i="4"/>
  <c r="F345" i="4"/>
  <c r="E322" i="4"/>
  <c r="E309" i="4"/>
  <c r="E292" i="4"/>
  <c r="F281" i="4"/>
  <c r="F263" i="4"/>
  <c r="E260" i="4"/>
  <c r="E396" i="4"/>
  <c r="E371" i="4"/>
  <c r="F341" i="4"/>
  <c r="E334" i="4"/>
  <c r="F327" i="4"/>
  <c r="F324" i="4"/>
  <c r="F301" i="4"/>
  <c r="F285" i="4"/>
  <c r="F283" i="4"/>
  <c r="E263" i="4"/>
  <c r="F258" i="4"/>
  <c r="F251" i="4"/>
  <c r="F247" i="4"/>
  <c r="F243" i="4"/>
  <c r="F239" i="4"/>
  <c r="F235" i="4"/>
  <c r="F231" i="4"/>
  <c r="F227" i="4"/>
  <c r="F223" i="4"/>
  <c r="F219" i="4"/>
  <c r="F215" i="4"/>
  <c r="F211" i="4"/>
  <c r="F207" i="4"/>
  <c r="F203" i="4"/>
  <c r="F199" i="4"/>
  <c r="F195" i="4"/>
  <c r="F191" i="4"/>
  <c r="F187" i="4"/>
  <c r="F183" i="4"/>
  <c r="F179" i="4"/>
  <c r="F175" i="4"/>
  <c r="E476" i="4"/>
  <c r="E460" i="4"/>
  <c r="F419" i="4"/>
  <c r="E411" i="4"/>
  <c r="E403" i="4"/>
  <c r="F365" i="4"/>
  <c r="E341" i="4"/>
  <c r="E327" i="4"/>
  <c r="F306" i="4"/>
  <c r="F303" i="4"/>
  <c r="E301" i="4"/>
  <c r="F296" i="4"/>
  <c r="E285" i="4"/>
  <c r="E283" i="4"/>
  <c r="E258" i="4"/>
  <c r="F255" i="4"/>
  <c r="E251" i="4"/>
  <c r="E247" i="4"/>
  <c r="E243" i="4"/>
  <c r="E239" i="4"/>
  <c r="E235" i="4"/>
  <c r="E231" i="4"/>
  <c r="E227" i="4"/>
  <c r="E223" i="4"/>
  <c r="E219" i="4"/>
  <c r="E215" i="4"/>
  <c r="E211" i="4"/>
  <c r="E207" i="4"/>
  <c r="E203" i="4"/>
  <c r="E199" i="4"/>
  <c r="E195" i="4"/>
  <c r="E191" i="4"/>
  <c r="E187" i="4"/>
  <c r="E430" i="4"/>
  <c r="E419" i="4"/>
  <c r="F389" i="4"/>
  <c r="E349" i="4"/>
  <c r="F311" i="4"/>
  <c r="E306" i="4"/>
  <c r="E303" i="4"/>
  <c r="F474" i="4"/>
  <c r="F458" i="4"/>
  <c r="F429" i="4"/>
  <c r="F376" i="4"/>
  <c r="E337" i="4"/>
  <c r="E321" i="4"/>
  <c r="F308" i="4"/>
  <c r="E298" i="4"/>
  <c r="F289" i="4"/>
  <c r="F276" i="4"/>
  <c r="F274" i="4"/>
  <c r="F272" i="4"/>
  <c r="F270" i="4"/>
  <c r="F268" i="4"/>
  <c r="F266" i="4"/>
  <c r="F261" i="4"/>
  <c r="F252" i="4"/>
  <c r="F248" i="4"/>
  <c r="F244" i="4"/>
  <c r="F240" i="4"/>
  <c r="F236" i="4"/>
  <c r="F232" i="4"/>
  <c r="F228" i="4"/>
  <c r="F224" i="4"/>
  <c r="F220" i="4"/>
  <c r="F216" i="4"/>
  <c r="F212" i="4"/>
  <c r="F208" i="4"/>
  <c r="F204" i="4"/>
  <c r="F200" i="4"/>
  <c r="F196" i="4"/>
  <c r="F192" i="4"/>
  <c r="F188" i="4"/>
  <c r="F184" i="4"/>
  <c r="F180" i="4"/>
  <c r="F176" i="4"/>
  <c r="F172" i="4"/>
  <c r="F168" i="4"/>
  <c r="F486" i="4"/>
  <c r="E305" i="4"/>
  <c r="F298" i="4"/>
  <c r="E255" i="4"/>
  <c r="F186" i="4"/>
  <c r="F167" i="4"/>
  <c r="E164" i="4"/>
  <c r="F161" i="4"/>
  <c r="E148" i="4"/>
  <c r="F145" i="4"/>
  <c r="E132" i="4"/>
  <c r="F129" i="4"/>
  <c r="E116" i="4"/>
  <c r="F113" i="4"/>
  <c r="F40" i="4"/>
  <c r="E289" i="4"/>
  <c r="E276" i="4"/>
  <c r="E272" i="4"/>
  <c r="E268" i="4"/>
  <c r="F264" i="4"/>
  <c r="E252" i="4"/>
  <c r="E244" i="4"/>
  <c r="E236" i="4"/>
  <c r="E228" i="4"/>
  <c r="E220" i="4"/>
  <c r="E212" i="4"/>
  <c r="E204" i="4"/>
  <c r="E196" i="4"/>
  <c r="E188" i="4"/>
  <c r="E167" i="4"/>
  <c r="E161" i="4"/>
  <c r="F158" i="4"/>
  <c r="F155" i="4"/>
  <c r="E145" i="4"/>
  <c r="F142" i="4"/>
  <c r="F139" i="4"/>
  <c r="E129" i="4"/>
  <c r="F126" i="4"/>
  <c r="F123" i="4"/>
  <c r="E113" i="4"/>
  <c r="F110" i="4"/>
  <c r="F107" i="4"/>
  <c r="F100" i="4"/>
  <c r="F96" i="4"/>
  <c r="F92" i="4"/>
  <c r="F88" i="4"/>
  <c r="F84" i="4"/>
  <c r="F80" i="4"/>
  <c r="F76" i="4"/>
  <c r="F72" i="4"/>
  <c r="F68" i="4"/>
  <c r="F64" i="4"/>
  <c r="F60" i="4"/>
  <c r="F56" i="4"/>
  <c r="F52" i="4"/>
  <c r="F48" i="4"/>
  <c r="F44" i="4"/>
  <c r="F470" i="4"/>
  <c r="F280" i="4"/>
  <c r="E264" i="4"/>
  <c r="F170" i="4"/>
  <c r="E155" i="4"/>
  <c r="F152" i="4"/>
  <c r="E139" i="4"/>
  <c r="F136" i="4"/>
  <c r="E123" i="4"/>
  <c r="F120" i="4"/>
  <c r="E107" i="4"/>
  <c r="F104" i="4"/>
  <c r="E100" i="4"/>
  <c r="E96" i="4"/>
  <c r="E92" i="4"/>
  <c r="E88" i="4"/>
  <c r="E84" i="4"/>
  <c r="E80" i="4"/>
  <c r="E76" i="4"/>
  <c r="E72" i="4"/>
  <c r="E68" i="4"/>
  <c r="E363" i="4"/>
  <c r="F336" i="4"/>
  <c r="F318" i="4"/>
  <c r="F297" i="4"/>
  <c r="E284" i="4"/>
  <c r="E249" i="4"/>
  <c r="E241" i="4"/>
  <c r="E233" i="4"/>
  <c r="E225" i="4"/>
  <c r="E217" i="4"/>
  <c r="E209" i="4"/>
  <c r="E201" i="4"/>
  <c r="E193" i="4"/>
  <c r="F165" i="4"/>
  <c r="E152" i="4"/>
  <c r="F149" i="4"/>
  <c r="E136" i="4"/>
  <c r="F133" i="4"/>
  <c r="E120" i="4"/>
  <c r="F117" i="4"/>
  <c r="E104" i="4"/>
  <c r="E358" i="4"/>
  <c r="E302" i="4"/>
  <c r="E288" i="4"/>
  <c r="F275" i="4"/>
  <c r="F271" i="4"/>
  <c r="F267" i="4"/>
  <c r="F185" i="4"/>
  <c r="E183" i="4"/>
  <c r="F181" i="4"/>
  <c r="E179" i="4"/>
  <c r="F177" i="4"/>
  <c r="E175" i="4"/>
  <c r="F173" i="4"/>
  <c r="E165" i="4"/>
  <c r="F162" i="4"/>
  <c r="F159" i="4"/>
  <c r="E149" i="4"/>
  <c r="F146" i="4"/>
  <c r="F143" i="4"/>
  <c r="E133" i="4"/>
  <c r="F130" i="4"/>
  <c r="F127" i="4"/>
  <c r="E117" i="4"/>
  <c r="F114" i="4"/>
  <c r="F111" i="4"/>
  <c r="F101" i="4"/>
  <c r="F97" i="4"/>
  <c r="F93" i="4"/>
  <c r="F89" i="4"/>
  <c r="F85" i="4"/>
  <c r="F81" i="4"/>
  <c r="F77" i="4"/>
  <c r="F73" i="4"/>
  <c r="F69" i="4"/>
  <c r="F65" i="4"/>
  <c r="F61" i="4"/>
  <c r="F57" i="4"/>
  <c r="F53" i="4"/>
  <c r="F49" i="4"/>
  <c r="F45" i="4"/>
  <c r="F41" i="4"/>
  <c r="E454" i="4"/>
  <c r="F279" i="4"/>
  <c r="E275" i="4"/>
  <c r="E271" i="4"/>
  <c r="E267" i="4"/>
  <c r="F257" i="4"/>
  <c r="F254" i="4"/>
  <c r="F246" i="4"/>
  <c r="F238" i="4"/>
  <c r="F230" i="4"/>
  <c r="F222" i="4"/>
  <c r="F214" i="4"/>
  <c r="F206" i="4"/>
  <c r="F198" i="4"/>
  <c r="F190" i="4"/>
  <c r="E185" i="4"/>
  <c r="E181" i="4"/>
  <c r="E177" i="4"/>
  <c r="E173" i="4"/>
  <c r="E168" i="4"/>
  <c r="E159" i="4"/>
  <c r="F156" i="4"/>
  <c r="E143" i="4"/>
  <c r="F140" i="4"/>
  <c r="E127" i="4"/>
  <c r="F124" i="4"/>
  <c r="E111" i="4"/>
  <c r="F108" i="4"/>
  <c r="E101" i="4"/>
  <c r="E97" i="4"/>
  <c r="E93" i="4"/>
  <c r="E89" i="4"/>
  <c r="E85" i="4"/>
  <c r="E81" i="4"/>
  <c r="E77" i="4"/>
  <c r="E73" i="4"/>
  <c r="E69" i="4"/>
  <c r="E65" i="4"/>
  <c r="B23" i="4"/>
  <c r="E387" i="4"/>
  <c r="F313" i="4"/>
  <c r="E296" i="4"/>
  <c r="F171" i="4"/>
  <c r="E156" i="4"/>
  <c r="F153" i="4"/>
  <c r="E140" i="4"/>
  <c r="F137" i="4"/>
  <c r="E124" i="4"/>
  <c r="F121" i="4"/>
  <c r="E108" i="4"/>
  <c r="F105" i="4"/>
  <c r="F329" i="4"/>
  <c r="E313" i="4"/>
  <c r="E248" i="4"/>
  <c r="E240" i="4"/>
  <c r="E232" i="4"/>
  <c r="E224" i="4"/>
  <c r="E216" i="4"/>
  <c r="E208" i="4"/>
  <c r="E200" i="4"/>
  <c r="E192" i="4"/>
  <c r="E171" i="4"/>
  <c r="F163" i="4"/>
  <c r="E153" i="4"/>
  <c r="F150" i="4"/>
  <c r="F147" i="4"/>
  <c r="E137" i="4"/>
  <c r="F134" i="4"/>
  <c r="F131" i="4"/>
  <c r="E121" i="4"/>
  <c r="F118" i="4"/>
  <c r="F115" i="4"/>
  <c r="E105" i="4"/>
  <c r="F102" i="4"/>
  <c r="F98" i="4"/>
  <c r="F94" i="4"/>
  <c r="F90" i="4"/>
  <c r="F86" i="4"/>
  <c r="F82" i="4"/>
  <c r="F78" i="4"/>
  <c r="F74" i="4"/>
  <c r="F70" i="4"/>
  <c r="F66" i="4"/>
  <c r="F62" i="4"/>
  <c r="F58" i="4"/>
  <c r="F54" i="4"/>
  <c r="F50" i="4"/>
  <c r="F46" i="4"/>
  <c r="F42" i="4"/>
  <c r="E426" i="4"/>
  <c r="F295" i="4"/>
  <c r="F282" i="4"/>
  <c r="F259" i="4"/>
  <c r="F256" i="4"/>
  <c r="F166" i="4"/>
  <c r="E163" i="4"/>
  <c r="F160" i="4"/>
  <c r="E147" i="4"/>
  <c r="F144" i="4"/>
  <c r="E131" i="4"/>
  <c r="F128" i="4"/>
  <c r="E115" i="4"/>
  <c r="F112" i="4"/>
  <c r="E102" i="4"/>
  <c r="E98" i="4"/>
  <c r="E94" i="4"/>
  <c r="E90" i="4"/>
  <c r="E86" i="4"/>
  <c r="E82" i="4"/>
  <c r="E78" i="4"/>
  <c r="E74" i="4"/>
  <c r="E70" i="4"/>
  <c r="E66" i="4"/>
  <c r="F310" i="4"/>
  <c r="E262" i="4"/>
  <c r="E253" i="4"/>
  <c r="E245" i="4"/>
  <c r="E237" i="4"/>
  <c r="E229" i="4"/>
  <c r="E221" i="4"/>
  <c r="E213" i="4"/>
  <c r="E205" i="4"/>
  <c r="E197" i="4"/>
  <c r="E189" i="4"/>
  <c r="F169" i="4"/>
  <c r="E160" i="4"/>
  <c r="F157" i="4"/>
  <c r="E144" i="4"/>
  <c r="F141" i="4"/>
  <c r="E128" i="4"/>
  <c r="F125" i="4"/>
  <c r="E112" i="4"/>
  <c r="F109" i="4"/>
  <c r="F286" i="4"/>
  <c r="E184" i="4"/>
  <c r="E180" i="4"/>
  <c r="E176" i="4"/>
  <c r="E169" i="4"/>
  <c r="E157" i="4"/>
  <c r="F154" i="4"/>
  <c r="F151" i="4"/>
  <c r="E141" i="4"/>
  <c r="F138" i="4"/>
  <c r="F135" i="4"/>
  <c r="E125" i="4"/>
  <c r="F122" i="4"/>
  <c r="F119" i="4"/>
  <c r="E109" i="4"/>
  <c r="F106" i="4"/>
  <c r="F103" i="4"/>
  <c r="F99" i="4"/>
  <c r="F95" i="4"/>
  <c r="F91" i="4"/>
  <c r="F87" i="4"/>
  <c r="F83" i="4"/>
  <c r="F79" i="4"/>
  <c r="F75" i="4"/>
  <c r="F71" i="4"/>
  <c r="F67" i="4"/>
  <c r="F63" i="4"/>
  <c r="F59" i="4"/>
  <c r="F55" i="4"/>
  <c r="F51" i="4"/>
  <c r="F47" i="4"/>
  <c r="F43" i="4"/>
  <c r="F234" i="4"/>
  <c r="F202" i="4"/>
  <c r="F174" i="4"/>
  <c r="E103" i="4"/>
  <c r="E87" i="4"/>
  <c r="E71" i="4"/>
  <c r="E172" i="4"/>
  <c r="E119" i="4"/>
  <c r="E135" i="4"/>
  <c r="F226" i="4"/>
  <c r="F194" i="4"/>
  <c r="E151" i="4"/>
  <c r="F116" i="4"/>
  <c r="E99" i="4"/>
  <c r="E83" i="4"/>
  <c r="E67" i="4"/>
  <c r="B14" i="4"/>
  <c r="F132" i="4"/>
  <c r="F299" i="4"/>
  <c r="F148" i="4"/>
  <c r="F250" i="4"/>
  <c r="F218" i="4"/>
  <c r="F164" i="4"/>
  <c r="E95" i="4"/>
  <c r="E79" i="4"/>
  <c r="E286" i="4"/>
  <c r="F182" i="4"/>
  <c r="F242" i="4"/>
  <c r="F210" i="4"/>
  <c r="E91" i="4"/>
  <c r="E75" i="4"/>
  <c r="F178" i="4"/>
  <c r="B10" i="4"/>
  <c r="B9" i="4"/>
  <c r="J42" i="4"/>
  <c r="G43" i="4"/>
  <c r="B11" i="4" l="1"/>
  <c r="K639" i="4"/>
  <c r="K635" i="4"/>
  <c r="K631" i="4"/>
  <c r="K627" i="4"/>
  <c r="K623" i="4"/>
  <c r="K619" i="4"/>
  <c r="K615" i="4"/>
  <c r="K611" i="4"/>
  <c r="K607" i="4"/>
  <c r="K603" i="4"/>
  <c r="K599" i="4"/>
  <c r="K595" i="4"/>
  <c r="K591" i="4"/>
  <c r="K587" i="4"/>
  <c r="K583" i="4"/>
  <c r="K579" i="4"/>
  <c r="K575" i="4"/>
  <c r="K571" i="4"/>
  <c r="K567" i="4"/>
  <c r="K563" i="4"/>
  <c r="K559" i="4"/>
  <c r="K555" i="4"/>
  <c r="K551" i="4"/>
  <c r="K547" i="4"/>
  <c r="K543" i="4"/>
  <c r="K539" i="4"/>
  <c r="K535" i="4"/>
  <c r="K531" i="4"/>
  <c r="L640" i="4"/>
  <c r="L636" i="4"/>
  <c r="L632" i="4"/>
  <c r="L628" i="4"/>
  <c r="L624" i="4"/>
  <c r="L620" i="4"/>
  <c r="L616" i="4"/>
  <c r="L612" i="4"/>
  <c r="L608" i="4"/>
  <c r="L604" i="4"/>
  <c r="L600" i="4"/>
  <c r="L596" i="4"/>
  <c r="L592" i="4"/>
  <c r="L588" i="4"/>
  <c r="L584" i="4"/>
  <c r="L580" i="4"/>
  <c r="L576" i="4"/>
  <c r="L572" i="4"/>
  <c r="L568" i="4"/>
  <c r="L564" i="4"/>
  <c r="L560" i="4"/>
  <c r="L556" i="4"/>
  <c r="L552" i="4"/>
  <c r="L548" i="4"/>
  <c r="L544" i="4"/>
  <c r="L540" i="4"/>
  <c r="L536" i="4"/>
  <c r="L532" i="4"/>
  <c r="L528" i="4"/>
  <c r="K640" i="4"/>
  <c r="K636" i="4"/>
  <c r="K632" i="4"/>
  <c r="K628" i="4"/>
  <c r="K624" i="4"/>
  <c r="K620" i="4"/>
  <c r="K616" i="4"/>
  <c r="K612" i="4"/>
  <c r="K608" i="4"/>
  <c r="K604" i="4"/>
  <c r="K600" i="4"/>
  <c r="K596" i="4"/>
  <c r="K592" i="4"/>
  <c r="K588" i="4"/>
  <c r="K584" i="4"/>
  <c r="K580" i="4"/>
  <c r="K576" i="4"/>
  <c r="K572" i="4"/>
  <c r="K568" i="4"/>
  <c r="K564" i="4"/>
  <c r="K560" i="4"/>
  <c r="K556" i="4"/>
  <c r="K552" i="4"/>
  <c r="K548" i="4"/>
  <c r="K544" i="4"/>
  <c r="K540" i="4"/>
  <c r="K536" i="4"/>
  <c r="L637" i="4"/>
  <c r="L633" i="4"/>
  <c r="L629" i="4"/>
  <c r="L625" i="4"/>
  <c r="L621" i="4"/>
  <c r="L617" i="4"/>
  <c r="L613" i="4"/>
  <c r="L609" i="4"/>
  <c r="L605" i="4"/>
  <c r="L601" i="4"/>
  <c r="L597" i="4"/>
  <c r="L593" i="4"/>
  <c r="L589" i="4"/>
  <c r="L585" i="4"/>
  <c r="L581" i="4"/>
  <c r="L577" i="4"/>
  <c r="L573" i="4"/>
  <c r="L569" i="4"/>
  <c r="L565" i="4"/>
  <c r="L561" i="4"/>
  <c r="L557" i="4"/>
  <c r="L553" i="4"/>
  <c r="L549" i="4"/>
  <c r="L545" i="4"/>
  <c r="L541" i="4"/>
  <c r="L537" i="4"/>
  <c r="L533" i="4"/>
  <c r="L529" i="4"/>
  <c r="K637" i="4"/>
  <c r="K633" i="4"/>
  <c r="K629" i="4"/>
  <c r="K625" i="4"/>
  <c r="K621" i="4"/>
  <c r="K617" i="4"/>
  <c r="K613" i="4"/>
  <c r="K609" i="4"/>
  <c r="K605" i="4"/>
  <c r="K601" i="4"/>
  <c r="K597" i="4"/>
  <c r="K593" i="4"/>
  <c r="K589" i="4"/>
  <c r="K585" i="4"/>
  <c r="K581" i="4"/>
  <c r="L638" i="4"/>
  <c r="L634" i="4"/>
  <c r="L630" i="4"/>
  <c r="L626" i="4"/>
  <c r="L622" i="4"/>
  <c r="L618" i="4"/>
  <c r="L614" i="4"/>
  <c r="L610" i="4"/>
  <c r="L606" i="4"/>
  <c r="L602" i="4"/>
  <c r="L598" i="4"/>
  <c r="L594" i="4"/>
  <c r="L590" i="4"/>
  <c r="L586" i="4"/>
  <c r="L582" i="4"/>
  <c r="L578" i="4"/>
  <c r="L574" i="4"/>
  <c r="L570" i="4"/>
  <c r="L566" i="4"/>
  <c r="L562" i="4"/>
  <c r="L558" i="4"/>
  <c r="L554" i="4"/>
  <c r="L550" i="4"/>
  <c r="L546" i="4"/>
  <c r="L542" i="4"/>
  <c r="L538" i="4"/>
  <c r="L534" i="4"/>
  <c r="L530" i="4"/>
  <c r="K638" i="4"/>
  <c r="K634" i="4"/>
  <c r="K630" i="4"/>
  <c r="K626" i="4"/>
  <c r="K622" i="4"/>
  <c r="K618" i="4"/>
  <c r="K614" i="4"/>
  <c r="K610" i="4"/>
  <c r="K606" i="4"/>
  <c r="K602" i="4"/>
  <c r="K598" i="4"/>
  <c r="K594" i="4"/>
  <c r="K590" i="4"/>
  <c r="K586" i="4"/>
  <c r="K582" i="4"/>
  <c r="K578" i="4"/>
  <c r="K574" i="4"/>
  <c r="K570" i="4"/>
  <c r="K566" i="4"/>
  <c r="K562" i="4"/>
  <c r="K558" i="4"/>
  <c r="K554" i="4"/>
  <c r="K550" i="4"/>
  <c r="K546" i="4"/>
  <c r="K542" i="4"/>
  <c r="K538" i="4"/>
  <c r="K534" i="4"/>
  <c r="K530" i="4"/>
  <c r="L639" i="4"/>
  <c r="L623" i="4"/>
  <c r="L607" i="4"/>
  <c r="L591" i="4"/>
  <c r="L525" i="4"/>
  <c r="L521" i="4"/>
  <c r="L517" i="4"/>
  <c r="L513" i="4"/>
  <c r="L509" i="4"/>
  <c r="L505" i="4"/>
  <c r="L501" i="4"/>
  <c r="L497" i="4"/>
  <c r="L493" i="4"/>
  <c r="L489" i="4"/>
  <c r="L485" i="4"/>
  <c r="L481" i="4"/>
  <c r="L477" i="4"/>
  <c r="L473" i="4"/>
  <c r="L469" i="4"/>
  <c r="L465" i="4"/>
  <c r="L461" i="4"/>
  <c r="L457" i="4"/>
  <c r="L453" i="4"/>
  <c r="L449" i="4"/>
  <c r="L445" i="4"/>
  <c r="L441" i="4"/>
  <c r="L437" i="4"/>
  <c r="L433" i="4"/>
  <c r="L429" i="4"/>
  <c r="K573" i="4"/>
  <c r="K565" i="4"/>
  <c r="K557" i="4"/>
  <c r="K549" i="4"/>
  <c r="K541" i="4"/>
  <c r="K529" i="4"/>
  <c r="K525" i="4"/>
  <c r="K521" i="4"/>
  <c r="K517" i="4"/>
  <c r="K513" i="4"/>
  <c r="K509" i="4"/>
  <c r="K505" i="4"/>
  <c r="K501" i="4"/>
  <c r="K497" i="4"/>
  <c r="K493" i="4"/>
  <c r="K489" i="4"/>
  <c r="K485" i="4"/>
  <c r="K481" i="4"/>
  <c r="K477" i="4"/>
  <c r="K473" i="4"/>
  <c r="K469" i="4"/>
  <c r="K465" i="4"/>
  <c r="K461" i="4"/>
  <c r="K457" i="4"/>
  <c r="L631" i="4"/>
  <c r="L615" i="4"/>
  <c r="L599" i="4"/>
  <c r="L583" i="4"/>
  <c r="K533" i="4"/>
  <c r="K528" i="4"/>
  <c r="L526" i="4"/>
  <c r="L522" i="4"/>
  <c r="L518" i="4"/>
  <c r="L514" i="4"/>
  <c r="L510" i="4"/>
  <c r="L506" i="4"/>
  <c r="L502" i="4"/>
  <c r="L498" i="4"/>
  <c r="L494" i="4"/>
  <c r="L527" i="4"/>
  <c r="L523" i="4"/>
  <c r="L519" i="4"/>
  <c r="L515" i="4"/>
  <c r="L511" i="4"/>
  <c r="L507" i="4"/>
  <c r="L503" i="4"/>
  <c r="L499" i="4"/>
  <c r="L495" i="4"/>
  <c r="L491" i="4"/>
  <c r="L487" i="4"/>
  <c r="L483" i="4"/>
  <c r="L479" i="4"/>
  <c r="L475" i="4"/>
  <c r="L471" i="4"/>
  <c r="L467" i="4"/>
  <c r="L463" i="4"/>
  <c r="L459" i="4"/>
  <c r="L455" i="4"/>
  <c r="L451" i="4"/>
  <c r="L447" i="4"/>
  <c r="L443" i="4"/>
  <c r="L439" i="4"/>
  <c r="L435" i="4"/>
  <c r="L431" i="4"/>
  <c r="L520" i="4"/>
  <c r="L512" i="4"/>
  <c r="L504" i="4"/>
  <c r="L496" i="4"/>
  <c r="L480" i="4"/>
  <c r="L464" i="4"/>
  <c r="K452" i="4"/>
  <c r="K444" i="4"/>
  <c r="K436" i="4"/>
  <c r="K428" i="4"/>
  <c r="K424" i="4"/>
  <c r="K420" i="4"/>
  <c r="K416" i="4"/>
  <c r="K412" i="4"/>
  <c r="K408" i="4"/>
  <c r="K404" i="4"/>
  <c r="K400" i="4"/>
  <c r="K396" i="4"/>
  <c r="K392" i="4"/>
  <c r="K388" i="4"/>
  <c r="K384" i="4"/>
  <c r="K380" i="4"/>
  <c r="K376" i="4"/>
  <c r="K372" i="4"/>
  <c r="K368" i="4"/>
  <c r="K364" i="4"/>
  <c r="K360" i="4"/>
  <c r="K356" i="4"/>
  <c r="K352" i="4"/>
  <c r="K348" i="4"/>
  <c r="K344" i="4"/>
  <c r="K340" i="4"/>
  <c r="K336" i="4"/>
  <c r="K332" i="4"/>
  <c r="K328" i="4"/>
  <c r="K324" i="4"/>
  <c r="K320" i="4"/>
  <c r="K316" i="4"/>
  <c r="K312" i="4"/>
  <c r="K308" i="4"/>
  <c r="K304" i="4"/>
  <c r="K300" i="4"/>
  <c r="K296" i="4"/>
  <c r="K292" i="4"/>
  <c r="K288" i="4"/>
  <c r="K284" i="4"/>
  <c r="K280" i="4"/>
  <c r="L575" i="4"/>
  <c r="L559" i="4"/>
  <c r="L543" i="4"/>
  <c r="K520" i="4"/>
  <c r="L635" i="4"/>
  <c r="L603" i="4"/>
  <c r="K569" i="4"/>
  <c r="K553" i="4"/>
  <c r="K537" i="4"/>
  <c r="K527" i="4"/>
  <c r="K519" i="4"/>
  <c r="K511" i="4"/>
  <c r="K503" i="4"/>
  <c r="K495" i="4"/>
  <c r="K474" i="4"/>
  <c r="K458" i="4"/>
  <c r="L448" i="4"/>
  <c r="L440" i="4"/>
  <c r="L432" i="4"/>
  <c r="L426" i="4"/>
  <c r="L422" i="4"/>
  <c r="L418" i="4"/>
  <c r="L414" i="4"/>
  <c r="L410" i="4"/>
  <c r="L406" i="4"/>
  <c r="L402" i="4"/>
  <c r="L398" i="4"/>
  <c r="L524" i="4"/>
  <c r="L516" i="4"/>
  <c r="L508" i="4"/>
  <c r="L500" i="4"/>
  <c r="L490" i="4"/>
  <c r="L472" i="4"/>
  <c r="L456" i="4"/>
  <c r="K448" i="4"/>
  <c r="K440" i="4"/>
  <c r="K432" i="4"/>
  <c r="K426" i="4"/>
  <c r="K422" i="4"/>
  <c r="K418" i="4"/>
  <c r="K414" i="4"/>
  <c r="K410" i="4"/>
  <c r="K406" i="4"/>
  <c r="K402" i="4"/>
  <c r="L567" i="4"/>
  <c r="L551" i="4"/>
  <c r="L535" i="4"/>
  <c r="K524" i="4"/>
  <c r="K516" i="4"/>
  <c r="L619" i="4"/>
  <c r="L587" i="4"/>
  <c r="L563" i="4"/>
  <c r="L547" i="4"/>
  <c r="K526" i="4"/>
  <c r="K518" i="4"/>
  <c r="K510" i="4"/>
  <c r="K502" i="4"/>
  <c r="K494" i="4"/>
  <c r="L484" i="4"/>
  <c r="L468" i="4"/>
  <c r="K454" i="4"/>
  <c r="K446" i="4"/>
  <c r="K438" i="4"/>
  <c r="K430" i="4"/>
  <c r="K427" i="4"/>
  <c r="K423" i="4"/>
  <c r="K419" i="4"/>
  <c r="L555" i="4"/>
  <c r="K492" i="4"/>
  <c r="K486" i="4"/>
  <c r="K478" i="4"/>
  <c r="K470" i="4"/>
  <c r="K462" i="4"/>
  <c r="L454" i="4"/>
  <c r="L442" i="4"/>
  <c r="L430" i="4"/>
  <c r="K407" i="4"/>
  <c r="K391" i="4"/>
  <c r="L388" i="4"/>
  <c r="L385" i="4"/>
  <c r="K375" i="4"/>
  <c r="L372" i="4"/>
  <c r="L369" i="4"/>
  <c r="K359" i="4"/>
  <c r="L356" i="4"/>
  <c r="L353" i="4"/>
  <c r="L627" i="4"/>
  <c r="L611" i="4"/>
  <c r="K507" i="4"/>
  <c r="K545" i="4"/>
  <c r="K523" i="4"/>
  <c r="K515" i="4"/>
  <c r="L539" i="4"/>
  <c r="K522" i="4"/>
  <c r="L595" i="4"/>
  <c r="K514" i="4"/>
  <c r="K506" i="4"/>
  <c r="K498" i="4"/>
  <c r="L482" i="4"/>
  <c r="L466" i="4"/>
  <c r="K441" i="4"/>
  <c r="K434" i="4"/>
  <c r="K425" i="4"/>
  <c r="K421" i="4"/>
  <c r="K417" i="4"/>
  <c r="L415" i="4"/>
  <c r="L408" i="4"/>
  <c r="K401" i="4"/>
  <c r="K386" i="4"/>
  <c r="L383" i="4"/>
  <c r="K370" i="4"/>
  <c r="L367" i="4"/>
  <c r="K354" i="4"/>
  <c r="L351" i="4"/>
  <c r="K338" i="4"/>
  <c r="L335" i="4"/>
  <c r="K322" i="4"/>
  <c r="L319" i="4"/>
  <c r="K306" i="4"/>
  <c r="L303" i="4"/>
  <c r="L579" i="4"/>
  <c r="K532" i="4"/>
  <c r="K482" i="4"/>
  <c r="L474" i="4"/>
  <c r="K466" i="4"/>
  <c r="L458" i="4"/>
  <c r="K453" i="4"/>
  <c r="L436" i="4"/>
  <c r="K429" i="4"/>
  <c r="K415" i="4"/>
  <c r="L399" i="4"/>
  <c r="L396" i="4"/>
  <c r="L393" i="4"/>
  <c r="K383" i="4"/>
  <c r="L380" i="4"/>
  <c r="L377" i="4"/>
  <c r="K367" i="4"/>
  <c r="L364" i="4"/>
  <c r="L361" i="4"/>
  <c r="K351" i="4"/>
  <c r="L348" i="4"/>
  <c r="K577" i="4"/>
  <c r="L531" i="4"/>
  <c r="L571" i="4"/>
  <c r="K476" i="4"/>
  <c r="K460" i="4"/>
  <c r="L452" i="4"/>
  <c r="K445" i="4"/>
  <c r="L428" i="4"/>
  <c r="L424" i="4"/>
  <c r="L420" i="4"/>
  <c r="L409" i="4"/>
  <c r="K397" i="4"/>
  <c r="L394" i="4"/>
  <c r="K381" i="4"/>
  <c r="L378" i="4"/>
  <c r="K365" i="4"/>
  <c r="L362" i="4"/>
  <c r="K349" i="4"/>
  <c r="L346" i="4"/>
  <c r="L446" i="4"/>
  <c r="K435" i="4"/>
  <c r="L425" i="4"/>
  <c r="L488" i="4"/>
  <c r="K484" i="4"/>
  <c r="K480" i="4"/>
  <c r="L476" i="4"/>
  <c r="K472" i="4"/>
  <c r="K468" i="4"/>
  <c r="K464" i="4"/>
  <c r="L460" i="4"/>
  <c r="K456" i="4"/>
  <c r="L397" i="4"/>
  <c r="K395" i="4"/>
  <c r="L384" i="4"/>
  <c r="L373" i="4"/>
  <c r="K371" i="4"/>
  <c r="L360" i="4"/>
  <c r="L349" i="4"/>
  <c r="K347" i="4"/>
  <c r="L345" i="4"/>
  <c r="L324" i="4"/>
  <c r="L316" i="4"/>
  <c r="K305" i="4"/>
  <c r="K487" i="4"/>
  <c r="K479" i="4"/>
  <c r="K475" i="4"/>
  <c r="K471" i="4"/>
  <c r="K463" i="4"/>
  <c r="K459" i="4"/>
  <c r="K455" i="4"/>
  <c r="K399" i="4"/>
  <c r="L390" i="4"/>
  <c r="K483" i="4"/>
  <c r="K467" i="4"/>
  <c r="L444" i="4"/>
  <c r="K437" i="4"/>
  <c r="L412" i="4"/>
  <c r="L404" i="4"/>
  <c r="K390" i="4"/>
  <c r="L379" i="4"/>
  <c r="K366" i="4"/>
  <c r="L355" i="4"/>
  <c r="K496" i="4"/>
  <c r="L486" i="4"/>
  <c r="L478" i="4"/>
  <c r="L470" i="4"/>
  <c r="L462" i="4"/>
  <c r="K447" i="4"/>
  <c r="L423" i="4"/>
  <c r="K508" i="4"/>
  <c r="K490" i="4"/>
  <c r="K443" i="4"/>
  <c r="K385" i="4"/>
  <c r="L374" i="4"/>
  <c r="K561" i="4"/>
  <c r="K431" i="4"/>
  <c r="K411" i="4"/>
  <c r="L407" i="4"/>
  <c r="K403" i="4"/>
  <c r="L389" i="4"/>
  <c r="L386" i="4"/>
  <c r="K357" i="4"/>
  <c r="L337" i="4"/>
  <c r="L330" i="4"/>
  <c r="K504" i="4"/>
  <c r="K450" i="4"/>
  <c r="L391" i="4"/>
  <c r="L381" i="4"/>
  <c r="K361" i="4"/>
  <c r="L338" i="4"/>
  <c r="K326" i="4"/>
  <c r="K319" i="4"/>
  <c r="K307" i="4"/>
  <c r="K291" i="4"/>
  <c r="L288" i="4"/>
  <c r="L285" i="4"/>
  <c r="L275" i="4"/>
  <c r="L271" i="4"/>
  <c r="L267" i="4"/>
  <c r="L263" i="4"/>
  <c r="L259" i="4"/>
  <c r="K500" i="4"/>
  <c r="K449" i="4"/>
  <c r="K442" i="4"/>
  <c r="L417" i="4"/>
  <c r="L413" i="4"/>
  <c r="K409" i="4"/>
  <c r="L405" i="4"/>
  <c r="L401" i="4"/>
  <c r="K394" i="4"/>
  <c r="K378" i="4"/>
  <c r="L375" i="4"/>
  <c r="K353" i="4"/>
  <c r="L331" i="4"/>
  <c r="L317" i="4"/>
  <c r="L312" i="4"/>
  <c r="L305" i="4"/>
  <c r="K285" i="4"/>
  <c r="L282" i="4"/>
  <c r="K275" i="4"/>
  <c r="K271" i="4"/>
  <c r="K267" i="4"/>
  <c r="K263" i="4"/>
  <c r="K259" i="4"/>
  <c r="K255" i="4"/>
  <c r="K499" i="4"/>
  <c r="K413" i="4"/>
  <c r="K405" i="4"/>
  <c r="L387" i="4"/>
  <c r="K369" i="4"/>
  <c r="L366" i="4"/>
  <c r="L358" i="4"/>
  <c r="L350" i="4"/>
  <c r="L336" i="4"/>
  <c r="K331" i="4"/>
  <c r="L329" i="4"/>
  <c r="K488" i="4"/>
  <c r="L434" i="4"/>
  <c r="L427" i="4"/>
  <c r="L421" i="4"/>
  <c r="K387" i="4"/>
  <c r="L363" i="4"/>
  <c r="K358" i="4"/>
  <c r="K350" i="4"/>
  <c r="L343" i="4"/>
  <c r="K329" i="4"/>
  <c r="L322" i="4"/>
  <c r="K310" i="4"/>
  <c r="K303" i="4"/>
  <c r="K298" i="4"/>
  <c r="K295" i="4"/>
  <c r="L292" i="4"/>
  <c r="L289" i="4"/>
  <c r="K279" i="4"/>
  <c r="L276" i="4"/>
  <c r="L272" i="4"/>
  <c r="L268" i="4"/>
  <c r="L264" i="4"/>
  <c r="K433" i="4"/>
  <c r="L416" i="4"/>
  <c r="L400" i="4"/>
  <c r="K363" i="4"/>
  <c r="K355" i="4"/>
  <c r="K345" i="4"/>
  <c r="K343" i="4"/>
  <c r="L341" i="4"/>
  <c r="L334" i="4"/>
  <c r="L327" i="4"/>
  <c r="L315" i="4"/>
  <c r="L308" i="4"/>
  <c r="L301" i="4"/>
  <c r="K289" i="4"/>
  <c r="L286" i="4"/>
  <c r="K276" i="4"/>
  <c r="K272" i="4"/>
  <c r="K268" i="4"/>
  <c r="L438" i="4"/>
  <c r="L392" i="4"/>
  <c r="K362" i="4"/>
  <c r="K325" i="4"/>
  <c r="L307" i="4"/>
  <c r="K302" i="4"/>
  <c r="L299" i="4"/>
  <c r="L290" i="4"/>
  <c r="K277" i="4"/>
  <c r="K273" i="4"/>
  <c r="K269" i="4"/>
  <c r="K265" i="4"/>
  <c r="K260" i="4"/>
  <c r="K254" i="4"/>
  <c r="K379" i="4"/>
  <c r="K335" i="4"/>
  <c r="K317" i="4"/>
  <c r="L304" i="4"/>
  <c r="K512" i="4"/>
  <c r="K451" i="4"/>
  <c r="K398" i="4"/>
  <c r="K373" i="4"/>
  <c r="K346" i="4"/>
  <c r="L342" i="4"/>
  <c r="L328" i="4"/>
  <c r="L309" i="4"/>
  <c r="K301" i="4"/>
  <c r="L450" i="4"/>
  <c r="K342" i="4"/>
  <c r="L314" i="4"/>
  <c r="K309" i="4"/>
  <c r="L306" i="4"/>
  <c r="K377" i="4"/>
  <c r="K341" i="4"/>
  <c r="K334" i="4"/>
  <c r="K327" i="4"/>
  <c r="K314" i="4"/>
  <c r="L311" i="4"/>
  <c r="K294" i="4"/>
  <c r="L261" i="4"/>
  <c r="K258" i="4"/>
  <c r="L252" i="4"/>
  <c r="L248" i="4"/>
  <c r="L244" i="4"/>
  <c r="L240" i="4"/>
  <c r="L236" i="4"/>
  <c r="L232" i="4"/>
  <c r="L228" i="4"/>
  <c r="L224" i="4"/>
  <c r="L220" i="4"/>
  <c r="L216" i="4"/>
  <c r="L212" i="4"/>
  <c r="L208" i="4"/>
  <c r="L204" i="4"/>
  <c r="L200" i="4"/>
  <c r="L196" i="4"/>
  <c r="L192" i="4"/>
  <c r="L188" i="4"/>
  <c r="L184" i="4"/>
  <c r="L180" i="4"/>
  <c r="L176" i="4"/>
  <c r="L172" i="4"/>
  <c r="L168" i="4"/>
  <c r="L164" i="4"/>
  <c r="L160" i="4"/>
  <c r="L156" i="4"/>
  <c r="L152" i="4"/>
  <c r="L148" i="4"/>
  <c r="L144" i="4"/>
  <c r="L140" i="4"/>
  <c r="L136" i="4"/>
  <c r="L132" i="4"/>
  <c r="L128" i="4"/>
  <c r="L124" i="4"/>
  <c r="L120" i="4"/>
  <c r="L116" i="4"/>
  <c r="L112" i="4"/>
  <c r="L108" i="4"/>
  <c r="L104" i="4"/>
  <c r="L411" i="4"/>
  <c r="L403" i="4"/>
  <c r="L371" i="4"/>
  <c r="L365" i="4"/>
  <c r="K311" i="4"/>
  <c r="L298" i="4"/>
  <c r="L287" i="4"/>
  <c r="K261" i="4"/>
  <c r="K252" i="4"/>
  <c r="K248" i="4"/>
  <c r="K244" i="4"/>
  <c r="K240" i="4"/>
  <c r="K236" i="4"/>
  <c r="K232" i="4"/>
  <c r="K228" i="4"/>
  <c r="K224" i="4"/>
  <c r="K220" i="4"/>
  <c r="K216" i="4"/>
  <c r="K212" i="4"/>
  <c r="K208" i="4"/>
  <c r="K204" i="4"/>
  <c r="K200" i="4"/>
  <c r="K196" i="4"/>
  <c r="K192" i="4"/>
  <c r="K188" i="4"/>
  <c r="K184" i="4"/>
  <c r="K180" i="4"/>
  <c r="K176" i="4"/>
  <c r="L419" i="4"/>
  <c r="K389" i="4"/>
  <c r="K337" i="4"/>
  <c r="K330" i="4"/>
  <c r="L313" i="4"/>
  <c r="K287" i="4"/>
  <c r="L274" i="4"/>
  <c r="L270" i="4"/>
  <c r="L266" i="4"/>
  <c r="K264" i="4"/>
  <c r="L256" i="4"/>
  <c r="L492" i="4"/>
  <c r="L382" i="4"/>
  <c r="L376" i="4"/>
  <c r="L359" i="4"/>
  <c r="L354" i="4"/>
  <c r="L321" i="4"/>
  <c r="K313" i="4"/>
  <c r="L293" i="4"/>
  <c r="L280" i="4"/>
  <c r="L278" i="4"/>
  <c r="K274" i="4"/>
  <c r="K270" i="4"/>
  <c r="K266" i="4"/>
  <c r="K256" i="4"/>
  <c r="L253" i="4"/>
  <c r="L249" i="4"/>
  <c r="L245" i="4"/>
  <c r="L241" i="4"/>
  <c r="L237" i="4"/>
  <c r="L233" i="4"/>
  <c r="L229" i="4"/>
  <c r="L225" i="4"/>
  <c r="L221" i="4"/>
  <c r="L217" i="4"/>
  <c r="L213" i="4"/>
  <c r="L209" i="4"/>
  <c r="L205" i="4"/>
  <c r="L201" i="4"/>
  <c r="L197" i="4"/>
  <c r="L193" i="4"/>
  <c r="L189" i="4"/>
  <c r="L185" i="4"/>
  <c r="K491" i="4"/>
  <c r="L395" i="4"/>
  <c r="K382" i="4"/>
  <c r="L370" i="4"/>
  <c r="L344" i="4"/>
  <c r="L333" i="4"/>
  <c r="K321" i="4"/>
  <c r="L318" i="4"/>
  <c r="L340" i="4"/>
  <c r="K333" i="4"/>
  <c r="L326" i="4"/>
  <c r="L323" i="4"/>
  <c r="K318" i="4"/>
  <c r="L310" i="4"/>
  <c r="L295" i="4"/>
  <c r="K282" i="4"/>
  <c r="L262" i="4"/>
  <c r="L339" i="4"/>
  <c r="L320" i="4"/>
  <c r="K293" i="4"/>
  <c r="K249" i="4"/>
  <c r="K241" i="4"/>
  <c r="K233" i="4"/>
  <c r="K225" i="4"/>
  <c r="K217" i="4"/>
  <c r="K209" i="4"/>
  <c r="K201" i="4"/>
  <c r="K193" i="4"/>
  <c r="L181" i="4"/>
  <c r="L177" i="4"/>
  <c r="L173" i="4"/>
  <c r="K165" i="4"/>
  <c r="K162" i="4"/>
  <c r="L159" i="4"/>
  <c r="K146" i="4"/>
  <c r="L143" i="4"/>
  <c r="K130" i="4"/>
  <c r="L127" i="4"/>
  <c r="K114" i="4"/>
  <c r="L111" i="4"/>
  <c r="K101" i="4"/>
  <c r="K97" i="4"/>
  <c r="K93" i="4"/>
  <c r="K89" i="4"/>
  <c r="K85" i="4"/>
  <c r="K81" i="4"/>
  <c r="K77" i="4"/>
  <c r="K73" i="4"/>
  <c r="K69" i="4"/>
  <c r="K65" i="4"/>
  <c r="L368" i="4"/>
  <c r="K339" i="4"/>
  <c r="L297" i="4"/>
  <c r="L284" i="4"/>
  <c r="L257" i="4"/>
  <c r="L246" i="4"/>
  <c r="L238" i="4"/>
  <c r="L230" i="4"/>
  <c r="L222" i="4"/>
  <c r="L214" i="4"/>
  <c r="L206" i="4"/>
  <c r="L198" i="4"/>
  <c r="L190" i="4"/>
  <c r="K185" i="4"/>
  <c r="L183" i="4"/>
  <c r="K181" i="4"/>
  <c r="L179" i="4"/>
  <c r="K177" i="4"/>
  <c r="L175" i="4"/>
  <c r="K173" i="4"/>
  <c r="K168" i="4"/>
  <c r="K159" i="4"/>
  <c r="K156" i="4"/>
  <c r="L153" i="4"/>
  <c r="K143" i="4"/>
  <c r="K140" i="4"/>
  <c r="L137" i="4"/>
  <c r="K127" i="4"/>
  <c r="K124" i="4"/>
  <c r="L121" i="4"/>
  <c r="K111" i="4"/>
  <c r="K108" i="4"/>
  <c r="L105" i="4"/>
  <c r="K297" i="4"/>
  <c r="L260" i="4"/>
  <c r="K257" i="4"/>
  <c r="L254" i="4"/>
  <c r="K246" i="4"/>
  <c r="K238" i="4"/>
  <c r="K230" i="4"/>
  <c r="K222" i="4"/>
  <c r="K214" i="4"/>
  <c r="K206" i="4"/>
  <c r="K198" i="4"/>
  <c r="K190" i="4"/>
  <c r="K183" i="4"/>
  <c r="K179" i="4"/>
  <c r="K175" i="4"/>
  <c r="L171" i="4"/>
  <c r="K153" i="4"/>
  <c r="L150" i="4"/>
  <c r="K137" i="4"/>
  <c r="L134" i="4"/>
  <c r="K121" i="4"/>
  <c r="L118" i="4"/>
  <c r="K105" i="4"/>
  <c r="L102" i="4"/>
  <c r="L98" i="4"/>
  <c r="L94" i="4"/>
  <c r="L90" i="4"/>
  <c r="L86" i="4"/>
  <c r="L82" i="4"/>
  <c r="L78" i="4"/>
  <c r="L74" i="4"/>
  <c r="L70" i="4"/>
  <c r="L66" i="4"/>
  <c r="L62" i="4"/>
  <c r="L58" i="4"/>
  <c r="L54" i="4"/>
  <c r="L50" i="4"/>
  <c r="L46" i="4"/>
  <c r="L42" i="4"/>
  <c r="L302" i="4"/>
  <c r="L279" i="4"/>
  <c r="L251" i="4"/>
  <c r="L243" i="4"/>
  <c r="L235" i="4"/>
  <c r="L227" i="4"/>
  <c r="L219" i="4"/>
  <c r="L211" i="4"/>
  <c r="L203" i="4"/>
  <c r="L195" i="4"/>
  <c r="L187" i="4"/>
  <c r="K171" i="4"/>
  <c r="L166" i="4"/>
  <c r="L163" i="4"/>
  <c r="K150" i="4"/>
  <c r="L147" i="4"/>
  <c r="K134" i="4"/>
  <c r="L131" i="4"/>
  <c r="K118" i="4"/>
  <c r="L115" i="4"/>
  <c r="K102" i="4"/>
  <c r="K98" i="4"/>
  <c r="K94" i="4"/>
  <c r="K90" i="4"/>
  <c r="K86" i="4"/>
  <c r="K82" i="4"/>
  <c r="K78" i="4"/>
  <c r="K74" i="4"/>
  <c r="K70" i="4"/>
  <c r="K66" i="4"/>
  <c r="K393" i="4"/>
  <c r="K315" i="4"/>
  <c r="L283" i="4"/>
  <c r="K251" i="4"/>
  <c r="K243" i="4"/>
  <c r="K235" i="4"/>
  <c r="K227" i="4"/>
  <c r="K219" i="4"/>
  <c r="K211" i="4"/>
  <c r="K203" i="4"/>
  <c r="K195" i="4"/>
  <c r="K187" i="4"/>
  <c r="K166" i="4"/>
  <c r="K163" i="4"/>
  <c r="K160" i="4"/>
  <c r="L157" i="4"/>
  <c r="K147" i="4"/>
  <c r="K144" i="4"/>
  <c r="L141" i="4"/>
  <c r="K131" i="4"/>
  <c r="K128" i="4"/>
  <c r="L125" i="4"/>
  <c r="K115" i="4"/>
  <c r="K112" i="4"/>
  <c r="L109" i="4"/>
  <c r="L357" i="4"/>
  <c r="L332" i="4"/>
  <c r="L296" i="4"/>
  <c r="K283" i="4"/>
  <c r="L169" i="4"/>
  <c r="K157" i="4"/>
  <c r="L154" i="4"/>
  <c r="K141" i="4"/>
  <c r="L138" i="4"/>
  <c r="K125" i="4"/>
  <c r="L122" i="4"/>
  <c r="K109" i="4"/>
  <c r="L106" i="4"/>
  <c r="L99" i="4"/>
  <c r="L95" i="4"/>
  <c r="L91" i="4"/>
  <c r="L87" i="4"/>
  <c r="L83" i="4"/>
  <c r="L79" i="4"/>
  <c r="L75" i="4"/>
  <c r="L71" i="4"/>
  <c r="L67" i="4"/>
  <c r="L63" i="4"/>
  <c r="L59" i="4"/>
  <c r="L55" i="4"/>
  <c r="L51" i="4"/>
  <c r="L47" i="4"/>
  <c r="L43" i="4"/>
  <c r="L300" i="4"/>
  <c r="L291" i="4"/>
  <c r="K278" i="4"/>
  <c r="K253" i="4"/>
  <c r="K245" i="4"/>
  <c r="K237" i="4"/>
  <c r="K229" i="4"/>
  <c r="K221" i="4"/>
  <c r="K213" i="4"/>
  <c r="K205" i="4"/>
  <c r="K197" i="4"/>
  <c r="K189" i="4"/>
  <c r="L182" i="4"/>
  <c r="L178" i="4"/>
  <c r="L174" i="4"/>
  <c r="K169" i="4"/>
  <c r="K154" i="4"/>
  <c r="L151" i="4"/>
  <c r="K138" i="4"/>
  <c r="L135" i="4"/>
  <c r="K122" i="4"/>
  <c r="L119" i="4"/>
  <c r="K106" i="4"/>
  <c r="L103" i="4"/>
  <c r="K99" i="4"/>
  <c r="K95" i="4"/>
  <c r="K91" i="4"/>
  <c r="K87" i="4"/>
  <c r="K83" i="4"/>
  <c r="K79" i="4"/>
  <c r="K75" i="4"/>
  <c r="K71" i="4"/>
  <c r="K67" i="4"/>
  <c r="K439" i="4"/>
  <c r="L352" i="4"/>
  <c r="K286" i="4"/>
  <c r="K262" i="4"/>
  <c r="L250" i="4"/>
  <c r="L242" i="4"/>
  <c r="L234" i="4"/>
  <c r="L226" i="4"/>
  <c r="L218" i="4"/>
  <c r="L210" i="4"/>
  <c r="L202" i="4"/>
  <c r="L194" i="4"/>
  <c r="L186" i="4"/>
  <c r="K182" i="4"/>
  <c r="K178" i="4"/>
  <c r="K174" i="4"/>
  <c r="K164" i="4"/>
  <c r="L161" i="4"/>
  <c r="K151" i="4"/>
  <c r="K148" i="4"/>
  <c r="L145" i="4"/>
  <c r="K135" i="4"/>
  <c r="K132" i="4"/>
  <c r="L129" i="4"/>
  <c r="K119" i="4"/>
  <c r="K116" i="4"/>
  <c r="L113" i="4"/>
  <c r="K103" i="4"/>
  <c r="L347" i="4"/>
  <c r="L277" i="4"/>
  <c r="L273" i="4"/>
  <c r="L269" i="4"/>
  <c r="L265" i="4"/>
  <c r="K250" i="4"/>
  <c r="K242" i="4"/>
  <c r="K234" i="4"/>
  <c r="K226" i="4"/>
  <c r="K218" i="4"/>
  <c r="K210" i="4"/>
  <c r="K202" i="4"/>
  <c r="K194" i="4"/>
  <c r="K186" i="4"/>
  <c r="K172" i="4"/>
  <c r="L167" i="4"/>
  <c r="K161" i="4"/>
  <c r="L158" i="4"/>
  <c r="K145" i="4"/>
  <c r="L142" i="4"/>
  <c r="K129" i="4"/>
  <c r="L126" i="4"/>
  <c r="K113" i="4"/>
  <c r="L110" i="4"/>
  <c r="L100" i="4"/>
  <c r="L96" i="4"/>
  <c r="L92" i="4"/>
  <c r="L88" i="4"/>
  <c r="L84" i="4"/>
  <c r="L80" i="4"/>
  <c r="L76" i="4"/>
  <c r="L72" i="4"/>
  <c r="L68" i="4"/>
  <c r="L64" i="4"/>
  <c r="L60" i="4"/>
  <c r="L56" i="4"/>
  <c r="L52" i="4"/>
  <c r="L48" i="4"/>
  <c r="L44" i="4"/>
  <c r="L40" i="4"/>
  <c r="L325" i="4"/>
  <c r="K299" i="4"/>
  <c r="K290" i="4"/>
  <c r="L247" i="4"/>
  <c r="L239" i="4"/>
  <c r="L231" i="4"/>
  <c r="L223" i="4"/>
  <c r="L215" i="4"/>
  <c r="L207" i="4"/>
  <c r="L199" i="4"/>
  <c r="L191" i="4"/>
  <c r="L170" i="4"/>
  <c r="K167" i="4"/>
  <c r="K158" i="4"/>
  <c r="L155" i="4"/>
  <c r="K142" i="4"/>
  <c r="L139" i="4"/>
  <c r="K126" i="4"/>
  <c r="L123" i="4"/>
  <c r="K110" i="4"/>
  <c r="L107" i="4"/>
  <c r="K100" i="4"/>
  <c r="K96" i="4"/>
  <c r="K92" i="4"/>
  <c r="K88" i="4"/>
  <c r="K84" i="4"/>
  <c r="K80" i="4"/>
  <c r="K76" i="4"/>
  <c r="K72" i="4"/>
  <c r="K68" i="4"/>
  <c r="K40" i="4"/>
  <c r="K374" i="4"/>
  <c r="K323" i="4"/>
  <c r="L281" i="4"/>
  <c r="K247" i="4"/>
  <c r="K239" i="4"/>
  <c r="K231" i="4"/>
  <c r="K223" i="4"/>
  <c r="K215" i="4"/>
  <c r="K207" i="4"/>
  <c r="K199" i="4"/>
  <c r="K191" i="4"/>
  <c r="K170" i="4"/>
  <c r="K155" i="4"/>
  <c r="K152" i="4"/>
  <c r="L149" i="4"/>
  <c r="K139" i="4"/>
  <c r="K136" i="4"/>
  <c r="L133" i="4"/>
  <c r="K123" i="4"/>
  <c r="K120" i="4"/>
  <c r="L117" i="4"/>
  <c r="K107" i="4"/>
  <c r="K104" i="4"/>
  <c r="L101" i="4"/>
  <c r="L85" i="4"/>
  <c r="L69" i="4"/>
  <c r="L53" i="4"/>
  <c r="K117" i="4"/>
  <c r="L258" i="4"/>
  <c r="K133" i="4"/>
  <c r="L255" i="4"/>
  <c r="K149" i="4"/>
  <c r="L114" i="4"/>
  <c r="L97" i="4"/>
  <c r="L81" i="4"/>
  <c r="L65" i="4"/>
  <c r="L49" i="4"/>
  <c r="L165" i="4"/>
  <c r="L130" i="4"/>
  <c r="L294" i="4"/>
  <c r="L146" i="4"/>
  <c r="L162" i="4"/>
  <c r="L93" i="4"/>
  <c r="L77" i="4"/>
  <c r="L61" i="4"/>
  <c r="L45" i="4"/>
  <c r="K281" i="4"/>
  <c r="L89" i="4"/>
  <c r="L73" i="4"/>
  <c r="L57" i="4"/>
  <c r="L41" i="4"/>
  <c r="G44" i="4"/>
  <c r="J43" i="4"/>
  <c r="G45" i="4" l="1"/>
  <c r="J44" i="4"/>
  <c r="E41" i="4"/>
  <c r="B20" i="1"/>
  <c r="B12" i="4"/>
  <c r="B19" i="1"/>
  <c r="B21" i="1" l="1"/>
  <c r="B13" i="4"/>
  <c r="E42" i="4"/>
  <c r="K41" i="4"/>
  <c r="J45" i="4"/>
  <c r="G46" i="4"/>
  <c r="J46" i="4" l="1"/>
  <c r="G47" i="4"/>
  <c r="E43" i="4"/>
  <c r="K42" i="4"/>
  <c r="E44" i="4" l="1"/>
  <c r="K43" i="4"/>
  <c r="G48" i="4"/>
  <c r="J47" i="4"/>
  <c r="E45" i="4" l="1"/>
  <c r="K44" i="4"/>
  <c r="G49" i="4"/>
  <c r="J48" i="4"/>
  <c r="J49" i="4" l="1"/>
  <c r="G50" i="4"/>
  <c r="E46" i="4"/>
  <c r="K45" i="4"/>
  <c r="E47" i="4" l="1"/>
  <c r="K46" i="4"/>
  <c r="J50" i="4"/>
  <c r="G51" i="4"/>
  <c r="G52" i="4" l="1"/>
  <c r="J51" i="4"/>
  <c r="E48" i="4"/>
  <c r="K47" i="4"/>
  <c r="E49" i="4" l="1"/>
  <c r="K48" i="4"/>
  <c r="G53" i="4"/>
  <c r="J52" i="4"/>
  <c r="J53" i="4" l="1"/>
  <c r="G54" i="4"/>
  <c r="E50" i="4"/>
  <c r="K49" i="4"/>
  <c r="E51" i="4" l="1"/>
  <c r="K50" i="4"/>
  <c r="J54" i="4"/>
  <c r="G55" i="4"/>
  <c r="G56" i="4" l="1"/>
  <c r="J55" i="4"/>
  <c r="E52" i="4"/>
  <c r="K51" i="4"/>
  <c r="G57" i="4" l="1"/>
  <c r="J56" i="4"/>
  <c r="E53" i="4"/>
  <c r="K52" i="4"/>
  <c r="E54" i="4" l="1"/>
  <c r="K53" i="4"/>
  <c r="J57" i="4"/>
  <c r="G58" i="4"/>
  <c r="J58" i="4" l="1"/>
  <c r="G59" i="4"/>
  <c r="E55" i="4"/>
  <c r="K54" i="4"/>
  <c r="E56" i="4" l="1"/>
  <c r="K55" i="4"/>
  <c r="G60" i="4"/>
  <c r="J59" i="4"/>
  <c r="G61" i="4" l="1"/>
  <c r="J60" i="4"/>
  <c r="E57" i="4"/>
  <c r="K56" i="4"/>
  <c r="E58" i="4" l="1"/>
  <c r="K57" i="4"/>
  <c r="J61" i="4"/>
  <c r="G62" i="4"/>
  <c r="J62" i="4" l="1"/>
  <c r="G63" i="4"/>
  <c r="E59" i="4"/>
  <c r="K58" i="4"/>
  <c r="E60" i="4" l="1"/>
  <c r="K59" i="4"/>
  <c r="G64" i="4"/>
  <c r="J63" i="4"/>
  <c r="G65" i="4" l="1"/>
  <c r="J64" i="4"/>
  <c r="E61" i="4"/>
  <c r="K60" i="4"/>
  <c r="J65" i="4" l="1"/>
  <c r="G66" i="4"/>
  <c r="E62" i="4"/>
  <c r="K61" i="4"/>
  <c r="E63" i="4" l="1"/>
  <c r="K62" i="4"/>
  <c r="J66" i="4"/>
  <c r="G67" i="4"/>
  <c r="G68" i="4" l="1"/>
  <c r="J67" i="4"/>
  <c r="E64" i="4"/>
  <c r="K64" i="4" s="1"/>
  <c r="K63" i="4"/>
  <c r="G69" i="4" l="1"/>
  <c r="J68" i="4"/>
  <c r="J69" i="4" l="1"/>
  <c r="G70" i="4"/>
  <c r="J70" i="4" l="1"/>
  <c r="G71" i="4"/>
  <c r="G72" i="4" l="1"/>
  <c r="J71" i="4"/>
  <c r="G73" i="4" l="1"/>
  <c r="J72" i="4"/>
  <c r="J73" i="4" l="1"/>
  <c r="G74" i="4"/>
  <c r="J74" i="4" l="1"/>
  <c r="G75" i="4"/>
  <c r="G76" i="4" l="1"/>
  <c r="J75" i="4"/>
  <c r="G77" i="4" l="1"/>
  <c r="J76" i="4"/>
  <c r="J77" i="4" l="1"/>
  <c r="G78" i="4"/>
  <c r="J78" i="4" l="1"/>
  <c r="G79" i="4"/>
  <c r="G80" i="4" l="1"/>
  <c r="J79" i="4"/>
  <c r="G81" i="4" l="1"/>
  <c r="J80" i="4"/>
  <c r="J81" i="4" l="1"/>
  <c r="G82" i="4"/>
  <c r="J82" i="4" l="1"/>
  <c r="G83" i="4"/>
  <c r="G84" i="4" l="1"/>
  <c r="J83" i="4"/>
  <c r="G85" i="4" l="1"/>
  <c r="J84" i="4"/>
  <c r="J85" i="4" l="1"/>
  <c r="G86" i="4"/>
  <c r="J86" i="4" l="1"/>
  <c r="G87" i="4"/>
  <c r="G88" i="4" l="1"/>
  <c r="J87" i="4"/>
  <c r="G89" i="4" l="1"/>
  <c r="J88" i="4"/>
  <c r="J89" i="4" l="1"/>
  <c r="G90" i="4"/>
  <c r="J90" i="4" l="1"/>
  <c r="G91" i="4"/>
  <c r="G92" i="4" l="1"/>
  <c r="J91" i="4"/>
  <c r="G93" i="4" l="1"/>
  <c r="J92" i="4"/>
  <c r="J93" i="4" l="1"/>
  <c r="G94" i="4"/>
  <c r="J94" i="4" l="1"/>
  <c r="G95" i="4"/>
  <c r="G96" i="4" l="1"/>
  <c r="J95" i="4"/>
  <c r="G97" i="4" l="1"/>
  <c r="J96" i="4"/>
  <c r="J97" i="4" l="1"/>
  <c r="G98" i="4"/>
  <c r="J98" i="4" l="1"/>
  <c r="G99" i="4"/>
  <c r="G100" i="4" l="1"/>
  <c r="J99" i="4"/>
  <c r="G101" i="4" l="1"/>
  <c r="J100" i="4"/>
  <c r="J101" i="4" l="1"/>
  <c r="G102" i="4"/>
  <c r="J102" i="4" l="1"/>
  <c r="G103" i="4"/>
  <c r="G104" i="4" l="1"/>
  <c r="J103" i="4"/>
  <c r="G105" i="4" l="1"/>
  <c r="J104" i="4"/>
  <c r="J105" i="4" l="1"/>
  <c r="G106" i="4"/>
  <c r="G107" i="4" l="1"/>
  <c r="J106" i="4"/>
  <c r="G108" i="4" l="1"/>
  <c r="J107" i="4"/>
  <c r="J108" i="4" l="1"/>
  <c r="G109" i="4"/>
  <c r="G110" i="4" l="1"/>
  <c r="J109" i="4"/>
  <c r="G111" i="4" l="1"/>
  <c r="J110" i="4"/>
  <c r="J111" i="4" l="1"/>
  <c r="G112" i="4"/>
  <c r="J112" i="4" l="1"/>
  <c r="G113" i="4"/>
  <c r="G114" i="4" l="1"/>
  <c r="J113" i="4"/>
  <c r="J114" i="4" l="1"/>
  <c r="G115" i="4"/>
  <c r="J115" i="4" l="1"/>
  <c r="G116" i="4"/>
  <c r="G117" i="4" l="1"/>
  <c r="J116" i="4"/>
  <c r="J117" i="4" l="1"/>
  <c r="G118" i="4"/>
  <c r="J118" i="4" l="1"/>
  <c r="G119" i="4"/>
  <c r="G120" i="4" l="1"/>
  <c r="J119" i="4"/>
  <c r="G121" i="4" l="1"/>
  <c r="J120" i="4"/>
  <c r="J121" i="4" l="1"/>
  <c r="G122" i="4"/>
  <c r="G123" i="4" l="1"/>
  <c r="J122" i="4"/>
  <c r="G124" i="4" l="1"/>
  <c r="J123" i="4"/>
  <c r="J124" i="4" l="1"/>
  <c r="G125" i="4"/>
  <c r="G126" i="4" l="1"/>
  <c r="J125" i="4"/>
  <c r="G127" i="4" l="1"/>
  <c r="J126" i="4"/>
  <c r="J127" i="4" l="1"/>
  <c r="G128" i="4"/>
  <c r="J128" i="4" l="1"/>
  <c r="G129" i="4"/>
  <c r="G130" i="4" l="1"/>
  <c r="J129" i="4"/>
  <c r="J130" i="4" l="1"/>
  <c r="G131" i="4"/>
  <c r="J131" i="4" l="1"/>
  <c r="G132" i="4"/>
  <c r="G133" i="4" l="1"/>
  <c r="J132" i="4"/>
  <c r="J133" i="4" l="1"/>
  <c r="G134" i="4"/>
  <c r="J134" i="4" l="1"/>
  <c r="G135" i="4"/>
  <c r="G136" i="4" l="1"/>
  <c r="J135" i="4"/>
  <c r="G137" i="4" l="1"/>
  <c r="J136" i="4"/>
  <c r="J137" i="4" l="1"/>
  <c r="G138" i="4"/>
  <c r="G139" i="4" l="1"/>
  <c r="J138" i="4"/>
  <c r="G140" i="4" l="1"/>
  <c r="J139" i="4"/>
  <c r="J140" i="4" l="1"/>
  <c r="G141" i="4"/>
  <c r="G142" i="4" l="1"/>
  <c r="J141" i="4"/>
  <c r="G143" i="4" l="1"/>
  <c r="J142" i="4"/>
  <c r="J143" i="4" l="1"/>
  <c r="G144" i="4"/>
  <c r="J144" i="4" l="1"/>
  <c r="G145" i="4"/>
  <c r="G146" i="4" l="1"/>
  <c r="J145" i="4"/>
  <c r="J146" i="4" l="1"/>
  <c r="G147" i="4"/>
  <c r="J147" i="4" l="1"/>
  <c r="G148" i="4"/>
  <c r="G149" i="4" l="1"/>
  <c r="J148" i="4"/>
  <c r="J149" i="4" l="1"/>
  <c r="G150" i="4"/>
  <c r="J150" i="4" l="1"/>
  <c r="G151" i="4"/>
  <c r="G152" i="4" l="1"/>
  <c r="J151" i="4"/>
  <c r="G153" i="4" l="1"/>
  <c r="J152" i="4"/>
  <c r="J153" i="4" l="1"/>
  <c r="G154" i="4"/>
  <c r="G155" i="4" l="1"/>
  <c r="J154" i="4"/>
  <c r="G156" i="4" l="1"/>
  <c r="J155" i="4"/>
  <c r="J156" i="4" l="1"/>
  <c r="G157" i="4"/>
  <c r="G158" i="4" l="1"/>
  <c r="J157" i="4"/>
  <c r="G159" i="4" l="1"/>
  <c r="J158" i="4"/>
  <c r="J159" i="4" l="1"/>
  <c r="G160" i="4"/>
  <c r="J160" i="4" l="1"/>
  <c r="G161" i="4"/>
  <c r="G162" i="4" l="1"/>
  <c r="J161" i="4"/>
  <c r="J162" i="4" l="1"/>
  <c r="G163" i="4"/>
  <c r="J163" i="4" l="1"/>
  <c r="G164" i="4"/>
  <c r="G165" i="4" l="1"/>
  <c r="J164" i="4"/>
  <c r="J165" i="4" l="1"/>
  <c r="G166" i="4"/>
  <c r="J166" i="4" l="1"/>
  <c r="G167" i="4"/>
  <c r="G168" i="4" l="1"/>
  <c r="J167" i="4"/>
  <c r="J168" i="4" l="1"/>
  <c r="G169" i="4"/>
  <c r="J169" i="4" l="1"/>
  <c r="G170" i="4"/>
  <c r="G171" i="4" l="1"/>
  <c r="J170" i="4"/>
  <c r="J171" i="4" l="1"/>
  <c r="G172" i="4"/>
  <c r="J172" i="4" l="1"/>
  <c r="G173" i="4"/>
  <c r="J173" i="4" l="1"/>
  <c r="G174" i="4"/>
  <c r="G175" i="4" l="1"/>
  <c r="J174" i="4"/>
  <c r="J175" i="4" l="1"/>
  <c r="G176" i="4"/>
  <c r="J176" i="4" l="1"/>
  <c r="G177" i="4"/>
  <c r="J177" i="4" l="1"/>
  <c r="G178" i="4"/>
  <c r="G179" i="4" l="1"/>
  <c r="J178" i="4"/>
  <c r="J179" i="4" l="1"/>
  <c r="G180" i="4"/>
  <c r="J180" i="4" l="1"/>
  <c r="G181" i="4"/>
  <c r="J181" i="4" l="1"/>
  <c r="G182" i="4"/>
  <c r="G183" i="4" l="1"/>
  <c r="J182" i="4"/>
  <c r="J183" i="4" l="1"/>
  <c r="G184" i="4"/>
  <c r="J184" i="4" l="1"/>
  <c r="G185" i="4"/>
  <c r="J185" i="4" l="1"/>
  <c r="G186" i="4"/>
  <c r="G187" i="4" l="1"/>
  <c r="J186" i="4"/>
  <c r="G188" i="4" l="1"/>
  <c r="J187" i="4"/>
  <c r="J188" i="4" l="1"/>
  <c r="G189" i="4"/>
  <c r="J189" i="4" l="1"/>
  <c r="G190" i="4"/>
  <c r="J190" i="4" l="1"/>
  <c r="G191" i="4"/>
  <c r="G192" i="4" l="1"/>
  <c r="J191" i="4"/>
  <c r="J192" i="4" l="1"/>
  <c r="G193" i="4"/>
  <c r="J193" i="4" l="1"/>
  <c r="G194" i="4"/>
  <c r="J194" i="4" l="1"/>
  <c r="G195" i="4"/>
  <c r="G196" i="4" l="1"/>
  <c r="J195" i="4"/>
  <c r="J196" i="4" l="1"/>
  <c r="G197" i="4"/>
  <c r="J197" i="4" l="1"/>
  <c r="G198" i="4"/>
  <c r="J198" i="4" l="1"/>
  <c r="G199" i="4"/>
  <c r="G200" i="4" l="1"/>
  <c r="J199" i="4"/>
  <c r="J200" i="4" l="1"/>
  <c r="G201" i="4"/>
  <c r="J201" i="4" l="1"/>
  <c r="G202" i="4"/>
  <c r="J202" i="4" l="1"/>
  <c r="G203" i="4"/>
  <c r="G204" i="4" l="1"/>
  <c r="J203" i="4"/>
  <c r="J204" i="4" l="1"/>
  <c r="G205" i="4"/>
  <c r="J205" i="4" l="1"/>
  <c r="G206" i="4"/>
  <c r="J206" i="4" l="1"/>
  <c r="G207" i="4"/>
  <c r="G208" i="4" l="1"/>
  <c r="J207" i="4"/>
  <c r="J208" i="4" l="1"/>
  <c r="G209" i="4"/>
  <c r="J209" i="4" l="1"/>
  <c r="G210" i="4"/>
  <c r="J210" i="4" l="1"/>
  <c r="G211" i="4"/>
  <c r="G212" i="4" l="1"/>
  <c r="J211" i="4"/>
  <c r="J212" i="4" l="1"/>
  <c r="G213" i="4"/>
  <c r="J213" i="4" l="1"/>
  <c r="G214" i="4"/>
  <c r="J214" i="4" l="1"/>
  <c r="G215" i="4"/>
  <c r="G216" i="4" l="1"/>
  <c r="J215" i="4"/>
  <c r="J216" i="4" l="1"/>
  <c r="G217" i="4"/>
  <c r="J217" i="4" l="1"/>
  <c r="G218" i="4"/>
  <c r="J218" i="4" l="1"/>
  <c r="G219" i="4"/>
  <c r="G220" i="4" l="1"/>
  <c r="J219" i="4"/>
  <c r="J220" i="4" l="1"/>
  <c r="G221" i="4"/>
  <c r="J221" i="4" l="1"/>
  <c r="G222" i="4"/>
  <c r="J222" i="4" l="1"/>
  <c r="G223" i="4"/>
  <c r="G224" i="4" l="1"/>
  <c r="J223" i="4"/>
  <c r="J224" i="4" l="1"/>
  <c r="G225" i="4"/>
  <c r="J225" i="4" l="1"/>
  <c r="G226" i="4"/>
  <c r="J226" i="4" l="1"/>
  <c r="G227" i="4"/>
  <c r="G228" i="4" l="1"/>
  <c r="J227" i="4"/>
  <c r="J228" i="4" l="1"/>
  <c r="G229" i="4"/>
  <c r="J229" i="4" l="1"/>
  <c r="G230" i="4"/>
  <c r="J230" i="4" l="1"/>
  <c r="G231" i="4"/>
  <c r="G232" i="4" l="1"/>
  <c r="J231" i="4"/>
  <c r="J232" i="4" l="1"/>
  <c r="G233" i="4"/>
  <c r="J233" i="4" l="1"/>
  <c r="G234" i="4"/>
  <c r="J234" i="4" l="1"/>
  <c r="G235" i="4"/>
  <c r="G236" i="4" l="1"/>
  <c r="J235" i="4"/>
  <c r="J236" i="4" l="1"/>
  <c r="G237" i="4"/>
  <c r="J237" i="4" l="1"/>
  <c r="G238" i="4"/>
  <c r="J238" i="4" l="1"/>
  <c r="G239" i="4"/>
  <c r="G240" i="4" l="1"/>
  <c r="J239" i="4"/>
  <c r="J240" i="4" l="1"/>
  <c r="G241" i="4"/>
  <c r="J241" i="4" l="1"/>
  <c r="G242" i="4"/>
  <c r="J242" i="4" l="1"/>
  <c r="G243" i="4"/>
  <c r="G244" i="4" l="1"/>
  <c r="J243" i="4"/>
  <c r="J244" i="4" l="1"/>
  <c r="G245" i="4"/>
  <c r="J245" i="4" l="1"/>
  <c r="G246" i="4"/>
  <c r="J246" i="4" l="1"/>
  <c r="G247" i="4"/>
  <c r="G248" i="4" l="1"/>
  <c r="J247" i="4"/>
  <c r="J248" i="4" l="1"/>
  <c r="G249" i="4"/>
  <c r="J249" i="4" l="1"/>
  <c r="G250" i="4"/>
  <c r="J250" i="4" l="1"/>
  <c r="G251" i="4"/>
  <c r="G252" i="4" l="1"/>
  <c r="J251" i="4"/>
  <c r="J252" i="4" l="1"/>
  <c r="G253" i="4"/>
  <c r="G254" i="4" l="1"/>
  <c r="J253" i="4"/>
  <c r="G255" i="4" l="1"/>
  <c r="J254" i="4"/>
  <c r="J255" i="4" l="1"/>
  <c r="G256" i="4"/>
  <c r="G257" i="4" l="1"/>
  <c r="J256" i="4"/>
  <c r="G258" i="4" l="1"/>
  <c r="J257" i="4"/>
  <c r="J258" i="4" l="1"/>
  <c r="G259" i="4"/>
  <c r="G260" i="4" l="1"/>
  <c r="J259" i="4"/>
  <c r="G261" i="4" l="1"/>
  <c r="J260" i="4"/>
  <c r="G262" i="4" l="1"/>
  <c r="J261" i="4"/>
  <c r="G263" i="4" l="1"/>
  <c r="J262" i="4"/>
  <c r="G264" i="4" l="1"/>
  <c r="J263" i="4"/>
  <c r="J264" i="4" l="1"/>
  <c r="G265" i="4"/>
  <c r="G266" i="4" l="1"/>
  <c r="J265" i="4"/>
  <c r="G267" i="4" l="1"/>
  <c r="J266" i="4"/>
  <c r="G268" i="4" l="1"/>
  <c r="J267" i="4"/>
  <c r="J268" i="4" l="1"/>
  <c r="G269" i="4"/>
  <c r="G270" i="4" l="1"/>
  <c r="J269" i="4"/>
  <c r="G271" i="4" l="1"/>
  <c r="J270" i="4"/>
  <c r="G272" i="4" l="1"/>
  <c r="J271" i="4"/>
  <c r="J272" i="4" l="1"/>
  <c r="G273" i="4"/>
  <c r="G274" i="4" l="1"/>
  <c r="J273" i="4"/>
  <c r="G275" i="4" l="1"/>
  <c r="J274" i="4"/>
  <c r="G276" i="4" l="1"/>
  <c r="J275" i="4"/>
  <c r="J276" i="4" l="1"/>
  <c r="G277" i="4"/>
  <c r="G278" i="4" l="1"/>
  <c r="J277" i="4"/>
  <c r="G279" i="4" l="1"/>
  <c r="J278" i="4"/>
  <c r="J279" i="4" l="1"/>
  <c r="G280" i="4"/>
  <c r="G281" i="4" l="1"/>
  <c r="J280" i="4"/>
  <c r="J281" i="4" l="1"/>
  <c r="G282" i="4"/>
  <c r="G283" i="4" l="1"/>
  <c r="J282" i="4"/>
  <c r="G284" i="4" l="1"/>
  <c r="J283" i="4"/>
  <c r="G285" i="4" l="1"/>
  <c r="J284" i="4"/>
  <c r="J285" i="4" l="1"/>
  <c r="G286" i="4"/>
  <c r="G287" i="4" l="1"/>
  <c r="J286" i="4"/>
  <c r="G288" i="4" l="1"/>
  <c r="J287" i="4"/>
  <c r="J288" i="4" l="1"/>
  <c r="G289" i="4"/>
  <c r="G290" i="4" l="1"/>
  <c r="J289" i="4"/>
  <c r="G291" i="4" l="1"/>
  <c r="J290" i="4"/>
  <c r="J291" i="4" l="1"/>
  <c r="G292" i="4"/>
  <c r="J292" i="4" l="1"/>
  <c r="G293" i="4"/>
  <c r="G294" i="4" l="1"/>
  <c r="J293" i="4"/>
  <c r="G295" i="4" l="1"/>
  <c r="J294" i="4"/>
  <c r="J295" i="4" l="1"/>
  <c r="G296" i="4"/>
  <c r="G297" i="4" l="1"/>
  <c r="J296" i="4"/>
  <c r="J297" i="4" l="1"/>
  <c r="G298" i="4"/>
  <c r="G299" i="4" l="1"/>
  <c r="J298" i="4"/>
  <c r="G300" i="4" l="1"/>
  <c r="J299" i="4"/>
  <c r="J300" i="4" l="1"/>
  <c r="G301" i="4"/>
  <c r="G302" i="4" l="1"/>
  <c r="J301" i="4"/>
  <c r="G303" i="4" l="1"/>
  <c r="J302" i="4"/>
  <c r="J303" i="4" l="1"/>
  <c r="G304" i="4"/>
  <c r="G305" i="4" l="1"/>
  <c r="J304" i="4"/>
  <c r="G306" i="4" l="1"/>
  <c r="J305" i="4"/>
  <c r="G307" i="4" l="1"/>
  <c r="J306" i="4"/>
  <c r="J307" i="4" l="1"/>
  <c r="G308" i="4"/>
  <c r="G309" i="4" l="1"/>
  <c r="J308" i="4"/>
  <c r="J309" i="4" l="1"/>
  <c r="G310" i="4"/>
  <c r="G311" i="4" l="1"/>
  <c r="J310" i="4"/>
  <c r="G312" i="4" l="1"/>
  <c r="J311" i="4"/>
  <c r="J312" i="4" l="1"/>
  <c r="G313" i="4"/>
  <c r="J313" i="4" l="1"/>
  <c r="G314" i="4"/>
  <c r="G315" i="4" l="1"/>
  <c r="J314" i="4"/>
  <c r="G316" i="4" l="1"/>
  <c r="J315" i="4"/>
  <c r="G317" i="4" l="1"/>
  <c r="J316" i="4"/>
  <c r="G318" i="4" l="1"/>
  <c r="J317" i="4"/>
  <c r="G319" i="4" l="1"/>
  <c r="J318" i="4"/>
  <c r="J319" i="4" l="1"/>
  <c r="G320" i="4"/>
  <c r="G321" i="4" l="1"/>
  <c r="J320" i="4"/>
  <c r="J321" i="4" l="1"/>
  <c r="G322" i="4"/>
  <c r="G323" i="4" l="1"/>
  <c r="J322" i="4"/>
  <c r="G324" i="4" l="1"/>
  <c r="J323" i="4"/>
  <c r="G325" i="4" l="1"/>
  <c r="J324" i="4"/>
  <c r="J325" i="4" l="1"/>
  <c r="G326" i="4"/>
  <c r="G327" i="4" l="1"/>
  <c r="J326" i="4"/>
  <c r="G328" i="4" l="1"/>
  <c r="J327" i="4"/>
  <c r="J328" i="4" l="1"/>
  <c r="G329" i="4"/>
  <c r="J329" i="4" l="1"/>
  <c r="G330" i="4"/>
  <c r="G331" i="4" l="1"/>
  <c r="J330" i="4"/>
  <c r="J331" i="4" l="1"/>
  <c r="G332" i="4"/>
  <c r="J332" i="4" l="1"/>
  <c r="G333" i="4"/>
  <c r="G334" i="4" l="1"/>
  <c r="J333" i="4"/>
  <c r="G335" i="4" l="1"/>
  <c r="J334" i="4"/>
  <c r="J335" i="4" l="1"/>
  <c r="G336" i="4"/>
  <c r="J336" i="4" l="1"/>
  <c r="G337" i="4"/>
  <c r="G338" i="4" l="1"/>
  <c r="J337" i="4"/>
  <c r="G339" i="4" l="1"/>
  <c r="J338" i="4"/>
  <c r="J339" i="4" l="1"/>
  <c r="G340" i="4"/>
  <c r="J340" i="4" l="1"/>
  <c r="G341" i="4"/>
  <c r="J341" i="4" l="1"/>
  <c r="G342" i="4"/>
  <c r="G343" i="4" l="1"/>
  <c r="J342" i="4"/>
  <c r="G344" i="4" l="1"/>
  <c r="J343" i="4"/>
  <c r="G345" i="4" l="1"/>
  <c r="J344" i="4"/>
  <c r="G346" i="4" l="1"/>
  <c r="J345" i="4"/>
  <c r="G347" i="4" l="1"/>
  <c r="J346" i="4"/>
  <c r="G348" i="4" l="1"/>
  <c r="J347" i="4"/>
  <c r="J348" i="4" l="1"/>
  <c r="G349" i="4"/>
  <c r="G350" i="4" l="1"/>
  <c r="J349" i="4"/>
  <c r="G351" i="4" l="1"/>
  <c r="J350" i="4"/>
  <c r="G352" i="4" l="1"/>
  <c r="J351" i="4"/>
  <c r="J352" i="4" l="1"/>
  <c r="G353" i="4"/>
  <c r="J353" i="4" l="1"/>
  <c r="G354" i="4"/>
  <c r="G355" i="4" l="1"/>
  <c r="J354" i="4"/>
  <c r="J355" i="4" l="1"/>
  <c r="G356" i="4"/>
  <c r="J356" i="4" l="1"/>
  <c r="G357" i="4"/>
  <c r="J357" i="4" l="1"/>
  <c r="G358" i="4"/>
  <c r="G359" i="4" l="1"/>
  <c r="J358" i="4"/>
  <c r="G360" i="4" l="1"/>
  <c r="J359" i="4"/>
  <c r="G361" i="4" l="1"/>
  <c r="J360" i="4"/>
  <c r="G362" i="4" l="1"/>
  <c r="J361" i="4"/>
  <c r="G363" i="4" l="1"/>
  <c r="J362" i="4"/>
  <c r="G364" i="4" l="1"/>
  <c r="J363" i="4"/>
  <c r="G365" i="4" l="1"/>
  <c r="J364" i="4"/>
  <c r="G366" i="4" l="1"/>
  <c r="J365" i="4"/>
  <c r="G367" i="4" l="1"/>
  <c r="J366" i="4"/>
  <c r="G368" i="4" l="1"/>
  <c r="J367" i="4"/>
  <c r="J368" i="4" l="1"/>
  <c r="G369" i="4"/>
  <c r="J369" i="4" l="1"/>
  <c r="G370" i="4"/>
  <c r="G371" i="4" l="1"/>
  <c r="J370" i="4"/>
  <c r="J371" i="4" l="1"/>
  <c r="G372" i="4"/>
  <c r="J372" i="4" l="1"/>
  <c r="G373" i="4"/>
  <c r="J373" i="4" l="1"/>
  <c r="G374" i="4"/>
  <c r="G375" i="4" l="1"/>
  <c r="J374" i="4"/>
  <c r="G376" i="4" l="1"/>
  <c r="J375" i="4"/>
  <c r="G377" i="4" l="1"/>
  <c r="J376" i="4"/>
  <c r="J377" i="4" l="1"/>
  <c r="G378" i="4"/>
  <c r="G379" i="4" l="1"/>
  <c r="J378" i="4"/>
  <c r="G380" i="4" l="1"/>
  <c r="J379" i="4"/>
  <c r="G381" i="4" l="1"/>
  <c r="J380" i="4"/>
  <c r="G382" i="4" l="1"/>
  <c r="J381" i="4"/>
  <c r="G383" i="4" l="1"/>
  <c r="J382" i="4"/>
  <c r="G384" i="4" l="1"/>
  <c r="J383" i="4"/>
  <c r="J384" i="4" l="1"/>
  <c r="G385" i="4"/>
  <c r="G386" i="4" l="1"/>
  <c r="J385" i="4"/>
  <c r="G387" i="4" l="1"/>
  <c r="J386" i="4"/>
  <c r="J387" i="4" l="1"/>
  <c r="G388" i="4"/>
  <c r="J388" i="4" l="1"/>
  <c r="G389" i="4"/>
  <c r="J389" i="4" l="1"/>
  <c r="G390" i="4"/>
  <c r="G391" i="4" l="1"/>
  <c r="J390" i="4"/>
  <c r="G392" i="4" l="1"/>
  <c r="J391" i="4"/>
  <c r="G393" i="4" l="1"/>
  <c r="J392" i="4"/>
  <c r="G394" i="4" l="1"/>
  <c r="J393" i="4"/>
  <c r="G395" i="4" l="1"/>
  <c r="J394" i="4"/>
  <c r="G396" i="4" l="1"/>
  <c r="J395" i="4"/>
  <c r="G397" i="4" l="1"/>
  <c r="J396" i="4"/>
  <c r="G398" i="4" l="1"/>
  <c r="J397" i="4"/>
  <c r="G399" i="4" l="1"/>
  <c r="J398" i="4"/>
  <c r="J399" i="4" l="1"/>
  <c r="G400" i="4"/>
  <c r="G401" i="4" l="1"/>
  <c r="J400" i="4"/>
  <c r="G402" i="4" l="1"/>
  <c r="J401" i="4"/>
  <c r="G403" i="4" l="1"/>
  <c r="J402" i="4"/>
  <c r="G404" i="4" l="1"/>
  <c r="J403" i="4"/>
  <c r="G405" i="4" l="1"/>
  <c r="J404" i="4"/>
  <c r="J405" i="4" l="1"/>
  <c r="G406" i="4"/>
  <c r="G407" i="4" l="1"/>
  <c r="J406" i="4"/>
  <c r="J407" i="4" l="1"/>
  <c r="G408" i="4"/>
  <c r="G409" i="4" l="1"/>
  <c r="J408" i="4"/>
  <c r="J409" i="4" l="1"/>
  <c r="G410" i="4"/>
  <c r="G411" i="4" l="1"/>
  <c r="J410" i="4"/>
  <c r="G412" i="4" l="1"/>
  <c r="J411" i="4"/>
  <c r="G413" i="4" l="1"/>
  <c r="J412" i="4"/>
  <c r="J413" i="4" l="1"/>
  <c r="G414" i="4"/>
  <c r="G415" i="4" l="1"/>
  <c r="J414" i="4"/>
  <c r="J415" i="4" l="1"/>
  <c r="G416" i="4"/>
  <c r="G417" i="4" l="1"/>
  <c r="J416" i="4"/>
  <c r="G418" i="4" l="1"/>
  <c r="J417" i="4"/>
  <c r="G419" i="4" l="1"/>
  <c r="J418" i="4"/>
  <c r="J419" i="4" l="1"/>
  <c r="G420" i="4"/>
  <c r="G421" i="4" l="1"/>
  <c r="J420" i="4"/>
  <c r="G422" i="4" l="1"/>
  <c r="J421" i="4"/>
  <c r="G423" i="4" l="1"/>
  <c r="J422" i="4"/>
  <c r="J423" i="4" l="1"/>
  <c r="G424" i="4"/>
  <c r="G425" i="4" l="1"/>
  <c r="J424" i="4"/>
  <c r="G426" i="4" l="1"/>
  <c r="J425" i="4"/>
  <c r="G427" i="4" l="1"/>
  <c r="J426" i="4"/>
  <c r="J427" i="4" l="1"/>
  <c r="G428" i="4"/>
  <c r="J428" i="4" l="1"/>
  <c r="G429" i="4"/>
  <c r="J429" i="4" l="1"/>
  <c r="G430" i="4"/>
  <c r="G431" i="4" l="1"/>
  <c r="J430" i="4"/>
  <c r="G432" i="4" l="1"/>
  <c r="J431" i="4"/>
  <c r="G433" i="4" l="1"/>
  <c r="J432" i="4"/>
  <c r="G434" i="4" l="1"/>
  <c r="J433" i="4"/>
  <c r="J434" i="4" l="1"/>
  <c r="G435" i="4"/>
  <c r="J435" i="4" l="1"/>
  <c r="G436" i="4"/>
  <c r="J436" i="4" l="1"/>
  <c r="G437" i="4"/>
  <c r="J437" i="4" l="1"/>
  <c r="G438" i="4"/>
  <c r="G439" i="4" l="1"/>
  <c r="J438" i="4"/>
  <c r="G440" i="4" l="1"/>
  <c r="J439" i="4"/>
  <c r="G441" i="4" l="1"/>
  <c r="J440" i="4"/>
  <c r="G442" i="4" l="1"/>
  <c r="J441" i="4"/>
  <c r="G443" i="4" l="1"/>
  <c r="J442" i="4"/>
  <c r="G444" i="4" l="1"/>
  <c r="J443" i="4"/>
  <c r="G445" i="4" l="1"/>
  <c r="J444" i="4"/>
  <c r="J445" i="4" l="1"/>
  <c r="G446" i="4"/>
  <c r="J446" i="4" l="1"/>
  <c r="G447" i="4"/>
  <c r="J447" i="4" l="1"/>
  <c r="G448" i="4"/>
  <c r="G449" i="4" l="1"/>
  <c r="J448" i="4"/>
  <c r="G450" i="4" l="1"/>
  <c r="J449" i="4"/>
  <c r="G451" i="4" l="1"/>
  <c r="J450" i="4"/>
  <c r="G452" i="4" l="1"/>
  <c r="J451" i="4"/>
  <c r="G453" i="4" l="1"/>
  <c r="J452" i="4"/>
  <c r="J453" i="4" l="1"/>
  <c r="G454" i="4"/>
  <c r="G455" i="4" l="1"/>
  <c r="J454" i="4"/>
  <c r="G456" i="4" l="1"/>
  <c r="J455" i="4"/>
  <c r="G457" i="4" l="1"/>
  <c r="J456" i="4"/>
  <c r="J457" i="4" l="1"/>
  <c r="G458" i="4"/>
  <c r="J458" i="4" l="1"/>
  <c r="G459" i="4"/>
  <c r="G460" i="4" l="1"/>
  <c r="J459" i="4"/>
  <c r="J460" i="4" l="1"/>
  <c r="G461" i="4"/>
  <c r="J461" i="4" l="1"/>
  <c r="G462" i="4"/>
  <c r="J462" i="4" l="1"/>
  <c r="G463" i="4"/>
  <c r="G464" i="4" l="1"/>
  <c r="J463" i="4"/>
  <c r="G465" i="4" l="1"/>
  <c r="J464" i="4"/>
  <c r="J465" i="4" l="1"/>
  <c r="G466" i="4"/>
  <c r="J466" i="4" l="1"/>
  <c r="G467" i="4"/>
  <c r="G468" i="4" l="1"/>
  <c r="J467" i="4"/>
  <c r="G469" i="4" l="1"/>
  <c r="J468" i="4"/>
  <c r="J469" i="4" l="1"/>
  <c r="G470" i="4"/>
  <c r="J470" i="4" l="1"/>
  <c r="G471" i="4"/>
  <c r="G472" i="4" l="1"/>
  <c r="J471" i="4"/>
  <c r="G473" i="4" l="1"/>
  <c r="J472" i="4"/>
  <c r="J473" i="4" l="1"/>
  <c r="G474" i="4"/>
  <c r="J474" i="4" l="1"/>
  <c r="G475" i="4"/>
  <c r="G476" i="4" l="1"/>
  <c r="J475" i="4"/>
  <c r="J476" i="4" l="1"/>
  <c r="G477" i="4"/>
  <c r="J477" i="4" l="1"/>
  <c r="G478" i="4"/>
  <c r="J478" i="4" l="1"/>
  <c r="G479" i="4"/>
  <c r="G480" i="4" l="1"/>
  <c r="J479" i="4"/>
  <c r="G481" i="4" l="1"/>
  <c r="J480" i="4"/>
  <c r="J481" i="4" l="1"/>
  <c r="G482" i="4"/>
  <c r="J482" i="4" l="1"/>
  <c r="G483" i="4"/>
  <c r="G484" i="4" l="1"/>
  <c r="J483" i="4"/>
  <c r="G485" i="4" l="1"/>
  <c r="J484" i="4"/>
  <c r="J485" i="4" l="1"/>
  <c r="G486" i="4"/>
  <c r="J486" i="4" l="1"/>
  <c r="G487" i="4"/>
  <c r="G488" i="4" l="1"/>
  <c r="J487" i="4"/>
  <c r="J488" i="4" l="1"/>
  <c r="G489" i="4"/>
  <c r="J489" i="4" l="1"/>
  <c r="G490" i="4"/>
  <c r="G491" i="4" l="1"/>
  <c r="J490" i="4"/>
  <c r="G492" i="4" l="1"/>
  <c r="J491" i="4"/>
  <c r="J492" i="4" l="1"/>
  <c r="G493" i="4"/>
  <c r="J493" i="4" l="1"/>
  <c r="G494" i="4"/>
  <c r="J494" i="4" l="1"/>
  <c r="G495" i="4"/>
  <c r="J495" i="4" l="1"/>
  <c r="G496" i="4"/>
  <c r="G497" i="4" l="1"/>
  <c r="J496" i="4"/>
  <c r="J497" i="4" l="1"/>
  <c r="G498" i="4"/>
  <c r="J498" i="4" l="1"/>
  <c r="G499" i="4"/>
  <c r="J499" i="4" l="1"/>
  <c r="G500" i="4"/>
  <c r="J500" i="4" l="1"/>
  <c r="G501" i="4"/>
  <c r="J501" i="4" l="1"/>
  <c r="G502" i="4"/>
  <c r="G503" i="4" l="1"/>
  <c r="J502" i="4"/>
  <c r="J503" i="4" l="1"/>
  <c r="G504" i="4"/>
  <c r="G505" i="4" l="1"/>
  <c r="J504" i="4"/>
  <c r="J505" i="4" l="1"/>
  <c r="G506" i="4"/>
  <c r="G507" i="4" l="1"/>
  <c r="J506" i="4"/>
  <c r="J507" i="4" l="1"/>
  <c r="G508" i="4"/>
  <c r="J508" i="4" l="1"/>
  <c r="G509" i="4"/>
  <c r="J509" i="4" l="1"/>
  <c r="G510" i="4"/>
  <c r="G511" i="4" l="1"/>
  <c r="J510" i="4"/>
  <c r="J511" i="4" l="1"/>
  <c r="G512" i="4"/>
  <c r="G513" i="4" l="1"/>
  <c r="J512" i="4"/>
  <c r="J513" i="4" l="1"/>
  <c r="G514" i="4"/>
  <c r="G515" i="4" l="1"/>
  <c r="J514" i="4"/>
  <c r="J515" i="4" l="1"/>
  <c r="G516" i="4"/>
  <c r="J516" i="4" l="1"/>
  <c r="G517" i="4"/>
  <c r="J517" i="4" l="1"/>
  <c r="G518" i="4"/>
  <c r="G519" i="4" l="1"/>
  <c r="J518" i="4"/>
  <c r="J519" i="4" l="1"/>
  <c r="G520" i="4"/>
  <c r="J520" i="4" l="1"/>
  <c r="G521" i="4"/>
  <c r="J521" i="4" l="1"/>
  <c r="G522" i="4"/>
  <c r="G523" i="4" l="1"/>
  <c r="J522" i="4"/>
  <c r="J523" i="4" l="1"/>
  <c r="G524" i="4"/>
  <c r="J524" i="4" l="1"/>
  <c r="G525" i="4"/>
  <c r="J525" i="4" l="1"/>
  <c r="G526" i="4"/>
  <c r="G527" i="4" l="1"/>
  <c r="J526" i="4"/>
  <c r="J527" i="4" l="1"/>
  <c r="G528" i="4"/>
  <c r="G529" i="4" l="1"/>
  <c r="J528" i="4"/>
  <c r="G530" i="4" l="1"/>
  <c r="J529" i="4"/>
  <c r="J530" i="4" l="1"/>
  <c r="G531" i="4"/>
  <c r="J531" i="4" l="1"/>
  <c r="G532" i="4"/>
  <c r="J532" i="4" l="1"/>
  <c r="G533" i="4"/>
  <c r="G534" i="4" l="1"/>
  <c r="J533" i="4"/>
  <c r="J534" i="4" l="1"/>
  <c r="G535" i="4"/>
  <c r="J535" i="4" l="1"/>
  <c r="G536" i="4"/>
  <c r="J536" i="4" l="1"/>
  <c r="G537" i="4"/>
  <c r="G538" i="4" l="1"/>
  <c r="J537" i="4"/>
  <c r="G539" i="4" l="1"/>
  <c r="J538" i="4"/>
  <c r="J539" i="4" l="1"/>
  <c r="G540" i="4"/>
  <c r="J540" i="4" l="1"/>
  <c r="G541" i="4"/>
  <c r="G542" i="4" l="1"/>
  <c r="J541" i="4"/>
  <c r="G543" i="4" l="1"/>
  <c r="J542" i="4"/>
  <c r="J543" i="4" l="1"/>
  <c r="G544" i="4"/>
  <c r="J544" i="4" l="1"/>
  <c r="G545" i="4"/>
  <c r="G546" i="4" l="1"/>
  <c r="J545" i="4"/>
  <c r="G547" i="4" l="1"/>
  <c r="J546" i="4"/>
  <c r="J547" i="4" l="1"/>
  <c r="G548" i="4"/>
  <c r="J548" i="4" l="1"/>
  <c r="G549" i="4"/>
  <c r="G550" i="4" l="1"/>
  <c r="J549" i="4"/>
  <c r="G551" i="4" l="1"/>
  <c r="J550" i="4"/>
  <c r="J551" i="4" l="1"/>
  <c r="G552" i="4"/>
  <c r="J552" i="4" l="1"/>
  <c r="G553" i="4"/>
  <c r="G554" i="4" l="1"/>
  <c r="J553" i="4"/>
  <c r="G555" i="4" l="1"/>
  <c r="J554" i="4"/>
  <c r="J555" i="4" l="1"/>
  <c r="G556" i="4"/>
  <c r="J556" i="4" l="1"/>
  <c r="G557" i="4"/>
  <c r="G558" i="4" l="1"/>
  <c r="J557" i="4"/>
  <c r="G559" i="4" l="1"/>
  <c r="J558" i="4"/>
  <c r="J559" i="4" l="1"/>
  <c r="G560" i="4"/>
  <c r="J560" i="4" l="1"/>
  <c r="G561" i="4"/>
  <c r="G562" i="4" l="1"/>
  <c r="J561" i="4"/>
  <c r="G563" i="4" l="1"/>
  <c r="J562" i="4"/>
  <c r="J563" i="4" l="1"/>
  <c r="G564" i="4"/>
  <c r="J564" i="4" l="1"/>
  <c r="G565" i="4"/>
  <c r="G566" i="4" l="1"/>
  <c r="J565" i="4"/>
  <c r="G567" i="4" l="1"/>
  <c r="J566" i="4"/>
  <c r="J567" i="4" l="1"/>
  <c r="G568" i="4"/>
  <c r="J568" i="4" l="1"/>
  <c r="G569" i="4"/>
  <c r="G570" i="4" l="1"/>
  <c r="J569" i="4"/>
  <c r="G571" i="4" l="1"/>
  <c r="J570" i="4"/>
  <c r="J571" i="4" l="1"/>
  <c r="G572" i="4"/>
  <c r="J572" i="4" l="1"/>
  <c r="G573" i="4"/>
  <c r="G574" i="4" l="1"/>
  <c r="J573" i="4"/>
  <c r="G575" i="4" l="1"/>
  <c r="J574" i="4"/>
  <c r="J575" i="4" l="1"/>
  <c r="G576" i="4"/>
  <c r="J576" i="4" l="1"/>
  <c r="G577" i="4"/>
  <c r="G578" i="4" l="1"/>
  <c r="J577" i="4"/>
  <c r="G579" i="4" l="1"/>
  <c r="J578" i="4"/>
  <c r="J579" i="4" l="1"/>
  <c r="G580" i="4"/>
  <c r="J580" i="4" l="1"/>
  <c r="G581" i="4"/>
  <c r="G582" i="4" l="1"/>
  <c r="J581" i="4"/>
  <c r="G583" i="4" l="1"/>
  <c r="J582" i="4"/>
  <c r="J583" i="4" l="1"/>
  <c r="G584" i="4"/>
  <c r="J584" i="4" l="1"/>
  <c r="G585" i="4"/>
  <c r="G586" i="4" l="1"/>
  <c r="J585" i="4"/>
  <c r="G587" i="4" l="1"/>
  <c r="J586" i="4"/>
  <c r="J587" i="4" l="1"/>
  <c r="G588" i="4"/>
  <c r="J588" i="4" l="1"/>
  <c r="G589" i="4"/>
  <c r="G590" i="4" l="1"/>
  <c r="J589" i="4"/>
  <c r="G591" i="4" l="1"/>
  <c r="J590" i="4"/>
  <c r="J591" i="4" l="1"/>
  <c r="G592" i="4"/>
  <c r="J592" i="4" l="1"/>
  <c r="G593" i="4"/>
  <c r="G594" i="4" l="1"/>
  <c r="J593" i="4"/>
  <c r="G595" i="4" l="1"/>
  <c r="J594" i="4"/>
  <c r="J595" i="4" l="1"/>
  <c r="G596" i="4"/>
  <c r="J596" i="4" l="1"/>
  <c r="G597" i="4"/>
  <c r="G598" i="4" l="1"/>
  <c r="J597" i="4"/>
  <c r="G599" i="4" l="1"/>
  <c r="J598" i="4"/>
  <c r="J599" i="4" l="1"/>
  <c r="G600" i="4"/>
  <c r="J600" i="4" l="1"/>
  <c r="G601" i="4"/>
  <c r="G602" i="4" l="1"/>
  <c r="J601" i="4"/>
  <c r="G603" i="4" l="1"/>
  <c r="J602" i="4"/>
  <c r="J603" i="4" l="1"/>
  <c r="G604" i="4"/>
  <c r="J604" i="4" l="1"/>
  <c r="G605" i="4"/>
  <c r="G606" i="4" l="1"/>
  <c r="J605" i="4"/>
  <c r="G607" i="4" l="1"/>
  <c r="J606" i="4"/>
  <c r="J607" i="4" l="1"/>
  <c r="G608" i="4"/>
  <c r="J608" i="4" l="1"/>
  <c r="G609" i="4"/>
  <c r="G610" i="4" l="1"/>
  <c r="J609" i="4"/>
  <c r="G611" i="4" l="1"/>
  <c r="J610" i="4"/>
  <c r="J611" i="4" l="1"/>
  <c r="G612" i="4"/>
  <c r="J612" i="4" l="1"/>
  <c r="G613" i="4"/>
  <c r="G614" i="4" l="1"/>
  <c r="J613" i="4"/>
  <c r="G615" i="4" l="1"/>
  <c r="J614" i="4"/>
  <c r="J615" i="4" l="1"/>
  <c r="G616" i="4"/>
  <c r="J616" i="4" l="1"/>
  <c r="G617" i="4"/>
  <c r="G618" i="4" l="1"/>
  <c r="J617" i="4"/>
  <c r="G619" i="4" l="1"/>
  <c r="J618" i="4"/>
  <c r="J619" i="4" l="1"/>
  <c r="G620" i="4"/>
  <c r="J620" i="4" l="1"/>
  <c r="G621" i="4"/>
  <c r="G622" i="4" l="1"/>
  <c r="J621" i="4"/>
  <c r="G623" i="4" l="1"/>
  <c r="J622" i="4"/>
  <c r="J623" i="4" l="1"/>
  <c r="G624" i="4"/>
  <c r="J624" i="4" l="1"/>
  <c r="G625" i="4"/>
  <c r="G626" i="4" l="1"/>
  <c r="J625" i="4"/>
  <c r="G627" i="4" l="1"/>
  <c r="J626" i="4"/>
  <c r="J627" i="4" l="1"/>
  <c r="G628" i="4"/>
  <c r="J628" i="4" l="1"/>
  <c r="G629" i="4"/>
  <c r="G630" i="4" l="1"/>
  <c r="J629" i="4"/>
  <c r="G631" i="4" l="1"/>
  <c r="J630" i="4"/>
  <c r="J631" i="4" l="1"/>
  <c r="G632" i="4"/>
  <c r="J632" i="4" l="1"/>
  <c r="G633" i="4"/>
  <c r="G634" i="4" l="1"/>
  <c r="J633" i="4"/>
  <c r="G635" i="4" l="1"/>
  <c r="J634" i="4"/>
  <c r="J635" i="4" l="1"/>
  <c r="G636" i="4"/>
  <c r="J636" i="4" l="1"/>
  <c r="G637" i="4"/>
  <c r="G638" i="4" l="1"/>
  <c r="J637" i="4"/>
  <c r="G639" i="4" l="1"/>
  <c r="J638" i="4"/>
  <c r="J639" i="4" l="1"/>
  <c r="G640" i="4"/>
  <c r="J640" i="4" l="1"/>
  <c r="B15" i="4" s="1"/>
  <c r="B16" i="4" s="1"/>
  <c r="B26" i="4"/>
  <c r="B22" i="4" l="1"/>
  <c r="B21" i="4"/>
  <c r="B26" i="1" s="1"/>
  <c r="B19" i="4"/>
  <c r="B18" i="4"/>
  <c r="B17" i="4"/>
  <c r="B20" i="4" s="1"/>
  <c r="B28" i="1" s="1"/>
  <c r="B27" i="1"/>
  <c r="B24" i="4"/>
  <c r="N640" i="4" l="1"/>
  <c r="N636" i="4"/>
  <c r="N632" i="4"/>
  <c r="N628" i="4"/>
  <c r="N624" i="4"/>
  <c r="N620" i="4"/>
  <c r="N616" i="4"/>
  <c r="N612" i="4"/>
  <c r="N608" i="4"/>
  <c r="N604" i="4"/>
  <c r="N600" i="4"/>
  <c r="N596" i="4"/>
  <c r="N592" i="4"/>
  <c r="N588" i="4"/>
  <c r="N584" i="4"/>
  <c r="N580" i="4"/>
  <c r="N576" i="4"/>
  <c r="N572" i="4"/>
  <c r="N568" i="4"/>
  <c r="N564" i="4"/>
  <c r="N560" i="4"/>
  <c r="N556" i="4"/>
  <c r="N552" i="4"/>
  <c r="N548" i="4"/>
  <c r="N544" i="4"/>
  <c r="N540" i="4"/>
  <c r="N536" i="4"/>
  <c r="N532" i="4"/>
  <c r="N528" i="4"/>
  <c r="M640" i="4"/>
  <c r="M636" i="4"/>
  <c r="M632" i="4"/>
  <c r="M628" i="4"/>
  <c r="M624" i="4"/>
  <c r="M620" i="4"/>
  <c r="M616" i="4"/>
  <c r="M612" i="4"/>
  <c r="M608" i="4"/>
  <c r="M604" i="4"/>
  <c r="M600" i="4"/>
  <c r="M596" i="4"/>
  <c r="M592" i="4"/>
  <c r="M588" i="4"/>
  <c r="M584" i="4"/>
  <c r="M580" i="4"/>
  <c r="M576" i="4"/>
  <c r="M572" i="4"/>
  <c r="M568" i="4"/>
  <c r="M564" i="4"/>
  <c r="M560" i="4"/>
  <c r="M556" i="4"/>
  <c r="M552" i="4"/>
  <c r="M548" i="4"/>
  <c r="M544" i="4"/>
  <c r="M540" i="4"/>
  <c r="M536" i="4"/>
  <c r="M532" i="4"/>
  <c r="M528" i="4"/>
  <c r="N637" i="4"/>
  <c r="N633" i="4"/>
  <c r="N629" i="4"/>
  <c r="N625" i="4"/>
  <c r="N621" i="4"/>
  <c r="N617" i="4"/>
  <c r="N613" i="4"/>
  <c r="N609" i="4"/>
  <c r="N605" i="4"/>
  <c r="N601" i="4"/>
  <c r="N597" i="4"/>
  <c r="N593" i="4"/>
  <c r="N589" i="4"/>
  <c r="N585" i="4"/>
  <c r="N581" i="4"/>
  <c r="N577" i="4"/>
  <c r="N573" i="4"/>
  <c r="N569" i="4"/>
  <c r="N565" i="4"/>
  <c r="N561" i="4"/>
  <c r="N557" i="4"/>
  <c r="N553" i="4"/>
  <c r="N549" i="4"/>
  <c r="N545" i="4"/>
  <c r="N541" i="4"/>
  <c r="N537" i="4"/>
  <c r="M637" i="4"/>
  <c r="M633" i="4"/>
  <c r="M629" i="4"/>
  <c r="M625" i="4"/>
  <c r="M621" i="4"/>
  <c r="M617" i="4"/>
  <c r="M613" i="4"/>
  <c r="M609" i="4"/>
  <c r="M605" i="4"/>
  <c r="M601" i="4"/>
  <c r="M597" i="4"/>
  <c r="M593" i="4"/>
  <c r="M589" i="4"/>
  <c r="M585" i="4"/>
  <c r="M581" i="4"/>
  <c r="M577" i="4"/>
  <c r="M573" i="4"/>
  <c r="M569" i="4"/>
  <c r="M565" i="4"/>
  <c r="M561" i="4"/>
  <c r="M557" i="4"/>
  <c r="M553" i="4"/>
  <c r="M549" i="4"/>
  <c r="M545" i="4"/>
  <c r="M541" i="4"/>
  <c r="M537" i="4"/>
  <c r="M533" i="4"/>
  <c r="N638" i="4"/>
  <c r="N634" i="4"/>
  <c r="N630" i="4"/>
  <c r="N626" i="4"/>
  <c r="N622" i="4"/>
  <c r="N618" i="4"/>
  <c r="N614" i="4"/>
  <c r="N610" i="4"/>
  <c r="N606" i="4"/>
  <c r="N602" i="4"/>
  <c r="N598" i="4"/>
  <c r="N594" i="4"/>
  <c r="N590" i="4"/>
  <c r="N586" i="4"/>
  <c r="N582" i="4"/>
  <c r="N578" i="4"/>
  <c r="M638" i="4"/>
  <c r="M634" i="4"/>
  <c r="M630" i="4"/>
  <c r="M626" i="4"/>
  <c r="M622" i="4"/>
  <c r="M618" i="4"/>
  <c r="M614" i="4"/>
  <c r="M610" i="4"/>
  <c r="M606" i="4"/>
  <c r="M602" i="4"/>
  <c r="M598" i="4"/>
  <c r="M594" i="4"/>
  <c r="M590" i="4"/>
  <c r="M586" i="4"/>
  <c r="M582" i="4"/>
  <c r="M578" i="4"/>
  <c r="M574" i="4"/>
  <c r="M570" i="4"/>
  <c r="M566" i="4"/>
  <c r="M562" i="4"/>
  <c r="M558" i="4"/>
  <c r="M554" i="4"/>
  <c r="M550" i="4"/>
  <c r="M546" i="4"/>
  <c r="M542" i="4"/>
  <c r="M538" i="4"/>
  <c r="M534" i="4"/>
  <c r="M530" i="4"/>
  <c r="N639" i="4"/>
  <c r="N635" i="4"/>
  <c r="N631" i="4"/>
  <c r="N627" i="4"/>
  <c r="N623" i="4"/>
  <c r="N619" i="4"/>
  <c r="N615" i="4"/>
  <c r="N611" i="4"/>
  <c r="N607" i="4"/>
  <c r="N603" i="4"/>
  <c r="N599" i="4"/>
  <c r="N595" i="4"/>
  <c r="N591" i="4"/>
  <c r="N587" i="4"/>
  <c r="N583" i="4"/>
  <c r="N579" i="4"/>
  <c r="N575" i="4"/>
  <c r="N571" i="4"/>
  <c r="N567" i="4"/>
  <c r="N563" i="4"/>
  <c r="N559" i="4"/>
  <c r="N555" i="4"/>
  <c r="N551" i="4"/>
  <c r="N547" i="4"/>
  <c r="N543" i="4"/>
  <c r="N539" i="4"/>
  <c r="N535" i="4"/>
  <c r="N531" i="4"/>
  <c r="N527" i="4"/>
  <c r="M639" i="4"/>
  <c r="M635" i="4"/>
  <c r="M631" i="4"/>
  <c r="M627" i="4"/>
  <c r="M623" i="4"/>
  <c r="M619" i="4"/>
  <c r="M615" i="4"/>
  <c r="M611" i="4"/>
  <c r="M607" i="4"/>
  <c r="M603" i="4"/>
  <c r="M599" i="4"/>
  <c r="M595" i="4"/>
  <c r="M591" i="4"/>
  <c r="M587" i="4"/>
  <c r="M583" i="4"/>
  <c r="M579" i="4"/>
  <c r="M575" i="4"/>
  <c r="M571" i="4"/>
  <c r="M567" i="4"/>
  <c r="M563" i="4"/>
  <c r="M559" i="4"/>
  <c r="M555" i="4"/>
  <c r="M551" i="4"/>
  <c r="M547" i="4"/>
  <c r="M543" i="4"/>
  <c r="M539" i="4"/>
  <c r="M535" i="4"/>
  <c r="M531" i="4"/>
  <c r="M527" i="4"/>
  <c r="M524" i="4"/>
  <c r="M520" i="4"/>
  <c r="M516" i="4"/>
  <c r="M512" i="4"/>
  <c r="M508" i="4"/>
  <c r="M504" i="4"/>
  <c r="M500" i="4"/>
  <c r="M496" i="4"/>
  <c r="N534" i="4"/>
  <c r="M529" i="4"/>
  <c r="N526" i="4"/>
  <c r="N522" i="4"/>
  <c r="N518" i="4"/>
  <c r="N514" i="4"/>
  <c r="N510" i="4"/>
  <c r="N506" i="4"/>
  <c r="N502" i="4"/>
  <c r="N498" i="4"/>
  <c r="N494" i="4"/>
  <c r="N490" i="4"/>
  <c r="N486" i="4"/>
  <c r="N482" i="4"/>
  <c r="N478" i="4"/>
  <c r="N474" i="4"/>
  <c r="N470" i="4"/>
  <c r="N466" i="4"/>
  <c r="N462" i="4"/>
  <c r="N458" i="4"/>
  <c r="N533" i="4"/>
  <c r="M526" i="4"/>
  <c r="M522" i="4"/>
  <c r="M518" i="4"/>
  <c r="M514" i="4"/>
  <c r="M510" i="4"/>
  <c r="M506" i="4"/>
  <c r="M502" i="4"/>
  <c r="M498" i="4"/>
  <c r="M494" i="4"/>
  <c r="M490" i="4"/>
  <c r="N530" i="4"/>
  <c r="M491" i="4"/>
  <c r="N489" i="4"/>
  <c r="M487" i="4"/>
  <c r="M478" i="4"/>
  <c r="M471" i="4"/>
  <c r="M462" i="4"/>
  <c r="M455" i="4"/>
  <c r="N450" i="4"/>
  <c r="M447" i="4"/>
  <c r="N442" i="4"/>
  <c r="M439" i="4"/>
  <c r="N434" i="4"/>
  <c r="M431" i="4"/>
  <c r="N425" i="4"/>
  <c r="N421" i="4"/>
  <c r="N417" i="4"/>
  <c r="N413" i="4"/>
  <c r="N409" i="4"/>
  <c r="N405" i="4"/>
  <c r="N401" i="4"/>
  <c r="N397" i="4"/>
  <c r="N393" i="4"/>
  <c r="N389" i="4"/>
  <c r="N385" i="4"/>
  <c r="N381" i="4"/>
  <c r="N377" i="4"/>
  <c r="N373" i="4"/>
  <c r="N369" i="4"/>
  <c r="N365" i="4"/>
  <c r="N361" i="4"/>
  <c r="N357" i="4"/>
  <c r="N353" i="4"/>
  <c r="N349" i="4"/>
  <c r="N345" i="4"/>
  <c r="N341" i="4"/>
  <c r="N337" i="4"/>
  <c r="N333" i="4"/>
  <c r="N329" i="4"/>
  <c r="N325" i="4"/>
  <c r="N321" i="4"/>
  <c r="N317" i="4"/>
  <c r="N313" i="4"/>
  <c r="N309" i="4"/>
  <c r="N305" i="4"/>
  <c r="N301" i="4"/>
  <c r="N297" i="4"/>
  <c r="N293" i="4"/>
  <c r="N289" i="4"/>
  <c r="N285" i="4"/>
  <c r="N281" i="4"/>
  <c r="N277" i="4"/>
  <c r="N525" i="4"/>
  <c r="N517" i="4"/>
  <c r="N574" i="4"/>
  <c r="N558" i="4"/>
  <c r="N542" i="4"/>
  <c r="N529" i="4"/>
  <c r="M525" i="4"/>
  <c r="M517" i="4"/>
  <c r="N524" i="4"/>
  <c r="N516" i="4"/>
  <c r="N508" i="4"/>
  <c r="N500" i="4"/>
  <c r="N492" i="4"/>
  <c r="N488" i="4"/>
  <c r="M481" i="4"/>
  <c r="N479" i="4"/>
  <c r="M472" i="4"/>
  <c r="M465" i="4"/>
  <c r="N463" i="4"/>
  <c r="M456" i="4"/>
  <c r="N451" i="4"/>
  <c r="N443" i="4"/>
  <c r="N435" i="4"/>
  <c r="M492" i="4"/>
  <c r="M488" i="4"/>
  <c r="M486" i="4"/>
  <c r="M479" i="4"/>
  <c r="M470" i="4"/>
  <c r="M463" i="4"/>
  <c r="N454" i="4"/>
  <c r="M451" i="4"/>
  <c r="N446" i="4"/>
  <c r="M443" i="4"/>
  <c r="N438" i="4"/>
  <c r="M435" i="4"/>
  <c r="N430" i="4"/>
  <c r="N427" i="4"/>
  <c r="N423" i="4"/>
  <c r="N419" i="4"/>
  <c r="N415" i="4"/>
  <c r="N411" i="4"/>
  <c r="N407" i="4"/>
  <c r="N403" i="4"/>
  <c r="N521" i="4"/>
  <c r="N566" i="4"/>
  <c r="N550" i="4"/>
  <c r="M521" i="4"/>
  <c r="N523" i="4"/>
  <c r="N515" i="4"/>
  <c r="N507" i="4"/>
  <c r="N499" i="4"/>
  <c r="M482" i="4"/>
  <c r="M475" i="4"/>
  <c r="M466" i="4"/>
  <c r="M459" i="4"/>
  <c r="N452" i="4"/>
  <c r="M449" i="4"/>
  <c r="N444" i="4"/>
  <c r="M441" i="4"/>
  <c r="N436" i="4"/>
  <c r="M433" i="4"/>
  <c r="N428" i="4"/>
  <c r="N424" i="4"/>
  <c r="N420" i="4"/>
  <c r="N483" i="4"/>
  <c r="N475" i="4"/>
  <c r="N467" i="4"/>
  <c r="N459" i="4"/>
  <c r="N449" i="4"/>
  <c r="N437" i="4"/>
  <c r="M414" i="4"/>
  <c r="N412" i="4"/>
  <c r="M405" i="4"/>
  <c r="N398" i="4"/>
  <c r="N395" i="4"/>
  <c r="M382" i="4"/>
  <c r="N379" i="4"/>
  <c r="M366" i="4"/>
  <c r="N363" i="4"/>
  <c r="M350" i="4"/>
  <c r="N347" i="4"/>
  <c r="N554" i="4"/>
  <c r="N511" i="4"/>
  <c r="M507" i="4"/>
  <c r="N503" i="4"/>
  <c r="M499" i="4"/>
  <c r="N546" i="4"/>
  <c r="M523" i="4"/>
  <c r="M515" i="4"/>
  <c r="M511" i="4"/>
  <c r="M503" i="4"/>
  <c r="N538" i="4"/>
  <c r="M474" i="4"/>
  <c r="M458" i="4"/>
  <c r="M453" i="4"/>
  <c r="N448" i="4"/>
  <c r="M436" i="4"/>
  <c r="M429" i="4"/>
  <c r="N406" i="4"/>
  <c r="M399" i="4"/>
  <c r="M396" i="4"/>
  <c r="M393" i="4"/>
  <c r="N390" i="4"/>
  <c r="M380" i="4"/>
  <c r="M377" i="4"/>
  <c r="N374" i="4"/>
  <c r="M364" i="4"/>
  <c r="M361" i="4"/>
  <c r="N358" i="4"/>
  <c r="M348" i="4"/>
  <c r="M345" i="4"/>
  <c r="N342" i="4"/>
  <c r="M332" i="4"/>
  <c r="M329" i="4"/>
  <c r="N326" i="4"/>
  <c r="M316" i="4"/>
  <c r="M313" i="4"/>
  <c r="N310" i="4"/>
  <c r="M300" i="4"/>
  <c r="N487" i="4"/>
  <c r="N471" i="4"/>
  <c r="N455" i="4"/>
  <c r="M448" i="4"/>
  <c r="N431" i="4"/>
  <c r="M413" i="4"/>
  <c r="M406" i="4"/>
  <c r="N404" i="4"/>
  <c r="M390" i="4"/>
  <c r="N387" i="4"/>
  <c r="M374" i="4"/>
  <c r="N371" i="4"/>
  <c r="M358" i="4"/>
  <c r="N355" i="4"/>
  <c r="N520" i="4"/>
  <c r="N513" i="4"/>
  <c r="N509" i="4"/>
  <c r="N505" i="4"/>
  <c r="N501" i="4"/>
  <c r="N519" i="4"/>
  <c r="M513" i="4"/>
  <c r="M509" i="4"/>
  <c r="M505" i="4"/>
  <c r="M501" i="4"/>
  <c r="N562" i="4"/>
  <c r="N512" i="4"/>
  <c r="N504" i="4"/>
  <c r="N496" i="4"/>
  <c r="N481" i="4"/>
  <c r="M473" i="4"/>
  <c r="N465" i="4"/>
  <c r="M457" i="4"/>
  <c r="N447" i="4"/>
  <c r="M440" i="4"/>
  <c r="M426" i="4"/>
  <c r="M422" i="4"/>
  <c r="M418" i="4"/>
  <c r="M416" i="4"/>
  <c r="M407" i="4"/>
  <c r="M400" i="4"/>
  <c r="M391" i="4"/>
  <c r="N388" i="4"/>
  <c r="M375" i="4"/>
  <c r="N372" i="4"/>
  <c r="M359" i="4"/>
  <c r="N356" i="4"/>
  <c r="M343" i="4"/>
  <c r="N340" i="4"/>
  <c r="N570" i="4"/>
  <c r="M489" i="4"/>
  <c r="M485" i="4"/>
  <c r="M477" i="4"/>
  <c r="M469" i="4"/>
  <c r="M461" i="4"/>
  <c r="N453" i="4"/>
  <c r="M442" i="4"/>
  <c r="M452" i="4"/>
  <c r="M445" i="4"/>
  <c r="M434" i="4"/>
  <c r="M427" i="4"/>
  <c r="M424" i="4"/>
  <c r="M421" i="4"/>
  <c r="N418" i="4"/>
  <c r="M410" i="4"/>
  <c r="M402" i="4"/>
  <c r="M386" i="4"/>
  <c r="N375" i="4"/>
  <c r="M362" i="4"/>
  <c r="N351" i="4"/>
  <c r="N338" i="4"/>
  <c r="M335" i="4"/>
  <c r="N330" i="4"/>
  <c r="M327" i="4"/>
  <c r="N319" i="4"/>
  <c r="N311" i="4"/>
  <c r="M308" i="4"/>
  <c r="N300" i="4"/>
  <c r="M297" i="4"/>
  <c r="N497" i="4"/>
  <c r="M483" i="4"/>
  <c r="M467" i="4"/>
  <c r="M444" i="4"/>
  <c r="M437" i="4"/>
  <c r="M412" i="4"/>
  <c r="M404" i="4"/>
  <c r="N392" i="4"/>
  <c r="M497" i="4"/>
  <c r="N491" i="4"/>
  <c r="N433" i="4"/>
  <c r="N394" i="4"/>
  <c r="M392" i="4"/>
  <c r="M381" i="4"/>
  <c r="N370" i="4"/>
  <c r="M368" i="4"/>
  <c r="M357" i="4"/>
  <c r="M454" i="4"/>
  <c r="N429" i="4"/>
  <c r="N495" i="4"/>
  <c r="M450" i="4"/>
  <c r="N432" i="4"/>
  <c r="M411" i="4"/>
  <c r="M403" i="4"/>
  <c r="M398" i="4"/>
  <c r="M387" i="4"/>
  <c r="N376" i="4"/>
  <c r="N493" i="4"/>
  <c r="N484" i="4"/>
  <c r="N476" i="4"/>
  <c r="N468" i="4"/>
  <c r="N460" i="4"/>
  <c r="M438" i="4"/>
  <c r="M419" i="4"/>
  <c r="M415" i="4"/>
  <c r="N399" i="4"/>
  <c r="N362" i="4"/>
  <c r="N354" i="4"/>
  <c r="M349" i="4"/>
  <c r="N473" i="4"/>
  <c r="N457" i="4"/>
  <c r="M428" i="4"/>
  <c r="N422" i="4"/>
  <c r="M417" i="4"/>
  <c r="M409" i="4"/>
  <c r="M401" i="4"/>
  <c r="M394" i="4"/>
  <c r="M378" i="4"/>
  <c r="M353" i="4"/>
  <c r="N336" i="4"/>
  <c r="M331" i="4"/>
  <c r="N324" i="4"/>
  <c r="M317" i="4"/>
  <c r="M312" i="4"/>
  <c r="M305" i="4"/>
  <c r="N298" i="4"/>
  <c r="N295" i="4"/>
  <c r="M282" i="4"/>
  <c r="N279" i="4"/>
  <c r="N480" i="4"/>
  <c r="N464" i="4"/>
  <c r="N384" i="4"/>
  <c r="M372" i="4"/>
  <c r="M369" i="4"/>
  <c r="N366" i="4"/>
  <c r="N350" i="4"/>
  <c r="M336" i="4"/>
  <c r="M324" i="4"/>
  <c r="N322" i="4"/>
  <c r="M310" i="4"/>
  <c r="N303" i="4"/>
  <c r="M298" i="4"/>
  <c r="M295" i="4"/>
  <c r="N292" i="4"/>
  <c r="M279" i="4"/>
  <c r="N276" i="4"/>
  <c r="N272" i="4"/>
  <c r="N268" i="4"/>
  <c r="N264" i="4"/>
  <c r="N260" i="4"/>
  <c r="N256" i="4"/>
  <c r="M480" i="4"/>
  <c r="N472" i="4"/>
  <c r="M464" i="4"/>
  <c r="N456" i="4"/>
  <c r="M397" i="4"/>
  <c r="M384" i="4"/>
  <c r="M363" i="4"/>
  <c r="N343" i="4"/>
  <c r="N334" i="4"/>
  <c r="N441" i="4"/>
  <c r="N416" i="4"/>
  <c r="N408" i="4"/>
  <c r="N400" i="4"/>
  <c r="M355" i="4"/>
  <c r="M341" i="4"/>
  <c r="N339" i="4"/>
  <c r="M334" i="4"/>
  <c r="N327" i="4"/>
  <c r="N320" i="4"/>
  <c r="M315" i="4"/>
  <c r="N308" i="4"/>
  <c r="M301" i="4"/>
  <c r="M286" i="4"/>
  <c r="N283" i="4"/>
  <c r="N440" i="4"/>
  <c r="N426" i="4"/>
  <c r="M420" i="4"/>
  <c r="M408" i="4"/>
  <c r="N383" i="4"/>
  <c r="N380" i="4"/>
  <c r="N360" i="4"/>
  <c r="N352" i="4"/>
  <c r="M347" i="4"/>
  <c r="M339" i="4"/>
  <c r="M320" i="4"/>
  <c r="N306" i="4"/>
  <c r="N296" i="4"/>
  <c r="M283" i="4"/>
  <c r="N280" i="4"/>
  <c r="N273" i="4"/>
  <c r="N269" i="4"/>
  <c r="N265" i="4"/>
  <c r="M484" i="4"/>
  <c r="M468" i="4"/>
  <c r="M379" i="4"/>
  <c r="N346" i="4"/>
  <c r="N335" i="4"/>
  <c r="N328" i="4"/>
  <c r="N312" i="4"/>
  <c r="M304" i="4"/>
  <c r="M288" i="4"/>
  <c r="M275" i="4"/>
  <c r="M271" i="4"/>
  <c r="M267" i="4"/>
  <c r="N263" i="4"/>
  <c r="M251" i="4"/>
  <c r="M247" i="4"/>
  <c r="M243" i="4"/>
  <c r="M239" i="4"/>
  <c r="M235" i="4"/>
  <c r="M231" i="4"/>
  <c r="M227" i="4"/>
  <c r="M223" i="4"/>
  <c r="M219" i="4"/>
  <c r="M215" i="4"/>
  <c r="M211" i="4"/>
  <c r="M207" i="4"/>
  <c r="M203" i="4"/>
  <c r="M199" i="4"/>
  <c r="M195" i="4"/>
  <c r="M191" i="4"/>
  <c r="M187" i="4"/>
  <c r="M519" i="4"/>
  <c r="N414" i="4"/>
  <c r="M385" i="4"/>
  <c r="M373" i="4"/>
  <c r="N367" i="4"/>
  <c r="M346" i="4"/>
  <c r="M342" i="4"/>
  <c r="M328" i="4"/>
  <c r="M322" i="4"/>
  <c r="N314" i="4"/>
  <c r="M309" i="4"/>
  <c r="M423" i="4"/>
  <c r="M367" i="4"/>
  <c r="M351" i="4"/>
  <c r="M314" i="4"/>
  <c r="M306" i="4"/>
  <c r="N391" i="4"/>
  <c r="N378" i="4"/>
  <c r="M356" i="4"/>
  <c r="M338" i="4"/>
  <c r="N331" i="4"/>
  <c r="M311" i="4"/>
  <c r="M495" i="4"/>
  <c r="M432" i="4"/>
  <c r="N396" i="4"/>
  <c r="M383" i="4"/>
  <c r="M371" i="4"/>
  <c r="M365" i="4"/>
  <c r="M360" i="4"/>
  <c r="M319" i="4"/>
  <c r="M287" i="4"/>
  <c r="M285" i="4"/>
  <c r="N274" i="4"/>
  <c r="N270" i="4"/>
  <c r="N266" i="4"/>
  <c r="N477" i="4"/>
  <c r="N461" i="4"/>
  <c r="M446" i="4"/>
  <c r="M389" i="4"/>
  <c r="M337" i="4"/>
  <c r="M330" i="4"/>
  <c r="N316" i="4"/>
  <c r="M303" i="4"/>
  <c r="M289" i="4"/>
  <c r="N278" i="4"/>
  <c r="M276" i="4"/>
  <c r="M274" i="4"/>
  <c r="M272" i="4"/>
  <c r="M270" i="4"/>
  <c r="M268" i="4"/>
  <c r="M266" i="4"/>
  <c r="M264" i="4"/>
  <c r="M256" i="4"/>
  <c r="N253" i="4"/>
  <c r="N249" i="4"/>
  <c r="N245" i="4"/>
  <c r="N241" i="4"/>
  <c r="N237" i="4"/>
  <c r="N233" i="4"/>
  <c r="N229" i="4"/>
  <c r="N225" i="4"/>
  <c r="N221" i="4"/>
  <c r="N217" i="4"/>
  <c r="N213" i="4"/>
  <c r="N209" i="4"/>
  <c r="N205" i="4"/>
  <c r="N201" i="4"/>
  <c r="N197" i="4"/>
  <c r="N193" i="4"/>
  <c r="N189" i="4"/>
  <c r="N185" i="4"/>
  <c r="N181" i="4"/>
  <c r="N177" i="4"/>
  <c r="N173" i="4"/>
  <c r="M493" i="4"/>
  <c r="M476" i="4"/>
  <c r="M460" i="4"/>
  <c r="N445" i="4"/>
  <c r="N382" i="4"/>
  <c r="M376" i="4"/>
  <c r="N359" i="4"/>
  <c r="M354" i="4"/>
  <c r="N344" i="4"/>
  <c r="M321" i="4"/>
  <c r="N318" i="4"/>
  <c r="M293" i="4"/>
  <c r="N291" i="4"/>
  <c r="M280" i="4"/>
  <c r="M278" i="4"/>
  <c r="N259" i="4"/>
  <c r="M253" i="4"/>
  <c r="M249" i="4"/>
  <c r="M245" i="4"/>
  <c r="M241" i="4"/>
  <c r="M237" i="4"/>
  <c r="M233" i="4"/>
  <c r="M229" i="4"/>
  <c r="M225" i="4"/>
  <c r="M221" i="4"/>
  <c r="M217" i="4"/>
  <c r="M213" i="4"/>
  <c r="M209" i="4"/>
  <c r="M205" i="4"/>
  <c r="M201" i="4"/>
  <c r="M197" i="4"/>
  <c r="M193" i="4"/>
  <c r="M189" i="4"/>
  <c r="M185" i="4"/>
  <c r="M181" i="4"/>
  <c r="M177" i="4"/>
  <c r="M173" i="4"/>
  <c r="M430" i="4"/>
  <c r="M395" i="4"/>
  <c r="M370" i="4"/>
  <c r="M344" i="4"/>
  <c r="M333" i="4"/>
  <c r="N323" i="4"/>
  <c r="M318" i="4"/>
  <c r="M291" i="4"/>
  <c r="N262" i="4"/>
  <c r="M259" i="4"/>
  <c r="N410" i="4"/>
  <c r="N402" i="4"/>
  <c r="N364" i="4"/>
  <c r="M340" i="4"/>
  <c r="M326" i="4"/>
  <c r="M323" i="4"/>
  <c r="M388" i="4"/>
  <c r="N348" i="4"/>
  <c r="N315" i="4"/>
  <c r="N302" i="4"/>
  <c r="N286" i="4"/>
  <c r="M284" i="4"/>
  <c r="M257" i="4"/>
  <c r="N254" i="4"/>
  <c r="M250" i="4"/>
  <c r="M246" i="4"/>
  <c r="M242" i="4"/>
  <c r="M238" i="4"/>
  <c r="M234" i="4"/>
  <c r="M230" i="4"/>
  <c r="M226" i="4"/>
  <c r="M222" i="4"/>
  <c r="M218" i="4"/>
  <c r="M214" i="4"/>
  <c r="M210" i="4"/>
  <c r="M206" i="4"/>
  <c r="M202" i="4"/>
  <c r="M198" i="4"/>
  <c r="M194" i="4"/>
  <c r="M190" i="4"/>
  <c r="M186" i="4"/>
  <c r="M182" i="4"/>
  <c r="M178" i="4"/>
  <c r="M174" i="4"/>
  <c r="M170" i="4"/>
  <c r="M166" i="4"/>
  <c r="N368" i="4"/>
  <c r="N284" i="4"/>
  <c r="N257" i="4"/>
  <c r="N246" i="4"/>
  <c r="N238" i="4"/>
  <c r="N230" i="4"/>
  <c r="N222" i="4"/>
  <c r="N214" i="4"/>
  <c r="N206" i="4"/>
  <c r="N198" i="4"/>
  <c r="N190" i="4"/>
  <c r="M183" i="4"/>
  <c r="M179" i="4"/>
  <c r="M175" i="4"/>
  <c r="N171" i="4"/>
  <c r="M168" i="4"/>
  <c r="M156" i="4"/>
  <c r="M153" i="4"/>
  <c r="N150" i="4"/>
  <c r="M140" i="4"/>
  <c r="M137" i="4"/>
  <c r="N134" i="4"/>
  <c r="M124" i="4"/>
  <c r="M121" i="4"/>
  <c r="N118" i="4"/>
  <c r="M108" i="4"/>
  <c r="M105" i="4"/>
  <c r="N102" i="4"/>
  <c r="N98" i="4"/>
  <c r="N94" i="4"/>
  <c r="N90" i="4"/>
  <c r="N86" i="4"/>
  <c r="N82" i="4"/>
  <c r="N78" i="4"/>
  <c r="N74" i="4"/>
  <c r="N70" i="4"/>
  <c r="N66" i="4"/>
  <c r="N62" i="4"/>
  <c r="N58" i="4"/>
  <c r="N54" i="4"/>
  <c r="N50" i="4"/>
  <c r="N46" i="4"/>
  <c r="N42" i="4"/>
  <c r="N485" i="4"/>
  <c r="N304" i="4"/>
  <c r="M260" i="4"/>
  <c r="M254" i="4"/>
  <c r="M171" i="4"/>
  <c r="N163" i="4"/>
  <c r="M150" i="4"/>
  <c r="N147" i="4"/>
  <c r="M134" i="4"/>
  <c r="N131" i="4"/>
  <c r="M118" i="4"/>
  <c r="N115" i="4"/>
  <c r="M102" i="4"/>
  <c r="M98" i="4"/>
  <c r="M94" i="4"/>
  <c r="M90" i="4"/>
  <c r="M86" i="4"/>
  <c r="M82" i="4"/>
  <c r="M78" i="4"/>
  <c r="M74" i="4"/>
  <c r="M70" i="4"/>
  <c r="M66" i="4"/>
  <c r="M62" i="4"/>
  <c r="M58" i="4"/>
  <c r="M54" i="4"/>
  <c r="M50" i="4"/>
  <c r="M46" i="4"/>
  <c r="M42" i="4"/>
  <c r="M302" i="4"/>
  <c r="N288" i="4"/>
  <c r="N275" i="4"/>
  <c r="N271" i="4"/>
  <c r="N267" i="4"/>
  <c r="N251" i="4"/>
  <c r="N243" i="4"/>
  <c r="N235" i="4"/>
  <c r="N227" i="4"/>
  <c r="N219" i="4"/>
  <c r="N211" i="4"/>
  <c r="N203" i="4"/>
  <c r="N195" i="4"/>
  <c r="N187" i="4"/>
  <c r="N166" i="4"/>
  <c r="M163" i="4"/>
  <c r="N160" i="4"/>
  <c r="N157" i="4"/>
  <c r="M147" i="4"/>
  <c r="N144" i="4"/>
  <c r="N141" i="4"/>
  <c r="M131" i="4"/>
  <c r="N128" i="4"/>
  <c r="N125" i="4"/>
  <c r="M115" i="4"/>
  <c r="N112" i="4"/>
  <c r="N109" i="4"/>
  <c r="N469" i="4"/>
  <c r="M292" i="4"/>
  <c r="M263" i="4"/>
  <c r="N169" i="4"/>
  <c r="M160" i="4"/>
  <c r="M157" i="4"/>
  <c r="N154" i="4"/>
  <c r="M144" i="4"/>
  <c r="M141" i="4"/>
  <c r="N138" i="4"/>
  <c r="M128" i="4"/>
  <c r="M125" i="4"/>
  <c r="N122" i="4"/>
  <c r="M112" i="4"/>
  <c r="M109" i="4"/>
  <c r="N106" i="4"/>
  <c r="N99" i="4"/>
  <c r="N95" i="4"/>
  <c r="N91" i="4"/>
  <c r="N87" i="4"/>
  <c r="N83" i="4"/>
  <c r="N79" i="4"/>
  <c r="N75" i="4"/>
  <c r="N71" i="4"/>
  <c r="N67" i="4"/>
  <c r="N63" i="4"/>
  <c r="N59" i="4"/>
  <c r="N55" i="4"/>
  <c r="N51" i="4"/>
  <c r="N47" i="4"/>
  <c r="N43" i="4"/>
  <c r="N332" i="4"/>
  <c r="M296" i="4"/>
  <c r="N248" i="4"/>
  <c r="N240" i="4"/>
  <c r="N232" i="4"/>
  <c r="N224" i="4"/>
  <c r="N216" i="4"/>
  <c r="N208" i="4"/>
  <c r="N200" i="4"/>
  <c r="N192" i="4"/>
  <c r="M169" i="4"/>
  <c r="M154" i="4"/>
  <c r="N151" i="4"/>
  <c r="M138" i="4"/>
  <c r="N135" i="4"/>
  <c r="M122" i="4"/>
  <c r="N119" i="4"/>
  <c r="M106" i="4"/>
  <c r="N103" i="4"/>
  <c r="M99" i="4"/>
  <c r="M95" i="4"/>
  <c r="M91" i="4"/>
  <c r="M87" i="4"/>
  <c r="M83" i="4"/>
  <c r="M79" i="4"/>
  <c r="M75" i="4"/>
  <c r="M71" i="4"/>
  <c r="M67" i="4"/>
  <c r="M63" i="4"/>
  <c r="M59" i="4"/>
  <c r="M55" i="4"/>
  <c r="M51" i="4"/>
  <c r="M47" i="4"/>
  <c r="M43" i="4"/>
  <c r="N287" i="4"/>
  <c r="M248" i="4"/>
  <c r="M240" i="4"/>
  <c r="M232" i="4"/>
  <c r="M224" i="4"/>
  <c r="M216" i="4"/>
  <c r="M208" i="4"/>
  <c r="M200" i="4"/>
  <c r="M192" i="4"/>
  <c r="N182" i="4"/>
  <c r="N178" i="4"/>
  <c r="N174" i="4"/>
  <c r="N164" i="4"/>
  <c r="N161" i="4"/>
  <c r="M151" i="4"/>
  <c r="N148" i="4"/>
  <c r="N145" i="4"/>
  <c r="M135" i="4"/>
  <c r="N132" i="4"/>
  <c r="N129" i="4"/>
  <c r="M119" i="4"/>
  <c r="N116" i="4"/>
  <c r="N113" i="4"/>
  <c r="M103" i="4"/>
  <c r="N439" i="4"/>
  <c r="M352" i="4"/>
  <c r="N282" i="4"/>
  <c r="M262" i="4"/>
  <c r="N250" i="4"/>
  <c r="N242" i="4"/>
  <c r="N234" i="4"/>
  <c r="N226" i="4"/>
  <c r="N218" i="4"/>
  <c r="N210" i="4"/>
  <c r="N202" i="4"/>
  <c r="N194" i="4"/>
  <c r="N186" i="4"/>
  <c r="N184" i="4"/>
  <c r="N180" i="4"/>
  <c r="N176" i="4"/>
  <c r="N172" i="4"/>
  <c r="N167" i="4"/>
  <c r="M164" i="4"/>
  <c r="M161" i="4"/>
  <c r="N158" i="4"/>
  <c r="M148" i="4"/>
  <c r="M145" i="4"/>
  <c r="N142" i="4"/>
  <c r="M132" i="4"/>
  <c r="M129" i="4"/>
  <c r="N126" i="4"/>
  <c r="M116" i="4"/>
  <c r="M113" i="4"/>
  <c r="N110" i="4"/>
  <c r="N100" i="4"/>
  <c r="N96" i="4"/>
  <c r="N92" i="4"/>
  <c r="N88" i="4"/>
  <c r="N84" i="4"/>
  <c r="N80" i="4"/>
  <c r="N76" i="4"/>
  <c r="N72" i="4"/>
  <c r="N68" i="4"/>
  <c r="N64" i="4"/>
  <c r="N60" i="4"/>
  <c r="N56" i="4"/>
  <c r="N52" i="4"/>
  <c r="N48" i="4"/>
  <c r="N44" i="4"/>
  <c r="N40" i="4"/>
  <c r="N386" i="4"/>
  <c r="N299" i="4"/>
  <c r="N290" i="4"/>
  <c r="M277" i="4"/>
  <c r="M273" i="4"/>
  <c r="M269" i="4"/>
  <c r="M265" i="4"/>
  <c r="M184" i="4"/>
  <c r="M180" i="4"/>
  <c r="M176" i="4"/>
  <c r="M172" i="4"/>
  <c r="M167" i="4"/>
  <c r="M158" i="4"/>
  <c r="N155" i="4"/>
  <c r="M142" i="4"/>
  <c r="N139" i="4"/>
  <c r="M126" i="4"/>
  <c r="N123" i="4"/>
  <c r="M110" i="4"/>
  <c r="N107" i="4"/>
  <c r="M100" i="4"/>
  <c r="M96" i="4"/>
  <c r="M92" i="4"/>
  <c r="M88" i="4"/>
  <c r="M84" i="4"/>
  <c r="M80" i="4"/>
  <c r="M76" i="4"/>
  <c r="M72" i="4"/>
  <c r="M68" i="4"/>
  <c r="M64" i="4"/>
  <c r="M60" i="4"/>
  <c r="M56" i="4"/>
  <c r="M52" i="4"/>
  <c r="M48" i="4"/>
  <c r="M44" i="4"/>
  <c r="M40" i="4"/>
  <c r="M325" i="4"/>
  <c r="M299" i="4"/>
  <c r="M290" i="4"/>
  <c r="N247" i="4"/>
  <c r="N239" i="4"/>
  <c r="N231" i="4"/>
  <c r="N223" i="4"/>
  <c r="N215" i="4"/>
  <c r="N207" i="4"/>
  <c r="N199" i="4"/>
  <c r="N191" i="4"/>
  <c r="N170" i="4"/>
  <c r="M155" i="4"/>
  <c r="N152" i="4"/>
  <c r="N149" i="4"/>
  <c r="M139" i="4"/>
  <c r="N136" i="4"/>
  <c r="N133" i="4"/>
  <c r="M123" i="4"/>
  <c r="N120" i="4"/>
  <c r="N117" i="4"/>
  <c r="M107" i="4"/>
  <c r="N104" i="4"/>
  <c r="M425" i="4"/>
  <c r="N294" i="4"/>
  <c r="M281" i="4"/>
  <c r="N258" i="4"/>
  <c r="N255" i="4"/>
  <c r="N165" i="4"/>
  <c r="N162" i="4"/>
  <c r="M152" i="4"/>
  <c r="M149" i="4"/>
  <c r="N146" i="4"/>
  <c r="M136" i="4"/>
  <c r="M133" i="4"/>
  <c r="N130" i="4"/>
  <c r="M120" i="4"/>
  <c r="M117" i="4"/>
  <c r="N114" i="4"/>
  <c r="M104" i="4"/>
  <c r="N101" i="4"/>
  <c r="N97" i="4"/>
  <c r="N93" i="4"/>
  <c r="N89" i="4"/>
  <c r="N85" i="4"/>
  <c r="N81" i="4"/>
  <c r="N77" i="4"/>
  <c r="N73" i="4"/>
  <c r="N69" i="4"/>
  <c r="N65" i="4"/>
  <c r="N61" i="4"/>
  <c r="N57" i="4"/>
  <c r="N53" i="4"/>
  <c r="N49" i="4"/>
  <c r="N45" i="4"/>
  <c r="N41" i="4"/>
  <c r="N307" i="4"/>
  <c r="M294" i="4"/>
  <c r="N261" i="4"/>
  <c r="M258" i="4"/>
  <c r="M255" i="4"/>
  <c r="N252" i="4"/>
  <c r="N244" i="4"/>
  <c r="N236" i="4"/>
  <c r="N228" i="4"/>
  <c r="N220" i="4"/>
  <c r="N212" i="4"/>
  <c r="N204" i="4"/>
  <c r="N196" i="4"/>
  <c r="N188" i="4"/>
  <c r="M165" i="4"/>
  <c r="M162" i="4"/>
  <c r="N159" i="4"/>
  <c r="M146" i="4"/>
  <c r="N143" i="4"/>
  <c r="M130" i="4"/>
  <c r="N127" i="4"/>
  <c r="M114" i="4"/>
  <c r="N111" i="4"/>
  <c r="M101" i="4"/>
  <c r="M97" i="4"/>
  <c r="M93" i="4"/>
  <c r="M89" i="4"/>
  <c r="M85" i="4"/>
  <c r="M81" i="4"/>
  <c r="M77" i="4"/>
  <c r="M73" i="4"/>
  <c r="M69" i="4"/>
  <c r="M65" i="4"/>
  <c r="M61" i="4"/>
  <c r="M57" i="4"/>
  <c r="M53" i="4"/>
  <c r="M49" i="4"/>
  <c r="M45" i="4"/>
  <c r="M41" i="4"/>
  <c r="N137" i="4"/>
  <c r="N153" i="4"/>
  <c r="M261" i="4"/>
  <c r="M228" i="4"/>
  <c r="M196" i="4"/>
  <c r="N168" i="4"/>
  <c r="M307" i="4"/>
  <c r="M252" i="4"/>
  <c r="M220" i="4"/>
  <c r="M188" i="4"/>
  <c r="M111" i="4"/>
  <c r="N183" i="4"/>
  <c r="M127" i="4"/>
  <c r="M244" i="4"/>
  <c r="M212" i="4"/>
  <c r="M143" i="4"/>
  <c r="N108" i="4"/>
  <c r="N179" i="4"/>
  <c r="M159" i="4"/>
  <c r="N124" i="4"/>
  <c r="N140" i="4"/>
  <c r="N105" i="4"/>
  <c r="M236" i="4"/>
  <c r="M204" i="4"/>
  <c r="N175" i="4"/>
  <c r="N156" i="4"/>
  <c r="N121" i="4"/>
  <c r="A537" i="2"/>
  <c r="A513" i="2"/>
  <c r="A489" i="2"/>
  <c r="A465" i="2"/>
  <c r="A441" i="2"/>
  <c r="A417" i="2"/>
  <c r="A393" i="2"/>
  <c r="A369" i="2"/>
  <c r="A345" i="2"/>
  <c r="A576" i="2"/>
  <c r="A570" i="2"/>
  <c r="A546" i="2"/>
  <c r="A596" i="2"/>
  <c r="A566" i="2"/>
  <c r="A456" i="2"/>
  <c r="A304" i="2"/>
  <c r="A265" i="2"/>
  <c r="A241" i="2"/>
  <c r="A217" i="2"/>
  <c r="A394" i="2"/>
  <c r="A323" i="2"/>
  <c r="A309" i="2"/>
  <c r="A386" i="2"/>
  <c r="A468" i="2"/>
  <c r="A274" i="2"/>
  <c r="A224" i="2"/>
  <c r="A131" i="2"/>
  <c r="A360" i="2"/>
  <c r="A88" i="2"/>
  <c r="A350" i="2"/>
  <c r="A196" i="2"/>
  <c r="A112" i="2"/>
  <c r="A17" i="2"/>
  <c r="A418" i="2"/>
  <c r="A378" i="2"/>
  <c r="A169" i="2"/>
  <c r="A106" i="2"/>
  <c r="A302" i="2"/>
  <c r="A159" i="2"/>
  <c r="A95" i="2"/>
  <c r="A442" i="2"/>
  <c r="A198" i="2"/>
  <c r="A14" i="2"/>
  <c r="A494" i="2"/>
  <c r="A144" i="2"/>
  <c r="A246" i="2"/>
  <c r="A97" i="2"/>
  <c r="A12" i="2"/>
  <c r="A8" i="2"/>
  <c r="A120" i="2"/>
  <c r="A200" i="2"/>
  <c r="A83" i="2"/>
  <c r="A190" i="2"/>
  <c r="A11" i="2"/>
  <c r="A340" i="2"/>
  <c r="A163" i="2"/>
  <c r="A153" i="2"/>
  <c r="A426" i="2"/>
  <c r="A6" i="2"/>
  <c r="A222" i="2"/>
  <c r="A105" i="2"/>
  <c r="A204" i="2"/>
  <c r="A262" i="2"/>
  <c r="A542" i="2"/>
  <c r="A213" i="2"/>
  <c r="A303" i="2"/>
  <c r="A518" i="2"/>
  <c r="A234" i="2"/>
  <c r="A184" i="2"/>
  <c r="A390" i="2"/>
  <c r="A157" i="2"/>
  <c r="A147" i="2"/>
  <c r="A280" i="2"/>
  <c r="A59" i="2"/>
  <c r="A526" i="2"/>
  <c r="A232" i="2"/>
  <c r="A56" i="2"/>
  <c r="A228" i="2"/>
  <c r="A49" i="2"/>
  <c r="A371" i="2"/>
  <c r="A99" i="2"/>
  <c r="A28" i="2"/>
  <c r="A535" i="2"/>
  <c r="A511" i="2"/>
  <c r="A487" i="2"/>
  <c r="A463" i="2"/>
  <c r="A439" i="2"/>
  <c r="A415" i="2"/>
  <c r="A391" i="2"/>
  <c r="A367" i="2"/>
  <c r="A343" i="2"/>
  <c r="A573" i="2"/>
  <c r="A567" i="2"/>
  <c r="A544" i="2"/>
  <c r="A593" i="2"/>
  <c r="A563" i="2"/>
  <c r="A448" i="2"/>
  <c r="A301" i="2"/>
  <c r="A263" i="2"/>
  <c r="A239" i="2"/>
  <c r="A215" i="2"/>
  <c r="A388" i="2"/>
  <c r="A319" i="2"/>
  <c r="A306" i="2"/>
  <c r="A380" i="2"/>
  <c r="A460" i="2"/>
  <c r="A272" i="2"/>
  <c r="A125" i="2"/>
  <c r="A258" i="2"/>
  <c r="A341" i="2"/>
  <c r="A104" i="2"/>
  <c r="A402" i="2"/>
  <c r="A93" i="2"/>
  <c r="A296" i="2"/>
  <c r="A92" i="2"/>
  <c r="A47" i="2"/>
  <c r="A446" i="2"/>
  <c r="A194" i="2"/>
  <c r="A58" i="2"/>
  <c r="A382" i="2"/>
  <c r="A452" i="2"/>
  <c r="A119" i="2"/>
  <c r="A333" i="2"/>
  <c r="A96" i="2"/>
  <c r="A332" i="2"/>
  <c r="A290" i="2"/>
  <c r="A410" i="2"/>
  <c r="A236" i="2"/>
  <c r="A36" i="2"/>
  <c r="A270" i="2"/>
  <c r="A79" i="2"/>
  <c r="A146" i="2"/>
  <c r="A26" i="2"/>
  <c r="A467" i="2"/>
  <c r="A601" i="2"/>
  <c r="A400" i="2"/>
  <c r="A7" i="2"/>
  <c r="A250" i="2"/>
  <c r="A188" i="2"/>
  <c r="A533" i="2"/>
  <c r="A509" i="2"/>
  <c r="A485" i="2"/>
  <c r="A461" i="2"/>
  <c r="A437" i="2"/>
  <c r="A413" i="2"/>
  <c r="A389" i="2"/>
  <c r="A365" i="2"/>
  <c r="A568" i="2"/>
  <c r="A562" i="2"/>
  <c r="A588" i="2"/>
  <c r="A558" i="2"/>
  <c r="A440" i="2"/>
  <c r="A298" i="2"/>
  <c r="A261" i="2"/>
  <c r="A237" i="2"/>
  <c r="A534" i="2"/>
  <c r="A356" i="2"/>
  <c r="A191" i="2"/>
  <c r="A72" i="2"/>
  <c r="A5" i="2"/>
  <c r="A74" i="2"/>
  <c r="A87" i="2"/>
  <c r="A180" i="2"/>
  <c r="A73" i="2"/>
  <c r="A89" i="2"/>
  <c r="A384" i="2"/>
  <c r="A122" i="2"/>
  <c r="A462" i="2"/>
  <c r="A156" i="2"/>
  <c r="A491" i="2"/>
  <c r="A575" i="2"/>
  <c r="A571" i="2"/>
  <c r="A243" i="2"/>
  <c r="A476" i="2"/>
  <c r="A82" i="2"/>
  <c r="A165" i="2"/>
  <c r="A128" i="2"/>
  <c r="A603" i="2"/>
  <c r="A555" i="2"/>
  <c r="A531" i="2"/>
  <c r="A507" i="2"/>
  <c r="A483" i="2"/>
  <c r="A459" i="2"/>
  <c r="A435" i="2"/>
  <c r="A411" i="2"/>
  <c r="A387" i="2"/>
  <c r="A363" i="2"/>
  <c r="A565" i="2"/>
  <c r="A559" i="2"/>
  <c r="A540" i="2"/>
  <c r="A585" i="2"/>
  <c r="A528" i="2"/>
  <c r="A432" i="2"/>
  <c r="A295" i="2"/>
  <c r="A259" i="2"/>
  <c r="A235" i="2"/>
  <c r="A211" i="2"/>
  <c r="A372" i="2"/>
  <c r="A366" i="2"/>
  <c r="A300" i="2"/>
  <c r="A318" i="2"/>
  <c r="A444" i="2"/>
  <c r="A502" i="2"/>
  <c r="A185" i="2"/>
  <c r="A113" i="2"/>
  <c r="A210" i="2"/>
  <c r="A55" i="2"/>
  <c r="A325" i="2"/>
  <c r="A178" i="2"/>
  <c r="A91" i="2"/>
  <c r="A109" i="2"/>
  <c r="A317" i="2"/>
  <c r="A324" i="2"/>
  <c r="A151" i="2"/>
  <c r="A226" i="2"/>
  <c r="A256" i="2"/>
  <c r="A141" i="2"/>
  <c r="A84" i="2"/>
  <c r="A396" i="2"/>
  <c r="A176" i="2"/>
  <c r="A54" i="2"/>
  <c r="A132" i="2"/>
  <c r="A328" i="2"/>
  <c r="A66" i="2"/>
  <c r="A16" i="2"/>
  <c r="A212" i="2"/>
  <c r="A510" i="2"/>
  <c r="A63" i="2"/>
  <c r="A145" i="2"/>
  <c r="A135" i="2"/>
  <c r="A158" i="2"/>
  <c r="A152" i="2"/>
  <c r="A126" i="2"/>
  <c r="A347" i="2"/>
  <c r="A392" i="2"/>
  <c r="A25" i="2"/>
  <c r="A238" i="2"/>
  <c r="A553" i="2"/>
  <c r="A529" i="2"/>
  <c r="A505" i="2"/>
  <c r="A481" i="2"/>
  <c r="A457" i="2"/>
  <c r="A433" i="2"/>
  <c r="A409" i="2"/>
  <c r="A385" i="2"/>
  <c r="A361" i="2"/>
  <c r="A560" i="2"/>
  <c r="A602" i="2"/>
  <c r="A538" i="2"/>
  <c r="A580" i="2"/>
  <c r="A598" i="2"/>
  <c r="A520" i="2"/>
  <c r="A424" i="2"/>
  <c r="A292" i="2"/>
  <c r="A257" i="2"/>
  <c r="A233" i="2"/>
  <c r="A209" i="2"/>
  <c r="A348" i="2"/>
  <c r="A342" i="2"/>
  <c r="A297" i="2"/>
  <c r="A532" i="2"/>
  <c r="A436" i="2"/>
  <c r="A486" i="2"/>
  <c r="A179" i="2"/>
  <c r="A62" i="2"/>
  <c r="A65" i="2"/>
  <c r="A39" i="2"/>
  <c r="A311" i="2"/>
  <c r="A172" i="2"/>
  <c r="A80" i="2"/>
  <c r="A77" i="2"/>
  <c r="A276" i="2"/>
  <c r="A281" i="2"/>
  <c r="A90" i="2"/>
  <c r="A168" i="2"/>
  <c r="A57" i="2"/>
  <c r="A395" i="2"/>
  <c r="A248" i="2"/>
  <c r="A308" i="2"/>
  <c r="A478" i="2"/>
  <c r="A551" i="2"/>
  <c r="A527" i="2"/>
  <c r="A503" i="2"/>
  <c r="A479" i="2"/>
  <c r="A455" i="2"/>
  <c r="A431" i="2"/>
  <c r="A407" i="2"/>
  <c r="A383" i="2"/>
  <c r="A359" i="2"/>
  <c r="A557" i="2"/>
  <c r="A599" i="2"/>
  <c r="A536" i="2"/>
  <c r="A577" i="2"/>
  <c r="A595" i="2"/>
  <c r="A512" i="2"/>
  <c r="A416" i="2"/>
  <c r="A289" i="2"/>
  <c r="A255" i="2"/>
  <c r="A231" i="2"/>
  <c r="A207" i="2"/>
  <c r="A283" i="2"/>
  <c r="A338" i="2"/>
  <c r="A294" i="2"/>
  <c r="A524" i="2"/>
  <c r="A428" i="2"/>
  <c r="A470" i="2"/>
  <c r="A173" i="2"/>
  <c r="A43" i="2"/>
  <c r="A60" i="2"/>
  <c r="A29" i="2"/>
  <c r="A305" i="2"/>
  <c r="A166" i="2"/>
  <c r="A75" i="2"/>
  <c r="A530" i="2"/>
  <c r="A254" i="2"/>
  <c r="A264" i="2"/>
  <c r="A139" i="2"/>
  <c r="A69" i="2"/>
  <c r="A208" i="2"/>
  <c r="A129" i="2"/>
  <c r="A76" i="2"/>
  <c r="A364" i="2"/>
  <c r="A140" i="2"/>
  <c r="A44" i="2"/>
  <c r="A38" i="2"/>
  <c r="A102" i="2"/>
  <c r="A138" i="2"/>
  <c r="A162" i="2"/>
  <c r="A116" i="2"/>
  <c r="A414" i="2"/>
  <c r="A170" i="2"/>
  <c r="A167" i="2"/>
  <c r="A23" i="2"/>
  <c r="A160" i="2"/>
  <c r="A67" i="2"/>
  <c r="A230" i="2"/>
  <c r="A240" i="2"/>
  <c r="A374" i="2"/>
  <c r="A195" i="2"/>
  <c r="A71" i="2"/>
  <c r="A284" i="2"/>
  <c r="A32" i="2"/>
  <c r="A30" i="2"/>
  <c r="A51" i="2"/>
  <c r="A81" i="2"/>
  <c r="A376" i="2"/>
  <c r="A569" i="2"/>
  <c r="A203" i="2"/>
  <c r="A288" i="2"/>
  <c r="A438" i="2"/>
  <c r="A48" i="2"/>
  <c r="A154" i="2"/>
  <c r="A498" i="2"/>
  <c r="A127" i="2"/>
  <c r="A117" i="2"/>
  <c r="A61" i="2"/>
  <c r="A24" i="2"/>
  <c r="A252" i="2"/>
  <c r="A177" i="2"/>
  <c r="A78" i="2"/>
  <c r="A114" i="2"/>
  <c r="A186" i="2"/>
  <c r="A581" i="2"/>
  <c r="A64" i="2"/>
  <c r="A549" i="2"/>
  <c r="A525" i="2"/>
  <c r="A501" i="2"/>
  <c r="A477" i="2"/>
  <c r="A453" i="2"/>
  <c r="A429" i="2"/>
  <c r="A405" i="2"/>
  <c r="A381" i="2"/>
  <c r="A357" i="2"/>
  <c r="A600" i="2"/>
  <c r="A594" i="2"/>
  <c r="A572" i="2"/>
  <c r="A590" i="2"/>
  <c r="A504" i="2"/>
  <c r="A408" i="2"/>
  <c r="A286" i="2"/>
  <c r="A253" i="2"/>
  <c r="A229" i="2"/>
  <c r="A205" i="2"/>
  <c r="A275" i="2"/>
  <c r="A334" i="2"/>
  <c r="A291" i="2"/>
  <c r="A516" i="2"/>
  <c r="A420" i="2"/>
  <c r="A454" i="2"/>
  <c r="A37" i="2"/>
  <c r="A53" i="2"/>
  <c r="A299" i="2"/>
  <c r="A514" i="2"/>
  <c r="A133" i="2"/>
  <c r="A123" i="2"/>
  <c r="A86" i="2"/>
  <c r="A40" i="2"/>
  <c r="A354" i="2"/>
  <c r="A358" i="2"/>
  <c r="A330" i="2"/>
  <c r="A412" i="2"/>
  <c r="A33" i="2"/>
  <c r="A15" i="2"/>
  <c r="A50" i="2"/>
  <c r="A216" i="2"/>
  <c r="A189" i="2"/>
  <c r="A266" i="2"/>
  <c r="A20" i="2"/>
  <c r="A46" i="2"/>
  <c r="A260" i="2"/>
  <c r="A490" i="2"/>
  <c r="A94" i="2"/>
  <c r="A344" i="2"/>
  <c r="A443" i="2"/>
  <c r="A267" i="2"/>
  <c r="A282" i="2"/>
  <c r="A434" i="2"/>
  <c r="A22" i="2"/>
  <c r="A547" i="2"/>
  <c r="A523" i="2"/>
  <c r="A499" i="2"/>
  <c r="A475" i="2"/>
  <c r="A451" i="2"/>
  <c r="A427" i="2"/>
  <c r="A403" i="2"/>
  <c r="A379" i="2"/>
  <c r="A355" i="2"/>
  <c r="A597" i="2"/>
  <c r="A591" i="2"/>
  <c r="A587" i="2"/>
  <c r="A496" i="2"/>
  <c r="A278" i="2"/>
  <c r="A251" i="2"/>
  <c r="A227" i="2"/>
  <c r="A362" i="2"/>
  <c r="A508" i="2"/>
  <c r="A161" i="2"/>
  <c r="A293" i="2"/>
  <c r="A206" i="2"/>
  <c r="A337" i="2"/>
  <c r="A522" i="2"/>
  <c r="A18" i="2"/>
  <c r="A336" i="2"/>
  <c r="A34" i="2"/>
  <c r="A164" i="2"/>
  <c r="A45" i="2"/>
  <c r="A539" i="2"/>
  <c r="A327" i="2"/>
  <c r="A220" i="2"/>
  <c r="A100" i="2"/>
  <c r="A545" i="2"/>
  <c r="A521" i="2"/>
  <c r="A497" i="2"/>
  <c r="A473" i="2"/>
  <c r="A449" i="2"/>
  <c r="A425" i="2"/>
  <c r="A401" i="2"/>
  <c r="A377" i="2"/>
  <c r="A353" i="2"/>
  <c r="A592" i="2"/>
  <c r="A586" i="2"/>
  <c r="A554" i="2"/>
  <c r="A564" i="2"/>
  <c r="A582" i="2"/>
  <c r="A488" i="2"/>
  <c r="A316" i="2"/>
  <c r="A273" i="2"/>
  <c r="A249" i="2"/>
  <c r="A225" i="2"/>
  <c r="A201" i="2"/>
  <c r="A339" i="2"/>
  <c r="A326" i="2"/>
  <c r="A285" i="2"/>
  <c r="A500" i="2"/>
  <c r="A404" i="2"/>
  <c r="A422" i="2"/>
  <c r="A155" i="2"/>
  <c r="A27" i="2"/>
  <c r="A142" i="2"/>
  <c r="A9" i="2"/>
  <c r="A287" i="2"/>
  <c r="A148" i="2"/>
  <c r="A41" i="2"/>
  <c r="A482" i="2"/>
  <c r="A19" i="2"/>
  <c r="A193" i="2"/>
  <c r="A121" i="2"/>
  <c r="A329" i="2"/>
  <c r="A183" i="2"/>
  <c r="A111" i="2"/>
  <c r="A506" i="2"/>
  <c r="A242" i="2"/>
  <c r="A42" i="2"/>
  <c r="A68" i="2"/>
  <c r="A10" i="2"/>
  <c r="A4" i="2"/>
  <c r="A214" i="2"/>
  <c r="A182" i="2"/>
  <c r="A150" i="2"/>
  <c r="A192" i="2"/>
  <c r="A187" i="2"/>
  <c r="A108" i="2"/>
  <c r="A52" i="2"/>
  <c r="A174" i="2"/>
  <c r="A320" i="2"/>
  <c r="A515" i="2"/>
  <c r="A548" i="2"/>
  <c r="A307" i="2"/>
  <c r="A219" i="2"/>
  <c r="A137" i="2"/>
  <c r="A175" i="2"/>
  <c r="A134" i="2"/>
  <c r="B25" i="4"/>
  <c r="A543" i="2"/>
  <c r="A519" i="2"/>
  <c r="A495" i="2"/>
  <c r="A471" i="2"/>
  <c r="A447" i="2"/>
  <c r="A423" i="2"/>
  <c r="A399" i="2"/>
  <c r="A375" i="2"/>
  <c r="A351" i="2"/>
  <c r="A589" i="2"/>
  <c r="A583" i="2"/>
  <c r="A552" i="2"/>
  <c r="A561" i="2"/>
  <c r="A579" i="2"/>
  <c r="A480" i="2"/>
  <c r="A313" i="2"/>
  <c r="A271" i="2"/>
  <c r="A247" i="2"/>
  <c r="A223" i="2"/>
  <c r="A199" i="2"/>
  <c r="A335" i="2"/>
  <c r="A322" i="2"/>
  <c r="A277" i="2"/>
  <c r="A492" i="2"/>
  <c r="A370" i="2"/>
  <c r="A406" i="2"/>
  <c r="A149" i="2"/>
  <c r="A21" i="2"/>
  <c r="A118" i="2"/>
  <c r="A202" i="2"/>
  <c r="A268" i="2"/>
  <c r="A136" i="2"/>
  <c r="A35" i="2"/>
  <c r="A466" i="2"/>
  <c r="A101" i="2"/>
  <c r="A115" i="2"/>
  <c r="A321" i="2"/>
  <c r="A218" i="2"/>
  <c r="A110" i="2"/>
  <c r="A419" i="2"/>
  <c r="A464" i="2"/>
  <c r="A312" i="2"/>
  <c r="A124" i="2"/>
  <c r="A458" i="2"/>
  <c r="A70" i="2"/>
  <c r="A541" i="2"/>
  <c r="A517" i="2"/>
  <c r="A493" i="2"/>
  <c r="A469" i="2"/>
  <c r="A445" i="2"/>
  <c r="A421" i="2"/>
  <c r="A397" i="2"/>
  <c r="A373" i="2"/>
  <c r="A349" i="2"/>
  <c r="A584" i="2"/>
  <c r="A578" i="2"/>
  <c r="A550" i="2"/>
  <c r="A556" i="2"/>
  <c r="A574" i="2"/>
  <c r="A472" i="2"/>
  <c r="A310" i="2"/>
  <c r="A269" i="2"/>
  <c r="A245" i="2"/>
  <c r="A221" i="2"/>
  <c r="A197" i="2"/>
  <c r="A331" i="2"/>
  <c r="A315" i="2"/>
  <c r="A398" i="2"/>
  <c r="A484" i="2"/>
  <c r="A346" i="2"/>
  <c r="A352" i="2"/>
  <c r="A143" i="2"/>
  <c r="A13" i="2"/>
  <c r="A107" i="2"/>
  <c r="A98" i="2"/>
  <c r="A244" i="2"/>
  <c r="A130" i="2"/>
  <c r="A31" i="2"/>
  <c r="A450" i="2"/>
  <c r="A85" i="2"/>
  <c r="A181" i="2"/>
  <c r="A368" i="2"/>
  <c r="A314" i="2"/>
  <c r="A171" i="2"/>
  <c r="A103" i="2"/>
  <c r="A474" i="2"/>
  <c r="A430" i="2"/>
  <c r="A279" i="2"/>
  <c r="F482" i="2" l="1"/>
  <c r="D482" i="2"/>
  <c r="C482" i="2"/>
  <c r="B482" i="2"/>
  <c r="E482" i="2"/>
  <c r="F312" i="2"/>
  <c r="C312" i="2"/>
  <c r="E312" i="2"/>
  <c r="D312" i="2"/>
  <c r="B312" i="2"/>
  <c r="F362" i="2"/>
  <c r="D362" i="2"/>
  <c r="C362" i="2"/>
  <c r="B362" i="2"/>
  <c r="E362" i="2"/>
  <c r="F130" i="2"/>
  <c r="E130" i="2"/>
  <c r="C130" i="2"/>
  <c r="B130" i="2"/>
  <c r="D130" i="2"/>
  <c r="F103" i="2"/>
  <c r="E103" i="2"/>
  <c r="D103" i="2"/>
  <c r="B103" i="2"/>
  <c r="C103" i="2"/>
  <c r="D13" i="2"/>
  <c r="C13" i="2"/>
  <c r="B13" i="2"/>
  <c r="F13" i="2"/>
  <c r="E13" i="2"/>
  <c r="F310" i="2"/>
  <c r="C310" i="2"/>
  <c r="E310" i="2"/>
  <c r="D310" i="2"/>
  <c r="B310" i="2"/>
  <c r="F469" i="2"/>
  <c r="E469" i="2"/>
  <c r="D469" i="2"/>
  <c r="C469" i="2"/>
  <c r="B469" i="2"/>
  <c r="F321" i="2"/>
  <c r="C321" i="2"/>
  <c r="E321" i="2"/>
  <c r="D321" i="2"/>
  <c r="B321" i="2"/>
  <c r="F370" i="2"/>
  <c r="D370" i="2"/>
  <c r="C370" i="2"/>
  <c r="B370" i="2"/>
  <c r="E370" i="2"/>
  <c r="F561" i="2"/>
  <c r="E561" i="2"/>
  <c r="C561" i="2"/>
  <c r="D561" i="2"/>
  <c r="B561" i="2"/>
  <c r="F543" i="2"/>
  <c r="E543" i="2"/>
  <c r="D543" i="2"/>
  <c r="C543" i="2"/>
  <c r="B543" i="2"/>
  <c r="F108" i="2"/>
  <c r="E108" i="2"/>
  <c r="C108" i="2"/>
  <c r="D108" i="2"/>
  <c r="B108" i="2"/>
  <c r="F111" i="2"/>
  <c r="D111" i="2"/>
  <c r="E111" i="2"/>
  <c r="C111" i="2"/>
  <c r="B111" i="2"/>
  <c r="D27" i="2"/>
  <c r="C27" i="2"/>
  <c r="B27" i="2"/>
  <c r="F27" i="2"/>
  <c r="E27" i="2"/>
  <c r="F316" i="2"/>
  <c r="D316" i="2"/>
  <c r="C316" i="2"/>
  <c r="E316" i="2"/>
  <c r="B316" i="2"/>
  <c r="F473" i="2"/>
  <c r="E473" i="2"/>
  <c r="D473" i="2"/>
  <c r="C473" i="2"/>
  <c r="B473" i="2"/>
  <c r="F18" i="2"/>
  <c r="B18" i="2"/>
  <c r="C18" i="2"/>
  <c r="E18" i="2"/>
  <c r="D18" i="2"/>
  <c r="F587" i="2"/>
  <c r="E587" i="2"/>
  <c r="C587" i="2"/>
  <c r="D587" i="2"/>
  <c r="B587" i="2"/>
  <c r="F22" i="2"/>
  <c r="B22" i="2"/>
  <c r="C22" i="2"/>
  <c r="E22" i="2"/>
  <c r="D22" i="2"/>
  <c r="F189" i="2"/>
  <c r="E189" i="2"/>
  <c r="D189" i="2"/>
  <c r="C189" i="2"/>
  <c r="B189" i="2"/>
  <c r="E133" i="2"/>
  <c r="B133" i="2"/>
  <c r="D133" i="2"/>
  <c r="C133" i="2"/>
  <c r="F133" i="2"/>
  <c r="F229" i="2"/>
  <c r="E229" i="2"/>
  <c r="B229" i="2"/>
  <c r="D229" i="2"/>
  <c r="C229" i="2"/>
  <c r="F429" i="2"/>
  <c r="E429" i="2"/>
  <c r="D429" i="2"/>
  <c r="C429" i="2"/>
  <c r="B429" i="2"/>
  <c r="F252" i="2"/>
  <c r="E252" i="2"/>
  <c r="C252" i="2"/>
  <c r="B252" i="2"/>
  <c r="D252" i="2"/>
  <c r="F376" i="2"/>
  <c r="D376" i="2"/>
  <c r="C376" i="2"/>
  <c r="B376" i="2"/>
  <c r="E376" i="2"/>
  <c r="F160" i="2"/>
  <c r="E160" i="2"/>
  <c r="C160" i="2"/>
  <c r="B160" i="2"/>
  <c r="D160" i="2"/>
  <c r="F364" i="2"/>
  <c r="D364" i="2"/>
  <c r="C364" i="2"/>
  <c r="B364" i="2"/>
  <c r="E364" i="2"/>
  <c r="D29" i="2"/>
  <c r="C29" i="2"/>
  <c r="B29" i="2"/>
  <c r="F29" i="2"/>
  <c r="E29" i="2"/>
  <c r="C255" i="2"/>
  <c r="B255" i="2"/>
  <c r="F255" i="2"/>
  <c r="D255" i="2"/>
  <c r="E255" i="2"/>
  <c r="F431" i="2"/>
  <c r="E431" i="2"/>
  <c r="D431" i="2"/>
  <c r="C431" i="2"/>
  <c r="B431" i="2"/>
  <c r="F90" i="2"/>
  <c r="E90" i="2"/>
  <c r="C90" i="2"/>
  <c r="D90" i="2"/>
  <c r="B90" i="2"/>
  <c r="F436" i="2"/>
  <c r="D436" i="2"/>
  <c r="C436" i="2"/>
  <c r="B436" i="2"/>
  <c r="E436" i="2"/>
  <c r="E580" i="2"/>
  <c r="D580" i="2"/>
  <c r="C580" i="2"/>
  <c r="B580" i="2"/>
  <c r="F580" i="2"/>
  <c r="F553" i="2"/>
  <c r="E553" i="2"/>
  <c r="D553" i="2"/>
  <c r="C553" i="2"/>
  <c r="B553" i="2"/>
  <c r="F212" i="2"/>
  <c r="E212" i="2"/>
  <c r="C212" i="2"/>
  <c r="B212" i="2"/>
  <c r="D212" i="2"/>
  <c r="E151" i="2"/>
  <c r="D151" i="2"/>
  <c r="B151" i="2"/>
  <c r="C151" i="2"/>
  <c r="F151" i="2"/>
  <c r="F444" i="2"/>
  <c r="D444" i="2"/>
  <c r="C444" i="2"/>
  <c r="B444" i="2"/>
  <c r="E444" i="2"/>
  <c r="F540" i="2"/>
  <c r="D540" i="2"/>
  <c r="C540" i="2"/>
  <c r="B540" i="2"/>
  <c r="E540" i="2"/>
  <c r="F603" i="2"/>
  <c r="E603" i="2"/>
  <c r="D603" i="2"/>
  <c r="C603" i="2"/>
  <c r="B603" i="2"/>
  <c r="F384" i="2"/>
  <c r="D384" i="2"/>
  <c r="C384" i="2"/>
  <c r="B384" i="2"/>
  <c r="E384" i="2"/>
  <c r="F261" i="2"/>
  <c r="E261" i="2"/>
  <c r="D261" i="2"/>
  <c r="C261" i="2"/>
  <c r="B261" i="2"/>
  <c r="F485" i="2"/>
  <c r="E485" i="2"/>
  <c r="D485" i="2"/>
  <c r="C485" i="2"/>
  <c r="B485" i="2"/>
  <c r="F270" i="2"/>
  <c r="E270" i="2"/>
  <c r="C270" i="2"/>
  <c r="B270" i="2"/>
  <c r="D270" i="2"/>
  <c r="F194" i="2"/>
  <c r="E194" i="2"/>
  <c r="C194" i="2"/>
  <c r="B194" i="2"/>
  <c r="D194" i="2"/>
  <c r="F460" i="2"/>
  <c r="D460" i="2"/>
  <c r="C460" i="2"/>
  <c r="B460" i="2"/>
  <c r="E460" i="2"/>
  <c r="F544" i="2"/>
  <c r="D544" i="2"/>
  <c r="C544" i="2"/>
  <c r="B544" i="2"/>
  <c r="E544" i="2"/>
  <c r="F28" i="2"/>
  <c r="B28" i="2"/>
  <c r="E28" i="2"/>
  <c r="D28" i="2"/>
  <c r="C28" i="2"/>
  <c r="F390" i="2"/>
  <c r="D390" i="2"/>
  <c r="C390" i="2"/>
  <c r="B390" i="2"/>
  <c r="E390" i="2"/>
  <c r="F426" i="2"/>
  <c r="D426" i="2"/>
  <c r="C426" i="2"/>
  <c r="B426" i="2"/>
  <c r="E426" i="2"/>
  <c r="F246" i="2"/>
  <c r="E246" i="2"/>
  <c r="C246" i="2"/>
  <c r="B246" i="2"/>
  <c r="D246" i="2"/>
  <c r="F418" i="2"/>
  <c r="D418" i="2"/>
  <c r="C418" i="2"/>
  <c r="B418" i="2"/>
  <c r="E418" i="2"/>
  <c r="F309" i="2"/>
  <c r="C309" i="2"/>
  <c r="E309" i="2"/>
  <c r="D309" i="2"/>
  <c r="B309" i="2"/>
  <c r="B576" i="2"/>
  <c r="F576" i="2"/>
  <c r="E576" i="2"/>
  <c r="D576" i="2"/>
  <c r="C576" i="2"/>
  <c r="F223" i="2"/>
  <c r="E223" i="2"/>
  <c r="D223" i="2"/>
  <c r="C223" i="2"/>
  <c r="B223" i="2"/>
  <c r="F330" i="2"/>
  <c r="D330" i="2"/>
  <c r="C330" i="2"/>
  <c r="B330" i="2"/>
  <c r="E330" i="2"/>
  <c r="F10" i="2"/>
  <c r="B10" i="2"/>
  <c r="C10" i="2"/>
  <c r="D10" i="2"/>
  <c r="E10" i="2"/>
  <c r="F171" i="2"/>
  <c r="E171" i="2"/>
  <c r="D171" i="2"/>
  <c r="C171" i="2"/>
  <c r="B171" i="2"/>
  <c r="F493" i="2"/>
  <c r="E493" i="2"/>
  <c r="D493" i="2"/>
  <c r="C493" i="2"/>
  <c r="B493" i="2"/>
  <c r="E115" i="2"/>
  <c r="D115" i="2"/>
  <c r="C115" i="2"/>
  <c r="B115" i="2"/>
  <c r="F115" i="2"/>
  <c r="F492" i="2"/>
  <c r="D492" i="2"/>
  <c r="C492" i="2"/>
  <c r="B492" i="2"/>
  <c r="E492" i="2"/>
  <c r="F552" i="2"/>
  <c r="D552" i="2"/>
  <c r="C552" i="2"/>
  <c r="B552" i="2"/>
  <c r="E552" i="2"/>
  <c r="E187" i="2"/>
  <c r="D187" i="2"/>
  <c r="B187" i="2"/>
  <c r="C187" i="2"/>
  <c r="F187" i="2"/>
  <c r="F183" i="2"/>
  <c r="D183" i="2"/>
  <c r="E183" i="2"/>
  <c r="C183" i="2"/>
  <c r="B183" i="2"/>
  <c r="E155" i="2"/>
  <c r="C155" i="2"/>
  <c r="B155" i="2"/>
  <c r="D155" i="2"/>
  <c r="F155" i="2"/>
  <c r="F488" i="2"/>
  <c r="D488" i="2"/>
  <c r="C488" i="2"/>
  <c r="B488" i="2"/>
  <c r="E488" i="2"/>
  <c r="F497" i="2"/>
  <c r="E497" i="2"/>
  <c r="D497" i="2"/>
  <c r="C497" i="2"/>
  <c r="B497" i="2"/>
  <c r="F522" i="2"/>
  <c r="D522" i="2"/>
  <c r="C522" i="2"/>
  <c r="B522" i="2"/>
  <c r="E522" i="2"/>
  <c r="F591" i="2"/>
  <c r="E591" i="2"/>
  <c r="C591" i="2"/>
  <c r="B591" i="2"/>
  <c r="D591" i="2"/>
  <c r="F434" i="2"/>
  <c r="D434" i="2"/>
  <c r="C434" i="2"/>
  <c r="B434" i="2"/>
  <c r="E434" i="2"/>
  <c r="F216" i="2"/>
  <c r="E216" i="2"/>
  <c r="C216" i="2"/>
  <c r="B216" i="2"/>
  <c r="D216" i="2"/>
  <c r="F514" i="2"/>
  <c r="D514" i="2"/>
  <c r="C514" i="2"/>
  <c r="B514" i="2"/>
  <c r="E514" i="2"/>
  <c r="F253" i="2"/>
  <c r="E253" i="2"/>
  <c r="B253" i="2"/>
  <c r="C253" i="2"/>
  <c r="D253" i="2"/>
  <c r="F453" i="2"/>
  <c r="E453" i="2"/>
  <c r="D453" i="2"/>
  <c r="C453" i="2"/>
  <c r="B453" i="2"/>
  <c r="F24" i="2"/>
  <c r="B24" i="2"/>
  <c r="E24" i="2"/>
  <c r="D24" i="2"/>
  <c r="C24" i="2"/>
  <c r="D81" i="2"/>
  <c r="F81" i="2"/>
  <c r="E81" i="2"/>
  <c r="C81" i="2"/>
  <c r="B81" i="2"/>
  <c r="D23" i="2"/>
  <c r="C23" i="2"/>
  <c r="B23" i="2"/>
  <c r="F23" i="2"/>
  <c r="E23" i="2"/>
  <c r="F76" i="2"/>
  <c r="E76" i="2"/>
  <c r="C76" i="2"/>
  <c r="B76" i="2"/>
  <c r="D76" i="2"/>
  <c r="F60" i="2"/>
  <c r="C60" i="2"/>
  <c r="B60" i="2"/>
  <c r="E60" i="2"/>
  <c r="D60" i="2"/>
  <c r="F289" i="2"/>
  <c r="C289" i="2"/>
  <c r="E289" i="2"/>
  <c r="D289" i="2"/>
  <c r="B289" i="2"/>
  <c r="F455" i="2"/>
  <c r="E455" i="2"/>
  <c r="D455" i="2"/>
  <c r="C455" i="2"/>
  <c r="B455" i="2"/>
  <c r="F281" i="2"/>
  <c r="C281" i="2"/>
  <c r="E281" i="2"/>
  <c r="D281" i="2"/>
  <c r="B281" i="2"/>
  <c r="F532" i="2"/>
  <c r="D532" i="2"/>
  <c r="C532" i="2"/>
  <c r="B532" i="2"/>
  <c r="E532" i="2"/>
  <c r="F538" i="2"/>
  <c r="D538" i="2"/>
  <c r="C538" i="2"/>
  <c r="B538" i="2"/>
  <c r="E538" i="2"/>
  <c r="F238" i="2"/>
  <c r="E238" i="2"/>
  <c r="C238" i="2"/>
  <c r="B238" i="2"/>
  <c r="D238" i="2"/>
  <c r="F16" i="2"/>
  <c r="B16" i="2"/>
  <c r="E16" i="2"/>
  <c r="D16" i="2"/>
  <c r="C16" i="2"/>
  <c r="F324" i="2"/>
  <c r="D324" i="2"/>
  <c r="C324" i="2"/>
  <c r="B324" i="2"/>
  <c r="E324" i="2"/>
  <c r="F318" i="2"/>
  <c r="D318" i="2"/>
  <c r="C318" i="2"/>
  <c r="B318" i="2"/>
  <c r="E318" i="2"/>
  <c r="F559" i="2"/>
  <c r="E559" i="2"/>
  <c r="C559" i="2"/>
  <c r="B559" i="2"/>
  <c r="D559" i="2"/>
  <c r="F128" i="2"/>
  <c r="E128" i="2"/>
  <c r="C128" i="2"/>
  <c r="B128" i="2"/>
  <c r="D128" i="2"/>
  <c r="D89" i="2"/>
  <c r="F89" i="2"/>
  <c r="C89" i="2"/>
  <c r="B89" i="2"/>
  <c r="E89" i="2"/>
  <c r="F298" i="2"/>
  <c r="C298" i="2"/>
  <c r="E298" i="2"/>
  <c r="D298" i="2"/>
  <c r="B298" i="2"/>
  <c r="F509" i="2"/>
  <c r="E509" i="2"/>
  <c r="D509" i="2"/>
  <c r="C509" i="2"/>
  <c r="B509" i="2"/>
  <c r="F36" i="2"/>
  <c r="B36" i="2"/>
  <c r="E36" i="2"/>
  <c r="D36" i="2"/>
  <c r="C36" i="2"/>
  <c r="F446" i="2"/>
  <c r="D446" i="2"/>
  <c r="C446" i="2"/>
  <c r="B446" i="2"/>
  <c r="E446" i="2"/>
  <c r="F380" i="2"/>
  <c r="D380" i="2"/>
  <c r="C380" i="2"/>
  <c r="B380" i="2"/>
  <c r="E380" i="2"/>
  <c r="F567" i="2"/>
  <c r="E567" i="2"/>
  <c r="C567" i="2"/>
  <c r="B567" i="2"/>
  <c r="D567" i="2"/>
  <c r="C99" i="2"/>
  <c r="B99" i="2"/>
  <c r="D99" i="2"/>
  <c r="E99" i="2"/>
  <c r="F99" i="2"/>
  <c r="F184" i="2"/>
  <c r="E184" i="2"/>
  <c r="C184" i="2"/>
  <c r="B184" i="2"/>
  <c r="D184" i="2"/>
  <c r="F153" i="2"/>
  <c r="E153" i="2"/>
  <c r="D153" i="2"/>
  <c r="C153" i="2"/>
  <c r="B153" i="2"/>
  <c r="F144" i="2"/>
  <c r="E144" i="2"/>
  <c r="C144" i="2"/>
  <c r="B144" i="2"/>
  <c r="D144" i="2"/>
  <c r="D17" i="2"/>
  <c r="C17" i="2"/>
  <c r="B17" i="2"/>
  <c r="F17" i="2"/>
  <c r="E17" i="2"/>
  <c r="F323" i="2"/>
  <c r="C323" i="2"/>
  <c r="D323" i="2"/>
  <c r="B323" i="2"/>
  <c r="E323" i="2"/>
  <c r="F345" i="2"/>
  <c r="C345" i="2"/>
  <c r="D345" i="2"/>
  <c r="B345" i="2"/>
  <c r="E345" i="2"/>
  <c r="F508" i="2"/>
  <c r="D508" i="2"/>
  <c r="C508" i="2"/>
  <c r="B508" i="2"/>
  <c r="E508" i="2"/>
  <c r="F349" i="2"/>
  <c r="C349" i="2"/>
  <c r="E349" i="2"/>
  <c r="D349" i="2"/>
  <c r="B349" i="2"/>
  <c r="F339" i="2"/>
  <c r="C339" i="2"/>
  <c r="D339" i="2"/>
  <c r="B339" i="2"/>
  <c r="E339" i="2"/>
  <c r="F472" i="2"/>
  <c r="D472" i="2"/>
  <c r="C472" i="2"/>
  <c r="B472" i="2"/>
  <c r="E472" i="2"/>
  <c r="F574" i="2"/>
  <c r="E574" i="2"/>
  <c r="D574" i="2"/>
  <c r="C574" i="2"/>
  <c r="B574" i="2"/>
  <c r="F277" i="2"/>
  <c r="C277" i="2"/>
  <c r="E277" i="2"/>
  <c r="D277" i="2"/>
  <c r="B277" i="2"/>
  <c r="F583" i="2"/>
  <c r="E583" i="2"/>
  <c r="C583" i="2"/>
  <c r="B583" i="2"/>
  <c r="D583" i="2"/>
  <c r="F134" i="2"/>
  <c r="E134" i="2"/>
  <c r="C134" i="2"/>
  <c r="B134" i="2"/>
  <c r="D134" i="2"/>
  <c r="F192" i="2"/>
  <c r="E192" i="2"/>
  <c r="C192" i="2"/>
  <c r="B192" i="2"/>
  <c r="D192" i="2"/>
  <c r="F329" i="2"/>
  <c r="C329" i="2"/>
  <c r="E329" i="2"/>
  <c r="D329" i="2"/>
  <c r="B329" i="2"/>
  <c r="F422" i="2"/>
  <c r="D422" i="2"/>
  <c r="C422" i="2"/>
  <c r="B422" i="2"/>
  <c r="E422" i="2"/>
  <c r="F582" i="2"/>
  <c r="E582" i="2"/>
  <c r="D582" i="2"/>
  <c r="C582" i="2"/>
  <c r="B582" i="2"/>
  <c r="F521" i="2"/>
  <c r="E521" i="2"/>
  <c r="D521" i="2"/>
  <c r="C521" i="2"/>
  <c r="B521" i="2"/>
  <c r="F337" i="2"/>
  <c r="C337" i="2"/>
  <c r="E337" i="2"/>
  <c r="D337" i="2"/>
  <c r="B337" i="2"/>
  <c r="F597" i="2"/>
  <c r="E597" i="2"/>
  <c r="C597" i="2"/>
  <c r="B597" i="2"/>
  <c r="D597" i="2"/>
  <c r="C282" i="2"/>
  <c r="F282" i="2"/>
  <c r="D282" i="2"/>
  <c r="B282" i="2"/>
  <c r="E282" i="2"/>
  <c r="F50" i="2"/>
  <c r="C50" i="2"/>
  <c r="E50" i="2"/>
  <c r="D50" i="2"/>
  <c r="B50" i="2"/>
  <c r="F299" i="2"/>
  <c r="C299" i="2"/>
  <c r="E299" i="2"/>
  <c r="D299" i="2"/>
  <c r="B299" i="2"/>
  <c r="F286" i="2"/>
  <c r="C286" i="2"/>
  <c r="E286" i="2"/>
  <c r="D286" i="2"/>
  <c r="B286" i="2"/>
  <c r="F477" i="2"/>
  <c r="E477" i="2"/>
  <c r="D477" i="2"/>
  <c r="C477" i="2"/>
  <c r="B477" i="2"/>
  <c r="E61" i="2"/>
  <c r="F61" i="2"/>
  <c r="B61" i="2"/>
  <c r="C61" i="2"/>
  <c r="D61" i="2"/>
  <c r="D51" i="2"/>
  <c r="E51" i="2"/>
  <c r="C51" i="2"/>
  <c r="F51" i="2"/>
  <c r="B51" i="2"/>
  <c r="E167" i="2"/>
  <c r="C167" i="2"/>
  <c r="F167" i="2"/>
  <c r="B167" i="2"/>
  <c r="D167" i="2"/>
  <c r="F129" i="2"/>
  <c r="D129" i="2"/>
  <c r="E129" i="2"/>
  <c r="C129" i="2"/>
  <c r="B129" i="2"/>
  <c r="D43" i="2"/>
  <c r="C43" i="2"/>
  <c r="B43" i="2"/>
  <c r="F43" i="2"/>
  <c r="E43" i="2"/>
  <c r="F416" i="2"/>
  <c r="D416" i="2"/>
  <c r="C416" i="2"/>
  <c r="B416" i="2"/>
  <c r="E416" i="2"/>
  <c r="F479" i="2"/>
  <c r="E479" i="2"/>
  <c r="D479" i="2"/>
  <c r="C479" i="2"/>
  <c r="B479" i="2"/>
  <c r="C276" i="2"/>
  <c r="F276" i="2"/>
  <c r="E276" i="2"/>
  <c r="D276" i="2"/>
  <c r="B276" i="2"/>
  <c r="F297" i="2"/>
  <c r="C297" i="2"/>
  <c r="E297" i="2"/>
  <c r="D297" i="2"/>
  <c r="B297" i="2"/>
  <c r="E602" i="2"/>
  <c r="D602" i="2"/>
  <c r="B602" i="2"/>
  <c r="F602" i="2"/>
  <c r="C602" i="2"/>
  <c r="D25" i="2"/>
  <c r="C25" i="2"/>
  <c r="B25" i="2"/>
  <c r="F25" i="2"/>
  <c r="E25" i="2"/>
  <c r="F66" i="2"/>
  <c r="C66" i="2"/>
  <c r="D66" i="2"/>
  <c r="E66" i="2"/>
  <c r="B66" i="2"/>
  <c r="F317" i="2"/>
  <c r="C317" i="2"/>
  <c r="E317" i="2"/>
  <c r="D317" i="2"/>
  <c r="B317" i="2"/>
  <c r="F300" i="2"/>
  <c r="C300" i="2"/>
  <c r="E300" i="2"/>
  <c r="D300" i="2"/>
  <c r="B300" i="2"/>
  <c r="F565" i="2"/>
  <c r="E565" i="2"/>
  <c r="C565" i="2"/>
  <c r="B565" i="2"/>
  <c r="D565" i="2"/>
  <c r="F165" i="2"/>
  <c r="E165" i="2"/>
  <c r="D165" i="2"/>
  <c r="C165" i="2"/>
  <c r="B165" i="2"/>
  <c r="D73" i="2"/>
  <c r="C73" i="2"/>
  <c r="B73" i="2"/>
  <c r="E73" i="2"/>
  <c r="F73" i="2"/>
  <c r="F440" i="2"/>
  <c r="D440" i="2"/>
  <c r="C440" i="2"/>
  <c r="B440" i="2"/>
  <c r="E440" i="2"/>
  <c r="F533" i="2"/>
  <c r="E533" i="2"/>
  <c r="D533" i="2"/>
  <c r="C533" i="2"/>
  <c r="B533" i="2"/>
  <c r="F236" i="2"/>
  <c r="E236" i="2"/>
  <c r="C236" i="2"/>
  <c r="B236" i="2"/>
  <c r="D236" i="2"/>
  <c r="E47" i="2"/>
  <c r="F47" i="2"/>
  <c r="D47" i="2"/>
  <c r="B47" i="2"/>
  <c r="C47" i="2"/>
  <c r="F306" i="2"/>
  <c r="C306" i="2"/>
  <c r="E306" i="2"/>
  <c r="D306" i="2"/>
  <c r="B306" i="2"/>
  <c r="F573" i="2"/>
  <c r="E573" i="2"/>
  <c r="C573" i="2"/>
  <c r="B573" i="2"/>
  <c r="D573" i="2"/>
  <c r="F371" i="2"/>
  <c r="C371" i="2"/>
  <c r="E371" i="2"/>
  <c r="B371" i="2"/>
  <c r="D371" i="2"/>
  <c r="F234" i="2"/>
  <c r="E234" i="2"/>
  <c r="C234" i="2"/>
  <c r="B234" i="2"/>
  <c r="D234" i="2"/>
  <c r="E163" i="2"/>
  <c r="D163" i="2"/>
  <c r="B163" i="2"/>
  <c r="C163" i="2"/>
  <c r="F163" i="2"/>
  <c r="F494" i="2"/>
  <c r="D494" i="2"/>
  <c r="C494" i="2"/>
  <c r="B494" i="2"/>
  <c r="E494" i="2"/>
  <c r="F112" i="2"/>
  <c r="E112" i="2"/>
  <c r="C112" i="2"/>
  <c r="B112" i="2"/>
  <c r="D112" i="2"/>
  <c r="F394" i="2"/>
  <c r="D394" i="2"/>
  <c r="C394" i="2"/>
  <c r="B394" i="2"/>
  <c r="E394" i="2"/>
  <c r="F369" i="2"/>
  <c r="C369" i="2"/>
  <c r="E369" i="2"/>
  <c r="D369" i="2"/>
  <c r="B369" i="2"/>
  <c r="F450" i="2"/>
  <c r="D450" i="2"/>
  <c r="C450" i="2"/>
  <c r="B450" i="2"/>
  <c r="E450" i="2"/>
  <c r="F326" i="2"/>
  <c r="D326" i="2"/>
  <c r="C326" i="2"/>
  <c r="B326" i="2"/>
  <c r="E326" i="2"/>
  <c r="F202" i="2"/>
  <c r="E202" i="2"/>
  <c r="C202" i="2"/>
  <c r="B202" i="2"/>
  <c r="D202" i="2"/>
  <c r="F539" i="2"/>
  <c r="E539" i="2"/>
  <c r="D539" i="2"/>
  <c r="C539" i="2"/>
  <c r="B539" i="2"/>
  <c r="F314" i="2"/>
  <c r="C314" i="2"/>
  <c r="E314" i="2"/>
  <c r="D314" i="2"/>
  <c r="B314" i="2"/>
  <c r="F101" i="2"/>
  <c r="E101" i="2"/>
  <c r="D101" i="2"/>
  <c r="C101" i="2"/>
  <c r="B101" i="2"/>
  <c r="F346" i="2"/>
  <c r="D346" i="2"/>
  <c r="C346" i="2"/>
  <c r="B346" i="2"/>
  <c r="E346" i="2"/>
  <c r="E556" i="2"/>
  <c r="D556" i="2"/>
  <c r="C556" i="2"/>
  <c r="B556" i="2"/>
  <c r="F556" i="2"/>
  <c r="F541" i="2"/>
  <c r="E541" i="2"/>
  <c r="D541" i="2"/>
  <c r="C541" i="2"/>
  <c r="B541" i="2"/>
  <c r="F466" i="2"/>
  <c r="D466" i="2"/>
  <c r="C466" i="2"/>
  <c r="B466" i="2"/>
  <c r="E466" i="2"/>
  <c r="F322" i="2"/>
  <c r="D322" i="2"/>
  <c r="C322" i="2"/>
  <c r="B322" i="2"/>
  <c r="E322" i="2"/>
  <c r="F589" i="2"/>
  <c r="E589" i="2"/>
  <c r="C589" i="2"/>
  <c r="B589" i="2"/>
  <c r="D589" i="2"/>
  <c r="E175" i="2"/>
  <c r="D175" i="2"/>
  <c r="C175" i="2"/>
  <c r="B175" i="2"/>
  <c r="F175" i="2"/>
  <c r="F150" i="2"/>
  <c r="E150" i="2"/>
  <c r="C150" i="2"/>
  <c r="B150" i="2"/>
  <c r="D150" i="2"/>
  <c r="E121" i="2"/>
  <c r="D121" i="2"/>
  <c r="C121" i="2"/>
  <c r="B121" i="2"/>
  <c r="F121" i="2"/>
  <c r="F404" i="2"/>
  <c r="D404" i="2"/>
  <c r="C404" i="2"/>
  <c r="B404" i="2"/>
  <c r="E404" i="2"/>
  <c r="E564" i="2"/>
  <c r="D564" i="2"/>
  <c r="C564" i="2"/>
  <c r="B564" i="2"/>
  <c r="F564" i="2"/>
  <c r="F545" i="2"/>
  <c r="E545" i="2"/>
  <c r="D545" i="2"/>
  <c r="C545" i="2"/>
  <c r="B545" i="2"/>
  <c r="F206" i="2"/>
  <c r="E206" i="2"/>
  <c r="C206" i="2"/>
  <c r="B206" i="2"/>
  <c r="D206" i="2"/>
  <c r="F355" i="2"/>
  <c r="C355" i="2"/>
  <c r="E355" i="2"/>
  <c r="B355" i="2"/>
  <c r="D355" i="2"/>
  <c r="F267" i="2"/>
  <c r="E267" i="2"/>
  <c r="D267" i="2"/>
  <c r="C267" i="2"/>
  <c r="B267" i="2"/>
  <c r="D15" i="2"/>
  <c r="C15" i="2"/>
  <c r="B15" i="2"/>
  <c r="F15" i="2"/>
  <c r="E15" i="2"/>
  <c r="B53" i="2"/>
  <c r="F53" i="2"/>
  <c r="E53" i="2"/>
  <c r="D53" i="2"/>
  <c r="C53" i="2"/>
  <c r="F408" i="2"/>
  <c r="D408" i="2"/>
  <c r="C408" i="2"/>
  <c r="B408" i="2"/>
  <c r="E408" i="2"/>
  <c r="F501" i="2"/>
  <c r="E501" i="2"/>
  <c r="D501" i="2"/>
  <c r="C501" i="2"/>
  <c r="B501" i="2"/>
  <c r="F117" i="2"/>
  <c r="E117" i="2"/>
  <c r="D117" i="2"/>
  <c r="C117" i="2"/>
  <c r="B117" i="2"/>
  <c r="F30" i="2"/>
  <c r="B30" i="2"/>
  <c r="C30" i="2"/>
  <c r="E30" i="2"/>
  <c r="D30" i="2"/>
  <c r="F170" i="2"/>
  <c r="E170" i="2"/>
  <c r="C170" i="2"/>
  <c r="B170" i="2"/>
  <c r="D170" i="2"/>
  <c r="F208" i="2"/>
  <c r="E208" i="2"/>
  <c r="C208" i="2"/>
  <c r="B208" i="2"/>
  <c r="D208" i="2"/>
  <c r="E173" i="2"/>
  <c r="F173" i="2"/>
  <c r="D173" i="2"/>
  <c r="C173" i="2"/>
  <c r="B173" i="2"/>
  <c r="F512" i="2"/>
  <c r="D512" i="2"/>
  <c r="C512" i="2"/>
  <c r="B512" i="2"/>
  <c r="E512" i="2"/>
  <c r="F503" i="2"/>
  <c r="E503" i="2"/>
  <c r="D503" i="2"/>
  <c r="C503" i="2"/>
  <c r="B503" i="2"/>
  <c r="F77" i="2"/>
  <c r="C77" i="2"/>
  <c r="E77" i="2"/>
  <c r="D77" i="2"/>
  <c r="B77" i="2"/>
  <c r="F342" i="2"/>
  <c r="D342" i="2"/>
  <c r="C342" i="2"/>
  <c r="B342" i="2"/>
  <c r="E342" i="2"/>
  <c r="B560" i="2"/>
  <c r="F560" i="2"/>
  <c r="E560" i="2"/>
  <c r="D560" i="2"/>
  <c r="C560" i="2"/>
  <c r="F392" i="2"/>
  <c r="D392" i="2"/>
  <c r="C392" i="2"/>
  <c r="B392" i="2"/>
  <c r="E392" i="2"/>
  <c r="F328" i="2"/>
  <c r="D328" i="2"/>
  <c r="C328" i="2"/>
  <c r="B328" i="2"/>
  <c r="E328" i="2"/>
  <c r="F109" i="2"/>
  <c r="C109" i="2"/>
  <c r="E109" i="2"/>
  <c r="D109" i="2"/>
  <c r="B109" i="2"/>
  <c r="F366" i="2"/>
  <c r="D366" i="2"/>
  <c r="C366" i="2"/>
  <c r="B366" i="2"/>
  <c r="E366" i="2"/>
  <c r="F363" i="2"/>
  <c r="C363" i="2"/>
  <c r="B363" i="2"/>
  <c r="D363" i="2"/>
  <c r="E363" i="2"/>
  <c r="F82" i="2"/>
  <c r="E82" i="2"/>
  <c r="C82" i="2"/>
  <c r="D82" i="2"/>
  <c r="B82" i="2"/>
  <c r="F180" i="2"/>
  <c r="E180" i="2"/>
  <c r="C180" i="2"/>
  <c r="B180" i="2"/>
  <c r="D180" i="2"/>
  <c r="F558" i="2"/>
  <c r="E558" i="2"/>
  <c r="D558" i="2"/>
  <c r="C558" i="2"/>
  <c r="B558" i="2"/>
  <c r="F188" i="2"/>
  <c r="E188" i="2"/>
  <c r="C188" i="2"/>
  <c r="B188" i="2"/>
  <c r="D188" i="2"/>
  <c r="F410" i="2"/>
  <c r="D410" i="2"/>
  <c r="C410" i="2"/>
  <c r="B410" i="2"/>
  <c r="E410" i="2"/>
  <c r="F92" i="2"/>
  <c r="E92" i="2"/>
  <c r="C92" i="2"/>
  <c r="B92" i="2"/>
  <c r="D92" i="2"/>
  <c r="F319" i="2"/>
  <c r="C319" i="2"/>
  <c r="D319" i="2"/>
  <c r="B319" i="2"/>
  <c r="E319" i="2"/>
  <c r="F343" i="2"/>
  <c r="C343" i="2"/>
  <c r="E343" i="2"/>
  <c r="D343" i="2"/>
  <c r="B343" i="2"/>
  <c r="F49" i="2"/>
  <c r="B49" i="2"/>
  <c r="E49" i="2"/>
  <c r="D49" i="2"/>
  <c r="C49" i="2"/>
  <c r="F518" i="2"/>
  <c r="D518" i="2"/>
  <c r="C518" i="2"/>
  <c r="B518" i="2"/>
  <c r="E518" i="2"/>
  <c r="F340" i="2"/>
  <c r="D340" i="2"/>
  <c r="C340" i="2"/>
  <c r="B340" i="2"/>
  <c r="E340" i="2"/>
  <c r="F14" i="2"/>
  <c r="B14" i="2"/>
  <c r="C14" i="2"/>
  <c r="E14" i="2"/>
  <c r="D14" i="2"/>
  <c r="F196" i="2"/>
  <c r="E196" i="2"/>
  <c r="C196" i="2"/>
  <c r="B196" i="2"/>
  <c r="D196" i="2"/>
  <c r="D217" i="2"/>
  <c r="C217" i="2"/>
  <c r="B217" i="2"/>
  <c r="E217" i="2"/>
  <c r="F217" i="2"/>
  <c r="F393" i="2"/>
  <c r="E393" i="2"/>
  <c r="C393" i="2"/>
  <c r="D393" i="2"/>
  <c r="B393" i="2"/>
  <c r="B584" i="2"/>
  <c r="F584" i="2"/>
  <c r="E584" i="2"/>
  <c r="D584" i="2"/>
  <c r="C584" i="2"/>
  <c r="F327" i="2"/>
  <c r="C327" i="2"/>
  <c r="D327" i="2"/>
  <c r="B327" i="2"/>
  <c r="E327" i="2"/>
  <c r="F423" i="2"/>
  <c r="E423" i="2"/>
  <c r="D423" i="2"/>
  <c r="C423" i="2"/>
  <c r="B423" i="2"/>
  <c r="F451" i="2"/>
  <c r="E451" i="2"/>
  <c r="D451" i="2"/>
  <c r="C451" i="2"/>
  <c r="B451" i="2"/>
  <c r="F517" i="2"/>
  <c r="E517" i="2"/>
  <c r="D517" i="2"/>
  <c r="C517" i="2"/>
  <c r="B517" i="2"/>
  <c r="E181" i="2"/>
  <c r="B181" i="2"/>
  <c r="D181" i="2"/>
  <c r="C181" i="2"/>
  <c r="F181" i="2"/>
  <c r="F550" i="2"/>
  <c r="D550" i="2"/>
  <c r="C550" i="2"/>
  <c r="B550" i="2"/>
  <c r="E550" i="2"/>
  <c r="F70" i="2"/>
  <c r="E70" i="2"/>
  <c r="C70" i="2"/>
  <c r="D70" i="2"/>
  <c r="B70" i="2"/>
  <c r="D35" i="2"/>
  <c r="C35" i="2"/>
  <c r="B35" i="2"/>
  <c r="F35" i="2"/>
  <c r="E35" i="2"/>
  <c r="F335" i="2"/>
  <c r="C335" i="2"/>
  <c r="D335" i="2"/>
  <c r="B335" i="2"/>
  <c r="E335" i="2"/>
  <c r="F351" i="2"/>
  <c r="C351" i="2"/>
  <c r="E351" i="2"/>
  <c r="D351" i="2"/>
  <c r="B351" i="2"/>
  <c r="E137" i="2"/>
  <c r="F137" i="2"/>
  <c r="B137" i="2"/>
  <c r="D137" i="2"/>
  <c r="C137" i="2"/>
  <c r="F182" i="2"/>
  <c r="E182" i="2"/>
  <c r="C182" i="2"/>
  <c r="B182" i="2"/>
  <c r="D182" i="2"/>
  <c r="E193" i="2"/>
  <c r="D193" i="2"/>
  <c r="C193" i="2"/>
  <c r="B193" i="2"/>
  <c r="F193" i="2"/>
  <c r="F500" i="2"/>
  <c r="D500" i="2"/>
  <c r="C500" i="2"/>
  <c r="B500" i="2"/>
  <c r="E500" i="2"/>
  <c r="F554" i="2"/>
  <c r="D554" i="2"/>
  <c r="C554" i="2"/>
  <c r="B554" i="2"/>
  <c r="E554" i="2"/>
  <c r="F100" i="2"/>
  <c r="E100" i="2"/>
  <c r="C100" i="2"/>
  <c r="D100" i="2"/>
  <c r="B100" i="2"/>
  <c r="F293" i="2"/>
  <c r="C293" i="2"/>
  <c r="E293" i="2"/>
  <c r="D293" i="2"/>
  <c r="B293" i="2"/>
  <c r="F379" i="2"/>
  <c r="C379" i="2"/>
  <c r="E379" i="2"/>
  <c r="D379" i="2"/>
  <c r="B379" i="2"/>
  <c r="F443" i="2"/>
  <c r="E443" i="2"/>
  <c r="D443" i="2"/>
  <c r="C443" i="2"/>
  <c r="B443" i="2"/>
  <c r="D33" i="2"/>
  <c r="C33" i="2"/>
  <c r="B33" i="2"/>
  <c r="F33" i="2"/>
  <c r="E33" i="2"/>
  <c r="D37" i="2"/>
  <c r="C37" i="2"/>
  <c r="B37" i="2"/>
  <c r="F37" i="2"/>
  <c r="E37" i="2"/>
  <c r="F504" i="2"/>
  <c r="D504" i="2"/>
  <c r="C504" i="2"/>
  <c r="B504" i="2"/>
  <c r="E504" i="2"/>
  <c r="F525" i="2"/>
  <c r="E525" i="2"/>
  <c r="D525" i="2"/>
  <c r="C525" i="2"/>
  <c r="B525" i="2"/>
  <c r="E127" i="2"/>
  <c r="D127" i="2"/>
  <c r="C127" i="2"/>
  <c r="B127" i="2"/>
  <c r="F127" i="2"/>
  <c r="F32" i="2"/>
  <c r="B32" i="2"/>
  <c r="C32" i="2"/>
  <c r="E32" i="2"/>
  <c r="D32" i="2"/>
  <c r="F414" i="2"/>
  <c r="D414" i="2"/>
  <c r="C414" i="2"/>
  <c r="B414" i="2"/>
  <c r="E414" i="2"/>
  <c r="F69" i="2"/>
  <c r="C69" i="2"/>
  <c r="E69" i="2"/>
  <c r="D69" i="2"/>
  <c r="B69" i="2"/>
  <c r="F470" i="2"/>
  <c r="D470" i="2"/>
  <c r="C470" i="2"/>
  <c r="B470" i="2"/>
  <c r="E470" i="2"/>
  <c r="F595" i="2"/>
  <c r="E595" i="2"/>
  <c r="C595" i="2"/>
  <c r="D595" i="2"/>
  <c r="B595" i="2"/>
  <c r="F527" i="2"/>
  <c r="E527" i="2"/>
  <c r="D527" i="2"/>
  <c r="C527" i="2"/>
  <c r="B527" i="2"/>
  <c r="F80" i="2"/>
  <c r="E80" i="2"/>
  <c r="C80" i="2"/>
  <c r="D80" i="2"/>
  <c r="B80" i="2"/>
  <c r="F348" i="2"/>
  <c r="D348" i="2"/>
  <c r="C348" i="2"/>
  <c r="B348" i="2"/>
  <c r="E348" i="2"/>
  <c r="F361" i="2"/>
  <c r="C361" i="2"/>
  <c r="D361" i="2"/>
  <c r="B361" i="2"/>
  <c r="E361" i="2"/>
  <c r="F347" i="2"/>
  <c r="C347" i="2"/>
  <c r="E347" i="2"/>
  <c r="B347" i="2"/>
  <c r="D347" i="2"/>
  <c r="F132" i="2"/>
  <c r="E132" i="2"/>
  <c r="C132" i="2"/>
  <c r="B132" i="2"/>
  <c r="D132" i="2"/>
  <c r="C91" i="2"/>
  <c r="B91" i="2"/>
  <c r="F91" i="2"/>
  <c r="E91" i="2"/>
  <c r="D91" i="2"/>
  <c r="F372" i="2"/>
  <c r="D372" i="2"/>
  <c r="C372" i="2"/>
  <c r="B372" i="2"/>
  <c r="E372" i="2"/>
  <c r="F387" i="2"/>
  <c r="E387" i="2"/>
  <c r="C387" i="2"/>
  <c r="D387" i="2"/>
  <c r="B387" i="2"/>
  <c r="F476" i="2"/>
  <c r="D476" i="2"/>
  <c r="C476" i="2"/>
  <c r="B476" i="2"/>
  <c r="E476" i="2"/>
  <c r="F87" i="2"/>
  <c r="D87" i="2"/>
  <c r="E87" i="2"/>
  <c r="B87" i="2"/>
  <c r="C87" i="2"/>
  <c r="E588" i="2"/>
  <c r="D588" i="2"/>
  <c r="C588" i="2"/>
  <c r="B588" i="2"/>
  <c r="F588" i="2"/>
  <c r="F250" i="2"/>
  <c r="E250" i="2"/>
  <c r="C250" i="2"/>
  <c r="B250" i="2"/>
  <c r="D250" i="2"/>
  <c r="F290" i="2"/>
  <c r="C290" i="2"/>
  <c r="E290" i="2"/>
  <c r="D290" i="2"/>
  <c r="B290" i="2"/>
  <c r="F296" i="2"/>
  <c r="C296" i="2"/>
  <c r="E296" i="2"/>
  <c r="D296" i="2"/>
  <c r="B296" i="2"/>
  <c r="F388" i="2"/>
  <c r="D388" i="2"/>
  <c r="C388" i="2"/>
  <c r="B388" i="2"/>
  <c r="E388" i="2"/>
  <c r="F367" i="2"/>
  <c r="C367" i="2"/>
  <c r="E367" i="2"/>
  <c r="D367" i="2"/>
  <c r="B367" i="2"/>
  <c r="F228" i="2"/>
  <c r="E228" i="2"/>
  <c r="C228" i="2"/>
  <c r="B228" i="2"/>
  <c r="D228" i="2"/>
  <c r="F303" i="2"/>
  <c r="C303" i="2"/>
  <c r="E303" i="2"/>
  <c r="D303" i="2"/>
  <c r="B303" i="2"/>
  <c r="D11" i="2"/>
  <c r="C11" i="2"/>
  <c r="B11" i="2"/>
  <c r="F11" i="2"/>
  <c r="E11" i="2"/>
  <c r="F198" i="2"/>
  <c r="E198" i="2"/>
  <c r="C198" i="2"/>
  <c r="B198" i="2"/>
  <c r="D198" i="2"/>
  <c r="F350" i="2"/>
  <c r="D350" i="2"/>
  <c r="C350" i="2"/>
  <c r="B350" i="2"/>
  <c r="E350" i="2"/>
  <c r="D241" i="2"/>
  <c r="C241" i="2"/>
  <c r="B241" i="2"/>
  <c r="F241" i="2"/>
  <c r="E241" i="2"/>
  <c r="F417" i="2"/>
  <c r="E417" i="2"/>
  <c r="D417" i="2"/>
  <c r="C417" i="2"/>
  <c r="B417" i="2"/>
  <c r="F315" i="2"/>
  <c r="C315" i="2"/>
  <c r="E315" i="2"/>
  <c r="D315" i="2"/>
  <c r="B315" i="2"/>
  <c r="F4" i="2"/>
  <c r="B4" i="2"/>
  <c r="E4" i="2"/>
  <c r="C4" i="2"/>
  <c r="D4" i="2"/>
  <c r="D31" i="2"/>
  <c r="C31" i="2"/>
  <c r="B31" i="2"/>
  <c r="F31" i="2"/>
  <c r="E31" i="2"/>
  <c r="D41" i="2"/>
  <c r="C41" i="2"/>
  <c r="B41" i="2"/>
  <c r="F41" i="2"/>
  <c r="E41" i="2"/>
  <c r="E143" i="2"/>
  <c r="D143" i="2"/>
  <c r="F143" i="2"/>
  <c r="C143" i="2"/>
  <c r="B143" i="2"/>
  <c r="F352" i="2"/>
  <c r="D352" i="2"/>
  <c r="C352" i="2"/>
  <c r="B352" i="2"/>
  <c r="E352" i="2"/>
  <c r="F368" i="2"/>
  <c r="D368" i="2"/>
  <c r="C368" i="2"/>
  <c r="B368" i="2"/>
  <c r="E368" i="2"/>
  <c r="F484" i="2"/>
  <c r="D484" i="2"/>
  <c r="C484" i="2"/>
  <c r="B484" i="2"/>
  <c r="E484" i="2"/>
  <c r="F85" i="2"/>
  <c r="E85" i="2"/>
  <c r="D85" i="2"/>
  <c r="C85" i="2"/>
  <c r="B85" i="2"/>
  <c r="F398" i="2"/>
  <c r="D398" i="2"/>
  <c r="C398" i="2"/>
  <c r="B398" i="2"/>
  <c r="E398" i="2"/>
  <c r="E578" i="2"/>
  <c r="D578" i="2"/>
  <c r="B578" i="2"/>
  <c r="C578" i="2"/>
  <c r="F578" i="2"/>
  <c r="F458" i="2"/>
  <c r="D458" i="2"/>
  <c r="C458" i="2"/>
  <c r="B458" i="2"/>
  <c r="E458" i="2"/>
  <c r="F136" i="2"/>
  <c r="E136" i="2"/>
  <c r="C136" i="2"/>
  <c r="B136" i="2"/>
  <c r="D136" i="2"/>
  <c r="F199" i="2"/>
  <c r="E199" i="2"/>
  <c r="B199" i="2"/>
  <c r="D199" i="2"/>
  <c r="C199" i="2"/>
  <c r="F375" i="2"/>
  <c r="C375" i="2"/>
  <c r="E375" i="2"/>
  <c r="D375" i="2"/>
  <c r="B375" i="2"/>
  <c r="F219" i="2"/>
  <c r="E219" i="2"/>
  <c r="D219" i="2"/>
  <c r="C219" i="2"/>
  <c r="B219" i="2"/>
  <c r="F214" i="2"/>
  <c r="E214" i="2"/>
  <c r="C214" i="2"/>
  <c r="B214" i="2"/>
  <c r="D214" i="2"/>
  <c r="D19" i="2"/>
  <c r="C19" i="2"/>
  <c r="B19" i="2"/>
  <c r="F19" i="2"/>
  <c r="E19" i="2"/>
  <c r="F285" i="2"/>
  <c r="C285" i="2"/>
  <c r="E285" i="2"/>
  <c r="D285" i="2"/>
  <c r="B285" i="2"/>
  <c r="E586" i="2"/>
  <c r="D586" i="2"/>
  <c r="B586" i="2"/>
  <c r="F586" i="2"/>
  <c r="C586" i="2"/>
  <c r="F220" i="2"/>
  <c r="E220" i="2"/>
  <c r="C220" i="2"/>
  <c r="B220" i="2"/>
  <c r="D220" i="2"/>
  <c r="E161" i="2"/>
  <c r="F161" i="2"/>
  <c r="D161" i="2"/>
  <c r="C161" i="2"/>
  <c r="B161" i="2"/>
  <c r="F403" i="2"/>
  <c r="E403" i="2"/>
  <c r="D403" i="2"/>
  <c r="C403" i="2"/>
  <c r="B403" i="2"/>
  <c r="F344" i="2"/>
  <c r="D344" i="2"/>
  <c r="C344" i="2"/>
  <c r="B344" i="2"/>
  <c r="E344" i="2"/>
  <c r="F412" i="2"/>
  <c r="D412" i="2"/>
  <c r="C412" i="2"/>
  <c r="B412" i="2"/>
  <c r="E412" i="2"/>
  <c r="F454" i="2"/>
  <c r="D454" i="2"/>
  <c r="C454" i="2"/>
  <c r="B454" i="2"/>
  <c r="E454" i="2"/>
  <c r="F590" i="2"/>
  <c r="E590" i="2"/>
  <c r="D590" i="2"/>
  <c r="C590" i="2"/>
  <c r="B590" i="2"/>
  <c r="F549" i="2"/>
  <c r="E549" i="2"/>
  <c r="D549" i="2"/>
  <c r="C549" i="2"/>
  <c r="B549" i="2"/>
  <c r="F498" i="2"/>
  <c r="D498" i="2"/>
  <c r="C498" i="2"/>
  <c r="B498" i="2"/>
  <c r="E498" i="2"/>
  <c r="C284" i="2"/>
  <c r="F284" i="2"/>
  <c r="E284" i="2"/>
  <c r="B284" i="2"/>
  <c r="D284" i="2"/>
  <c r="F116" i="2"/>
  <c r="E116" i="2"/>
  <c r="C116" i="2"/>
  <c r="B116" i="2"/>
  <c r="D116" i="2"/>
  <c r="E139" i="2"/>
  <c r="D139" i="2"/>
  <c r="B139" i="2"/>
  <c r="C139" i="2"/>
  <c r="F139" i="2"/>
  <c r="F428" i="2"/>
  <c r="D428" i="2"/>
  <c r="C428" i="2"/>
  <c r="B428" i="2"/>
  <c r="E428" i="2"/>
  <c r="F577" i="2"/>
  <c r="E577" i="2"/>
  <c r="C577" i="2"/>
  <c r="D577" i="2"/>
  <c r="B577" i="2"/>
  <c r="F551" i="2"/>
  <c r="E551" i="2"/>
  <c r="D551" i="2"/>
  <c r="C551" i="2"/>
  <c r="B551" i="2"/>
  <c r="F172" i="2"/>
  <c r="E172" i="2"/>
  <c r="C172" i="2"/>
  <c r="B172" i="2"/>
  <c r="D172" i="2"/>
  <c r="F209" i="2"/>
  <c r="E209" i="2"/>
  <c r="D209" i="2"/>
  <c r="C209" i="2"/>
  <c r="B209" i="2"/>
  <c r="F385" i="2"/>
  <c r="E385" i="2"/>
  <c r="C385" i="2"/>
  <c r="D385" i="2"/>
  <c r="B385" i="2"/>
  <c r="F126" i="2"/>
  <c r="E126" i="2"/>
  <c r="C126" i="2"/>
  <c r="B126" i="2"/>
  <c r="D126" i="2"/>
  <c r="F54" i="2"/>
  <c r="C54" i="2"/>
  <c r="E54" i="2"/>
  <c r="D54" i="2"/>
  <c r="B54" i="2"/>
  <c r="F178" i="2"/>
  <c r="E178" i="2"/>
  <c r="C178" i="2"/>
  <c r="B178" i="2"/>
  <c r="D178" i="2"/>
  <c r="E211" i="2"/>
  <c r="D211" i="2"/>
  <c r="C211" i="2"/>
  <c r="F211" i="2"/>
  <c r="B211" i="2"/>
  <c r="F411" i="2"/>
  <c r="E411" i="2"/>
  <c r="D411" i="2"/>
  <c r="C411" i="2"/>
  <c r="B411" i="2"/>
  <c r="F243" i="2"/>
  <c r="D243" i="2"/>
  <c r="E243" i="2"/>
  <c r="C243" i="2"/>
  <c r="B243" i="2"/>
  <c r="F74" i="2"/>
  <c r="E74" i="2"/>
  <c r="C74" i="2"/>
  <c r="D74" i="2"/>
  <c r="B74" i="2"/>
  <c r="E562" i="2"/>
  <c r="D562" i="2"/>
  <c r="B562" i="2"/>
  <c r="C562" i="2"/>
  <c r="F562" i="2"/>
  <c r="D7" i="2"/>
  <c r="C7" i="2"/>
  <c r="B7" i="2"/>
  <c r="F7" i="2"/>
  <c r="E7" i="2"/>
  <c r="F332" i="2"/>
  <c r="D332" i="2"/>
  <c r="C332" i="2"/>
  <c r="B332" i="2"/>
  <c r="E332" i="2"/>
  <c r="F93" i="2"/>
  <c r="E93" i="2"/>
  <c r="D93" i="2"/>
  <c r="C93" i="2"/>
  <c r="B93" i="2"/>
  <c r="F215" i="2"/>
  <c r="C215" i="2"/>
  <c r="B215" i="2"/>
  <c r="E215" i="2"/>
  <c r="D215" i="2"/>
  <c r="F391" i="2"/>
  <c r="E391" i="2"/>
  <c r="C391" i="2"/>
  <c r="D391" i="2"/>
  <c r="B391" i="2"/>
  <c r="F56" i="2"/>
  <c r="C56" i="2"/>
  <c r="B56" i="2"/>
  <c r="D56" i="2"/>
  <c r="E56" i="2"/>
  <c r="F213" i="2"/>
  <c r="E213" i="2"/>
  <c r="D213" i="2"/>
  <c r="C213" i="2"/>
  <c r="B213" i="2"/>
  <c r="F190" i="2"/>
  <c r="E190" i="2"/>
  <c r="C190" i="2"/>
  <c r="B190" i="2"/>
  <c r="D190" i="2"/>
  <c r="F442" i="2"/>
  <c r="D442" i="2"/>
  <c r="C442" i="2"/>
  <c r="B442" i="2"/>
  <c r="E442" i="2"/>
  <c r="F88" i="2"/>
  <c r="E88" i="2"/>
  <c r="C88" i="2"/>
  <c r="D88" i="2"/>
  <c r="B88" i="2"/>
  <c r="D265" i="2"/>
  <c r="C265" i="2"/>
  <c r="B265" i="2"/>
  <c r="E265" i="2"/>
  <c r="F265" i="2"/>
  <c r="F441" i="2"/>
  <c r="E441" i="2"/>
  <c r="D441" i="2"/>
  <c r="C441" i="2"/>
  <c r="B441" i="2"/>
  <c r="F399" i="2"/>
  <c r="E399" i="2"/>
  <c r="C399" i="2"/>
  <c r="D399" i="2"/>
  <c r="B399" i="2"/>
  <c r="F94" i="2"/>
  <c r="E94" i="2"/>
  <c r="C94" i="2"/>
  <c r="D94" i="2"/>
  <c r="B94" i="2"/>
  <c r="F420" i="2"/>
  <c r="D420" i="2"/>
  <c r="C420" i="2"/>
  <c r="B420" i="2"/>
  <c r="E420" i="2"/>
  <c r="E572" i="2"/>
  <c r="D572" i="2"/>
  <c r="C572" i="2"/>
  <c r="B572" i="2"/>
  <c r="F572" i="2"/>
  <c r="F64" i="2"/>
  <c r="C64" i="2"/>
  <c r="D64" i="2"/>
  <c r="E64" i="2"/>
  <c r="B64" i="2"/>
  <c r="F154" i="2"/>
  <c r="E154" i="2"/>
  <c r="C154" i="2"/>
  <c r="B154" i="2"/>
  <c r="D154" i="2"/>
  <c r="F71" i="2"/>
  <c r="D71" i="2"/>
  <c r="E71" i="2"/>
  <c r="C71" i="2"/>
  <c r="B71" i="2"/>
  <c r="F162" i="2"/>
  <c r="E162" i="2"/>
  <c r="C162" i="2"/>
  <c r="B162" i="2"/>
  <c r="D162" i="2"/>
  <c r="F264" i="2"/>
  <c r="E264" i="2"/>
  <c r="C264" i="2"/>
  <c r="B264" i="2"/>
  <c r="D264" i="2"/>
  <c r="F524" i="2"/>
  <c r="D524" i="2"/>
  <c r="C524" i="2"/>
  <c r="B524" i="2"/>
  <c r="E524" i="2"/>
  <c r="F536" i="2"/>
  <c r="D536" i="2"/>
  <c r="C536" i="2"/>
  <c r="B536" i="2"/>
  <c r="E536" i="2"/>
  <c r="F478" i="2"/>
  <c r="D478" i="2"/>
  <c r="C478" i="2"/>
  <c r="B478" i="2"/>
  <c r="E478" i="2"/>
  <c r="F311" i="2"/>
  <c r="C311" i="2"/>
  <c r="E311" i="2"/>
  <c r="D311" i="2"/>
  <c r="B311" i="2"/>
  <c r="C233" i="2"/>
  <c r="F233" i="2"/>
  <c r="E233" i="2"/>
  <c r="D233" i="2"/>
  <c r="B233" i="2"/>
  <c r="F409" i="2"/>
  <c r="E409" i="2"/>
  <c r="D409" i="2"/>
  <c r="C409" i="2"/>
  <c r="B409" i="2"/>
  <c r="F152" i="2"/>
  <c r="E152" i="2"/>
  <c r="C152" i="2"/>
  <c r="B152" i="2"/>
  <c r="D152" i="2"/>
  <c r="F176" i="2"/>
  <c r="E176" i="2"/>
  <c r="C176" i="2"/>
  <c r="B176" i="2"/>
  <c r="D176" i="2"/>
  <c r="F325" i="2"/>
  <c r="C325" i="2"/>
  <c r="E325" i="2"/>
  <c r="D325" i="2"/>
  <c r="B325" i="2"/>
  <c r="E235" i="2"/>
  <c r="D235" i="2"/>
  <c r="F235" i="2"/>
  <c r="B235" i="2"/>
  <c r="C235" i="2"/>
  <c r="F435" i="2"/>
  <c r="E435" i="2"/>
  <c r="D435" i="2"/>
  <c r="C435" i="2"/>
  <c r="B435" i="2"/>
  <c r="F571" i="2"/>
  <c r="E571" i="2"/>
  <c r="C571" i="2"/>
  <c r="D571" i="2"/>
  <c r="B571" i="2"/>
  <c r="D5" i="2"/>
  <c r="C5" i="2"/>
  <c r="B5" i="2"/>
  <c r="F5" i="2"/>
  <c r="E5" i="2"/>
  <c r="B568" i="2"/>
  <c r="F568" i="2"/>
  <c r="E568" i="2"/>
  <c r="D568" i="2"/>
  <c r="C568" i="2"/>
  <c r="F400" i="2"/>
  <c r="D400" i="2"/>
  <c r="C400" i="2"/>
  <c r="B400" i="2"/>
  <c r="E400" i="2"/>
  <c r="F96" i="2"/>
  <c r="E96" i="2"/>
  <c r="C96" i="2"/>
  <c r="D96" i="2"/>
  <c r="B96" i="2"/>
  <c r="F402" i="2"/>
  <c r="D402" i="2"/>
  <c r="C402" i="2"/>
  <c r="B402" i="2"/>
  <c r="E402" i="2"/>
  <c r="F239" i="2"/>
  <c r="C239" i="2"/>
  <c r="B239" i="2"/>
  <c r="E239" i="2"/>
  <c r="D239" i="2"/>
  <c r="F415" i="2"/>
  <c r="E415" i="2"/>
  <c r="D415" i="2"/>
  <c r="C415" i="2"/>
  <c r="B415" i="2"/>
  <c r="F232" i="2"/>
  <c r="E232" i="2"/>
  <c r="C232" i="2"/>
  <c r="B232" i="2"/>
  <c r="D232" i="2"/>
  <c r="F542" i="2"/>
  <c r="D542" i="2"/>
  <c r="C542" i="2"/>
  <c r="B542" i="2"/>
  <c r="E542" i="2"/>
  <c r="C83" i="2"/>
  <c r="B83" i="2"/>
  <c r="E83" i="2"/>
  <c r="D83" i="2"/>
  <c r="F83" i="2"/>
  <c r="F95" i="2"/>
  <c r="E95" i="2"/>
  <c r="D95" i="2"/>
  <c r="B95" i="2"/>
  <c r="C95" i="2"/>
  <c r="F360" i="2"/>
  <c r="D360" i="2"/>
  <c r="C360" i="2"/>
  <c r="B360" i="2"/>
  <c r="E360" i="2"/>
  <c r="F304" i="2"/>
  <c r="C304" i="2"/>
  <c r="E304" i="2"/>
  <c r="D304" i="2"/>
  <c r="B304" i="2"/>
  <c r="F465" i="2"/>
  <c r="E465" i="2"/>
  <c r="D465" i="2"/>
  <c r="C465" i="2"/>
  <c r="B465" i="2"/>
  <c r="F353" i="2"/>
  <c r="C353" i="2"/>
  <c r="D353" i="2"/>
  <c r="B353" i="2"/>
  <c r="E353" i="2"/>
  <c r="E594" i="2"/>
  <c r="D594" i="2"/>
  <c r="B594" i="2"/>
  <c r="C594" i="2"/>
  <c r="F594" i="2"/>
  <c r="F48" i="2"/>
  <c r="C48" i="2"/>
  <c r="B48" i="2"/>
  <c r="E48" i="2"/>
  <c r="D48" i="2"/>
  <c r="F195" i="2"/>
  <c r="E195" i="2"/>
  <c r="D195" i="2"/>
  <c r="C195" i="2"/>
  <c r="B195" i="2"/>
  <c r="F138" i="2"/>
  <c r="E138" i="2"/>
  <c r="C138" i="2"/>
  <c r="B138" i="2"/>
  <c r="D138" i="2"/>
  <c r="F254" i="2"/>
  <c r="E254" i="2"/>
  <c r="C254" i="2"/>
  <c r="B254" i="2"/>
  <c r="D254" i="2"/>
  <c r="F294" i="2"/>
  <c r="C294" i="2"/>
  <c r="E294" i="2"/>
  <c r="D294" i="2"/>
  <c r="B294" i="2"/>
  <c r="F599" i="2"/>
  <c r="E599" i="2"/>
  <c r="C599" i="2"/>
  <c r="B599" i="2"/>
  <c r="D599" i="2"/>
  <c r="F308" i="2"/>
  <c r="C308" i="2"/>
  <c r="E308" i="2"/>
  <c r="D308" i="2"/>
  <c r="B308" i="2"/>
  <c r="D39" i="2"/>
  <c r="C39" i="2"/>
  <c r="B39" i="2"/>
  <c r="F39" i="2"/>
  <c r="E39" i="2"/>
  <c r="F257" i="2"/>
  <c r="E257" i="2"/>
  <c r="D257" i="2"/>
  <c r="C257" i="2"/>
  <c r="B257" i="2"/>
  <c r="F433" i="2"/>
  <c r="E433" i="2"/>
  <c r="D433" i="2"/>
  <c r="C433" i="2"/>
  <c r="B433" i="2"/>
  <c r="F158" i="2"/>
  <c r="E158" i="2"/>
  <c r="C158" i="2"/>
  <c r="B158" i="2"/>
  <c r="D158" i="2"/>
  <c r="F396" i="2"/>
  <c r="D396" i="2"/>
  <c r="C396" i="2"/>
  <c r="B396" i="2"/>
  <c r="E396" i="2"/>
  <c r="D55" i="2"/>
  <c r="C55" i="2"/>
  <c r="B55" i="2"/>
  <c r="F55" i="2"/>
  <c r="E55" i="2"/>
  <c r="E259" i="2"/>
  <c r="D259" i="2"/>
  <c r="B259" i="2"/>
  <c r="F259" i="2"/>
  <c r="C259" i="2"/>
  <c r="F459" i="2"/>
  <c r="E459" i="2"/>
  <c r="D459" i="2"/>
  <c r="C459" i="2"/>
  <c r="B459" i="2"/>
  <c r="F575" i="2"/>
  <c r="E575" i="2"/>
  <c r="C575" i="2"/>
  <c r="B575" i="2"/>
  <c r="D575" i="2"/>
  <c r="F72" i="2"/>
  <c r="E72" i="2"/>
  <c r="C72" i="2"/>
  <c r="D72" i="2"/>
  <c r="B72" i="2"/>
  <c r="F365" i="2"/>
  <c r="C365" i="2"/>
  <c r="E365" i="2"/>
  <c r="D365" i="2"/>
  <c r="B365" i="2"/>
  <c r="F601" i="2"/>
  <c r="E601" i="2"/>
  <c r="C601" i="2"/>
  <c r="D601" i="2"/>
  <c r="B601" i="2"/>
  <c r="F333" i="2"/>
  <c r="C333" i="2"/>
  <c r="E333" i="2"/>
  <c r="D333" i="2"/>
  <c r="B333" i="2"/>
  <c r="F104" i="2"/>
  <c r="E104" i="2"/>
  <c r="C104" i="2"/>
  <c r="D104" i="2"/>
  <c r="B104" i="2"/>
  <c r="F263" i="2"/>
  <c r="C263" i="2"/>
  <c r="B263" i="2"/>
  <c r="D263" i="2"/>
  <c r="E263" i="2"/>
  <c r="F439" i="2"/>
  <c r="E439" i="2"/>
  <c r="D439" i="2"/>
  <c r="C439" i="2"/>
  <c r="B439" i="2"/>
  <c r="F526" i="2"/>
  <c r="D526" i="2"/>
  <c r="C526" i="2"/>
  <c r="B526" i="2"/>
  <c r="E526" i="2"/>
  <c r="F262" i="2"/>
  <c r="E262" i="2"/>
  <c r="C262" i="2"/>
  <c r="B262" i="2"/>
  <c r="D262" i="2"/>
  <c r="F200" i="2"/>
  <c r="E200" i="2"/>
  <c r="C200" i="2"/>
  <c r="B200" i="2"/>
  <c r="D200" i="2"/>
  <c r="F159" i="2"/>
  <c r="D159" i="2"/>
  <c r="E159" i="2"/>
  <c r="B159" i="2"/>
  <c r="C159" i="2"/>
  <c r="E131" i="2"/>
  <c r="F131" i="2"/>
  <c r="D131" i="2"/>
  <c r="C131" i="2"/>
  <c r="B131" i="2"/>
  <c r="F456" i="2"/>
  <c r="D456" i="2"/>
  <c r="C456" i="2"/>
  <c r="B456" i="2"/>
  <c r="E456" i="2"/>
  <c r="F489" i="2"/>
  <c r="E489" i="2"/>
  <c r="D489" i="2"/>
  <c r="C489" i="2"/>
  <c r="B489" i="2"/>
  <c r="F307" i="2"/>
  <c r="C307" i="2"/>
  <c r="E307" i="2"/>
  <c r="D307" i="2"/>
  <c r="B307" i="2"/>
  <c r="F247" i="2"/>
  <c r="E247" i="2"/>
  <c r="D247" i="2"/>
  <c r="C247" i="2"/>
  <c r="B247" i="2"/>
  <c r="F516" i="2"/>
  <c r="D516" i="2"/>
  <c r="C516" i="2"/>
  <c r="B516" i="2"/>
  <c r="E516" i="2"/>
  <c r="F464" i="2"/>
  <c r="D464" i="2"/>
  <c r="C464" i="2"/>
  <c r="B464" i="2"/>
  <c r="E464" i="2"/>
  <c r="F118" i="2"/>
  <c r="E118" i="2"/>
  <c r="C118" i="2"/>
  <c r="B118" i="2"/>
  <c r="D118" i="2"/>
  <c r="F271" i="2"/>
  <c r="E271" i="2"/>
  <c r="D271" i="2"/>
  <c r="C271" i="2"/>
  <c r="B271" i="2"/>
  <c r="F447" i="2"/>
  <c r="E447" i="2"/>
  <c r="D447" i="2"/>
  <c r="C447" i="2"/>
  <c r="B447" i="2"/>
  <c r="F515" i="2"/>
  <c r="E515" i="2"/>
  <c r="D515" i="2"/>
  <c r="C515" i="2"/>
  <c r="B515" i="2"/>
  <c r="F68" i="2"/>
  <c r="C68" i="2"/>
  <c r="B68" i="2"/>
  <c r="E68" i="2"/>
  <c r="D68" i="2"/>
  <c r="F148" i="2"/>
  <c r="E148" i="2"/>
  <c r="C148" i="2"/>
  <c r="B148" i="2"/>
  <c r="D148" i="2"/>
  <c r="D201" i="2"/>
  <c r="E201" i="2"/>
  <c r="F201" i="2"/>
  <c r="C201" i="2"/>
  <c r="B201" i="2"/>
  <c r="F377" i="2"/>
  <c r="C377" i="2"/>
  <c r="D377" i="2"/>
  <c r="B377" i="2"/>
  <c r="E377" i="2"/>
  <c r="F45" i="2"/>
  <c r="E45" i="2"/>
  <c r="D45" i="2"/>
  <c r="C45" i="2"/>
  <c r="B45" i="2"/>
  <c r="E227" i="2"/>
  <c r="D227" i="2"/>
  <c r="C227" i="2"/>
  <c r="B227" i="2"/>
  <c r="F227" i="2"/>
  <c r="F475" i="2"/>
  <c r="E475" i="2"/>
  <c r="D475" i="2"/>
  <c r="C475" i="2"/>
  <c r="B475" i="2"/>
  <c r="F260" i="2"/>
  <c r="E260" i="2"/>
  <c r="C260" i="2"/>
  <c r="B260" i="2"/>
  <c r="D260" i="2"/>
  <c r="F354" i="2"/>
  <c r="D354" i="2"/>
  <c r="C354" i="2"/>
  <c r="B354" i="2"/>
  <c r="E354" i="2"/>
  <c r="F291" i="2"/>
  <c r="C291" i="2"/>
  <c r="E291" i="2"/>
  <c r="D291" i="2"/>
  <c r="B291" i="2"/>
  <c r="B600" i="2"/>
  <c r="F600" i="2"/>
  <c r="E600" i="2"/>
  <c r="D600" i="2"/>
  <c r="C600" i="2"/>
  <c r="F186" i="2"/>
  <c r="E186" i="2"/>
  <c r="C186" i="2"/>
  <c r="B186" i="2"/>
  <c r="D186" i="2"/>
  <c r="F438" i="2"/>
  <c r="D438" i="2"/>
  <c r="C438" i="2"/>
  <c r="B438" i="2"/>
  <c r="E438" i="2"/>
  <c r="F374" i="2"/>
  <c r="D374" i="2"/>
  <c r="C374" i="2"/>
  <c r="B374" i="2"/>
  <c r="E374" i="2"/>
  <c r="F102" i="2"/>
  <c r="E102" i="2"/>
  <c r="C102" i="2"/>
  <c r="D102" i="2"/>
  <c r="B102" i="2"/>
  <c r="F530" i="2"/>
  <c r="D530" i="2"/>
  <c r="C530" i="2"/>
  <c r="B530" i="2"/>
  <c r="E530" i="2"/>
  <c r="F338" i="2"/>
  <c r="D338" i="2"/>
  <c r="C338" i="2"/>
  <c r="B338" i="2"/>
  <c r="E338" i="2"/>
  <c r="F557" i="2"/>
  <c r="E557" i="2"/>
  <c r="C557" i="2"/>
  <c r="B557" i="2"/>
  <c r="D557" i="2"/>
  <c r="F248" i="2"/>
  <c r="E248" i="2"/>
  <c r="C248" i="2"/>
  <c r="B248" i="2"/>
  <c r="D248" i="2"/>
  <c r="B65" i="2"/>
  <c r="F65" i="2"/>
  <c r="D65" i="2"/>
  <c r="E65" i="2"/>
  <c r="C65" i="2"/>
  <c r="F292" i="2"/>
  <c r="C292" i="2"/>
  <c r="E292" i="2"/>
  <c r="D292" i="2"/>
  <c r="B292" i="2"/>
  <c r="F457" i="2"/>
  <c r="E457" i="2"/>
  <c r="D457" i="2"/>
  <c r="C457" i="2"/>
  <c r="B457" i="2"/>
  <c r="F135" i="2"/>
  <c r="D135" i="2"/>
  <c r="E135" i="2"/>
  <c r="C135" i="2"/>
  <c r="B135" i="2"/>
  <c r="F84" i="2"/>
  <c r="E84" i="2"/>
  <c r="C84" i="2"/>
  <c r="D84" i="2"/>
  <c r="B84" i="2"/>
  <c r="F210" i="2"/>
  <c r="E210" i="2"/>
  <c r="C210" i="2"/>
  <c r="B210" i="2"/>
  <c r="D210" i="2"/>
  <c r="F295" i="2"/>
  <c r="C295" i="2"/>
  <c r="E295" i="2"/>
  <c r="B295" i="2"/>
  <c r="D295" i="2"/>
  <c r="F483" i="2"/>
  <c r="E483" i="2"/>
  <c r="D483" i="2"/>
  <c r="C483" i="2"/>
  <c r="B483" i="2"/>
  <c r="F491" i="2"/>
  <c r="E491" i="2"/>
  <c r="D491" i="2"/>
  <c r="C491" i="2"/>
  <c r="B491" i="2"/>
  <c r="E191" i="2"/>
  <c r="C191" i="2"/>
  <c r="D191" i="2"/>
  <c r="B191" i="2"/>
  <c r="F191" i="2"/>
  <c r="F389" i="2"/>
  <c r="E389" i="2"/>
  <c r="C389" i="2"/>
  <c r="D389" i="2"/>
  <c r="B389" i="2"/>
  <c r="F467" i="2"/>
  <c r="E467" i="2"/>
  <c r="D467" i="2"/>
  <c r="C467" i="2"/>
  <c r="B467" i="2"/>
  <c r="E119" i="2"/>
  <c r="C119" i="2"/>
  <c r="B119" i="2"/>
  <c r="D119" i="2"/>
  <c r="F119" i="2"/>
  <c r="F341" i="2"/>
  <c r="C341" i="2"/>
  <c r="E341" i="2"/>
  <c r="D341" i="2"/>
  <c r="B341" i="2"/>
  <c r="F301" i="2"/>
  <c r="C301" i="2"/>
  <c r="E301" i="2"/>
  <c r="B301" i="2"/>
  <c r="D301" i="2"/>
  <c r="F463" i="2"/>
  <c r="E463" i="2"/>
  <c r="D463" i="2"/>
  <c r="C463" i="2"/>
  <c r="B463" i="2"/>
  <c r="E59" i="2"/>
  <c r="F59" i="2"/>
  <c r="D59" i="2"/>
  <c r="B59" i="2"/>
  <c r="C59" i="2"/>
  <c r="F204" i="2"/>
  <c r="E204" i="2"/>
  <c r="C204" i="2"/>
  <c r="B204" i="2"/>
  <c r="D204" i="2"/>
  <c r="F120" i="2"/>
  <c r="E120" i="2"/>
  <c r="C120" i="2"/>
  <c r="B120" i="2"/>
  <c r="D120" i="2"/>
  <c r="F302" i="2"/>
  <c r="C302" i="2"/>
  <c r="E302" i="2"/>
  <c r="D302" i="2"/>
  <c r="B302" i="2"/>
  <c r="F224" i="2"/>
  <c r="E224" i="2"/>
  <c r="C224" i="2"/>
  <c r="B224" i="2"/>
  <c r="D224" i="2"/>
  <c r="F566" i="2"/>
  <c r="E566" i="2"/>
  <c r="D566" i="2"/>
  <c r="C566" i="2"/>
  <c r="B566" i="2"/>
  <c r="F513" i="2"/>
  <c r="E513" i="2"/>
  <c r="D513" i="2"/>
  <c r="C513" i="2"/>
  <c r="B513" i="2"/>
  <c r="F427" i="2"/>
  <c r="E427" i="2"/>
  <c r="D427" i="2"/>
  <c r="C427" i="2"/>
  <c r="B427" i="2"/>
  <c r="F548" i="2"/>
  <c r="D548" i="2"/>
  <c r="C548" i="2"/>
  <c r="B548" i="2"/>
  <c r="E548" i="2"/>
  <c r="F490" i="2"/>
  <c r="D490" i="2"/>
  <c r="C490" i="2"/>
  <c r="B490" i="2"/>
  <c r="E490" i="2"/>
  <c r="B197" i="2"/>
  <c r="F197" i="2"/>
  <c r="E197" i="2"/>
  <c r="D197" i="2"/>
  <c r="C197" i="2"/>
  <c r="B221" i="2"/>
  <c r="F221" i="2"/>
  <c r="E221" i="2"/>
  <c r="D221" i="2"/>
  <c r="C221" i="2"/>
  <c r="F397" i="2"/>
  <c r="E397" i="2"/>
  <c r="C397" i="2"/>
  <c r="D397" i="2"/>
  <c r="B397" i="2"/>
  <c r="F419" i="2"/>
  <c r="E419" i="2"/>
  <c r="D419" i="2"/>
  <c r="C419" i="2"/>
  <c r="B419" i="2"/>
  <c r="D21" i="2"/>
  <c r="C21" i="2"/>
  <c r="B21" i="2"/>
  <c r="F21" i="2"/>
  <c r="E21" i="2"/>
  <c r="F313" i="2"/>
  <c r="C313" i="2"/>
  <c r="E313" i="2"/>
  <c r="B313" i="2"/>
  <c r="D313" i="2"/>
  <c r="F471" i="2"/>
  <c r="E471" i="2"/>
  <c r="D471" i="2"/>
  <c r="C471" i="2"/>
  <c r="B471" i="2"/>
  <c r="F320" i="2"/>
  <c r="D320" i="2"/>
  <c r="C320" i="2"/>
  <c r="B320" i="2"/>
  <c r="E320" i="2"/>
  <c r="F42" i="2"/>
  <c r="B42" i="2"/>
  <c r="C42" i="2"/>
  <c r="D42" i="2"/>
  <c r="E42" i="2"/>
  <c r="F287" i="2"/>
  <c r="C287" i="2"/>
  <c r="E287" i="2"/>
  <c r="D287" i="2"/>
  <c r="B287" i="2"/>
  <c r="D225" i="2"/>
  <c r="C225" i="2"/>
  <c r="F225" i="2"/>
  <c r="E225" i="2"/>
  <c r="B225" i="2"/>
  <c r="F401" i="2"/>
  <c r="E401" i="2"/>
  <c r="C401" i="2"/>
  <c r="D401" i="2"/>
  <c r="B401" i="2"/>
  <c r="F164" i="2"/>
  <c r="E164" i="2"/>
  <c r="C164" i="2"/>
  <c r="B164" i="2"/>
  <c r="D164" i="2"/>
  <c r="E251" i="2"/>
  <c r="D251" i="2"/>
  <c r="C251" i="2"/>
  <c r="B251" i="2"/>
  <c r="F251" i="2"/>
  <c r="F499" i="2"/>
  <c r="E499" i="2"/>
  <c r="D499" i="2"/>
  <c r="C499" i="2"/>
  <c r="B499" i="2"/>
  <c r="F46" i="2"/>
  <c r="C46" i="2"/>
  <c r="E46" i="2"/>
  <c r="D46" i="2"/>
  <c r="B46" i="2"/>
  <c r="F40" i="2"/>
  <c r="B40" i="2"/>
  <c r="E40" i="2"/>
  <c r="D40" i="2"/>
  <c r="C40" i="2"/>
  <c r="F334" i="2"/>
  <c r="D334" i="2"/>
  <c r="C334" i="2"/>
  <c r="B334" i="2"/>
  <c r="E334" i="2"/>
  <c r="F357" i="2"/>
  <c r="C357" i="2"/>
  <c r="E357" i="2"/>
  <c r="D357" i="2"/>
  <c r="B357" i="2"/>
  <c r="F114" i="2"/>
  <c r="E114" i="2"/>
  <c r="C114" i="2"/>
  <c r="B114" i="2"/>
  <c r="D114" i="2"/>
  <c r="F288" i="2"/>
  <c r="C288" i="2"/>
  <c r="E288" i="2"/>
  <c r="D288" i="2"/>
  <c r="B288" i="2"/>
  <c r="F240" i="2"/>
  <c r="E240" i="2"/>
  <c r="C240" i="2"/>
  <c r="B240" i="2"/>
  <c r="D240" i="2"/>
  <c r="F38" i="2"/>
  <c r="B38" i="2"/>
  <c r="C38" i="2"/>
  <c r="D38" i="2"/>
  <c r="E38" i="2"/>
  <c r="C75" i="2"/>
  <c r="B75" i="2"/>
  <c r="F75" i="2"/>
  <c r="E75" i="2"/>
  <c r="D75" i="2"/>
  <c r="F283" i="2"/>
  <c r="C283" i="2"/>
  <c r="B283" i="2"/>
  <c r="D283" i="2"/>
  <c r="E283" i="2"/>
  <c r="F359" i="2"/>
  <c r="C359" i="2"/>
  <c r="E359" i="2"/>
  <c r="D359" i="2"/>
  <c r="B359" i="2"/>
  <c r="F395" i="2"/>
  <c r="E395" i="2"/>
  <c r="C395" i="2"/>
  <c r="D395" i="2"/>
  <c r="B395" i="2"/>
  <c r="F62" i="2"/>
  <c r="C62" i="2"/>
  <c r="E62" i="2"/>
  <c r="D62" i="2"/>
  <c r="B62" i="2"/>
  <c r="F424" i="2"/>
  <c r="D424" i="2"/>
  <c r="C424" i="2"/>
  <c r="B424" i="2"/>
  <c r="E424" i="2"/>
  <c r="F481" i="2"/>
  <c r="E481" i="2"/>
  <c r="D481" i="2"/>
  <c r="C481" i="2"/>
  <c r="B481" i="2"/>
  <c r="E145" i="2"/>
  <c r="D145" i="2"/>
  <c r="B145" i="2"/>
  <c r="C145" i="2"/>
  <c r="F145" i="2"/>
  <c r="F141" i="2"/>
  <c r="E141" i="2"/>
  <c r="D141" i="2"/>
  <c r="B141" i="2"/>
  <c r="C141" i="2"/>
  <c r="E113" i="2"/>
  <c r="C113" i="2"/>
  <c r="B113" i="2"/>
  <c r="F113" i="2"/>
  <c r="D113" i="2"/>
  <c r="F432" i="2"/>
  <c r="D432" i="2"/>
  <c r="C432" i="2"/>
  <c r="B432" i="2"/>
  <c r="E432" i="2"/>
  <c r="F507" i="2"/>
  <c r="E507" i="2"/>
  <c r="D507" i="2"/>
  <c r="C507" i="2"/>
  <c r="B507" i="2"/>
  <c r="F156" i="2"/>
  <c r="E156" i="2"/>
  <c r="C156" i="2"/>
  <c r="B156" i="2"/>
  <c r="D156" i="2"/>
  <c r="F356" i="2"/>
  <c r="D356" i="2"/>
  <c r="C356" i="2"/>
  <c r="B356" i="2"/>
  <c r="E356" i="2"/>
  <c r="F413" i="2"/>
  <c r="E413" i="2"/>
  <c r="D413" i="2"/>
  <c r="C413" i="2"/>
  <c r="B413" i="2"/>
  <c r="F26" i="2"/>
  <c r="B26" i="2"/>
  <c r="C26" i="2"/>
  <c r="D26" i="2"/>
  <c r="E26" i="2"/>
  <c r="F452" i="2"/>
  <c r="D452" i="2"/>
  <c r="C452" i="2"/>
  <c r="B452" i="2"/>
  <c r="E452" i="2"/>
  <c r="F258" i="2"/>
  <c r="E258" i="2"/>
  <c r="C258" i="2"/>
  <c r="B258" i="2"/>
  <c r="D258" i="2"/>
  <c r="F448" i="2"/>
  <c r="D448" i="2"/>
  <c r="C448" i="2"/>
  <c r="B448" i="2"/>
  <c r="E448" i="2"/>
  <c r="F487" i="2"/>
  <c r="E487" i="2"/>
  <c r="D487" i="2"/>
  <c r="C487" i="2"/>
  <c r="B487" i="2"/>
  <c r="C280" i="2"/>
  <c r="E280" i="2"/>
  <c r="D280" i="2"/>
  <c r="B280" i="2"/>
  <c r="F280" i="2"/>
  <c r="D105" i="2"/>
  <c r="C105" i="2"/>
  <c r="B105" i="2"/>
  <c r="F105" i="2"/>
  <c r="E105" i="2"/>
  <c r="F8" i="2"/>
  <c r="B8" i="2"/>
  <c r="E8" i="2"/>
  <c r="D8" i="2"/>
  <c r="C8" i="2"/>
  <c r="F106" i="2"/>
  <c r="E106" i="2"/>
  <c r="C106" i="2"/>
  <c r="D106" i="2"/>
  <c r="B106" i="2"/>
  <c r="C274" i="2"/>
  <c r="F274" i="2"/>
  <c r="D274" i="2"/>
  <c r="B274" i="2"/>
  <c r="E274" i="2"/>
  <c r="E596" i="2"/>
  <c r="D596" i="2"/>
  <c r="C596" i="2"/>
  <c r="B596" i="2"/>
  <c r="F596" i="2"/>
  <c r="F537" i="2"/>
  <c r="E537" i="2"/>
  <c r="D537" i="2"/>
  <c r="C537" i="2"/>
  <c r="B537" i="2"/>
  <c r="F268" i="2"/>
  <c r="E268" i="2"/>
  <c r="C268" i="2"/>
  <c r="B268" i="2"/>
  <c r="D268" i="2"/>
  <c r="F331" i="2"/>
  <c r="C331" i="2"/>
  <c r="D331" i="2"/>
  <c r="B331" i="2"/>
  <c r="E331" i="2"/>
  <c r="F581" i="2"/>
  <c r="E581" i="2"/>
  <c r="C581" i="2"/>
  <c r="B581" i="2"/>
  <c r="D581" i="2"/>
  <c r="F279" i="2"/>
  <c r="C279" i="2"/>
  <c r="E279" i="2"/>
  <c r="D279" i="2"/>
  <c r="B279" i="2"/>
  <c r="F430" i="2"/>
  <c r="D430" i="2"/>
  <c r="C430" i="2"/>
  <c r="B430" i="2"/>
  <c r="E430" i="2"/>
  <c r="B245" i="2"/>
  <c r="F245" i="2"/>
  <c r="E245" i="2"/>
  <c r="D245" i="2"/>
  <c r="C245" i="2"/>
  <c r="F421" i="2"/>
  <c r="E421" i="2"/>
  <c r="D421" i="2"/>
  <c r="C421" i="2"/>
  <c r="B421" i="2"/>
  <c r="F110" i="2"/>
  <c r="E110" i="2"/>
  <c r="C110" i="2"/>
  <c r="D110" i="2"/>
  <c r="B110" i="2"/>
  <c r="E149" i="2"/>
  <c r="B149" i="2"/>
  <c r="F149" i="2"/>
  <c r="D149" i="2"/>
  <c r="C149" i="2"/>
  <c r="F480" i="2"/>
  <c r="D480" i="2"/>
  <c r="C480" i="2"/>
  <c r="B480" i="2"/>
  <c r="E480" i="2"/>
  <c r="F495" i="2"/>
  <c r="E495" i="2"/>
  <c r="D495" i="2"/>
  <c r="C495" i="2"/>
  <c r="B495" i="2"/>
  <c r="F174" i="2"/>
  <c r="E174" i="2"/>
  <c r="C174" i="2"/>
  <c r="B174" i="2"/>
  <c r="D174" i="2"/>
  <c r="F242" i="2"/>
  <c r="E242" i="2"/>
  <c r="C242" i="2"/>
  <c r="B242" i="2"/>
  <c r="D242" i="2"/>
  <c r="D9" i="2"/>
  <c r="C9" i="2"/>
  <c r="B9" i="2"/>
  <c r="F9" i="2"/>
  <c r="E9" i="2"/>
  <c r="D249" i="2"/>
  <c r="C249" i="2"/>
  <c r="B249" i="2"/>
  <c r="F249" i="2"/>
  <c r="E249" i="2"/>
  <c r="F425" i="2"/>
  <c r="E425" i="2"/>
  <c r="D425" i="2"/>
  <c r="C425" i="2"/>
  <c r="B425" i="2"/>
  <c r="F34" i="2"/>
  <c r="B34" i="2"/>
  <c r="C34" i="2"/>
  <c r="E34" i="2"/>
  <c r="D34" i="2"/>
  <c r="C278" i="2"/>
  <c r="F278" i="2"/>
  <c r="E278" i="2"/>
  <c r="B278" i="2"/>
  <c r="D278" i="2"/>
  <c r="F523" i="2"/>
  <c r="E523" i="2"/>
  <c r="D523" i="2"/>
  <c r="C523" i="2"/>
  <c r="B523" i="2"/>
  <c r="F20" i="2"/>
  <c r="B20" i="2"/>
  <c r="E20" i="2"/>
  <c r="C20" i="2"/>
  <c r="D20" i="2"/>
  <c r="F86" i="2"/>
  <c r="E86" i="2"/>
  <c r="C86" i="2"/>
  <c r="B86" i="2"/>
  <c r="D86" i="2"/>
  <c r="F275" i="2"/>
  <c r="C275" i="2"/>
  <c r="B275" i="2"/>
  <c r="E275" i="2"/>
  <c r="D275" i="2"/>
  <c r="F381" i="2"/>
  <c r="E381" i="2"/>
  <c r="C381" i="2"/>
  <c r="D381" i="2"/>
  <c r="B381" i="2"/>
  <c r="F78" i="2"/>
  <c r="E78" i="2"/>
  <c r="C78" i="2"/>
  <c r="D78" i="2"/>
  <c r="B78" i="2"/>
  <c r="E203" i="2"/>
  <c r="D203" i="2"/>
  <c r="C203" i="2"/>
  <c r="B203" i="2"/>
  <c r="F203" i="2"/>
  <c r="F230" i="2"/>
  <c r="E230" i="2"/>
  <c r="C230" i="2"/>
  <c r="B230" i="2"/>
  <c r="D230" i="2"/>
  <c r="F44" i="2"/>
  <c r="C44" i="2"/>
  <c r="B44" i="2"/>
  <c r="D44" i="2"/>
  <c r="E44" i="2"/>
  <c r="F166" i="2"/>
  <c r="E166" i="2"/>
  <c r="C166" i="2"/>
  <c r="B166" i="2"/>
  <c r="D166" i="2"/>
  <c r="C207" i="2"/>
  <c r="B207" i="2"/>
  <c r="F207" i="2"/>
  <c r="D207" i="2"/>
  <c r="E207" i="2"/>
  <c r="F383" i="2"/>
  <c r="E383" i="2"/>
  <c r="C383" i="2"/>
  <c r="D383" i="2"/>
  <c r="B383" i="2"/>
  <c r="F57" i="2"/>
  <c r="E57" i="2"/>
  <c r="D57" i="2"/>
  <c r="C57" i="2"/>
  <c r="B57" i="2"/>
  <c r="E179" i="2"/>
  <c r="D179" i="2"/>
  <c r="F179" i="2"/>
  <c r="C179" i="2"/>
  <c r="B179" i="2"/>
  <c r="F520" i="2"/>
  <c r="D520" i="2"/>
  <c r="C520" i="2"/>
  <c r="B520" i="2"/>
  <c r="E520" i="2"/>
  <c r="F505" i="2"/>
  <c r="E505" i="2"/>
  <c r="D505" i="2"/>
  <c r="C505" i="2"/>
  <c r="B505" i="2"/>
  <c r="D63" i="2"/>
  <c r="E63" i="2"/>
  <c r="F63" i="2"/>
  <c r="C63" i="2"/>
  <c r="B63" i="2"/>
  <c r="F256" i="2"/>
  <c r="E256" i="2"/>
  <c r="C256" i="2"/>
  <c r="B256" i="2"/>
  <c r="D256" i="2"/>
  <c r="E185" i="2"/>
  <c r="B185" i="2"/>
  <c r="F185" i="2"/>
  <c r="D185" i="2"/>
  <c r="C185" i="2"/>
  <c r="F528" i="2"/>
  <c r="D528" i="2"/>
  <c r="C528" i="2"/>
  <c r="B528" i="2"/>
  <c r="E528" i="2"/>
  <c r="F531" i="2"/>
  <c r="E531" i="2"/>
  <c r="D531" i="2"/>
  <c r="C531" i="2"/>
  <c r="B531" i="2"/>
  <c r="F462" i="2"/>
  <c r="D462" i="2"/>
  <c r="C462" i="2"/>
  <c r="B462" i="2"/>
  <c r="E462" i="2"/>
  <c r="F534" i="2"/>
  <c r="D534" i="2"/>
  <c r="C534" i="2"/>
  <c r="B534" i="2"/>
  <c r="E534" i="2"/>
  <c r="F437" i="2"/>
  <c r="E437" i="2"/>
  <c r="D437" i="2"/>
  <c r="C437" i="2"/>
  <c r="B437" i="2"/>
  <c r="F146" i="2"/>
  <c r="E146" i="2"/>
  <c r="C146" i="2"/>
  <c r="B146" i="2"/>
  <c r="D146" i="2"/>
  <c r="F382" i="2"/>
  <c r="D382" i="2"/>
  <c r="C382" i="2"/>
  <c r="B382" i="2"/>
  <c r="E382" i="2"/>
  <c r="E125" i="2"/>
  <c r="F125" i="2"/>
  <c r="D125" i="2"/>
  <c r="C125" i="2"/>
  <c r="B125" i="2"/>
  <c r="F563" i="2"/>
  <c r="E563" i="2"/>
  <c r="C563" i="2"/>
  <c r="D563" i="2"/>
  <c r="B563" i="2"/>
  <c r="F511" i="2"/>
  <c r="E511" i="2"/>
  <c r="D511" i="2"/>
  <c r="C511" i="2"/>
  <c r="B511" i="2"/>
  <c r="F147" i="2"/>
  <c r="D147" i="2"/>
  <c r="E147" i="2"/>
  <c r="C147" i="2"/>
  <c r="B147" i="2"/>
  <c r="F222" i="2"/>
  <c r="E222" i="2"/>
  <c r="C222" i="2"/>
  <c r="B222" i="2"/>
  <c r="D222" i="2"/>
  <c r="F12" i="2"/>
  <c r="B12" i="2"/>
  <c r="C12" i="2"/>
  <c r="D12" i="2"/>
  <c r="E12" i="2"/>
  <c r="E169" i="2"/>
  <c r="D169" i="2"/>
  <c r="B169" i="2"/>
  <c r="C169" i="2"/>
  <c r="F169" i="2"/>
  <c r="F468" i="2"/>
  <c r="D468" i="2"/>
  <c r="C468" i="2"/>
  <c r="B468" i="2"/>
  <c r="E468" i="2"/>
  <c r="F546" i="2"/>
  <c r="D546" i="2"/>
  <c r="C546" i="2"/>
  <c r="B546" i="2"/>
  <c r="E546" i="2"/>
  <c r="F124" i="2"/>
  <c r="E124" i="2"/>
  <c r="C124" i="2"/>
  <c r="B124" i="2"/>
  <c r="D124" i="2"/>
  <c r="B592" i="2"/>
  <c r="F592" i="2"/>
  <c r="E592" i="2"/>
  <c r="D592" i="2"/>
  <c r="C592" i="2"/>
  <c r="F358" i="2"/>
  <c r="D358" i="2"/>
  <c r="C358" i="2"/>
  <c r="B358" i="2"/>
  <c r="E358" i="2"/>
  <c r="F373" i="2"/>
  <c r="C373" i="2"/>
  <c r="E373" i="2"/>
  <c r="B373" i="2"/>
  <c r="D373" i="2"/>
  <c r="F244" i="2"/>
  <c r="E244" i="2"/>
  <c r="C244" i="2"/>
  <c r="B244" i="2"/>
  <c r="D244" i="2"/>
  <c r="F98" i="2"/>
  <c r="E98" i="2"/>
  <c r="C98" i="2"/>
  <c r="D98" i="2"/>
  <c r="B98" i="2"/>
  <c r="F474" i="2"/>
  <c r="D474" i="2"/>
  <c r="C474" i="2"/>
  <c r="B474" i="2"/>
  <c r="E474" i="2"/>
  <c r="C107" i="2"/>
  <c r="B107" i="2"/>
  <c r="F107" i="2"/>
  <c r="E107" i="2"/>
  <c r="D107" i="2"/>
  <c r="B269" i="2"/>
  <c r="F269" i="2"/>
  <c r="E269" i="2"/>
  <c r="C269" i="2"/>
  <c r="D269" i="2"/>
  <c r="F445" i="2"/>
  <c r="E445" i="2"/>
  <c r="D445" i="2"/>
  <c r="C445" i="2"/>
  <c r="B445" i="2"/>
  <c r="F218" i="2"/>
  <c r="E218" i="2"/>
  <c r="C218" i="2"/>
  <c r="B218" i="2"/>
  <c r="D218" i="2"/>
  <c r="F406" i="2"/>
  <c r="D406" i="2"/>
  <c r="C406" i="2"/>
  <c r="B406" i="2"/>
  <c r="E406" i="2"/>
  <c r="F579" i="2"/>
  <c r="E579" i="2"/>
  <c r="C579" i="2"/>
  <c r="D579" i="2"/>
  <c r="B579" i="2"/>
  <c r="F519" i="2"/>
  <c r="E519" i="2"/>
  <c r="D519" i="2"/>
  <c r="C519" i="2"/>
  <c r="B519" i="2"/>
  <c r="F52" i="2"/>
  <c r="C52" i="2"/>
  <c r="D52" i="2"/>
  <c r="E52" i="2"/>
  <c r="B52" i="2"/>
  <c r="F506" i="2"/>
  <c r="D506" i="2"/>
  <c r="C506" i="2"/>
  <c r="B506" i="2"/>
  <c r="E506" i="2"/>
  <c r="F142" i="2"/>
  <c r="E142" i="2"/>
  <c r="C142" i="2"/>
  <c r="B142" i="2"/>
  <c r="D142" i="2"/>
  <c r="E273" i="2"/>
  <c r="D273" i="2"/>
  <c r="C273" i="2"/>
  <c r="F273" i="2"/>
  <c r="B273" i="2"/>
  <c r="F449" i="2"/>
  <c r="E449" i="2"/>
  <c r="D449" i="2"/>
  <c r="C449" i="2"/>
  <c r="B449" i="2"/>
  <c r="F336" i="2"/>
  <c r="D336" i="2"/>
  <c r="C336" i="2"/>
  <c r="B336" i="2"/>
  <c r="E336" i="2"/>
  <c r="F496" i="2"/>
  <c r="D496" i="2"/>
  <c r="C496" i="2"/>
  <c r="B496" i="2"/>
  <c r="E496" i="2"/>
  <c r="F547" i="2"/>
  <c r="E547" i="2"/>
  <c r="D547" i="2"/>
  <c r="C547" i="2"/>
  <c r="B547" i="2"/>
  <c r="F266" i="2"/>
  <c r="E266" i="2"/>
  <c r="C266" i="2"/>
  <c r="B266" i="2"/>
  <c r="D266" i="2"/>
  <c r="F123" i="2"/>
  <c r="D123" i="2"/>
  <c r="E123" i="2"/>
  <c r="C123" i="2"/>
  <c r="B123" i="2"/>
  <c r="F205" i="2"/>
  <c r="E205" i="2"/>
  <c r="B205" i="2"/>
  <c r="D205" i="2"/>
  <c r="C205" i="2"/>
  <c r="F405" i="2"/>
  <c r="E405" i="2"/>
  <c r="D405" i="2"/>
  <c r="C405" i="2"/>
  <c r="B405" i="2"/>
  <c r="F177" i="2"/>
  <c r="D177" i="2"/>
  <c r="E177" i="2"/>
  <c r="B177" i="2"/>
  <c r="C177" i="2"/>
  <c r="F569" i="2"/>
  <c r="E569" i="2"/>
  <c r="C569" i="2"/>
  <c r="D569" i="2"/>
  <c r="B569" i="2"/>
  <c r="D67" i="2"/>
  <c r="C67" i="2"/>
  <c r="B67" i="2"/>
  <c r="E67" i="2"/>
  <c r="F67" i="2"/>
  <c r="F140" i="2"/>
  <c r="E140" i="2"/>
  <c r="C140" i="2"/>
  <c r="B140" i="2"/>
  <c r="D140" i="2"/>
  <c r="F305" i="2"/>
  <c r="C305" i="2"/>
  <c r="E305" i="2"/>
  <c r="D305" i="2"/>
  <c r="B305" i="2"/>
  <c r="C231" i="2"/>
  <c r="B231" i="2"/>
  <c r="F231" i="2"/>
  <c r="E231" i="2"/>
  <c r="D231" i="2"/>
  <c r="F407" i="2"/>
  <c r="E407" i="2"/>
  <c r="D407" i="2"/>
  <c r="C407" i="2"/>
  <c r="B407" i="2"/>
  <c r="F168" i="2"/>
  <c r="E168" i="2"/>
  <c r="C168" i="2"/>
  <c r="B168" i="2"/>
  <c r="D168" i="2"/>
  <c r="F486" i="2"/>
  <c r="D486" i="2"/>
  <c r="C486" i="2"/>
  <c r="B486" i="2"/>
  <c r="E486" i="2"/>
  <c r="F598" i="2"/>
  <c r="E598" i="2"/>
  <c r="D598" i="2"/>
  <c r="C598" i="2"/>
  <c r="B598" i="2"/>
  <c r="F529" i="2"/>
  <c r="E529" i="2"/>
  <c r="D529" i="2"/>
  <c r="C529" i="2"/>
  <c r="B529" i="2"/>
  <c r="F510" i="2"/>
  <c r="D510" i="2"/>
  <c r="C510" i="2"/>
  <c r="B510" i="2"/>
  <c r="E510" i="2"/>
  <c r="F226" i="2"/>
  <c r="E226" i="2"/>
  <c r="C226" i="2"/>
  <c r="B226" i="2"/>
  <c r="D226" i="2"/>
  <c r="F502" i="2"/>
  <c r="D502" i="2"/>
  <c r="C502" i="2"/>
  <c r="B502" i="2"/>
  <c r="E502" i="2"/>
  <c r="F585" i="2"/>
  <c r="E585" i="2"/>
  <c r="C585" i="2"/>
  <c r="D585" i="2"/>
  <c r="B585" i="2"/>
  <c r="F555" i="2"/>
  <c r="E555" i="2"/>
  <c r="D555" i="2"/>
  <c r="C555" i="2"/>
  <c r="B555" i="2"/>
  <c r="F122" i="2"/>
  <c r="E122" i="2"/>
  <c r="C122" i="2"/>
  <c r="B122" i="2"/>
  <c r="D122" i="2"/>
  <c r="F237" i="2"/>
  <c r="E237" i="2"/>
  <c r="D237" i="2"/>
  <c r="C237" i="2"/>
  <c r="B237" i="2"/>
  <c r="F461" i="2"/>
  <c r="E461" i="2"/>
  <c r="D461" i="2"/>
  <c r="C461" i="2"/>
  <c r="B461" i="2"/>
  <c r="F79" i="2"/>
  <c r="E79" i="2"/>
  <c r="D79" i="2"/>
  <c r="C79" i="2"/>
  <c r="B79" i="2"/>
  <c r="F58" i="2"/>
  <c r="C58" i="2"/>
  <c r="E58" i="2"/>
  <c r="D58" i="2"/>
  <c r="B58" i="2"/>
  <c r="F272" i="2"/>
  <c r="E272" i="2"/>
  <c r="C272" i="2"/>
  <c r="B272" i="2"/>
  <c r="D272" i="2"/>
  <c r="F593" i="2"/>
  <c r="E593" i="2"/>
  <c r="C593" i="2"/>
  <c r="D593" i="2"/>
  <c r="B593" i="2"/>
  <c r="F535" i="2"/>
  <c r="E535" i="2"/>
  <c r="D535" i="2"/>
  <c r="C535" i="2"/>
  <c r="B535" i="2"/>
  <c r="E157" i="2"/>
  <c r="D157" i="2"/>
  <c r="C157" i="2"/>
  <c r="B157" i="2"/>
  <c r="F157" i="2"/>
  <c r="F6" i="2"/>
  <c r="B6" i="2"/>
  <c r="C6" i="2"/>
  <c r="E6" i="2"/>
  <c r="D6" i="2"/>
  <c r="D97" i="2"/>
  <c r="F97" i="2"/>
  <c r="B97" i="2"/>
  <c r="E97" i="2"/>
  <c r="C97" i="2"/>
  <c r="F378" i="2"/>
  <c r="D378" i="2"/>
  <c r="C378" i="2"/>
  <c r="B378" i="2"/>
  <c r="E378" i="2"/>
  <c r="F386" i="2"/>
  <c r="D386" i="2"/>
  <c r="C386" i="2"/>
  <c r="B386" i="2"/>
  <c r="E386" i="2"/>
  <c r="E570" i="2"/>
  <c r="D570" i="2"/>
  <c r="B570" i="2"/>
  <c r="F570" i="2"/>
  <c r="C570" i="2"/>
</calcChain>
</file>

<file path=xl/sharedStrings.xml><?xml version="1.0" encoding="utf-8"?>
<sst xmlns="http://schemas.openxmlformats.org/spreadsheetml/2006/main" count="119" uniqueCount="117">
  <si>
    <t>NEEDTHESEAPPS.COM</t>
  </si>
  <si>
    <t>Savings Goal Calculator</t>
  </si>
  <si>
    <t>How much should you save each month to reach your goal, and when will you get there?</t>
  </si>
  <si>
    <t>Open the full calculator online  ↗</t>
  </si>
  <si>
    <t>YOUR NUMBERS (used by both questions)</t>
  </si>
  <si>
    <t>Currency symbol you use</t>
  </si>
  <si>
    <t>$</t>
  </si>
  <si>
    <t>Your goal, in today's money</t>
  </si>
  <si>
    <t>The full amount, in today's money.</t>
  </si>
  <si>
    <t>Already saved for it</t>
  </si>
  <si>
    <t>Only money set aside for this goal. 0 if you're starting from zero.</t>
  </si>
  <si>
    <t>Interest your savings earn each year</t>
  </si>
  <si>
    <t>A rough average, not a promise. Your bank's rate decides.</t>
  </si>
  <si>
    <t>Start month</t>
  </si>
  <si>
    <t>An example month. Type the month you start saving. It never changes by itself.</t>
  </si>
  <si>
    <t>My goal's price will rise with prices?</t>
  </si>
  <si>
    <t>No</t>
  </si>
  <si>
    <t>Yes or No. Choose from the list.</t>
  </si>
  <si>
    <t>How much prices rise each year</t>
  </si>
  <si>
    <t>Used only when the line above says Yes.</t>
  </si>
  <si>
    <t>QUESTION 1: How much should I save each month?</t>
  </si>
  <si>
    <t>Reach my goal by (month)</t>
  </si>
  <si>
    <t>The month you want to have the money. Pick a month after your start month.</t>
  </si>
  <si>
    <t>QUESTION 2: When will I reach my goal?</t>
  </si>
  <si>
    <t>I can save each month</t>
  </si>
  <si>
    <t>What you can put aside every month without strain.</t>
  </si>
  <si>
    <t>Deposits at the end of each month, interest added monthly, no tax taken off: the same rules as the online calculator.
The interest rate and the price rise are your assumptions.
This file is a snapshot of the calculator. The full calculator online also shows ways to make it work and deeper insights.</t>
  </si>
  <si>
    <t>The scale on the left can start above zero, so the lines are easier to tell apart. The dashed lines are your goal; they rise when you say the goal's price rises with prices.</t>
  </si>
  <si>
    <t>Month-by-month breakdown</t>
  </si>
  <si>
    <t>Month no.</t>
  </si>
  <si>
    <t>Month</t>
  </si>
  <si>
    <t>Question 1: your savings</t>
  </si>
  <si>
    <t>Question 1: your goal</t>
  </si>
  <si>
    <t>Question 2: your savings</t>
  </si>
  <si>
    <t>Question 2: your goal</t>
  </si>
  <si>
    <t>About this workbook</t>
  </si>
  <si>
    <t>WHAT THIS WORKBOOK DOES</t>
  </si>
  <si>
    <t>It answers both questions of the Savings Goal Calculator offline: how much to save each month to reach your goal by a month you choose, and in which month you reach your goal if you save a set amount each month. For each it shows what you put in and what interest adds, the month-by-month path, and a chart. The goal's price can rise with prices, as an option.</t>
  </si>
  <si>
    <t>WHAT IT DOES NOT DO</t>
  </si>
  <si>
    <t>Ways to make it work</t>
  </si>
  <si>
    <t>A later date, extra money now, a little more each month: on the site.</t>
  </si>
  <si>
    <t>Skipped months</t>
  </si>
  <si>
    <t>What a missed month does to your plan: on the site.</t>
  </si>
  <si>
    <t>Country detection</t>
  </si>
  <si>
    <t>The site suggests your currency and how fast prices rise: here you type them.</t>
  </si>
  <si>
    <t>The deeper insights</t>
  </si>
  <si>
    <t>"Show me what else my numbers reveal": on the site.</t>
  </si>
  <si>
    <t>The Bigger Picture and the FAQ</t>
  </si>
  <si>
    <t>The guide to what the numbers mean: on the site.</t>
  </si>
  <si>
    <t>Tax</t>
  </si>
  <si>
    <t>No tax is taken off the interest, as on the site.</t>
  </si>
  <si>
    <t>It is not financial advice</t>
  </si>
  <si>
    <t>A planning estimate, based on what you entered.</t>
  </si>
  <si>
    <t>ASSUMPTIONS USED</t>
  </si>
  <si>
    <t>Deposits</t>
  </si>
  <si>
    <t>You start this month. Each deposit is made at the end of the month.</t>
  </si>
  <si>
    <t>Interest</t>
  </si>
  <si>
    <t>One yearly rate that you enter, turned into a monthly one: (1 + yearly rate)^(1/12) − 1, added every month.</t>
  </si>
  <si>
    <t>Rising prices (optional)</t>
  </si>
  <si>
    <t>When on, the goal after n months is goal × (1 + yearly price rise)^(n/12).</t>
  </si>
  <si>
    <t>Question 1</t>
  </si>
  <si>
    <t>The deposits run from your start month to the month before the one you choose.</t>
  </si>
  <si>
    <t>Question 2</t>
  </si>
  <si>
    <t>Month after month until your savings reach your goal. You reach it in the month of the last deposit.</t>
  </si>
  <si>
    <t>Already there</t>
  </si>
  <si>
    <t>If what you have saved already covers your goal today, both answers say so.</t>
  </si>
  <si>
    <t>Longest look-ahead</t>
  </si>
  <si>
    <t>600 months (50 years). After that the answer is 'More than 50 years'.</t>
  </si>
  <si>
    <t>The start month</t>
  </si>
  <si>
    <t>An example you can change. The file never reads today's date.</t>
  </si>
  <si>
    <t>THE WORKBOOK</t>
  </si>
  <si>
    <t>Site</t>
  </si>
  <si>
    <t>needtheseapps.com</t>
  </si>
  <si>
    <t>Sheets</t>
  </si>
  <si>
    <t>Calculator · Breakdown · About &amp; Assumptions</t>
  </si>
  <si>
    <t>Version</t>
  </si>
  <si>
    <t>1.0</t>
  </si>
  <si>
    <t>Generated</t>
  </si>
  <si>
    <t>Oct 7, 2026</t>
  </si>
  <si>
    <t>Currency</t>
  </si>
  <si>
    <t>This file is a snapshot. It does not update itself when the online calculator changes.</t>
  </si>
  <si>
    <t>Helper calculations. Do not edit.</t>
  </si>
  <si>
    <t>Start month (first day)</t>
  </si>
  <si>
    <t>Chosen month (first day)</t>
  </si>
  <si>
    <t>Monthly rate</t>
  </si>
  <si>
    <t>Goal's price rises (1/0)</t>
  </si>
  <si>
    <t>Already there (1/0): saved covers the goal today</t>
  </si>
  <si>
    <t>Q1: deposits (months from the start month to the chosen month)</t>
  </si>
  <si>
    <t>Q1: a usable answer (1/0)</t>
  </si>
  <si>
    <t>Q1: the goal's amount on the chosen date</t>
  </si>
  <si>
    <t>Q1: sum of the growth of the deposits</t>
  </si>
  <si>
    <t>Q1: the amount to save each month</t>
  </si>
  <si>
    <t>Q1: what you put in</t>
  </si>
  <si>
    <t>Q1: what interest adds</t>
  </si>
  <si>
    <t>Q1: duration in words</t>
  </si>
  <si>
    <t>Q2: deposits until the goal is reached</t>
  </si>
  <si>
    <t>Q2: reached (1/0)</t>
  </si>
  <si>
    <t>Q2: the balance in that month</t>
  </si>
  <si>
    <t>Q2: the goal's amount in that month</t>
  </si>
  <si>
    <t>Q2: what you put in</t>
  </si>
  <si>
    <t>Q2: what interest adds</t>
  </si>
  <si>
    <t>Q2: the month it is reached (month of the last deposit)</t>
  </si>
  <si>
    <t>Q2: duration in words</t>
  </si>
  <si>
    <t>Chart: last month of question 1 (-1 when none)</t>
  </si>
  <si>
    <t>Chart: last month of question 2 (-1 when none)</t>
  </si>
  <si>
    <t>Chart: number of points (month 0 up to the last month)</t>
  </si>
  <si>
    <t>Q2 not reached: the balance after 50 years</t>
  </si>
  <si>
    <t>Q1 savings</t>
  </si>
  <si>
    <t>Q1 goal</t>
  </si>
  <si>
    <t>Q2 savings (full)</t>
  </si>
  <si>
    <t>Q2 goal (full)</t>
  </si>
  <si>
    <t>-</t>
  </si>
  <si>
    <t>Q2 reached from here (1/0)</t>
  </si>
  <si>
    <t>Chart Q1 savings</t>
  </si>
  <si>
    <t>Chart Q1 goal</t>
  </si>
  <si>
    <t>Chart Q2 savings</t>
  </si>
  <si>
    <t>Chart Q2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</si>
</sst>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mmm\ yyyy"/>
    <numFmt numFmtId="166" formatCode="0.0#&quot;%&quot;"/>
    <numFmt numFmtId="167" formatCode="mmmm\ yyyy"/>
  </numFmts>
  <fonts count="20" x14ac:knownFonts="1">
    <font>
      <sz val="11"/>
      <color theme="1"/>
      <name val="Calibri"/>
      <family val="2"/>
      <scheme val="minor"/>
    </font>
    <font>
      <b/>
      <sz val="11"/>
      <color rgb="FF1B2733"/>
      <name val="Segoe UI"/>
    </font>
    <font>
      <sz val="11"/>
      <color rgb="FF1B2733"/>
      <name val="Segoe UI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sz val="10"/>
      <color rgb="FF1B2733"/>
      <name val="Segoe UI"/>
    </font>
    <font>
      <b/>
      <u/>
      <sz val="10"/>
      <color rgb="FF1E5A85"/>
      <name val="Segoe UI"/>
    </font>
    <font>
      <b/>
      <sz val="20"/>
      <color rgb="FF12354E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b/>
      <sz val="12"/>
      <color rgb="FF12354E"/>
      <name val="Segoe UI"/>
    </font>
    <font>
      <sz val="9.5"/>
      <color rgb="FF6C6D70"/>
      <name val="Segoe UI"/>
    </font>
    <font>
      <i/>
      <sz val="10"/>
      <color rgb="FF6C6D70"/>
      <name val="Segoe UI"/>
    </font>
    <font>
      <b/>
      <sz val="22"/>
      <color rgb="FF1E5A85"/>
      <name val="Segoe UI"/>
    </font>
    <font>
      <i/>
      <sz val="9.5"/>
      <color rgb="FF6C6D70"/>
      <name val="Segoe UI"/>
    </font>
    <font>
      <b/>
      <sz val="22"/>
      <color rgb="FFA65F00"/>
      <name val="Segoe UI"/>
    </font>
    <font>
      <sz val="11"/>
      <color rgb="FF6C6D70"/>
      <name val="Segoe UI"/>
    </font>
    <font>
      <b/>
      <u/>
      <sz val="12"/>
      <color rgb="FF1E5A85"/>
      <name val="Segoe UI"/>
    </font>
    <font>
      <b/>
      <sz val="11"/>
      <color rgb="FF12354E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E4EDF5"/>
      </patternFill>
    </fill>
    <fill>
      <patternFill patternType="solid">
        <fgColor rgb="FFC9DEE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748BA0"/>
      </bottom>
      <diagonal/>
    </border>
    <border>
      <left style="medium">
        <color rgb="FFB26A00"/>
      </left>
      <right/>
      <top style="thin">
        <color rgb="FFD6E1EA"/>
      </top>
      <bottom/>
      <diagonal/>
    </border>
    <border>
      <left/>
      <right/>
      <top style="thin">
        <color rgb="FFD6E1EA"/>
      </top>
      <bottom/>
      <diagonal/>
    </border>
    <border>
      <left style="medium">
        <color rgb="FFB26A00"/>
      </left>
      <right/>
      <top/>
      <bottom/>
      <diagonal/>
    </border>
    <border>
      <left/>
      <right/>
      <top/>
      <bottom style="thin">
        <color rgb="FFD6E1EA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wrapText="1"/>
    </xf>
    <xf numFmtId="0" fontId="11" fillId="5" borderId="1" xfId="0" applyFont="1" applyFill="1" applyBorder="1" applyAlignment="1" applyProtection="1">
      <alignment horizontal="right" vertical="center"/>
      <protection locked="0"/>
    </xf>
    <xf numFmtId="3" fontId="11" fillId="5" borderId="1" xfId="0" applyNumberFormat="1" applyFont="1" applyFill="1" applyBorder="1" applyAlignment="1" applyProtection="1">
      <alignment horizontal="right" vertical="center"/>
      <protection locked="0"/>
    </xf>
    <xf numFmtId="166" fontId="11" fillId="5" borderId="1" xfId="0" applyNumberFormat="1" applyFont="1" applyFill="1" applyBorder="1" applyAlignment="1" applyProtection="1">
      <alignment horizontal="right" vertical="center"/>
      <protection locked="0"/>
    </xf>
    <xf numFmtId="167" fontId="11" fillId="5" borderId="1" xfId="0" applyNumberFormat="1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2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0" fillId="0" borderId="0" xfId="0"/>
    <xf numFmtId="0" fontId="10" fillId="4" borderId="2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shrinkToFit="1"/>
    </xf>
    <xf numFmtId="0" fontId="8" fillId="2" borderId="0" xfId="0" applyFont="1" applyFill="1" applyAlignment="1">
      <alignment horizontal="left" vertical="center" wrapText="1"/>
    </xf>
    <xf numFmtId="0" fontId="4" fillId="6" borderId="3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top" wrapText="1"/>
    </xf>
    <xf numFmtId="0" fontId="19" fillId="6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4">
    <dxf>
      <font>
        <b/>
        <color rgb="FFA65F00"/>
      </font>
      <fill>
        <patternFill patternType="solid">
          <fgColor rgb="FFFBEBD3"/>
        </patternFill>
      </fill>
      <border>
        <bottom style="thin">
          <color rgb="FFD6E1EA"/>
        </bottom>
      </border>
    </dxf>
    <dxf>
      <border>
        <bottom style="thin">
          <color rgb="FFD6E1EA"/>
        </bottom>
      </border>
    </dxf>
    <dxf>
      <fill>
        <patternFill patternType="solid">
          <fgColor rgb="FFFBFDFE"/>
        </patternFill>
      </fill>
      <border>
        <bottom style="thin">
          <color rgb="FFD6E1EA"/>
        </bottom>
      </border>
    </dxf>
    <dxf>
      <font>
        <b/>
        <color rgb="FF12354E"/>
      </font>
      <fill>
        <patternFill patternType="solid">
          <fgColor rgb="FFD9E8F5"/>
        </patternFill>
      </fill>
      <border>
        <bottom style="thin">
          <color rgb="FFD6E1EA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Your savings, month by month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Question 1: your savings</c:v>
          </c:tx>
          <c:spPr>
            <a:ln w="28575">
              <a:solidFill>
                <a:srgbClr val="1E5A85"/>
              </a:solidFill>
              <a:prstDash val="solid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3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</c:numCache>
            </c:numRef>
          </c:cat>
          <c:val>
            <c:numRef>
              <c:f>_Engine!ch_b1</c:f>
              <c:numCache>
                <c:formatCode>General</c:formatCode>
                <c:ptCount val="34"/>
                <c:pt idx="0">
                  <c:v>0</c:v>
                </c:pt>
                <c:pt idx="1">
                  <c:v>404.97040596119228</c:v>
                </c:pt>
                <c:pt idx="2">
                  <c:v>810.93957819328421</c:v>
                </c:pt>
                <c:pt idx="3">
                  <c:v>1217.9099799233393</c:v>
                </c:pt>
                <c:pt idx="4">
                  <c:v>1625.8840804534034</c:v>
                </c:pt>
                <c:pt idx="5">
                  <c:v>2034.8643551754876</c:v>
                </c:pt>
                <c:pt idx="6">
                  <c:v>2444.8532855865874</c:v>
                </c:pt>
                <c:pt idx="7">
                  <c:v>2855.8533593037391</c:v>
                </c:pt>
                <c:pt idx="8">
                  <c:v>3267.867070079114</c:v>
                </c:pt>
                <c:pt idx="9">
                  <c:v>3680.8969178151488</c:v>
                </c:pt>
                <c:pt idx="10">
                  <c:v>4094.9454085797142</c:v>
                </c:pt>
                <c:pt idx="11">
                  <c:v>4510.0150546213208</c:v>
                </c:pt>
                <c:pt idx="12">
                  <c:v>4926.1083743843601</c:v>
                </c:pt>
                <c:pt idx="13">
                  <c:v>5343.2278925243882</c:v>
                </c:pt>
                <c:pt idx="14">
                  <c:v>5761.3761399234436</c:v>
                </c:pt>
                <c:pt idx="15">
                  <c:v>6180.5556537054008</c:v>
                </c:pt>
                <c:pt idx="16">
                  <c:v>6600.7689772513677</c:v>
                </c:pt>
                <c:pt idx="17">
                  <c:v>7022.0186602151152</c:v>
                </c:pt>
                <c:pt idx="18">
                  <c:v>7444.307258538548</c:v>
                </c:pt>
                <c:pt idx="19">
                  <c:v>7867.6373344672147</c:v>
                </c:pt>
                <c:pt idx="20">
                  <c:v>8292.0114565658514</c:v>
                </c:pt>
                <c:pt idx="21">
                  <c:v>8717.4321997339684</c:v>
                </c:pt>
                <c:pt idx="22">
                  <c:v>9143.9021452214711</c:v>
                </c:pt>
                <c:pt idx="23">
                  <c:v>9571.4238806443263</c:v>
                </c:pt>
                <c:pt idx="24">
                  <c:v>10000.000000000256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3-4529-A9F0-A82E8DEC8C5D}"/>
            </c:ext>
          </c:extLst>
        </c:ser>
        <c:ser>
          <c:idx val="1"/>
          <c:order val="1"/>
          <c:tx>
            <c:v>Question 1: your goal</c:v>
          </c:tx>
          <c:spPr>
            <a:ln w="19050">
              <a:solidFill>
                <a:srgbClr val="1E5A85"/>
              </a:solidFill>
              <a:prstDash val="dash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3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</c:numCache>
            </c:numRef>
          </c:cat>
          <c:val>
            <c:numRef>
              <c:f>_Engine!ch_g1</c:f>
              <c:numCache>
                <c:formatCode>General</c:formatCode>
                <c:ptCount val="34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83-4529-A9F0-A82E8DEC8C5D}"/>
            </c:ext>
          </c:extLst>
        </c:ser>
        <c:ser>
          <c:idx val="2"/>
          <c:order val="2"/>
          <c:tx>
            <c:v>Question 2: your savings</c:v>
          </c:tx>
          <c:spPr>
            <a:ln w="28575">
              <a:solidFill>
                <a:srgbClr val="A65F00"/>
              </a:solidFill>
              <a:prstDash val="solid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3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</c:numCache>
            </c:numRef>
          </c:cat>
          <c:val>
            <c:numRef>
              <c:f>_Engine!ch_b2</c:f>
              <c:numCache>
                <c:formatCode>General</c:formatCode>
                <c:ptCount val="34"/>
                <c:pt idx="0">
                  <c:v>0</c:v>
                </c:pt>
                <c:pt idx="1">
                  <c:v>300</c:v>
                </c:pt>
                <c:pt idx="2">
                  <c:v>600.73988093169112</c:v>
                </c:pt>
                <c:pt idx="3">
                  <c:v>902.22146754105029</c:v>
                </c:pt>
                <c:pt idx="4">
                  <c:v>1204.4465890743702</c:v>
                </c:pt>
                <c:pt idx="5">
                  <c:v>1507.4170792893585</c:v>
                </c:pt>
                <c:pt idx="6">
                  <c:v>1811.1347764662642</c:v>
                </c:pt>
                <c:pt idx="7">
                  <c:v>2115.6015234190309</c:v>
                </c:pt>
                <c:pt idx="8">
                  <c:v>2420.8191675064791</c:v>
                </c:pt>
                <c:pt idx="9">
                  <c:v>2726.7895606435136</c:v>
                </c:pt>
                <c:pt idx="10">
                  <c:v>3033.5145593123621</c:v>
                </c:pt>
                <c:pt idx="11">
                  <c:v>3340.9960245738371</c:v>
                </c:pt>
                <c:pt idx="12">
                  <c:v>3649.2358220786305</c:v>
                </c:pt>
                <c:pt idx="13">
                  <c:v>3958.2358220786309</c:v>
                </c:pt>
                <c:pt idx="14">
                  <c:v>4267.9978994382727</c:v>
                </c:pt>
                <c:pt idx="15">
                  <c:v>4578.5239336459126</c:v>
                </c:pt>
                <c:pt idx="16">
                  <c:v>4889.8158088252321</c:v>
                </c:pt>
                <c:pt idx="17">
                  <c:v>5201.8754137466703</c:v>
                </c:pt>
                <c:pt idx="18">
                  <c:v>5514.7046418388836</c:v>
                </c:pt>
                <c:pt idx="19">
                  <c:v>5828.3053912002333</c:v>
                </c:pt>
                <c:pt idx="20">
                  <c:v>6142.6795646103046</c:v>
                </c:pt>
                <c:pt idx="21">
                  <c:v>6457.8290695414507</c:v>
                </c:pt>
                <c:pt idx="22">
                  <c:v>6773.7558181703653</c:v>
                </c:pt>
                <c:pt idx="23">
                  <c:v>7090.4617273896847</c:v>
                </c:pt>
                <c:pt idx="24">
                  <c:v>7407.9487188196217</c:v>
                </c:pt>
                <c:pt idx="25">
                  <c:v>7726.2187188196222</c:v>
                </c:pt>
                <c:pt idx="26">
                  <c:v>8045.2736585000539</c:v>
                </c:pt>
                <c:pt idx="27">
                  <c:v>8365.1154737339239</c:v>
                </c:pt>
                <c:pt idx="28">
                  <c:v>8685.7461051686241</c:v>
                </c:pt>
                <c:pt idx="29">
                  <c:v>9007.1674982377062</c:v>
                </c:pt>
                <c:pt idx="30">
                  <c:v>9329.3816031726856</c:v>
                </c:pt>
                <c:pt idx="31">
                  <c:v>9652.3903750148766</c:v>
                </c:pt>
                <c:pt idx="32">
                  <c:v>9976.1957736272507</c:v>
                </c:pt>
                <c:pt idx="33">
                  <c:v>10300.799763706331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83-4529-A9F0-A82E8DEC8C5D}"/>
            </c:ext>
          </c:extLst>
        </c:ser>
        <c:ser>
          <c:idx val="3"/>
          <c:order val="3"/>
          <c:tx>
            <c:v>Question 2: your goal</c:v>
          </c:tx>
          <c:spPr>
            <a:ln w="19050">
              <a:solidFill>
                <a:srgbClr val="A65F00"/>
              </a:solidFill>
              <a:prstDash val="dash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3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</c:numCache>
            </c:numRef>
          </c:cat>
          <c:val>
            <c:numRef>
              <c:f>_Engine!ch_g2</c:f>
              <c:numCache>
                <c:formatCode>General</c:formatCode>
                <c:ptCount val="34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83-4529-A9F0-A82E8DEC8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Months from your start 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12"/>
        <c:tickMarkSkip val="12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BE3EF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Your savings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6840000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savings-goal-calculator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savings-goal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40" customWidth="1"/>
    <col min="3" max="3" width="19" customWidth="1"/>
    <col min="4" max="4" width="1.5703125" customWidth="1"/>
    <col min="5" max="5" width="23" customWidth="1"/>
    <col min="6" max="6" width="1.5703125" customWidth="1"/>
    <col min="7" max="7" width="23" customWidth="1"/>
    <col min="8" max="8" width="2.140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customHeight="1" x14ac:dyDescent="0.25">
      <c r="A2" s="1"/>
      <c r="B2" s="30" t="s">
        <v>0</v>
      </c>
      <c r="C2" s="17"/>
      <c r="D2" s="17"/>
      <c r="E2" s="1"/>
      <c r="F2" s="1"/>
      <c r="G2" s="1"/>
      <c r="H2" s="1"/>
    </row>
    <row r="3" spans="1:8" ht="32.1" customHeight="1" x14ac:dyDescent="0.25">
      <c r="A3" s="1"/>
      <c r="B3" s="26" t="s">
        <v>1</v>
      </c>
      <c r="C3" s="17"/>
      <c r="D3" s="17"/>
      <c r="E3" s="17"/>
      <c r="F3" s="17"/>
      <c r="G3" s="17"/>
      <c r="H3" s="1"/>
    </row>
    <row r="4" spans="1:8" ht="24" customHeight="1" x14ac:dyDescent="0.25">
      <c r="A4" s="1"/>
      <c r="B4" s="24" t="s">
        <v>2</v>
      </c>
      <c r="C4" s="17"/>
      <c r="D4" s="17"/>
      <c r="E4" s="17"/>
      <c r="F4" s="17"/>
      <c r="G4" s="17"/>
      <c r="H4" s="1"/>
    </row>
    <row r="5" spans="1:8" ht="20.100000000000001" customHeight="1" x14ac:dyDescent="0.25">
      <c r="A5" s="1"/>
      <c r="B5" s="23" t="s">
        <v>3</v>
      </c>
      <c r="C5" s="17"/>
      <c r="D5" s="17"/>
      <c r="E5" s="17"/>
      <c r="F5" s="17"/>
      <c r="G5" s="17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25">
      <c r="A7" s="1"/>
      <c r="B7" s="18" t="s">
        <v>4</v>
      </c>
      <c r="C7" s="17"/>
      <c r="D7" s="17"/>
      <c r="E7" s="17"/>
      <c r="F7" s="17"/>
      <c r="G7" s="17"/>
      <c r="H7" s="1"/>
    </row>
    <row r="8" spans="1:8" ht="24" customHeight="1" x14ac:dyDescent="0.25">
      <c r="A8" s="1"/>
      <c r="B8" s="2" t="s">
        <v>5</v>
      </c>
      <c r="C8" s="3" t="s">
        <v>6</v>
      </c>
      <c r="D8" s="1"/>
      <c r="E8" s="1"/>
      <c r="F8" s="1"/>
      <c r="G8" s="1"/>
      <c r="H8" s="1"/>
    </row>
    <row r="9" spans="1:8" ht="24" customHeight="1" x14ac:dyDescent="0.25">
      <c r="A9" s="1"/>
      <c r="B9" s="2" t="s">
        <v>7</v>
      </c>
      <c r="C9" s="4">
        <v>10000</v>
      </c>
      <c r="D9" s="1"/>
      <c r="E9" s="16" t="s">
        <v>8</v>
      </c>
      <c r="F9" s="17"/>
      <c r="G9" s="17"/>
      <c r="H9" s="1"/>
    </row>
    <row r="10" spans="1:8" ht="33.950000000000003" customHeight="1" x14ac:dyDescent="0.25">
      <c r="A10" s="1"/>
      <c r="B10" s="2" t="s">
        <v>9</v>
      </c>
      <c r="C10" s="4">
        <v>0</v>
      </c>
      <c r="D10" s="1"/>
      <c r="E10" s="16" t="s">
        <v>10</v>
      </c>
      <c r="F10" s="17"/>
      <c r="G10" s="17"/>
      <c r="H10" s="1"/>
    </row>
    <row r="11" spans="1:8" ht="33.950000000000003" customHeight="1" x14ac:dyDescent="0.25">
      <c r="A11" s="1"/>
      <c r="B11" s="2" t="s">
        <v>11</v>
      </c>
      <c r="C11" s="5">
        <v>3</v>
      </c>
      <c r="D11" s="1"/>
      <c r="E11" s="16" t="s">
        <v>12</v>
      </c>
      <c r="F11" s="17"/>
      <c r="G11" s="17"/>
      <c r="H11" s="1"/>
    </row>
    <row r="12" spans="1:8" ht="33.950000000000003" customHeight="1" x14ac:dyDescent="0.25">
      <c r="A12" s="1"/>
      <c r="B12" s="2" t="s">
        <v>13</v>
      </c>
      <c r="C12" s="6">
        <v>46296</v>
      </c>
      <c r="D12" s="1"/>
      <c r="E12" s="16" t="s">
        <v>14</v>
      </c>
      <c r="F12" s="17"/>
      <c r="G12" s="17"/>
      <c r="H12" s="1"/>
    </row>
    <row r="13" spans="1:8" ht="24" customHeight="1" x14ac:dyDescent="0.25">
      <c r="A13" s="1"/>
      <c r="B13" s="2" t="s">
        <v>15</v>
      </c>
      <c r="C13" s="3" t="s">
        <v>16</v>
      </c>
      <c r="D13" s="1"/>
      <c r="E13" s="16" t="s">
        <v>17</v>
      </c>
      <c r="F13" s="17"/>
      <c r="G13" s="17"/>
      <c r="H13" s="1"/>
    </row>
    <row r="14" spans="1:8" ht="24" customHeight="1" x14ac:dyDescent="0.25">
      <c r="A14" s="1"/>
      <c r="B14" s="2" t="s">
        <v>18</v>
      </c>
      <c r="C14" s="5">
        <v>3</v>
      </c>
      <c r="D14" s="1"/>
      <c r="E14" s="16" t="s">
        <v>19</v>
      </c>
      <c r="F14" s="17"/>
      <c r="G14" s="17"/>
      <c r="H14" s="1"/>
    </row>
    <row r="15" spans="1:8" ht="21" customHeight="1" x14ac:dyDescent="0.25">
      <c r="A15" s="1"/>
      <c r="B15" s="22" t="str">
        <f>"Edit the nine blue cells. Everything else calculates automatically. Amounts are shown in "&amp;$C$8&amp;"."</f>
        <v>Edit the nine blue cells. Everything else calculates automatically. Amounts are shown in $.</v>
      </c>
      <c r="C15" s="17"/>
      <c r="D15" s="17"/>
      <c r="E15" s="17"/>
      <c r="F15" s="17"/>
      <c r="G15" s="17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ht="26.1" customHeight="1" x14ac:dyDescent="0.25">
      <c r="A17" s="1"/>
      <c r="B17" s="18" t="s">
        <v>20</v>
      </c>
      <c r="C17" s="17"/>
      <c r="D17" s="17"/>
      <c r="E17" s="17"/>
      <c r="F17" s="17"/>
      <c r="G17" s="17"/>
      <c r="H17" s="1"/>
    </row>
    <row r="18" spans="1:8" ht="33.950000000000003" customHeight="1" x14ac:dyDescent="0.25">
      <c r="A18" s="1"/>
      <c r="B18" s="2" t="s">
        <v>21</v>
      </c>
      <c r="C18" s="6">
        <v>47027</v>
      </c>
      <c r="D18" s="1"/>
      <c r="E18" s="16" t="s">
        <v>22</v>
      </c>
      <c r="F18" s="17"/>
      <c r="G18" s="17"/>
      <c r="H18" s="1"/>
    </row>
    <row r="19" spans="1:8" ht="33.950000000000003" customHeight="1" x14ac:dyDescent="0.25">
      <c r="A19" s="1"/>
      <c r="B19" s="20" t="str">
        <f>IF(_Engine!$B$7&lt;1,"Pick a month after your start month",IF(_Engine!$B$6=1,"You're already there","Save "&amp;$C$8&amp;TEXT(_Engine!$B$11,"#,##0")&amp;" each month"))</f>
        <v>Save $405 each month</v>
      </c>
      <c r="C19" s="17"/>
      <c r="D19" s="17"/>
      <c r="E19" s="17"/>
      <c r="F19" s="17"/>
      <c r="G19" s="17"/>
      <c r="H19" s="1"/>
    </row>
    <row r="20" spans="1:8" ht="36" customHeight="1" x14ac:dyDescent="0.25">
      <c r="A20" s="1"/>
      <c r="B20" s="21" t="str">
        <f>IF(_Engine!$B$7&lt;1,"The month you choose has to come after your start month.",IF(_Engine!$B$6=1,"What you have already saved covers your goal.",IF(_Engine!$B$11=0,"Your savings alone grow to "&amp;$C$8&amp;TEXT(_Engine!$B$9,"#,##0")&amp;" by "&amp;TEXT(_Engine!$B$3,"mmmm yyyy")&amp;".","Save "&amp;$C$8&amp;TEXT(_Engine!$B$11,"#,##0")&amp;" at the end of each month for "&amp;_Engine!$B$14&amp;", to have "&amp;$C$8&amp;TEXT(_Engine!$B$9,"#,##0")&amp;" by "&amp;TEXT(_Engine!$B$3,"mmmm yyyy")&amp;".")))</f>
        <v>Save $405 at the end of each month for 2 years, to have $10,000 by October 2028.</v>
      </c>
      <c r="C20" s="17"/>
      <c r="D20" s="17"/>
      <c r="E20" s="17"/>
      <c r="F20" s="17"/>
      <c r="G20" s="17"/>
      <c r="H20" s="1"/>
    </row>
    <row r="21" spans="1:8" ht="21.95" customHeight="1" x14ac:dyDescent="0.25">
      <c r="A21" s="1"/>
      <c r="B21" s="21" t="str">
        <f>IF(_Engine!$B$8=1,"You put in "&amp;$C$8&amp;TEXT(_Engine!$B$12,"#,##0")&amp;". Interest adds "&amp;$C$8&amp;TEXT(_Engine!$B$13,"#,##0")&amp;".","")</f>
        <v>You put in $9,719. Interest adds $281.</v>
      </c>
      <c r="C21" s="17"/>
      <c r="D21" s="17"/>
      <c r="E21" s="17"/>
      <c r="F21" s="17"/>
      <c r="G21" s="17"/>
      <c r="H21" s="1"/>
    </row>
    <row r="22" spans="1:8" ht="20.100000000000001" customHeight="1" x14ac:dyDescent="0.25">
      <c r="A22" s="1"/>
      <c r="B22" s="19" t="str">
        <f>"With "&amp;TEXT(Calculator!$C$11,"0.0#")&amp;"% interest a year. "&amp;IF(Calculator!$C$13="Yes","Prices rising "&amp;TEXT(Calculator!$C$14,"0.0#")&amp;"% a year: included.","Rising prices: not included.")</f>
        <v>With 3.0% interest a year. Rising prices: not included.</v>
      </c>
      <c r="C22" s="17"/>
      <c r="D22" s="17"/>
      <c r="E22" s="17"/>
      <c r="F22" s="17"/>
      <c r="G22" s="17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ht="26.1" customHeight="1" x14ac:dyDescent="0.25">
      <c r="A24" s="1"/>
      <c r="B24" s="18" t="s">
        <v>23</v>
      </c>
      <c r="C24" s="17"/>
      <c r="D24" s="17"/>
      <c r="E24" s="17"/>
      <c r="F24" s="17"/>
      <c r="G24" s="17"/>
      <c r="H24" s="1"/>
    </row>
    <row r="25" spans="1:8" ht="24" customHeight="1" x14ac:dyDescent="0.25">
      <c r="A25" s="1"/>
      <c r="B25" s="2" t="s">
        <v>24</v>
      </c>
      <c r="C25" s="4">
        <v>300</v>
      </c>
      <c r="D25" s="1"/>
      <c r="E25" s="16" t="s">
        <v>25</v>
      </c>
      <c r="F25" s="17"/>
      <c r="G25" s="17"/>
      <c r="H25" s="1"/>
    </row>
    <row r="26" spans="1:8" ht="33.950000000000003" customHeight="1" x14ac:dyDescent="0.25">
      <c r="A26" s="1"/>
      <c r="B26" s="25" t="str">
        <f>IF(_Engine!$B$6=1,"You're already there",IF(_Engine!$B$16=1,"You reach it in "&amp;TEXT(_Engine!$B$21,"mmmm yyyy"),"More than 50 years"))</f>
        <v>You reach it in June 2029</v>
      </c>
      <c r="C26" s="17"/>
      <c r="D26" s="17"/>
      <c r="E26" s="17"/>
      <c r="F26" s="17"/>
      <c r="G26" s="17"/>
      <c r="H26" s="1"/>
    </row>
    <row r="27" spans="1:8" ht="36" customHeight="1" x14ac:dyDescent="0.25">
      <c r="A27" s="1"/>
      <c r="B27" s="21" t="str">
        <f>IF(_Engine!$B$6=1,"What you have already saved covers your goal.",IF(_Engine!$B$16=1,"Saving "&amp;$C$8&amp;TEXT($C$25,"#,##0")&amp;" a month, you reach "&amp;$C$8&amp;TEXT(_Engine!$B$18,"#,##0")&amp;" in "&amp;TEXT(_Engine!$B$21,"mmmm yyyy")&amp;", "&amp;_Engine!$B$22&amp;" from now.","At "&amp;$C$8&amp;TEXT($C$25,"#,##0")&amp;" a month, the goal is still far away."))</f>
        <v>Saving $300 a month, you reach $10,000 in June 2029, 2 years and 9 months from now.</v>
      </c>
      <c r="C27" s="17"/>
      <c r="D27" s="17"/>
      <c r="E27" s="17"/>
      <c r="F27" s="17"/>
      <c r="G27" s="17"/>
      <c r="H27" s="1"/>
    </row>
    <row r="28" spans="1:8" ht="21.95" customHeight="1" x14ac:dyDescent="0.25">
      <c r="A28" s="1"/>
      <c r="B28" s="21" t="str">
        <f>IF(_Engine!$B$16=1,"You put in "&amp;$C$8&amp;TEXT(_Engine!$B$19,"#,##0")&amp;". Interest adds "&amp;$C$8&amp;TEXT(_Engine!$B$20,"#,##0")&amp;".",IF(_Engine!$B$6=1,"","After 50 years your savings would come to "&amp;$C$8&amp;TEXT(_Engine!$B$26,"#,##0")&amp;", still below your goal."))</f>
        <v>You put in $9,900. Interest adds $401.</v>
      </c>
      <c r="C28" s="17"/>
      <c r="D28" s="17"/>
      <c r="E28" s="17"/>
      <c r="F28" s="17"/>
      <c r="G28" s="17"/>
      <c r="H28" s="1"/>
    </row>
    <row r="29" spans="1:8" ht="20.100000000000001" customHeight="1" x14ac:dyDescent="0.25">
      <c r="A29" s="1"/>
      <c r="B29" s="19" t="str">
        <f>"With "&amp;TEXT(Calculator!$C$11,"0.0#")&amp;"% interest a year. "&amp;IF(Calculator!$C$13="Yes","Prices rising "&amp;TEXT(Calculator!$C$14,"0.0#")&amp;"% a year: included.","Rising prices: not included.")</f>
        <v>With 3.0% interest a year. Rising prices: not included.</v>
      </c>
      <c r="C29" s="17"/>
      <c r="D29" s="17"/>
      <c r="E29" s="17"/>
      <c r="F29" s="17"/>
      <c r="G29" s="17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ht="24" customHeight="1" x14ac:dyDescent="0.25">
      <c r="A31" s="1"/>
      <c r="B31" s="27" t="s">
        <v>26</v>
      </c>
      <c r="C31" s="28"/>
      <c r="D31" s="28"/>
      <c r="E31" s="28"/>
      <c r="F31" s="28"/>
      <c r="G31" s="28"/>
      <c r="H31" s="1"/>
    </row>
    <row r="32" spans="1:8" ht="24" customHeight="1" x14ac:dyDescent="0.25">
      <c r="A32" s="1"/>
      <c r="B32" s="29"/>
      <c r="C32" s="17"/>
      <c r="D32" s="17"/>
      <c r="E32" s="17"/>
      <c r="F32" s="17"/>
      <c r="G32" s="17"/>
      <c r="H32" s="1"/>
    </row>
    <row r="33" spans="1:8" ht="24" customHeight="1" x14ac:dyDescent="0.25">
      <c r="A33" s="1"/>
      <c r="B33" s="29"/>
      <c r="C33" s="17"/>
      <c r="D33" s="17"/>
      <c r="E33" s="17"/>
      <c r="F33" s="17"/>
      <c r="G33" s="17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ht="30" customHeight="1" x14ac:dyDescent="0.25">
      <c r="A55" s="1"/>
      <c r="B55" s="19" t="s">
        <v>27</v>
      </c>
      <c r="C55" s="17"/>
      <c r="D55" s="17"/>
      <c r="E55" s="17"/>
      <c r="F55" s="17"/>
      <c r="G55" s="17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</sheetData>
  <sheetProtection sheet="1" formatCells="0"/>
  <mergeCells count="26">
    <mergeCell ref="B2:D2"/>
    <mergeCell ref="B3:G3"/>
    <mergeCell ref="E14:G14"/>
    <mergeCell ref="B22:G22"/>
    <mergeCell ref="B27:G27"/>
    <mergeCell ref="B31:G33"/>
    <mergeCell ref="B21:G21"/>
    <mergeCell ref="B55:G55"/>
    <mergeCell ref="B24:G24"/>
    <mergeCell ref="B20:G20"/>
    <mergeCell ref="B5:G5"/>
    <mergeCell ref="B4:G4"/>
    <mergeCell ref="E12:G12"/>
    <mergeCell ref="E18:G18"/>
    <mergeCell ref="B26:G26"/>
    <mergeCell ref="B7:G7"/>
    <mergeCell ref="E10:G10"/>
    <mergeCell ref="E13:G13"/>
    <mergeCell ref="B17:G17"/>
    <mergeCell ref="E9:G9"/>
    <mergeCell ref="B29:G29"/>
    <mergeCell ref="B19:G19"/>
    <mergeCell ref="B28:G28"/>
    <mergeCell ref="E11:G11"/>
    <mergeCell ref="B15:G15"/>
    <mergeCell ref="E25:G25"/>
  </mergeCells>
  <dataValidations count="8">
    <dataValidation type="decimal" operator="greaterThan" showErrorMessage="1" errorTitle="Your goal" error="Enter the amount you're aiming for, above 0." sqref="C9" xr:uid="{00000000-0002-0000-0000-000000000000}">
      <formula1>0</formula1>
    </dataValidation>
    <dataValidation type="decimal" operator="greaterThanOrEqual" showErrorMessage="1" errorTitle="Already saved" error="Enter 0 if you're starting from zero." sqref="C10" xr:uid="{00000000-0002-0000-0000-000001000000}">
      <formula1>0</formula1>
    </dataValidation>
    <dataValidation type="decimal" showErrorMessage="1" errorTitle="Interest" error="Enter a yearly interest between 0% and 100%." sqref="C11" xr:uid="{00000000-0002-0000-0000-000002000000}">
      <formula1>0</formula1>
      <formula2>100</formula2>
    </dataValidation>
    <dataValidation type="date" operator="greaterThanOrEqual" showErrorMessage="1" errorTitle="Start month" error="Enter a date in the month you start." sqref="C12" xr:uid="{00000000-0002-0000-0000-000003000000}">
      <formula1>36526</formula1>
    </dataValidation>
    <dataValidation type="decimal" showErrorMessage="1" errorTitle="Prices rising" error="Enter a yearly price rise between 0% and 100%." sqref="C14" xr:uid="{00000000-0002-0000-0000-000004000000}">
      <formula1>0</formula1>
      <formula2>100</formula2>
    </dataValidation>
    <dataValidation type="decimal" operator="greaterThanOrEqual" showErrorMessage="1" errorTitle="Each month" error="Enter 0 if you can't save anything each month." sqref="C25" xr:uid="{00000000-0002-0000-0000-000005000000}">
      <formula1>0</formula1>
    </dataValidation>
    <dataValidation type="list" showErrorMessage="1" errorTitle="Prices rising" error="Choose Yes or No." sqref="C13" xr:uid="{00000000-0002-0000-0000-000006000000}">
      <formula1>"Yes,No"</formula1>
    </dataValidation>
    <dataValidation type="custom" showErrorMessage="1" errorTitle="Reach my goal by" error="Pick a month after your start month, within the next 100 years." sqref="C18" xr:uid="{00000000-0002-0000-0000-000007000000}">
      <formula1>AND(ISNUMBER(C18),(YEAR(C18)-YEAR(C12))*12+MONTH(C18)-MONTH(C12)&gt;=1,(YEAR(C18)-YEAR(C12))*12+MONTH(C18)-MONTH(C12)&lt;=1200)</formula1>
    </dataValidation>
  </dataValidation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pageSetup fitToHeight="0" orientation="portrait"/>
  <headerFooter>
    <oddFooter>&amp;Lneedtheseapps.com&amp;CSavings Goal Calculator&amp;RPage &amp;P of &amp;N</oddFooter>
  </headerFooter>
  <rowBreaks count="1" manualBreakCount="1">
    <brk id="34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03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9" customWidth="1"/>
    <col min="2" max="2" width="17" customWidth="1"/>
    <col min="3" max="6" width="19" customWidth="1"/>
    <col min="7" max="7" width="2" customWidth="1"/>
  </cols>
  <sheetData>
    <row r="1" spans="1:6" ht="30" customHeight="1" x14ac:dyDescent="0.25">
      <c r="A1" s="32" t="s">
        <v>28</v>
      </c>
      <c r="B1" s="17"/>
      <c r="C1" s="17"/>
      <c r="D1" s="17"/>
      <c r="E1" s="17"/>
      <c r="F1" s="17"/>
    </row>
    <row r="2" spans="1:6" ht="44.1" customHeight="1" x14ac:dyDescent="0.25">
      <c r="A2" s="31" t="str">
        <f>"Your savings at the end of each month, after that month's deposit, next to your goal. The month each question reaches its goal is shaded: "&amp;"question 1 in blue (the money is there by the month you chose), question 2 in amber. Nothing here needs editing. Amounts are shown in "&amp;Calculator!$C$8&amp;"."</f>
        <v>Your savings at the end of each month, after that month's deposit, next to your goal. The month each question reaches its goal is shaded: question 1 in blue (the money is there by the month you chose), question 2 in amber. Nothing here needs editing. Amounts are shown in $.</v>
      </c>
      <c r="B2" s="17"/>
      <c r="C2" s="17"/>
      <c r="D2" s="17"/>
      <c r="E2" s="17"/>
      <c r="F2" s="17"/>
    </row>
    <row r="3" spans="1:6" ht="36" customHeight="1" x14ac:dyDescent="0.25">
      <c r="A3" s="7" t="s">
        <v>29</v>
      </c>
      <c r="B3" s="7" t="s">
        <v>30</v>
      </c>
      <c r="C3" s="7" t="s">
        <v>31</v>
      </c>
      <c r="D3" s="7" t="s">
        <v>32</v>
      </c>
      <c r="E3" s="7" t="s">
        <v>33</v>
      </c>
      <c r="F3" s="7" t="s">
        <v>34</v>
      </c>
    </row>
    <row r="4" spans="1:6" x14ac:dyDescent="0.25">
      <c r="A4" s="8">
        <f>IF(1&lt;=MAX(_Engine!$B$23,_Engine!$B$24),1,"")</f>
        <v>1</v>
      </c>
      <c r="B4" s="9">
        <f>IF($A4="","",EDATE(_Engine!$B$2,$A4-1))</f>
        <v>46296</v>
      </c>
      <c r="C4" s="10">
        <f>IF($A4="","",IF($A4&lt;=_Engine!$B$23,_Engine!$E41,""))</f>
        <v>404.97040596119228</v>
      </c>
      <c r="D4" s="10">
        <f>IF($A4="","",IF($A4&lt;=_Engine!$B$23,_Engine!$F41,""))</f>
        <v>10000</v>
      </c>
      <c r="E4" s="10">
        <f>IF($A4="","",IF($A4&lt;=_Engine!$B$24,_Engine!$G41,""))</f>
        <v>300</v>
      </c>
      <c r="F4" s="10">
        <f>IF($A4="","",IF($A4&lt;=_Engine!$B$24,_Engine!$H41,""))</f>
        <v>10000</v>
      </c>
    </row>
    <row r="5" spans="1:6" x14ac:dyDescent="0.25">
      <c r="A5" s="8">
        <f>IF(2&lt;=MAX(_Engine!$B$23,_Engine!$B$24),2,"")</f>
        <v>2</v>
      </c>
      <c r="B5" s="9">
        <f>IF($A5="","",EDATE(_Engine!$B$2,$A5-1))</f>
        <v>46327</v>
      </c>
      <c r="C5" s="10">
        <f>IF($A5="","",IF($A5&lt;=_Engine!$B$23,_Engine!$E42,""))</f>
        <v>810.93957819328421</v>
      </c>
      <c r="D5" s="10">
        <f>IF($A5="","",IF($A5&lt;=_Engine!$B$23,_Engine!$F42,""))</f>
        <v>10000</v>
      </c>
      <c r="E5" s="10">
        <f>IF($A5="","",IF($A5&lt;=_Engine!$B$24,_Engine!$G42,""))</f>
        <v>600.73988093169112</v>
      </c>
      <c r="F5" s="10">
        <f>IF($A5="","",IF($A5&lt;=_Engine!$B$24,_Engine!$H42,""))</f>
        <v>10000</v>
      </c>
    </row>
    <row r="6" spans="1:6" x14ac:dyDescent="0.25">
      <c r="A6" s="8">
        <f>IF(3&lt;=MAX(_Engine!$B$23,_Engine!$B$24),3,"")</f>
        <v>3</v>
      </c>
      <c r="B6" s="9">
        <f>IF($A6="","",EDATE(_Engine!$B$2,$A6-1))</f>
        <v>46357</v>
      </c>
      <c r="C6" s="10">
        <f>IF($A6="","",IF($A6&lt;=_Engine!$B$23,_Engine!$E43,""))</f>
        <v>1217.9099799233393</v>
      </c>
      <c r="D6" s="10">
        <f>IF($A6="","",IF($A6&lt;=_Engine!$B$23,_Engine!$F43,""))</f>
        <v>10000</v>
      </c>
      <c r="E6" s="10">
        <f>IF($A6="","",IF($A6&lt;=_Engine!$B$24,_Engine!$G43,""))</f>
        <v>902.22146754105029</v>
      </c>
      <c r="F6" s="10">
        <f>IF($A6="","",IF($A6&lt;=_Engine!$B$24,_Engine!$H43,""))</f>
        <v>10000</v>
      </c>
    </row>
    <row r="7" spans="1:6" x14ac:dyDescent="0.25">
      <c r="A7" s="8">
        <f>IF(4&lt;=MAX(_Engine!$B$23,_Engine!$B$24),4,"")</f>
        <v>4</v>
      </c>
      <c r="B7" s="9">
        <f>IF($A7="","",EDATE(_Engine!$B$2,$A7-1))</f>
        <v>46388</v>
      </c>
      <c r="C7" s="10">
        <f>IF($A7="","",IF($A7&lt;=_Engine!$B$23,_Engine!$E44,""))</f>
        <v>1625.8840804534034</v>
      </c>
      <c r="D7" s="10">
        <f>IF($A7="","",IF($A7&lt;=_Engine!$B$23,_Engine!$F44,""))</f>
        <v>10000</v>
      </c>
      <c r="E7" s="10">
        <f>IF($A7="","",IF($A7&lt;=_Engine!$B$24,_Engine!$G44,""))</f>
        <v>1204.4465890743702</v>
      </c>
      <c r="F7" s="10">
        <f>IF($A7="","",IF($A7&lt;=_Engine!$B$24,_Engine!$H44,""))</f>
        <v>10000</v>
      </c>
    </row>
    <row r="8" spans="1:6" x14ac:dyDescent="0.25">
      <c r="A8" s="8">
        <f>IF(5&lt;=MAX(_Engine!$B$23,_Engine!$B$24),5,"")</f>
        <v>5</v>
      </c>
      <c r="B8" s="9">
        <f>IF($A8="","",EDATE(_Engine!$B$2,$A8-1))</f>
        <v>46419</v>
      </c>
      <c r="C8" s="10">
        <f>IF($A8="","",IF($A8&lt;=_Engine!$B$23,_Engine!$E45,""))</f>
        <v>2034.8643551754876</v>
      </c>
      <c r="D8" s="10">
        <f>IF($A8="","",IF($A8&lt;=_Engine!$B$23,_Engine!$F45,""))</f>
        <v>10000</v>
      </c>
      <c r="E8" s="10">
        <f>IF($A8="","",IF($A8&lt;=_Engine!$B$24,_Engine!$G45,""))</f>
        <v>1507.4170792893585</v>
      </c>
      <c r="F8" s="10">
        <f>IF($A8="","",IF($A8&lt;=_Engine!$B$24,_Engine!$H45,""))</f>
        <v>10000</v>
      </c>
    </row>
    <row r="9" spans="1:6" x14ac:dyDescent="0.25">
      <c r="A9" s="8">
        <f>IF(6&lt;=MAX(_Engine!$B$23,_Engine!$B$24),6,"")</f>
        <v>6</v>
      </c>
      <c r="B9" s="9">
        <f>IF($A9="","",EDATE(_Engine!$B$2,$A9-1))</f>
        <v>46447</v>
      </c>
      <c r="C9" s="10">
        <f>IF($A9="","",IF($A9&lt;=_Engine!$B$23,_Engine!$E46,""))</f>
        <v>2444.8532855865874</v>
      </c>
      <c r="D9" s="10">
        <f>IF($A9="","",IF($A9&lt;=_Engine!$B$23,_Engine!$F46,""))</f>
        <v>10000</v>
      </c>
      <c r="E9" s="10">
        <f>IF($A9="","",IF($A9&lt;=_Engine!$B$24,_Engine!$G46,""))</f>
        <v>1811.1347764662642</v>
      </c>
      <c r="F9" s="10">
        <f>IF($A9="","",IF($A9&lt;=_Engine!$B$24,_Engine!$H46,""))</f>
        <v>10000</v>
      </c>
    </row>
    <row r="10" spans="1:6" x14ac:dyDescent="0.25">
      <c r="A10" s="8">
        <f>IF(7&lt;=MAX(_Engine!$B$23,_Engine!$B$24),7,"")</f>
        <v>7</v>
      </c>
      <c r="B10" s="9">
        <f>IF($A10="","",EDATE(_Engine!$B$2,$A10-1))</f>
        <v>46478</v>
      </c>
      <c r="C10" s="10">
        <f>IF($A10="","",IF($A10&lt;=_Engine!$B$23,_Engine!$E47,""))</f>
        <v>2855.8533593037391</v>
      </c>
      <c r="D10" s="10">
        <f>IF($A10="","",IF($A10&lt;=_Engine!$B$23,_Engine!$F47,""))</f>
        <v>10000</v>
      </c>
      <c r="E10" s="10">
        <f>IF($A10="","",IF($A10&lt;=_Engine!$B$24,_Engine!$G47,""))</f>
        <v>2115.6015234190309</v>
      </c>
      <c r="F10" s="10">
        <f>IF($A10="","",IF($A10&lt;=_Engine!$B$24,_Engine!$H47,""))</f>
        <v>10000</v>
      </c>
    </row>
    <row r="11" spans="1:6" x14ac:dyDescent="0.25">
      <c r="A11" s="8">
        <f>IF(8&lt;=MAX(_Engine!$B$23,_Engine!$B$24),8,"")</f>
        <v>8</v>
      </c>
      <c r="B11" s="9">
        <f>IF($A11="","",EDATE(_Engine!$B$2,$A11-1))</f>
        <v>46508</v>
      </c>
      <c r="C11" s="10">
        <f>IF($A11="","",IF($A11&lt;=_Engine!$B$23,_Engine!$E48,""))</f>
        <v>3267.867070079114</v>
      </c>
      <c r="D11" s="10">
        <f>IF($A11="","",IF($A11&lt;=_Engine!$B$23,_Engine!$F48,""))</f>
        <v>10000</v>
      </c>
      <c r="E11" s="10">
        <f>IF($A11="","",IF($A11&lt;=_Engine!$B$24,_Engine!$G48,""))</f>
        <v>2420.8191675064791</v>
      </c>
      <c r="F11" s="10">
        <f>IF($A11="","",IF($A11&lt;=_Engine!$B$24,_Engine!$H48,""))</f>
        <v>10000</v>
      </c>
    </row>
    <row r="12" spans="1:6" x14ac:dyDescent="0.25">
      <c r="A12" s="8">
        <f>IF(9&lt;=MAX(_Engine!$B$23,_Engine!$B$24),9,"")</f>
        <v>9</v>
      </c>
      <c r="B12" s="9">
        <f>IF($A12="","",EDATE(_Engine!$B$2,$A12-1))</f>
        <v>46539</v>
      </c>
      <c r="C12" s="10">
        <f>IF($A12="","",IF($A12&lt;=_Engine!$B$23,_Engine!$E49,""))</f>
        <v>3680.8969178151488</v>
      </c>
      <c r="D12" s="10">
        <f>IF($A12="","",IF($A12&lt;=_Engine!$B$23,_Engine!$F49,""))</f>
        <v>10000</v>
      </c>
      <c r="E12" s="10">
        <f>IF($A12="","",IF($A12&lt;=_Engine!$B$24,_Engine!$G49,""))</f>
        <v>2726.7895606435136</v>
      </c>
      <c r="F12" s="10">
        <f>IF($A12="","",IF($A12&lt;=_Engine!$B$24,_Engine!$H49,""))</f>
        <v>10000</v>
      </c>
    </row>
    <row r="13" spans="1:6" x14ac:dyDescent="0.25">
      <c r="A13" s="8">
        <f>IF(10&lt;=MAX(_Engine!$B$23,_Engine!$B$24),10,"")</f>
        <v>10</v>
      </c>
      <c r="B13" s="9">
        <f>IF($A13="","",EDATE(_Engine!$B$2,$A13-1))</f>
        <v>46569</v>
      </c>
      <c r="C13" s="10">
        <f>IF($A13="","",IF($A13&lt;=_Engine!$B$23,_Engine!$E50,""))</f>
        <v>4094.9454085797142</v>
      </c>
      <c r="D13" s="10">
        <f>IF($A13="","",IF($A13&lt;=_Engine!$B$23,_Engine!$F50,""))</f>
        <v>10000</v>
      </c>
      <c r="E13" s="10">
        <f>IF($A13="","",IF($A13&lt;=_Engine!$B$24,_Engine!$G50,""))</f>
        <v>3033.5145593123621</v>
      </c>
      <c r="F13" s="10">
        <f>IF($A13="","",IF($A13&lt;=_Engine!$B$24,_Engine!$H50,""))</f>
        <v>10000</v>
      </c>
    </row>
    <row r="14" spans="1:6" x14ac:dyDescent="0.25">
      <c r="A14" s="8">
        <f>IF(11&lt;=MAX(_Engine!$B$23,_Engine!$B$24),11,"")</f>
        <v>11</v>
      </c>
      <c r="B14" s="9">
        <f>IF($A14="","",EDATE(_Engine!$B$2,$A14-1))</f>
        <v>46600</v>
      </c>
      <c r="C14" s="10">
        <f>IF($A14="","",IF($A14&lt;=_Engine!$B$23,_Engine!$E51,""))</f>
        <v>4510.0150546213208</v>
      </c>
      <c r="D14" s="10">
        <f>IF($A14="","",IF($A14&lt;=_Engine!$B$23,_Engine!$F51,""))</f>
        <v>10000</v>
      </c>
      <c r="E14" s="10">
        <f>IF($A14="","",IF($A14&lt;=_Engine!$B$24,_Engine!$G51,""))</f>
        <v>3340.9960245738371</v>
      </c>
      <c r="F14" s="10">
        <f>IF($A14="","",IF($A14&lt;=_Engine!$B$24,_Engine!$H51,""))</f>
        <v>10000</v>
      </c>
    </row>
    <row r="15" spans="1:6" x14ac:dyDescent="0.25">
      <c r="A15" s="8">
        <f>IF(12&lt;=MAX(_Engine!$B$23,_Engine!$B$24),12,"")</f>
        <v>12</v>
      </c>
      <c r="B15" s="9">
        <f>IF($A15="","",EDATE(_Engine!$B$2,$A15-1))</f>
        <v>46631</v>
      </c>
      <c r="C15" s="10">
        <f>IF($A15="","",IF($A15&lt;=_Engine!$B$23,_Engine!$E52,""))</f>
        <v>4926.1083743843601</v>
      </c>
      <c r="D15" s="10">
        <f>IF($A15="","",IF($A15&lt;=_Engine!$B$23,_Engine!$F52,""))</f>
        <v>10000</v>
      </c>
      <c r="E15" s="10">
        <f>IF($A15="","",IF($A15&lt;=_Engine!$B$24,_Engine!$G52,""))</f>
        <v>3649.2358220786305</v>
      </c>
      <c r="F15" s="10">
        <f>IF($A15="","",IF($A15&lt;=_Engine!$B$24,_Engine!$H52,""))</f>
        <v>10000</v>
      </c>
    </row>
    <row r="16" spans="1:6" x14ac:dyDescent="0.25">
      <c r="A16" s="8">
        <f>IF(13&lt;=MAX(_Engine!$B$23,_Engine!$B$24),13,"")</f>
        <v>13</v>
      </c>
      <c r="B16" s="9">
        <f>IF($A16="","",EDATE(_Engine!$B$2,$A16-1))</f>
        <v>46661</v>
      </c>
      <c r="C16" s="10">
        <f>IF($A16="","",IF($A16&lt;=_Engine!$B$23,_Engine!$E53,""))</f>
        <v>5343.2278925243882</v>
      </c>
      <c r="D16" s="10">
        <f>IF($A16="","",IF($A16&lt;=_Engine!$B$23,_Engine!$F53,""))</f>
        <v>10000</v>
      </c>
      <c r="E16" s="10">
        <f>IF($A16="","",IF($A16&lt;=_Engine!$B$24,_Engine!$G53,""))</f>
        <v>3958.2358220786309</v>
      </c>
      <c r="F16" s="10">
        <f>IF($A16="","",IF($A16&lt;=_Engine!$B$24,_Engine!$H53,""))</f>
        <v>10000</v>
      </c>
    </row>
    <row r="17" spans="1:6" x14ac:dyDescent="0.25">
      <c r="A17" s="8">
        <f>IF(14&lt;=MAX(_Engine!$B$23,_Engine!$B$24),14,"")</f>
        <v>14</v>
      </c>
      <c r="B17" s="9">
        <f>IF($A17="","",EDATE(_Engine!$B$2,$A17-1))</f>
        <v>46692</v>
      </c>
      <c r="C17" s="10">
        <f>IF($A17="","",IF($A17&lt;=_Engine!$B$23,_Engine!$E54,""))</f>
        <v>5761.3761399234436</v>
      </c>
      <c r="D17" s="10">
        <f>IF($A17="","",IF($A17&lt;=_Engine!$B$23,_Engine!$F54,""))</f>
        <v>10000</v>
      </c>
      <c r="E17" s="10">
        <f>IF($A17="","",IF($A17&lt;=_Engine!$B$24,_Engine!$G54,""))</f>
        <v>4267.9978994382727</v>
      </c>
      <c r="F17" s="10">
        <f>IF($A17="","",IF($A17&lt;=_Engine!$B$24,_Engine!$H54,""))</f>
        <v>10000</v>
      </c>
    </row>
    <row r="18" spans="1:6" x14ac:dyDescent="0.25">
      <c r="A18" s="8">
        <f>IF(15&lt;=MAX(_Engine!$B$23,_Engine!$B$24),15,"")</f>
        <v>15</v>
      </c>
      <c r="B18" s="9">
        <f>IF($A18="","",EDATE(_Engine!$B$2,$A18-1))</f>
        <v>46722</v>
      </c>
      <c r="C18" s="10">
        <f>IF($A18="","",IF($A18&lt;=_Engine!$B$23,_Engine!$E55,""))</f>
        <v>6180.5556537054008</v>
      </c>
      <c r="D18" s="10">
        <f>IF($A18="","",IF($A18&lt;=_Engine!$B$23,_Engine!$F55,""))</f>
        <v>10000</v>
      </c>
      <c r="E18" s="10">
        <f>IF($A18="","",IF($A18&lt;=_Engine!$B$24,_Engine!$G55,""))</f>
        <v>4578.5239336459126</v>
      </c>
      <c r="F18" s="10">
        <f>IF($A18="","",IF($A18&lt;=_Engine!$B$24,_Engine!$H55,""))</f>
        <v>10000</v>
      </c>
    </row>
    <row r="19" spans="1:6" x14ac:dyDescent="0.25">
      <c r="A19" s="8">
        <f>IF(16&lt;=MAX(_Engine!$B$23,_Engine!$B$24),16,"")</f>
        <v>16</v>
      </c>
      <c r="B19" s="9">
        <f>IF($A19="","",EDATE(_Engine!$B$2,$A19-1))</f>
        <v>46753</v>
      </c>
      <c r="C19" s="10">
        <f>IF($A19="","",IF($A19&lt;=_Engine!$B$23,_Engine!$E56,""))</f>
        <v>6600.7689772513677</v>
      </c>
      <c r="D19" s="10">
        <f>IF($A19="","",IF($A19&lt;=_Engine!$B$23,_Engine!$F56,""))</f>
        <v>10000</v>
      </c>
      <c r="E19" s="10">
        <f>IF($A19="","",IF($A19&lt;=_Engine!$B$24,_Engine!$G56,""))</f>
        <v>4889.8158088252321</v>
      </c>
      <c r="F19" s="10">
        <f>IF($A19="","",IF($A19&lt;=_Engine!$B$24,_Engine!$H56,""))</f>
        <v>10000</v>
      </c>
    </row>
    <row r="20" spans="1:6" x14ac:dyDescent="0.25">
      <c r="A20" s="8">
        <f>IF(17&lt;=MAX(_Engine!$B$23,_Engine!$B$24),17,"")</f>
        <v>17</v>
      </c>
      <c r="B20" s="9">
        <f>IF($A20="","",EDATE(_Engine!$B$2,$A20-1))</f>
        <v>46784</v>
      </c>
      <c r="C20" s="10">
        <f>IF($A20="","",IF($A20&lt;=_Engine!$B$23,_Engine!$E57,""))</f>
        <v>7022.0186602151152</v>
      </c>
      <c r="D20" s="10">
        <f>IF($A20="","",IF($A20&lt;=_Engine!$B$23,_Engine!$F57,""))</f>
        <v>10000</v>
      </c>
      <c r="E20" s="10">
        <f>IF($A20="","",IF($A20&lt;=_Engine!$B$24,_Engine!$G57,""))</f>
        <v>5201.8754137466703</v>
      </c>
      <c r="F20" s="10">
        <f>IF($A20="","",IF($A20&lt;=_Engine!$B$24,_Engine!$H57,""))</f>
        <v>10000</v>
      </c>
    </row>
    <row r="21" spans="1:6" x14ac:dyDescent="0.25">
      <c r="A21" s="8">
        <f>IF(18&lt;=MAX(_Engine!$B$23,_Engine!$B$24),18,"")</f>
        <v>18</v>
      </c>
      <c r="B21" s="9">
        <f>IF($A21="","",EDATE(_Engine!$B$2,$A21-1))</f>
        <v>46813</v>
      </c>
      <c r="C21" s="10">
        <f>IF($A21="","",IF($A21&lt;=_Engine!$B$23,_Engine!$E58,""))</f>
        <v>7444.307258538548</v>
      </c>
      <c r="D21" s="10">
        <f>IF($A21="","",IF($A21&lt;=_Engine!$B$23,_Engine!$F58,""))</f>
        <v>10000</v>
      </c>
      <c r="E21" s="10">
        <f>IF($A21="","",IF($A21&lt;=_Engine!$B$24,_Engine!$G58,""))</f>
        <v>5514.7046418388836</v>
      </c>
      <c r="F21" s="10">
        <f>IF($A21="","",IF($A21&lt;=_Engine!$B$24,_Engine!$H58,""))</f>
        <v>10000</v>
      </c>
    </row>
    <row r="22" spans="1:6" x14ac:dyDescent="0.25">
      <c r="A22" s="8">
        <f>IF(19&lt;=MAX(_Engine!$B$23,_Engine!$B$24),19,"")</f>
        <v>19</v>
      </c>
      <c r="B22" s="9">
        <f>IF($A22="","",EDATE(_Engine!$B$2,$A22-1))</f>
        <v>46844</v>
      </c>
      <c r="C22" s="10">
        <f>IF($A22="","",IF($A22&lt;=_Engine!$B$23,_Engine!$E59,""))</f>
        <v>7867.6373344672147</v>
      </c>
      <c r="D22" s="10">
        <f>IF($A22="","",IF($A22&lt;=_Engine!$B$23,_Engine!$F59,""))</f>
        <v>10000</v>
      </c>
      <c r="E22" s="10">
        <f>IF($A22="","",IF($A22&lt;=_Engine!$B$24,_Engine!$G59,""))</f>
        <v>5828.3053912002333</v>
      </c>
      <c r="F22" s="10">
        <f>IF($A22="","",IF($A22&lt;=_Engine!$B$24,_Engine!$H59,""))</f>
        <v>10000</v>
      </c>
    </row>
    <row r="23" spans="1:6" x14ac:dyDescent="0.25">
      <c r="A23" s="8">
        <f>IF(20&lt;=MAX(_Engine!$B$23,_Engine!$B$24),20,"")</f>
        <v>20</v>
      </c>
      <c r="B23" s="9">
        <f>IF($A23="","",EDATE(_Engine!$B$2,$A23-1))</f>
        <v>46874</v>
      </c>
      <c r="C23" s="10">
        <f>IF($A23="","",IF($A23&lt;=_Engine!$B$23,_Engine!$E60,""))</f>
        <v>8292.0114565658514</v>
      </c>
      <c r="D23" s="10">
        <f>IF($A23="","",IF($A23&lt;=_Engine!$B$23,_Engine!$F60,""))</f>
        <v>10000</v>
      </c>
      <c r="E23" s="10">
        <f>IF($A23="","",IF($A23&lt;=_Engine!$B$24,_Engine!$G60,""))</f>
        <v>6142.6795646103046</v>
      </c>
      <c r="F23" s="10">
        <f>IF($A23="","",IF($A23&lt;=_Engine!$B$24,_Engine!$H60,""))</f>
        <v>10000</v>
      </c>
    </row>
    <row r="24" spans="1:6" x14ac:dyDescent="0.25">
      <c r="A24" s="8">
        <f>IF(21&lt;=MAX(_Engine!$B$23,_Engine!$B$24),21,"")</f>
        <v>21</v>
      </c>
      <c r="B24" s="9">
        <f>IF($A24="","",EDATE(_Engine!$B$2,$A24-1))</f>
        <v>46905</v>
      </c>
      <c r="C24" s="10">
        <f>IF($A24="","",IF($A24&lt;=_Engine!$B$23,_Engine!$E61,""))</f>
        <v>8717.4321997339684</v>
      </c>
      <c r="D24" s="10">
        <f>IF($A24="","",IF($A24&lt;=_Engine!$B$23,_Engine!$F61,""))</f>
        <v>10000</v>
      </c>
      <c r="E24" s="10">
        <f>IF($A24="","",IF($A24&lt;=_Engine!$B$24,_Engine!$G61,""))</f>
        <v>6457.8290695414507</v>
      </c>
      <c r="F24" s="10">
        <f>IF($A24="","",IF($A24&lt;=_Engine!$B$24,_Engine!$H61,""))</f>
        <v>10000</v>
      </c>
    </row>
    <row r="25" spans="1:6" x14ac:dyDescent="0.25">
      <c r="A25" s="8">
        <f>IF(22&lt;=MAX(_Engine!$B$23,_Engine!$B$24),22,"")</f>
        <v>22</v>
      </c>
      <c r="B25" s="9">
        <f>IF($A25="","",EDATE(_Engine!$B$2,$A25-1))</f>
        <v>46935</v>
      </c>
      <c r="C25" s="10">
        <f>IF($A25="","",IF($A25&lt;=_Engine!$B$23,_Engine!$E62,""))</f>
        <v>9143.9021452214711</v>
      </c>
      <c r="D25" s="10">
        <f>IF($A25="","",IF($A25&lt;=_Engine!$B$23,_Engine!$F62,""))</f>
        <v>10000</v>
      </c>
      <c r="E25" s="10">
        <f>IF($A25="","",IF($A25&lt;=_Engine!$B$24,_Engine!$G62,""))</f>
        <v>6773.7558181703653</v>
      </c>
      <c r="F25" s="10">
        <f>IF($A25="","",IF($A25&lt;=_Engine!$B$24,_Engine!$H62,""))</f>
        <v>10000</v>
      </c>
    </row>
    <row r="26" spans="1:6" x14ac:dyDescent="0.25">
      <c r="A26" s="8">
        <f>IF(23&lt;=MAX(_Engine!$B$23,_Engine!$B$24),23,"")</f>
        <v>23</v>
      </c>
      <c r="B26" s="9">
        <f>IF($A26="","",EDATE(_Engine!$B$2,$A26-1))</f>
        <v>46966</v>
      </c>
      <c r="C26" s="10">
        <f>IF($A26="","",IF($A26&lt;=_Engine!$B$23,_Engine!$E63,""))</f>
        <v>9571.4238806443263</v>
      </c>
      <c r="D26" s="10">
        <f>IF($A26="","",IF($A26&lt;=_Engine!$B$23,_Engine!$F63,""))</f>
        <v>10000</v>
      </c>
      <c r="E26" s="10">
        <f>IF($A26="","",IF($A26&lt;=_Engine!$B$24,_Engine!$G63,""))</f>
        <v>7090.4617273896847</v>
      </c>
      <c r="F26" s="10">
        <f>IF($A26="","",IF($A26&lt;=_Engine!$B$24,_Engine!$H63,""))</f>
        <v>10000</v>
      </c>
    </row>
    <row r="27" spans="1:6" x14ac:dyDescent="0.25">
      <c r="A27" s="8">
        <f>IF(24&lt;=MAX(_Engine!$B$23,_Engine!$B$24),24,"")</f>
        <v>24</v>
      </c>
      <c r="B27" s="9">
        <f>IF($A27="","",EDATE(_Engine!$B$2,$A27-1))</f>
        <v>46997</v>
      </c>
      <c r="C27" s="10">
        <f>IF($A27="","",IF($A27&lt;=_Engine!$B$23,_Engine!$E64,""))</f>
        <v>10000.000000000256</v>
      </c>
      <c r="D27" s="10">
        <f>IF($A27="","",IF($A27&lt;=_Engine!$B$23,_Engine!$F64,""))</f>
        <v>10000</v>
      </c>
      <c r="E27" s="10">
        <f>IF($A27="","",IF($A27&lt;=_Engine!$B$24,_Engine!$G64,""))</f>
        <v>7407.9487188196217</v>
      </c>
      <c r="F27" s="10">
        <f>IF($A27="","",IF($A27&lt;=_Engine!$B$24,_Engine!$H64,""))</f>
        <v>10000</v>
      </c>
    </row>
    <row r="28" spans="1:6" x14ac:dyDescent="0.25">
      <c r="A28" s="8">
        <f>IF(25&lt;=MAX(_Engine!$B$23,_Engine!$B$24),25,"")</f>
        <v>25</v>
      </c>
      <c r="B28" s="9">
        <f>IF($A28="","",EDATE(_Engine!$B$2,$A28-1))</f>
        <v>47027</v>
      </c>
      <c r="C28" s="10" t="str">
        <f>IF($A28="","",IF($A28&lt;=_Engine!$B$23,_Engine!$E65,""))</f>
        <v/>
      </c>
      <c r="D28" s="10" t="str">
        <f>IF($A28="","",IF($A28&lt;=_Engine!$B$23,_Engine!$F65,""))</f>
        <v/>
      </c>
      <c r="E28" s="10">
        <f>IF($A28="","",IF($A28&lt;=_Engine!$B$24,_Engine!$G65,""))</f>
        <v>7726.2187188196222</v>
      </c>
      <c r="F28" s="10">
        <f>IF($A28="","",IF($A28&lt;=_Engine!$B$24,_Engine!$H65,""))</f>
        <v>10000</v>
      </c>
    </row>
    <row r="29" spans="1:6" x14ac:dyDescent="0.25">
      <c r="A29" s="8">
        <f>IF(26&lt;=MAX(_Engine!$B$23,_Engine!$B$24),26,"")</f>
        <v>26</v>
      </c>
      <c r="B29" s="9">
        <f>IF($A29="","",EDATE(_Engine!$B$2,$A29-1))</f>
        <v>47058</v>
      </c>
      <c r="C29" s="10" t="str">
        <f>IF($A29="","",IF($A29&lt;=_Engine!$B$23,_Engine!$E66,""))</f>
        <v/>
      </c>
      <c r="D29" s="10" t="str">
        <f>IF($A29="","",IF($A29&lt;=_Engine!$B$23,_Engine!$F66,""))</f>
        <v/>
      </c>
      <c r="E29" s="10">
        <f>IF($A29="","",IF($A29&lt;=_Engine!$B$24,_Engine!$G66,""))</f>
        <v>8045.2736585000539</v>
      </c>
      <c r="F29" s="10">
        <f>IF($A29="","",IF($A29&lt;=_Engine!$B$24,_Engine!$H66,""))</f>
        <v>10000</v>
      </c>
    </row>
    <row r="30" spans="1:6" x14ac:dyDescent="0.25">
      <c r="A30" s="8">
        <f>IF(27&lt;=MAX(_Engine!$B$23,_Engine!$B$24),27,"")</f>
        <v>27</v>
      </c>
      <c r="B30" s="9">
        <f>IF($A30="","",EDATE(_Engine!$B$2,$A30-1))</f>
        <v>47088</v>
      </c>
      <c r="C30" s="10" t="str">
        <f>IF($A30="","",IF($A30&lt;=_Engine!$B$23,_Engine!$E67,""))</f>
        <v/>
      </c>
      <c r="D30" s="10" t="str">
        <f>IF($A30="","",IF($A30&lt;=_Engine!$B$23,_Engine!$F67,""))</f>
        <v/>
      </c>
      <c r="E30" s="10">
        <f>IF($A30="","",IF($A30&lt;=_Engine!$B$24,_Engine!$G67,""))</f>
        <v>8365.1154737339239</v>
      </c>
      <c r="F30" s="10">
        <f>IF($A30="","",IF($A30&lt;=_Engine!$B$24,_Engine!$H67,""))</f>
        <v>10000</v>
      </c>
    </row>
    <row r="31" spans="1:6" x14ac:dyDescent="0.25">
      <c r="A31" s="8">
        <f>IF(28&lt;=MAX(_Engine!$B$23,_Engine!$B$24),28,"")</f>
        <v>28</v>
      </c>
      <c r="B31" s="9">
        <f>IF($A31="","",EDATE(_Engine!$B$2,$A31-1))</f>
        <v>47119</v>
      </c>
      <c r="C31" s="10" t="str">
        <f>IF($A31="","",IF($A31&lt;=_Engine!$B$23,_Engine!$E68,""))</f>
        <v/>
      </c>
      <c r="D31" s="10" t="str">
        <f>IF($A31="","",IF($A31&lt;=_Engine!$B$23,_Engine!$F68,""))</f>
        <v/>
      </c>
      <c r="E31" s="10">
        <f>IF($A31="","",IF($A31&lt;=_Engine!$B$24,_Engine!$G68,""))</f>
        <v>8685.7461051686241</v>
      </c>
      <c r="F31" s="10">
        <f>IF($A31="","",IF($A31&lt;=_Engine!$B$24,_Engine!$H68,""))</f>
        <v>10000</v>
      </c>
    </row>
    <row r="32" spans="1:6" x14ac:dyDescent="0.25">
      <c r="A32" s="8">
        <f>IF(29&lt;=MAX(_Engine!$B$23,_Engine!$B$24),29,"")</f>
        <v>29</v>
      </c>
      <c r="B32" s="9">
        <f>IF($A32="","",EDATE(_Engine!$B$2,$A32-1))</f>
        <v>47150</v>
      </c>
      <c r="C32" s="10" t="str">
        <f>IF($A32="","",IF($A32&lt;=_Engine!$B$23,_Engine!$E69,""))</f>
        <v/>
      </c>
      <c r="D32" s="10" t="str">
        <f>IF($A32="","",IF($A32&lt;=_Engine!$B$23,_Engine!$F69,""))</f>
        <v/>
      </c>
      <c r="E32" s="10">
        <f>IF($A32="","",IF($A32&lt;=_Engine!$B$24,_Engine!$G69,""))</f>
        <v>9007.1674982377062</v>
      </c>
      <c r="F32" s="10">
        <f>IF($A32="","",IF($A32&lt;=_Engine!$B$24,_Engine!$H69,""))</f>
        <v>10000</v>
      </c>
    </row>
    <row r="33" spans="1:6" x14ac:dyDescent="0.25">
      <c r="A33" s="8">
        <f>IF(30&lt;=MAX(_Engine!$B$23,_Engine!$B$24),30,"")</f>
        <v>30</v>
      </c>
      <c r="B33" s="9">
        <f>IF($A33="","",EDATE(_Engine!$B$2,$A33-1))</f>
        <v>47178</v>
      </c>
      <c r="C33" s="10" t="str">
        <f>IF($A33="","",IF($A33&lt;=_Engine!$B$23,_Engine!$E70,""))</f>
        <v/>
      </c>
      <c r="D33" s="10" t="str">
        <f>IF($A33="","",IF($A33&lt;=_Engine!$B$23,_Engine!$F70,""))</f>
        <v/>
      </c>
      <c r="E33" s="10">
        <f>IF($A33="","",IF($A33&lt;=_Engine!$B$24,_Engine!$G70,""))</f>
        <v>9329.3816031726856</v>
      </c>
      <c r="F33" s="10">
        <f>IF($A33="","",IF($A33&lt;=_Engine!$B$24,_Engine!$H70,""))</f>
        <v>10000</v>
      </c>
    </row>
    <row r="34" spans="1:6" x14ac:dyDescent="0.25">
      <c r="A34" s="8">
        <f>IF(31&lt;=MAX(_Engine!$B$23,_Engine!$B$24),31,"")</f>
        <v>31</v>
      </c>
      <c r="B34" s="9">
        <f>IF($A34="","",EDATE(_Engine!$B$2,$A34-1))</f>
        <v>47209</v>
      </c>
      <c r="C34" s="10" t="str">
        <f>IF($A34="","",IF($A34&lt;=_Engine!$B$23,_Engine!$E71,""))</f>
        <v/>
      </c>
      <c r="D34" s="10" t="str">
        <f>IF($A34="","",IF($A34&lt;=_Engine!$B$23,_Engine!$F71,""))</f>
        <v/>
      </c>
      <c r="E34" s="10">
        <f>IF($A34="","",IF($A34&lt;=_Engine!$B$24,_Engine!$G71,""))</f>
        <v>9652.3903750148766</v>
      </c>
      <c r="F34" s="10">
        <f>IF($A34="","",IF($A34&lt;=_Engine!$B$24,_Engine!$H71,""))</f>
        <v>10000</v>
      </c>
    </row>
    <row r="35" spans="1:6" x14ac:dyDescent="0.25">
      <c r="A35" s="8">
        <f>IF(32&lt;=MAX(_Engine!$B$23,_Engine!$B$24),32,"")</f>
        <v>32</v>
      </c>
      <c r="B35" s="9">
        <f>IF($A35="","",EDATE(_Engine!$B$2,$A35-1))</f>
        <v>47239</v>
      </c>
      <c r="C35" s="10" t="str">
        <f>IF($A35="","",IF($A35&lt;=_Engine!$B$23,_Engine!$E72,""))</f>
        <v/>
      </c>
      <c r="D35" s="10" t="str">
        <f>IF($A35="","",IF($A35&lt;=_Engine!$B$23,_Engine!$F72,""))</f>
        <v/>
      </c>
      <c r="E35" s="10">
        <f>IF($A35="","",IF($A35&lt;=_Engine!$B$24,_Engine!$G72,""))</f>
        <v>9976.1957736272507</v>
      </c>
      <c r="F35" s="10">
        <f>IF($A35="","",IF($A35&lt;=_Engine!$B$24,_Engine!$H72,""))</f>
        <v>10000</v>
      </c>
    </row>
    <row r="36" spans="1:6" x14ac:dyDescent="0.25">
      <c r="A36" s="8">
        <f>IF(33&lt;=MAX(_Engine!$B$23,_Engine!$B$24),33,"")</f>
        <v>33</v>
      </c>
      <c r="B36" s="9">
        <f>IF($A36="","",EDATE(_Engine!$B$2,$A36-1))</f>
        <v>47270</v>
      </c>
      <c r="C36" s="10" t="str">
        <f>IF($A36="","",IF($A36&lt;=_Engine!$B$23,_Engine!$E73,""))</f>
        <v/>
      </c>
      <c r="D36" s="10" t="str">
        <f>IF($A36="","",IF($A36&lt;=_Engine!$B$23,_Engine!$F73,""))</f>
        <v/>
      </c>
      <c r="E36" s="10">
        <f>IF($A36="","",IF($A36&lt;=_Engine!$B$24,_Engine!$G73,""))</f>
        <v>10300.799763706331</v>
      </c>
      <c r="F36" s="10">
        <f>IF($A36="","",IF($A36&lt;=_Engine!$B$24,_Engine!$H73,""))</f>
        <v>10000</v>
      </c>
    </row>
    <row r="37" spans="1:6" x14ac:dyDescent="0.25">
      <c r="A37" s="8" t="str">
        <f>IF(34&lt;=MAX(_Engine!$B$23,_Engine!$B$24),34,"")</f>
        <v/>
      </c>
      <c r="B37" s="9" t="str">
        <f>IF($A37="","",EDATE(_Engine!$B$2,$A37-1))</f>
        <v/>
      </c>
      <c r="C37" s="10" t="str">
        <f>IF($A37="","",IF($A37&lt;=_Engine!$B$23,_Engine!$E74,""))</f>
        <v/>
      </c>
      <c r="D37" s="10" t="str">
        <f>IF($A37="","",IF($A37&lt;=_Engine!$B$23,_Engine!$F74,""))</f>
        <v/>
      </c>
      <c r="E37" s="10" t="str">
        <f>IF($A37="","",IF($A37&lt;=_Engine!$B$24,_Engine!$G74,""))</f>
        <v/>
      </c>
      <c r="F37" s="10" t="str">
        <f>IF($A37="","",IF($A37&lt;=_Engine!$B$24,_Engine!$H74,""))</f>
        <v/>
      </c>
    </row>
    <row r="38" spans="1:6" x14ac:dyDescent="0.25">
      <c r="A38" s="8" t="str">
        <f>IF(35&lt;=MAX(_Engine!$B$23,_Engine!$B$24),35,"")</f>
        <v/>
      </c>
      <c r="B38" s="9" t="str">
        <f>IF($A38="","",EDATE(_Engine!$B$2,$A38-1))</f>
        <v/>
      </c>
      <c r="C38" s="10" t="str">
        <f>IF($A38="","",IF($A38&lt;=_Engine!$B$23,_Engine!$E75,""))</f>
        <v/>
      </c>
      <c r="D38" s="10" t="str">
        <f>IF($A38="","",IF($A38&lt;=_Engine!$B$23,_Engine!$F75,""))</f>
        <v/>
      </c>
      <c r="E38" s="10" t="str">
        <f>IF($A38="","",IF($A38&lt;=_Engine!$B$24,_Engine!$G75,""))</f>
        <v/>
      </c>
      <c r="F38" s="10" t="str">
        <f>IF($A38="","",IF($A38&lt;=_Engine!$B$24,_Engine!$H75,""))</f>
        <v/>
      </c>
    </row>
    <row r="39" spans="1:6" x14ac:dyDescent="0.25">
      <c r="A39" s="8" t="str">
        <f>IF(36&lt;=MAX(_Engine!$B$23,_Engine!$B$24),36,"")</f>
        <v/>
      </c>
      <c r="B39" s="9" t="str">
        <f>IF($A39="","",EDATE(_Engine!$B$2,$A39-1))</f>
        <v/>
      </c>
      <c r="C39" s="10" t="str">
        <f>IF($A39="","",IF($A39&lt;=_Engine!$B$23,_Engine!$E76,""))</f>
        <v/>
      </c>
      <c r="D39" s="10" t="str">
        <f>IF($A39="","",IF($A39&lt;=_Engine!$B$23,_Engine!$F76,""))</f>
        <v/>
      </c>
      <c r="E39" s="10" t="str">
        <f>IF($A39="","",IF($A39&lt;=_Engine!$B$24,_Engine!$G76,""))</f>
        <v/>
      </c>
      <c r="F39" s="10" t="str">
        <f>IF($A39="","",IF($A39&lt;=_Engine!$B$24,_Engine!$H76,""))</f>
        <v/>
      </c>
    </row>
    <row r="40" spans="1:6" x14ac:dyDescent="0.25">
      <c r="A40" s="8" t="str">
        <f>IF(37&lt;=MAX(_Engine!$B$23,_Engine!$B$24),37,"")</f>
        <v/>
      </c>
      <c r="B40" s="9" t="str">
        <f>IF($A40="","",EDATE(_Engine!$B$2,$A40-1))</f>
        <v/>
      </c>
      <c r="C40" s="10" t="str">
        <f>IF($A40="","",IF($A40&lt;=_Engine!$B$23,_Engine!$E77,""))</f>
        <v/>
      </c>
      <c r="D40" s="10" t="str">
        <f>IF($A40="","",IF($A40&lt;=_Engine!$B$23,_Engine!$F77,""))</f>
        <v/>
      </c>
      <c r="E40" s="10" t="str">
        <f>IF($A40="","",IF($A40&lt;=_Engine!$B$24,_Engine!$G77,""))</f>
        <v/>
      </c>
      <c r="F40" s="10" t="str">
        <f>IF($A40="","",IF($A40&lt;=_Engine!$B$24,_Engine!$H77,""))</f>
        <v/>
      </c>
    </row>
    <row r="41" spans="1:6" x14ac:dyDescent="0.25">
      <c r="A41" s="8" t="str">
        <f>IF(38&lt;=MAX(_Engine!$B$23,_Engine!$B$24),38,"")</f>
        <v/>
      </c>
      <c r="B41" s="9" t="str">
        <f>IF($A41="","",EDATE(_Engine!$B$2,$A41-1))</f>
        <v/>
      </c>
      <c r="C41" s="10" t="str">
        <f>IF($A41="","",IF($A41&lt;=_Engine!$B$23,_Engine!$E78,""))</f>
        <v/>
      </c>
      <c r="D41" s="10" t="str">
        <f>IF($A41="","",IF($A41&lt;=_Engine!$B$23,_Engine!$F78,""))</f>
        <v/>
      </c>
      <c r="E41" s="10" t="str">
        <f>IF($A41="","",IF($A41&lt;=_Engine!$B$24,_Engine!$G78,""))</f>
        <v/>
      </c>
      <c r="F41" s="10" t="str">
        <f>IF($A41="","",IF($A41&lt;=_Engine!$B$24,_Engine!$H78,""))</f>
        <v/>
      </c>
    </row>
    <row r="42" spans="1:6" x14ac:dyDescent="0.25">
      <c r="A42" s="8" t="str">
        <f>IF(39&lt;=MAX(_Engine!$B$23,_Engine!$B$24),39,"")</f>
        <v/>
      </c>
      <c r="B42" s="9" t="str">
        <f>IF($A42="","",EDATE(_Engine!$B$2,$A42-1))</f>
        <v/>
      </c>
      <c r="C42" s="10" t="str">
        <f>IF($A42="","",IF($A42&lt;=_Engine!$B$23,_Engine!$E79,""))</f>
        <v/>
      </c>
      <c r="D42" s="10" t="str">
        <f>IF($A42="","",IF($A42&lt;=_Engine!$B$23,_Engine!$F79,""))</f>
        <v/>
      </c>
      <c r="E42" s="10" t="str">
        <f>IF($A42="","",IF($A42&lt;=_Engine!$B$24,_Engine!$G79,""))</f>
        <v/>
      </c>
      <c r="F42" s="10" t="str">
        <f>IF($A42="","",IF($A42&lt;=_Engine!$B$24,_Engine!$H79,""))</f>
        <v/>
      </c>
    </row>
    <row r="43" spans="1:6" x14ac:dyDescent="0.25">
      <c r="A43" s="8" t="str">
        <f>IF(40&lt;=MAX(_Engine!$B$23,_Engine!$B$24),40,"")</f>
        <v/>
      </c>
      <c r="B43" s="9" t="str">
        <f>IF($A43="","",EDATE(_Engine!$B$2,$A43-1))</f>
        <v/>
      </c>
      <c r="C43" s="10" t="str">
        <f>IF($A43="","",IF($A43&lt;=_Engine!$B$23,_Engine!$E80,""))</f>
        <v/>
      </c>
      <c r="D43" s="10" t="str">
        <f>IF($A43="","",IF($A43&lt;=_Engine!$B$23,_Engine!$F80,""))</f>
        <v/>
      </c>
      <c r="E43" s="10" t="str">
        <f>IF($A43="","",IF($A43&lt;=_Engine!$B$24,_Engine!$G80,""))</f>
        <v/>
      </c>
      <c r="F43" s="10" t="str">
        <f>IF($A43="","",IF($A43&lt;=_Engine!$B$24,_Engine!$H80,""))</f>
        <v/>
      </c>
    </row>
    <row r="44" spans="1:6" x14ac:dyDescent="0.25">
      <c r="A44" s="8" t="str">
        <f>IF(41&lt;=MAX(_Engine!$B$23,_Engine!$B$24),41,"")</f>
        <v/>
      </c>
      <c r="B44" s="9" t="str">
        <f>IF($A44="","",EDATE(_Engine!$B$2,$A44-1))</f>
        <v/>
      </c>
      <c r="C44" s="10" t="str">
        <f>IF($A44="","",IF($A44&lt;=_Engine!$B$23,_Engine!$E81,""))</f>
        <v/>
      </c>
      <c r="D44" s="10" t="str">
        <f>IF($A44="","",IF($A44&lt;=_Engine!$B$23,_Engine!$F81,""))</f>
        <v/>
      </c>
      <c r="E44" s="10" t="str">
        <f>IF($A44="","",IF($A44&lt;=_Engine!$B$24,_Engine!$G81,""))</f>
        <v/>
      </c>
      <c r="F44" s="10" t="str">
        <f>IF($A44="","",IF($A44&lt;=_Engine!$B$24,_Engine!$H81,""))</f>
        <v/>
      </c>
    </row>
    <row r="45" spans="1:6" x14ac:dyDescent="0.25">
      <c r="A45" s="8" t="str">
        <f>IF(42&lt;=MAX(_Engine!$B$23,_Engine!$B$24),42,"")</f>
        <v/>
      </c>
      <c r="B45" s="9" t="str">
        <f>IF($A45="","",EDATE(_Engine!$B$2,$A45-1))</f>
        <v/>
      </c>
      <c r="C45" s="10" t="str">
        <f>IF($A45="","",IF($A45&lt;=_Engine!$B$23,_Engine!$E82,""))</f>
        <v/>
      </c>
      <c r="D45" s="10" t="str">
        <f>IF($A45="","",IF($A45&lt;=_Engine!$B$23,_Engine!$F82,""))</f>
        <v/>
      </c>
      <c r="E45" s="10" t="str">
        <f>IF($A45="","",IF($A45&lt;=_Engine!$B$24,_Engine!$G82,""))</f>
        <v/>
      </c>
      <c r="F45" s="10" t="str">
        <f>IF($A45="","",IF($A45&lt;=_Engine!$B$24,_Engine!$H82,""))</f>
        <v/>
      </c>
    </row>
    <row r="46" spans="1:6" x14ac:dyDescent="0.25">
      <c r="A46" s="8" t="str">
        <f>IF(43&lt;=MAX(_Engine!$B$23,_Engine!$B$24),43,"")</f>
        <v/>
      </c>
      <c r="B46" s="9" t="str">
        <f>IF($A46="","",EDATE(_Engine!$B$2,$A46-1))</f>
        <v/>
      </c>
      <c r="C46" s="10" t="str">
        <f>IF($A46="","",IF($A46&lt;=_Engine!$B$23,_Engine!$E83,""))</f>
        <v/>
      </c>
      <c r="D46" s="10" t="str">
        <f>IF($A46="","",IF($A46&lt;=_Engine!$B$23,_Engine!$F83,""))</f>
        <v/>
      </c>
      <c r="E46" s="10" t="str">
        <f>IF($A46="","",IF($A46&lt;=_Engine!$B$24,_Engine!$G83,""))</f>
        <v/>
      </c>
      <c r="F46" s="10" t="str">
        <f>IF($A46="","",IF($A46&lt;=_Engine!$B$24,_Engine!$H83,""))</f>
        <v/>
      </c>
    </row>
    <row r="47" spans="1:6" x14ac:dyDescent="0.25">
      <c r="A47" s="8" t="str">
        <f>IF(44&lt;=MAX(_Engine!$B$23,_Engine!$B$24),44,"")</f>
        <v/>
      </c>
      <c r="B47" s="9" t="str">
        <f>IF($A47="","",EDATE(_Engine!$B$2,$A47-1))</f>
        <v/>
      </c>
      <c r="C47" s="10" t="str">
        <f>IF($A47="","",IF($A47&lt;=_Engine!$B$23,_Engine!$E84,""))</f>
        <v/>
      </c>
      <c r="D47" s="10" t="str">
        <f>IF($A47="","",IF($A47&lt;=_Engine!$B$23,_Engine!$F84,""))</f>
        <v/>
      </c>
      <c r="E47" s="10" t="str">
        <f>IF($A47="","",IF($A47&lt;=_Engine!$B$24,_Engine!$G84,""))</f>
        <v/>
      </c>
      <c r="F47" s="10" t="str">
        <f>IF($A47="","",IF($A47&lt;=_Engine!$B$24,_Engine!$H84,""))</f>
        <v/>
      </c>
    </row>
    <row r="48" spans="1:6" x14ac:dyDescent="0.25">
      <c r="A48" s="8" t="str">
        <f>IF(45&lt;=MAX(_Engine!$B$23,_Engine!$B$24),45,"")</f>
        <v/>
      </c>
      <c r="B48" s="9" t="str">
        <f>IF($A48="","",EDATE(_Engine!$B$2,$A48-1))</f>
        <v/>
      </c>
      <c r="C48" s="10" t="str">
        <f>IF($A48="","",IF($A48&lt;=_Engine!$B$23,_Engine!$E85,""))</f>
        <v/>
      </c>
      <c r="D48" s="10" t="str">
        <f>IF($A48="","",IF($A48&lt;=_Engine!$B$23,_Engine!$F85,""))</f>
        <v/>
      </c>
      <c r="E48" s="10" t="str">
        <f>IF($A48="","",IF($A48&lt;=_Engine!$B$24,_Engine!$G85,""))</f>
        <v/>
      </c>
      <c r="F48" s="10" t="str">
        <f>IF($A48="","",IF($A48&lt;=_Engine!$B$24,_Engine!$H85,""))</f>
        <v/>
      </c>
    </row>
    <row r="49" spans="1:6" x14ac:dyDescent="0.25">
      <c r="A49" s="8" t="str">
        <f>IF(46&lt;=MAX(_Engine!$B$23,_Engine!$B$24),46,"")</f>
        <v/>
      </c>
      <c r="B49" s="9" t="str">
        <f>IF($A49="","",EDATE(_Engine!$B$2,$A49-1))</f>
        <v/>
      </c>
      <c r="C49" s="10" t="str">
        <f>IF($A49="","",IF($A49&lt;=_Engine!$B$23,_Engine!$E86,""))</f>
        <v/>
      </c>
      <c r="D49" s="10" t="str">
        <f>IF($A49="","",IF($A49&lt;=_Engine!$B$23,_Engine!$F86,""))</f>
        <v/>
      </c>
      <c r="E49" s="10" t="str">
        <f>IF($A49="","",IF($A49&lt;=_Engine!$B$24,_Engine!$G86,""))</f>
        <v/>
      </c>
      <c r="F49" s="10" t="str">
        <f>IF($A49="","",IF($A49&lt;=_Engine!$B$24,_Engine!$H86,""))</f>
        <v/>
      </c>
    </row>
    <row r="50" spans="1:6" x14ac:dyDescent="0.25">
      <c r="A50" s="8" t="str">
        <f>IF(47&lt;=MAX(_Engine!$B$23,_Engine!$B$24),47,"")</f>
        <v/>
      </c>
      <c r="B50" s="9" t="str">
        <f>IF($A50="","",EDATE(_Engine!$B$2,$A50-1))</f>
        <v/>
      </c>
      <c r="C50" s="10" t="str">
        <f>IF($A50="","",IF($A50&lt;=_Engine!$B$23,_Engine!$E87,""))</f>
        <v/>
      </c>
      <c r="D50" s="10" t="str">
        <f>IF($A50="","",IF($A50&lt;=_Engine!$B$23,_Engine!$F87,""))</f>
        <v/>
      </c>
      <c r="E50" s="10" t="str">
        <f>IF($A50="","",IF($A50&lt;=_Engine!$B$24,_Engine!$G87,""))</f>
        <v/>
      </c>
      <c r="F50" s="10" t="str">
        <f>IF($A50="","",IF($A50&lt;=_Engine!$B$24,_Engine!$H87,""))</f>
        <v/>
      </c>
    </row>
    <row r="51" spans="1:6" x14ac:dyDescent="0.25">
      <c r="A51" s="8" t="str">
        <f>IF(48&lt;=MAX(_Engine!$B$23,_Engine!$B$24),48,"")</f>
        <v/>
      </c>
      <c r="B51" s="9" t="str">
        <f>IF($A51="","",EDATE(_Engine!$B$2,$A51-1))</f>
        <v/>
      </c>
      <c r="C51" s="10" t="str">
        <f>IF($A51="","",IF($A51&lt;=_Engine!$B$23,_Engine!$E88,""))</f>
        <v/>
      </c>
      <c r="D51" s="10" t="str">
        <f>IF($A51="","",IF($A51&lt;=_Engine!$B$23,_Engine!$F88,""))</f>
        <v/>
      </c>
      <c r="E51" s="10" t="str">
        <f>IF($A51="","",IF($A51&lt;=_Engine!$B$24,_Engine!$G88,""))</f>
        <v/>
      </c>
      <c r="F51" s="10" t="str">
        <f>IF($A51="","",IF($A51&lt;=_Engine!$B$24,_Engine!$H88,""))</f>
        <v/>
      </c>
    </row>
    <row r="52" spans="1:6" x14ac:dyDescent="0.25">
      <c r="A52" s="8" t="str">
        <f>IF(49&lt;=MAX(_Engine!$B$23,_Engine!$B$24),49,"")</f>
        <v/>
      </c>
      <c r="B52" s="9" t="str">
        <f>IF($A52="","",EDATE(_Engine!$B$2,$A52-1))</f>
        <v/>
      </c>
      <c r="C52" s="10" t="str">
        <f>IF($A52="","",IF($A52&lt;=_Engine!$B$23,_Engine!$E89,""))</f>
        <v/>
      </c>
      <c r="D52" s="10" t="str">
        <f>IF($A52="","",IF($A52&lt;=_Engine!$B$23,_Engine!$F89,""))</f>
        <v/>
      </c>
      <c r="E52" s="10" t="str">
        <f>IF($A52="","",IF($A52&lt;=_Engine!$B$24,_Engine!$G89,""))</f>
        <v/>
      </c>
      <c r="F52" s="10" t="str">
        <f>IF($A52="","",IF($A52&lt;=_Engine!$B$24,_Engine!$H89,""))</f>
        <v/>
      </c>
    </row>
    <row r="53" spans="1:6" x14ac:dyDescent="0.25">
      <c r="A53" s="8" t="str">
        <f>IF(50&lt;=MAX(_Engine!$B$23,_Engine!$B$24),50,"")</f>
        <v/>
      </c>
      <c r="B53" s="9" t="str">
        <f>IF($A53="","",EDATE(_Engine!$B$2,$A53-1))</f>
        <v/>
      </c>
      <c r="C53" s="10" t="str">
        <f>IF($A53="","",IF($A53&lt;=_Engine!$B$23,_Engine!$E90,""))</f>
        <v/>
      </c>
      <c r="D53" s="10" t="str">
        <f>IF($A53="","",IF($A53&lt;=_Engine!$B$23,_Engine!$F90,""))</f>
        <v/>
      </c>
      <c r="E53" s="10" t="str">
        <f>IF($A53="","",IF($A53&lt;=_Engine!$B$24,_Engine!$G90,""))</f>
        <v/>
      </c>
      <c r="F53" s="10" t="str">
        <f>IF($A53="","",IF($A53&lt;=_Engine!$B$24,_Engine!$H90,""))</f>
        <v/>
      </c>
    </row>
    <row r="54" spans="1:6" x14ac:dyDescent="0.25">
      <c r="A54" s="8" t="str">
        <f>IF(51&lt;=MAX(_Engine!$B$23,_Engine!$B$24),51,"")</f>
        <v/>
      </c>
      <c r="B54" s="9" t="str">
        <f>IF($A54="","",EDATE(_Engine!$B$2,$A54-1))</f>
        <v/>
      </c>
      <c r="C54" s="10" t="str">
        <f>IF($A54="","",IF($A54&lt;=_Engine!$B$23,_Engine!$E91,""))</f>
        <v/>
      </c>
      <c r="D54" s="10" t="str">
        <f>IF($A54="","",IF($A54&lt;=_Engine!$B$23,_Engine!$F91,""))</f>
        <v/>
      </c>
      <c r="E54" s="10" t="str">
        <f>IF($A54="","",IF($A54&lt;=_Engine!$B$24,_Engine!$G91,""))</f>
        <v/>
      </c>
      <c r="F54" s="10" t="str">
        <f>IF($A54="","",IF($A54&lt;=_Engine!$B$24,_Engine!$H91,""))</f>
        <v/>
      </c>
    </row>
    <row r="55" spans="1:6" x14ac:dyDescent="0.25">
      <c r="A55" s="8" t="str">
        <f>IF(52&lt;=MAX(_Engine!$B$23,_Engine!$B$24),52,"")</f>
        <v/>
      </c>
      <c r="B55" s="9" t="str">
        <f>IF($A55="","",EDATE(_Engine!$B$2,$A55-1))</f>
        <v/>
      </c>
      <c r="C55" s="10" t="str">
        <f>IF($A55="","",IF($A55&lt;=_Engine!$B$23,_Engine!$E92,""))</f>
        <v/>
      </c>
      <c r="D55" s="10" t="str">
        <f>IF($A55="","",IF($A55&lt;=_Engine!$B$23,_Engine!$F92,""))</f>
        <v/>
      </c>
      <c r="E55" s="10" t="str">
        <f>IF($A55="","",IF($A55&lt;=_Engine!$B$24,_Engine!$G92,""))</f>
        <v/>
      </c>
      <c r="F55" s="10" t="str">
        <f>IF($A55="","",IF($A55&lt;=_Engine!$B$24,_Engine!$H92,""))</f>
        <v/>
      </c>
    </row>
    <row r="56" spans="1:6" x14ac:dyDescent="0.25">
      <c r="A56" s="8" t="str">
        <f>IF(53&lt;=MAX(_Engine!$B$23,_Engine!$B$24),53,"")</f>
        <v/>
      </c>
      <c r="B56" s="9" t="str">
        <f>IF($A56="","",EDATE(_Engine!$B$2,$A56-1))</f>
        <v/>
      </c>
      <c r="C56" s="10" t="str">
        <f>IF($A56="","",IF($A56&lt;=_Engine!$B$23,_Engine!$E93,""))</f>
        <v/>
      </c>
      <c r="D56" s="10" t="str">
        <f>IF($A56="","",IF($A56&lt;=_Engine!$B$23,_Engine!$F93,""))</f>
        <v/>
      </c>
      <c r="E56" s="10" t="str">
        <f>IF($A56="","",IF($A56&lt;=_Engine!$B$24,_Engine!$G93,""))</f>
        <v/>
      </c>
      <c r="F56" s="10" t="str">
        <f>IF($A56="","",IF($A56&lt;=_Engine!$B$24,_Engine!$H93,""))</f>
        <v/>
      </c>
    </row>
    <row r="57" spans="1:6" x14ac:dyDescent="0.25">
      <c r="A57" s="8" t="str">
        <f>IF(54&lt;=MAX(_Engine!$B$23,_Engine!$B$24),54,"")</f>
        <v/>
      </c>
      <c r="B57" s="9" t="str">
        <f>IF($A57="","",EDATE(_Engine!$B$2,$A57-1))</f>
        <v/>
      </c>
      <c r="C57" s="10" t="str">
        <f>IF($A57="","",IF($A57&lt;=_Engine!$B$23,_Engine!$E94,""))</f>
        <v/>
      </c>
      <c r="D57" s="10" t="str">
        <f>IF($A57="","",IF($A57&lt;=_Engine!$B$23,_Engine!$F94,""))</f>
        <v/>
      </c>
      <c r="E57" s="10" t="str">
        <f>IF($A57="","",IF($A57&lt;=_Engine!$B$24,_Engine!$G94,""))</f>
        <v/>
      </c>
      <c r="F57" s="10" t="str">
        <f>IF($A57="","",IF($A57&lt;=_Engine!$B$24,_Engine!$H94,""))</f>
        <v/>
      </c>
    </row>
    <row r="58" spans="1:6" x14ac:dyDescent="0.25">
      <c r="A58" s="8" t="str">
        <f>IF(55&lt;=MAX(_Engine!$B$23,_Engine!$B$24),55,"")</f>
        <v/>
      </c>
      <c r="B58" s="9" t="str">
        <f>IF($A58="","",EDATE(_Engine!$B$2,$A58-1))</f>
        <v/>
      </c>
      <c r="C58" s="10" t="str">
        <f>IF($A58="","",IF($A58&lt;=_Engine!$B$23,_Engine!$E95,""))</f>
        <v/>
      </c>
      <c r="D58" s="10" t="str">
        <f>IF($A58="","",IF($A58&lt;=_Engine!$B$23,_Engine!$F95,""))</f>
        <v/>
      </c>
      <c r="E58" s="10" t="str">
        <f>IF($A58="","",IF($A58&lt;=_Engine!$B$24,_Engine!$G95,""))</f>
        <v/>
      </c>
      <c r="F58" s="10" t="str">
        <f>IF($A58="","",IF($A58&lt;=_Engine!$B$24,_Engine!$H95,""))</f>
        <v/>
      </c>
    </row>
    <row r="59" spans="1:6" x14ac:dyDescent="0.25">
      <c r="A59" s="8" t="str">
        <f>IF(56&lt;=MAX(_Engine!$B$23,_Engine!$B$24),56,"")</f>
        <v/>
      </c>
      <c r="B59" s="9" t="str">
        <f>IF($A59="","",EDATE(_Engine!$B$2,$A59-1))</f>
        <v/>
      </c>
      <c r="C59" s="10" t="str">
        <f>IF($A59="","",IF($A59&lt;=_Engine!$B$23,_Engine!$E96,""))</f>
        <v/>
      </c>
      <c r="D59" s="10" t="str">
        <f>IF($A59="","",IF($A59&lt;=_Engine!$B$23,_Engine!$F96,""))</f>
        <v/>
      </c>
      <c r="E59" s="10" t="str">
        <f>IF($A59="","",IF($A59&lt;=_Engine!$B$24,_Engine!$G96,""))</f>
        <v/>
      </c>
      <c r="F59" s="10" t="str">
        <f>IF($A59="","",IF($A59&lt;=_Engine!$B$24,_Engine!$H96,""))</f>
        <v/>
      </c>
    </row>
    <row r="60" spans="1:6" x14ac:dyDescent="0.25">
      <c r="A60" s="8" t="str">
        <f>IF(57&lt;=MAX(_Engine!$B$23,_Engine!$B$24),57,"")</f>
        <v/>
      </c>
      <c r="B60" s="9" t="str">
        <f>IF($A60="","",EDATE(_Engine!$B$2,$A60-1))</f>
        <v/>
      </c>
      <c r="C60" s="10" t="str">
        <f>IF($A60="","",IF($A60&lt;=_Engine!$B$23,_Engine!$E97,""))</f>
        <v/>
      </c>
      <c r="D60" s="10" t="str">
        <f>IF($A60="","",IF($A60&lt;=_Engine!$B$23,_Engine!$F97,""))</f>
        <v/>
      </c>
      <c r="E60" s="10" t="str">
        <f>IF($A60="","",IF($A60&lt;=_Engine!$B$24,_Engine!$G97,""))</f>
        <v/>
      </c>
      <c r="F60" s="10" t="str">
        <f>IF($A60="","",IF($A60&lt;=_Engine!$B$24,_Engine!$H97,""))</f>
        <v/>
      </c>
    </row>
    <row r="61" spans="1:6" x14ac:dyDescent="0.25">
      <c r="A61" s="8" t="str">
        <f>IF(58&lt;=MAX(_Engine!$B$23,_Engine!$B$24),58,"")</f>
        <v/>
      </c>
      <c r="B61" s="9" t="str">
        <f>IF($A61="","",EDATE(_Engine!$B$2,$A61-1))</f>
        <v/>
      </c>
      <c r="C61" s="10" t="str">
        <f>IF($A61="","",IF($A61&lt;=_Engine!$B$23,_Engine!$E98,""))</f>
        <v/>
      </c>
      <c r="D61" s="10" t="str">
        <f>IF($A61="","",IF($A61&lt;=_Engine!$B$23,_Engine!$F98,""))</f>
        <v/>
      </c>
      <c r="E61" s="10" t="str">
        <f>IF($A61="","",IF($A61&lt;=_Engine!$B$24,_Engine!$G98,""))</f>
        <v/>
      </c>
      <c r="F61" s="10" t="str">
        <f>IF($A61="","",IF($A61&lt;=_Engine!$B$24,_Engine!$H98,""))</f>
        <v/>
      </c>
    </row>
    <row r="62" spans="1:6" x14ac:dyDescent="0.25">
      <c r="A62" s="8" t="str">
        <f>IF(59&lt;=MAX(_Engine!$B$23,_Engine!$B$24),59,"")</f>
        <v/>
      </c>
      <c r="B62" s="9" t="str">
        <f>IF($A62="","",EDATE(_Engine!$B$2,$A62-1))</f>
        <v/>
      </c>
      <c r="C62" s="10" t="str">
        <f>IF($A62="","",IF($A62&lt;=_Engine!$B$23,_Engine!$E99,""))</f>
        <v/>
      </c>
      <c r="D62" s="10" t="str">
        <f>IF($A62="","",IF($A62&lt;=_Engine!$B$23,_Engine!$F99,""))</f>
        <v/>
      </c>
      <c r="E62" s="10" t="str">
        <f>IF($A62="","",IF($A62&lt;=_Engine!$B$24,_Engine!$G99,""))</f>
        <v/>
      </c>
      <c r="F62" s="10" t="str">
        <f>IF($A62="","",IF($A62&lt;=_Engine!$B$24,_Engine!$H99,""))</f>
        <v/>
      </c>
    </row>
    <row r="63" spans="1:6" x14ac:dyDescent="0.25">
      <c r="A63" s="8" t="str">
        <f>IF(60&lt;=MAX(_Engine!$B$23,_Engine!$B$24),60,"")</f>
        <v/>
      </c>
      <c r="B63" s="9" t="str">
        <f>IF($A63="","",EDATE(_Engine!$B$2,$A63-1))</f>
        <v/>
      </c>
      <c r="C63" s="10" t="str">
        <f>IF($A63="","",IF($A63&lt;=_Engine!$B$23,_Engine!$E100,""))</f>
        <v/>
      </c>
      <c r="D63" s="10" t="str">
        <f>IF($A63="","",IF($A63&lt;=_Engine!$B$23,_Engine!$F100,""))</f>
        <v/>
      </c>
      <c r="E63" s="10" t="str">
        <f>IF($A63="","",IF($A63&lt;=_Engine!$B$24,_Engine!$G100,""))</f>
        <v/>
      </c>
      <c r="F63" s="10" t="str">
        <f>IF($A63="","",IF($A63&lt;=_Engine!$B$24,_Engine!$H100,""))</f>
        <v/>
      </c>
    </row>
    <row r="64" spans="1:6" x14ac:dyDescent="0.25">
      <c r="A64" s="8" t="str">
        <f>IF(61&lt;=MAX(_Engine!$B$23,_Engine!$B$24),61,"")</f>
        <v/>
      </c>
      <c r="B64" s="9" t="str">
        <f>IF($A64="","",EDATE(_Engine!$B$2,$A64-1))</f>
        <v/>
      </c>
      <c r="C64" s="10" t="str">
        <f>IF($A64="","",IF($A64&lt;=_Engine!$B$23,_Engine!$E101,""))</f>
        <v/>
      </c>
      <c r="D64" s="10" t="str">
        <f>IF($A64="","",IF($A64&lt;=_Engine!$B$23,_Engine!$F101,""))</f>
        <v/>
      </c>
      <c r="E64" s="10" t="str">
        <f>IF($A64="","",IF($A64&lt;=_Engine!$B$24,_Engine!$G101,""))</f>
        <v/>
      </c>
      <c r="F64" s="10" t="str">
        <f>IF($A64="","",IF($A64&lt;=_Engine!$B$24,_Engine!$H101,""))</f>
        <v/>
      </c>
    </row>
    <row r="65" spans="1:6" x14ac:dyDescent="0.25">
      <c r="A65" s="8" t="str">
        <f>IF(62&lt;=MAX(_Engine!$B$23,_Engine!$B$24),62,"")</f>
        <v/>
      </c>
      <c r="B65" s="9" t="str">
        <f>IF($A65="","",EDATE(_Engine!$B$2,$A65-1))</f>
        <v/>
      </c>
      <c r="C65" s="10" t="str">
        <f>IF($A65="","",IF($A65&lt;=_Engine!$B$23,_Engine!$E102,""))</f>
        <v/>
      </c>
      <c r="D65" s="10" t="str">
        <f>IF($A65="","",IF($A65&lt;=_Engine!$B$23,_Engine!$F102,""))</f>
        <v/>
      </c>
      <c r="E65" s="10" t="str">
        <f>IF($A65="","",IF($A65&lt;=_Engine!$B$24,_Engine!$G102,""))</f>
        <v/>
      </c>
      <c r="F65" s="10" t="str">
        <f>IF($A65="","",IF($A65&lt;=_Engine!$B$24,_Engine!$H102,""))</f>
        <v/>
      </c>
    </row>
    <row r="66" spans="1:6" x14ac:dyDescent="0.25">
      <c r="A66" s="8" t="str">
        <f>IF(63&lt;=MAX(_Engine!$B$23,_Engine!$B$24),63,"")</f>
        <v/>
      </c>
      <c r="B66" s="9" t="str">
        <f>IF($A66="","",EDATE(_Engine!$B$2,$A66-1))</f>
        <v/>
      </c>
      <c r="C66" s="10" t="str">
        <f>IF($A66="","",IF($A66&lt;=_Engine!$B$23,_Engine!$E103,""))</f>
        <v/>
      </c>
      <c r="D66" s="10" t="str">
        <f>IF($A66="","",IF($A66&lt;=_Engine!$B$23,_Engine!$F103,""))</f>
        <v/>
      </c>
      <c r="E66" s="10" t="str">
        <f>IF($A66="","",IF($A66&lt;=_Engine!$B$24,_Engine!$G103,""))</f>
        <v/>
      </c>
      <c r="F66" s="10" t="str">
        <f>IF($A66="","",IF($A66&lt;=_Engine!$B$24,_Engine!$H103,""))</f>
        <v/>
      </c>
    </row>
    <row r="67" spans="1:6" x14ac:dyDescent="0.25">
      <c r="A67" s="8" t="str">
        <f>IF(64&lt;=MAX(_Engine!$B$23,_Engine!$B$24),64,"")</f>
        <v/>
      </c>
      <c r="B67" s="9" t="str">
        <f>IF($A67="","",EDATE(_Engine!$B$2,$A67-1))</f>
        <v/>
      </c>
      <c r="C67" s="10" t="str">
        <f>IF($A67="","",IF($A67&lt;=_Engine!$B$23,_Engine!$E104,""))</f>
        <v/>
      </c>
      <c r="D67" s="10" t="str">
        <f>IF($A67="","",IF($A67&lt;=_Engine!$B$23,_Engine!$F104,""))</f>
        <v/>
      </c>
      <c r="E67" s="10" t="str">
        <f>IF($A67="","",IF($A67&lt;=_Engine!$B$24,_Engine!$G104,""))</f>
        <v/>
      </c>
      <c r="F67" s="10" t="str">
        <f>IF($A67="","",IF($A67&lt;=_Engine!$B$24,_Engine!$H104,""))</f>
        <v/>
      </c>
    </row>
    <row r="68" spans="1:6" x14ac:dyDescent="0.25">
      <c r="A68" s="8" t="str">
        <f>IF(65&lt;=MAX(_Engine!$B$23,_Engine!$B$24),65,"")</f>
        <v/>
      </c>
      <c r="B68" s="9" t="str">
        <f>IF($A68="","",EDATE(_Engine!$B$2,$A68-1))</f>
        <v/>
      </c>
      <c r="C68" s="10" t="str">
        <f>IF($A68="","",IF($A68&lt;=_Engine!$B$23,_Engine!$E105,""))</f>
        <v/>
      </c>
      <c r="D68" s="10" t="str">
        <f>IF($A68="","",IF($A68&lt;=_Engine!$B$23,_Engine!$F105,""))</f>
        <v/>
      </c>
      <c r="E68" s="10" t="str">
        <f>IF($A68="","",IF($A68&lt;=_Engine!$B$24,_Engine!$G105,""))</f>
        <v/>
      </c>
      <c r="F68" s="10" t="str">
        <f>IF($A68="","",IF($A68&lt;=_Engine!$B$24,_Engine!$H105,""))</f>
        <v/>
      </c>
    </row>
    <row r="69" spans="1:6" x14ac:dyDescent="0.25">
      <c r="A69" s="8" t="str">
        <f>IF(66&lt;=MAX(_Engine!$B$23,_Engine!$B$24),66,"")</f>
        <v/>
      </c>
      <c r="B69" s="9" t="str">
        <f>IF($A69="","",EDATE(_Engine!$B$2,$A69-1))</f>
        <v/>
      </c>
      <c r="C69" s="10" t="str">
        <f>IF($A69="","",IF($A69&lt;=_Engine!$B$23,_Engine!$E106,""))</f>
        <v/>
      </c>
      <c r="D69" s="10" t="str">
        <f>IF($A69="","",IF($A69&lt;=_Engine!$B$23,_Engine!$F106,""))</f>
        <v/>
      </c>
      <c r="E69" s="10" t="str">
        <f>IF($A69="","",IF($A69&lt;=_Engine!$B$24,_Engine!$G106,""))</f>
        <v/>
      </c>
      <c r="F69" s="10" t="str">
        <f>IF($A69="","",IF($A69&lt;=_Engine!$B$24,_Engine!$H106,""))</f>
        <v/>
      </c>
    </row>
    <row r="70" spans="1:6" x14ac:dyDescent="0.25">
      <c r="A70" s="8" t="str">
        <f>IF(67&lt;=MAX(_Engine!$B$23,_Engine!$B$24),67,"")</f>
        <v/>
      </c>
      <c r="B70" s="9" t="str">
        <f>IF($A70="","",EDATE(_Engine!$B$2,$A70-1))</f>
        <v/>
      </c>
      <c r="C70" s="10" t="str">
        <f>IF($A70="","",IF($A70&lt;=_Engine!$B$23,_Engine!$E107,""))</f>
        <v/>
      </c>
      <c r="D70" s="10" t="str">
        <f>IF($A70="","",IF($A70&lt;=_Engine!$B$23,_Engine!$F107,""))</f>
        <v/>
      </c>
      <c r="E70" s="10" t="str">
        <f>IF($A70="","",IF($A70&lt;=_Engine!$B$24,_Engine!$G107,""))</f>
        <v/>
      </c>
      <c r="F70" s="10" t="str">
        <f>IF($A70="","",IF($A70&lt;=_Engine!$B$24,_Engine!$H107,""))</f>
        <v/>
      </c>
    </row>
    <row r="71" spans="1:6" x14ac:dyDescent="0.25">
      <c r="A71" s="8" t="str">
        <f>IF(68&lt;=MAX(_Engine!$B$23,_Engine!$B$24),68,"")</f>
        <v/>
      </c>
      <c r="B71" s="9" t="str">
        <f>IF($A71="","",EDATE(_Engine!$B$2,$A71-1))</f>
        <v/>
      </c>
      <c r="C71" s="10" t="str">
        <f>IF($A71="","",IF($A71&lt;=_Engine!$B$23,_Engine!$E108,""))</f>
        <v/>
      </c>
      <c r="D71" s="10" t="str">
        <f>IF($A71="","",IF($A71&lt;=_Engine!$B$23,_Engine!$F108,""))</f>
        <v/>
      </c>
      <c r="E71" s="10" t="str">
        <f>IF($A71="","",IF($A71&lt;=_Engine!$B$24,_Engine!$G108,""))</f>
        <v/>
      </c>
      <c r="F71" s="10" t="str">
        <f>IF($A71="","",IF($A71&lt;=_Engine!$B$24,_Engine!$H108,""))</f>
        <v/>
      </c>
    </row>
    <row r="72" spans="1:6" x14ac:dyDescent="0.25">
      <c r="A72" s="8" t="str">
        <f>IF(69&lt;=MAX(_Engine!$B$23,_Engine!$B$24),69,"")</f>
        <v/>
      </c>
      <c r="B72" s="9" t="str">
        <f>IF($A72="","",EDATE(_Engine!$B$2,$A72-1))</f>
        <v/>
      </c>
      <c r="C72" s="10" t="str">
        <f>IF($A72="","",IF($A72&lt;=_Engine!$B$23,_Engine!$E109,""))</f>
        <v/>
      </c>
      <c r="D72" s="10" t="str">
        <f>IF($A72="","",IF($A72&lt;=_Engine!$B$23,_Engine!$F109,""))</f>
        <v/>
      </c>
      <c r="E72" s="10" t="str">
        <f>IF($A72="","",IF($A72&lt;=_Engine!$B$24,_Engine!$G109,""))</f>
        <v/>
      </c>
      <c r="F72" s="10" t="str">
        <f>IF($A72="","",IF($A72&lt;=_Engine!$B$24,_Engine!$H109,""))</f>
        <v/>
      </c>
    </row>
    <row r="73" spans="1:6" x14ac:dyDescent="0.25">
      <c r="A73" s="8" t="str">
        <f>IF(70&lt;=MAX(_Engine!$B$23,_Engine!$B$24),70,"")</f>
        <v/>
      </c>
      <c r="B73" s="9" t="str">
        <f>IF($A73="","",EDATE(_Engine!$B$2,$A73-1))</f>
        <v/>
      </c>
      <c r="C73" s="10" t="str">
        <f>IF($A73="","",IF($A73&lt;=_Engine!$B$23,_Engine!$E110,""))</f>
        <v/>
      </c>
      <c r="D73" s="10" t="str">
        <f>IF($A73="","",IF($A73&lt;=_Engine!$B$23,_Engine!$F110,""))</f>
        <v/>
      </c>
      <c r="E73" s="10" t="str">
        <f>IF($A73="","",IF($A73&lt;=_Engine!$B$24,_Engine!$G110,""))</f>
        <v/>
      </c>
      <c r="F73" s="10" t="str">
        <f>IF($A73="","",IF($A73&lt;=_Engine!$B$24,_Engine!$H110,""))</f>
        <v/>
      </c>
    </row>
    <row r="74" spans="1:6" x14ac:dyDescent="0.25">
      <c r="A74" s="8" t="str">
        <f>IF(71&lt;=MAX(_Engine!$B$23,_Engine!$B$24),71,"")</f>
        <v/>
      </c>
      <c r="B74" s="9" t="str">
        <f>IF($A74="","",EDATE(_Engine!$B$2,$A74-1))</f>
        <v/>
      </c>
      <c r="C74" s="10" t="str">
        <f>IF($A74="","",IF($A74&lt;=_Engine!$B$23,_Engine!$E111,""))</f>
        <v/>
      </c>
      <c r="D74" s="10" t="str">
        <f>IF($A74="","",IF($A74&lt;=_Engine!$B$23,_Engine!$F111,""))</f>
        <v/>
      </c>
      <c r="E74" s="10" t="str">
        <f>IF($A74="","",IF($A74&lt;=_Engine!$B$24,_Engine!$G111,""))</f>
        <v/>
      </c>
      <c r="F74" s="10" t="str">
        <f>IF($A74="","",IF($A74&lt;=_Engine!$B$24,_Engine!$H111,""))</f>
        <v/>
      </c>
    </row>
    <row r="75" spans="1:6" x14ac:dyDescent="0.25">
      <c r="A75" s="8" t="str">
        <f>IF(72&lt;=MAX(_Engine!$B$23,_Engine!$B$24),72,"")</f>
        <v/>
      </c>
      <c r="B75" s="9" t="str">
        <f>IF($A75="","",EDATE(_Engine!$B$2,$A75-1))</f>
        <v/>
      </c>
      <c r="C75" s="10" t="str">
        <f>IF($A75="","",IF($A75&lt;=_Engine!$B$23,_Engine!$E112,""))</f>
        <v/>
      </c>
      <c r="D75" s="10" t="str">
        <f>IF($A75="","",IF($A75&lt;=_Engine!$B$23,_Engine!$F112,""))</f>
        <v/>
      </c>
      <c r="E75" s="10" t="str">
        <f>IF($A75="","",IF($A75&lt;=_Engine!$B$24,_Engine!$G112,""))</f>
        <v/>
      </c>
      <c r="F75" s="10" t="str">
        <f>IF($A75="","",IF($A75&lt;=_Engine!$B$24,_Engine!$H112,""))</f>
        <v/>
      </c>
    </row>
    <row r="76" spans="1:6" x14ac:dyDescent="0.25">
      <c r="A76" s="8" t="str">
        <f>IF(73&lt;=MAX(_Engine!$B$23,_Engine!$B$24),73,"")</f>
        <v/>
      </c>
      <c r="B76" s="9" t="str">
        <f>IF($A76="","",EDATE(_Engine!$B$2,$A76-1))</f>
        <v/>
      </c>
      <c r="C76" s="10" t="str">
        <f>IF($A76="","",IF($A76&lt;=_Engine!$B$23,_Engine!$E113,""))</f>
        <v/>
      </c>
      <c r="D76" s="10" t="str">
        <f>IF($A76="","",IF($A76&lt;=_Engine!$B$23,_Engine!$F113,""))</f>
        <v/>
      </c>
      <c r="E76" s="10" t="str">
        <f>IF($A76="","",IF($A76&lt;=_Engine!$B$24,_Engine!$G113,""))</f>
        <v/>
      </c>
      <c r="F76" s="10" t="str">
        <f>IF($A76="","",IF($A76&lt;=_Engine!$B$24,_Engine!$H113,""))</f>
        <v/>
      </c>
    </row>
    <row r="77" spans="1:6" x14ac:dyDescent="0.25">
      <c r="A77" s="8" t="str">
        <f>IF(74&lt;=MAX(_Engine!$B$23,_Engine!$B$24),74,"")</f>
        <v/>
      </c>
      <c r="B77" s="9" t="str">
        <f>IF($A77="","",EDATE(_Engine!$B$2,$A77-1))</f>
        <v/>
      </c>
      <c r="C77" s="10" t="str">
        <f>IF($A77="","",IF($A77&lt;=_Engine!$B$23,_Engine!$E114,""))</f>
        <v/>
      </c>
      <c r="D77" s="10" t="str">
        <f>IF($A77="","",IF($A77&lt;=_Engine!$B$23,_Engine!$F114,""))</f>
        <v/>
      </c>
      <c r="E77" s="10" t="str">
        <f>IF($A77="","",IF($A77&lt;=_Engine!$B$24,_Engine!$G114,""))</f>
        <v/>
      </c>
      <c r="F77" s="10" t="str">
        <f>IF($A77="","",IF($A77&lt;=_Engine!$B$24,_Engine!$H114,""))</f>
        <v/>
      </c>
    </row>
    <row r="78" spans="1:6" x14ac:dyDescent="0.25">
      <c r="A78" s="8" t="str">
        <f>IF(75&lt;=MAX(_Engine!$B$23,_Engine!$B$24),75,"")</f>
        <v/>
      </c>
      <c r="B78" s="9" t="str">
        <f>IF($A78="","",EDATE(_Engine!$B$2,$A78-1))</f>
        <v/>
      </c>
      <c r="C78" s="10" t="str">
        <f>IF($A78="","",IF($A78&lt;=_Engine!$B$23,_Engine!$E115,""))</f>
        <v/>
      </c>
      <c r="D78" s="10" t="str">
        <f>IF($A78="","",IF($A78&lt;=_Engine!$B$23,_Engine!$F115,""))</f>
        <v/>
      </c>
      <c r="E78" s="10" t="str">
        <f>IF($A78="","",IF($A78&lt;=_Engine!$B$24,_Engine!$G115,""))</f>
        <v/>
      </c>
      <c r="F78" s="10" t="str">
        <f>IF($A78="","",IF($A78&lt;=_Engine!$B$24,_Engine!$H115,""))</f>
        <v/>
      </c>
    </row>
    <row r="79" spans="1:6" x14ac:dyDescent="0.25">
      <c r="A79" s="8" t="str">
        <f>IF(76&lt;=MAX(_Engine!$B$23,_Engine!$B$24),76,"")</f>
        <v/>
      </c>
      <c r="B79" s="9" t="str">
        <f>IF($A79="","",EDATE(_Engine!$B$2,$A79-1))</f>
        <v/>
      </c>
      <c r="C79" s="10" t="str">
        <f>IF($A79="","",IF($A79&lt;=_Engine!$B$23,_Engine!$E116,""))</f>
        <v/>
      </c>
      <c r="D79" s="10" t="str">
        <f>IF($A79="","",IF($A79&lt;=_Engine!$B$23,_Engine!$F116,""))</f>
        <v/>
      </c>
      <c r="E79" s="10" t="str">
        <f>IF($A79="","",IF($A79&lt;=_Engine!$B$24,_Engine!$G116,""))</f>
        <v/>
      </c>
      <c r="F79" s="10" t="str">
        <f>IF($A79="","",IF($A79&lt;=_Engine!$B$24,_Engine!$H116,""))</f>
        <v/>
      </c>
    </row>
    <row r="80" spans="1:6" x14ac:dyDescent="0.25">
      <c r="A80" s="8" t="str">
        <f>IF(77&lt;=MAX(_Engine!$B$23,_Engine!$B$24),77,"")</f>
        <v/>
      </c>
      <c r="B80" s="9" t="str">
        <f>IF($A80="","",EDATE(_Engine!$B$2,$A80-1))</f>
        <v/>
      </c>
      <c r="C80" s="10" t="str">
        <f>IF($A80="","",IF($A80&lt;=_Engine!$B$23,_Engine!$E117,""))</f>
        <v/>
      </c>
      <c r="D80" s="10" t="str">
        <f>IF($A80="","",IF($A80&lt;=_Engine!$B$23,_Engine!$F117,""))</f>
        <v/>
      </c>
      <c r="E80" s="10" t="str">
        <f>IF($A80="","",IF($A80&lt;=_Engine!$B$24,_Engine!$G117,""))</f>
        <v/>
      </c>
      <c r="F80" s="10" t="str">
        <f>IF($A80="","",IF($A80&lt;=_Engine!$B$24,_Engine!$H117,""))</f>
        <v/>
      </c>
    </row>
    <row r="81" spans="1:6" x14ac:dyDescent="0.25">
      <c r="A81" s="8" t="str">
        <f>IF(78&lt;=MAX(_Engine!$B$23,_Engine!$B$24),78,"")</f>
        <v/>
      </c>
      <c r="B81" s="9" t="str">
        <f>IF($A81="","",EDATE(_Engine!$B$2,$A81-1))</f>
        <v/>
      </c>
      <c r="C81" s="10" t="str">
        <f>IF($A81="","",IF($A81&lt;=_Engine!$B$23,_Engine!$E118,""))</f>
        <v/>
      </c>
      <c r="D81" s="10" t="str">
        <f>IF($A81="","",IF($A81&lt;=_Engine!$B$23,_Engine!$F118,""))</f>
        <v/>
      </c>
      <c r="E81" s="10" t="str">
        <f>IF($A81="","",IF($A81&lt;=_Engine!$B$24,_Engine!$G118,""))</f>
        <v/>
      </c>
      <c r="F81" s="10" t="str">
        <f>IF($A81="","",IF($A81&lt;=_Engine!$B$24,_Engine!$H118,""))</f>
        <v/>
      </c>
    </row>
    <row r="82" spans="1:6" x14ac:dyDescent="0.25">
      <c r="A82" s="8" t="str">
        <f>IF(79&lt;=MAX(_Engine!$B$23,_Engine!$B$24),79,"")</f>
        <v/>
      </c>
      <c r="B82" s="9" t="str">
        <f>IF($A82="","",EDATE(_Engine!$B$2,$A82-1))</f>
        <v/>
      </c>
      <c r="C82" s="10" t="str">
        <f>IF($A82="","",IF($A82&lt;=_Engine!$B$23,_Engine!$E119,""))</f>
        <v/>
      </c>
      <c r="D82" s="10" t="str">
        <f>IF($A82="","",IF($A82&lt;=_Engine!$B$23,_Engine!$F119,""))</f>
        <v/>
      </c>
      <c r="E82" s="10" t="str">
        <f>IF($A82="","",IF($A82&lt;=_Engine!$B$24,_Engine!$G119,""))</f>
        <v/>
      </c>
      <c r="F82" s="10" t="str">
        <f>IF($A82="","",IF($A82&lt;=_Engine!$B$24,_Engine!$H119,""))</f>
        <v/>
      </c>
    </row>
    <row r="83" spans="1:6" x14ac:dyDescent="0.25">
      <c r="A83" s="8" t="str">
        <f>IF(80&lt;=MAX(_Engine!$B$23,_Engine!$B$24),80,"")</f>
        <v/>
      </c>
      <c r="B83" s="9" t="str">
        <f>IF($A83="","",EDATE(_Engine!$B$2,$A83-1))</f>
        <v/>
      </c>
      <c r="C83" s="10" t="str">
        <f>IF($A83="","",IF($A83&lt;=_Engine!$B$23,_Engine!$E120,""))</f>
        <v/>
      </c>
      <c r="D83" s="10" t="str">
        <f>IF($A83="","",IF($A83&lt;=_Engine!$B$23,_Engine!$F120,""))</f>
        <v/>
      </c>
      <c r="E83" s="10" t="str">
        <f>IF($A83="","",IF($A83&lt;=_Engine!$B$24,_Engine!$G120,""))</f>
        <v/>
      </c>
      <c r="F83" s="10" t="str">
        <f>IF($A83="","",IF($A83&lt;=_Engine!$B$24,_Engine!$H120,""))</f>
        <v/>
      </c>
    </row>
    <row r="84" spans="1:6" x14ac:dyDescent="0.25">
      <c r="A84" s="8" t="str">
        <f>IF(81&lt;=MAX(_Engine!$B$23,_Engine!$B$24),81,"")</f>
        <v/>
      </c>
      <c r="B84" s="9" t="str">
        <f>IF($A84="","",EDATE(_Engine!$B$2,$A84-1))</f>
        <v/>
      </c>
      <c r="C84" s="10" t="str">
        <f>IF($A84="","",IF($A84&lt;=_Engine!$B$23,_Engine!$E121,""))</f>
        <v/>
      </c>
      <c r="D84" s="10" t="str">
        <f>IF($A84="","",IF($A84&lt;=_Engine!$B$23,_Engine!$F121,""))</f>
        <v/>
      </c>
      <c r="E84" s="10" t="str">
        <f>IF($A84="","",IF($A84&lt;=_Engine!$B$24,_Engine!$G121,""))</f>
        <v/>
      </c>
      <c r="F84" s="10" t="str">
        <f>IF($A84="","",IF($A84&lt;=_Engine!$B$24,_Engine!$H121,""))</f>
        <v/>
      </c>
    </row>
    <row r="85" spans="1:6" x14ac:dyDescent="0.25">
      <c r="A85" s="8" t="str">
        <f>IF(82&lt;=MAX(_Engine!$B$23,_Engine!$B$24),82,"")</f>
        <v/>
      </c>
      <c r="B85" s="9" t="str">
        <f>IF($A85="","",EDATE(_Engine!$B$2,$A85-1))</f>
        <v/>
      </c>
      <c r="C85" s="10" t="str">
        <f>IF($A85="","",IF($A85&lt;=_Engine!$B$23,_Engine!$E122,""))</f>
        <v/>
      </c>
      <c r="D85" s="10" t="str">
        <f>IF($A85="","",IF($A85&lt;=_Engine!$B$23,_Engine!$F122,""))</f>
        <v/>
      </c>
      <c r="E85" s="10" t="str">
        <f>IF($A85="","",IF($A85&lt;=_Engine!$B$24,_Engine!$G122,""))</f>
        <v/>
      </c>
      <c r="F85" s="10" t="str">
        <f>IF($A85="","",IF($A85&lt;=_Engine!$B$24,_Engine!$H122,""))</f>
        <v/>
      </c>
    </row>
    <row r="86" spans="1:6" x14ac:dyDescent="0.25">
      <c r="A86" s="8" t="str">
        <f>IF(83&lt;=MAX(_Engine!$B$23,_Engine!$B$24),83,"")</f>
        <v/>
      </c>
      <c r="B86" s="9" t="str">
        <f>IF($A86="","",EDATE(_Engine!$B$2,$A86-1))</f>
        <v/>
      </c>
      <c r="C86" s="10" t="str">
        <f>IF($A86="","",IF($A86&lt;=_Engine!$B$23,_Engine!$E123,""))</f>
        <v/>
      </c>
      <c r="D86" s="10" t="str">
        <f>IF($A86="","",IF($A86&lt;=_Engine!$B$23,_Engine!$F123,""))</f>
        <v/>
      </c>
      <c r="E86" s="10" t="str">
        <f>IF($A86="","",IF($A86&lt;=_Engine!$B$24,_Engine!$G123,""))</f>
        <v/>
      </c>
      <c r="F86" s="10" t="str">
        <f>IF($A86="","",IF($A86&lt;=_Engine!$B$24,_Engine!$H123,""))</f>
        <v/>
      </c>
    </row>
    <row r="87" spans="1:6" x14ac:dyDescent="0.25">
      <c r="A87" s="8" t="str">
        <f>IF(84&lt;=MAX(_Engine!$B$23,_Engine!$B$24),84,"")</f>
        <v/>
      </c>
      <c r="B87" s="9" t="str">
        <f>IF($A87="","",EDATE(_Engine!$B$2,$A87-1))</f>
        <v/>
      </c>
      <c r="C87" s="10" t="str">
        <f>IF($A87="","",IF($A87&lt;=_Engine!$B$23,_Engine!$E124,""))</f>
        <v/>
      </c>
      <c r="D87" s="10" t="str">
        <f>IF($A87="","",IF($A87&lt;=_Engine!$B$23,_Engine!$F124,""))</f>
        <v/>
      </c>
      <c r="E87" s="10" t="str">
        <f>IF($A87="","",IF($A87&lt;=_Engine!$B$24,_Engine!$G124,""))</f>
        <v/>
      </c>
      <c r="F87" s="10" t="str">
        <f>IF($A87="","",IF($A87&lt;=_Engine!$B$24,_Engine!$H124,""))</f>
        <v/>
      </c>
    </row>
    <row r="88" spans="1:6" x14ac:dyDescent="0.25">
      <c r="A88" s="8" t="str">
        <f>IF(85&lt;=MAX(_Engine!$B$23,_Engine!$B$24),85,"")</f>
        <v/>
      </c>
      <c r="B88" s="9" t="str">
        <f>IF($A88="","",EDATE(_Engine!$B$2,$A88-1))</f>
        <v/>
      </c>
      <c r="C88" s="10" t="str">
        <f>IF($A88="","",IF($A88&lt;=_Engine!$B$23,_Engine!$E125,""))</f>
        <v/>
      </c>
      <c r="D88" s="10" t="str">
        <f>IF($A88="","",IF($A88&lt;=_Engine!$B$23,_Engine!$F125,""))</f>
        <v/>
      </c>
      <c r="E88" s="10" t="str">
        <f>IF($A88="","",IF($A88&lt;=_Engine!$B$24,_Engine!$G125,""))</f>
        <v/>
      </c>
      <c r="F88" s="10" t="str">
        <f>IF($A88="","",IF($A88&lt;=_Engine!$B$24,_Engine!$H125,""))</f>
        <v/>
      </c>
    </row>
    <row r="89" spans="1:6" x14ac:dyDescent="0.25">
      <c r="A89" s="8" t="str">
        <f>IF(86&lt;=MAX(_Engine!$B$23,_Engine!$B$24),86,"")</f>
        <v/>
      </c>
      <c r="B89" s="9" t="str">
        <f>IF($A89="","",EDATE(_Engine!$B$2,$A89-1))</f>
        <v/>
      </c>
      <c r="C89" s="10" t="str">
        <f>IF($A89="","",IF($A89&lt;=_Engine!$B$23,_Engine!$E126,""))</f>
        <v/>
      </c>
      <c r="D89" s="10" t="str">
        <f>IF($A89="","",IF($A89&lt;=_Engine!$B$23,_Engine!$F126,""))</f>
        <v/>
      </c>
      <c r="E89" s="10" t="str">
        <f>IF($A89="","",IF($A89&lt;=_Engine!$B$24,_Engine!$G126,""))</f>
        <v/>
      </c>
      <c r="F89" s="10" t="str">
        <f>IF($A89="","",IF($A89&lt;=_Engine!$B$24,_Engine!$H126,""))</f>
        <v/>
      </c>
    </row>
    <row r="90" spans="1:6" x14ac:dyDescent="0.25">
      <c r="A90" s="8" t="str">
        <f>IF(87&lt;=MAX(_Engine!$B$23,_Engine!$B$24),87,"")</f>
        <v/>
      </c>
      <c r="B90" s="9" t="str">
        <f>IF($A90="","",EDATE(_Engine!$B$2,$A90-1))</f>
        <v/>
      </c>
      <c r="C90" s="10" t="str">
        <f>IF($A90="","",IF($A90&lt;=_Engine!$B$23,_Engine!$E127,""))</f>
        <v/>
      </c>
      <c r="D90" s="10" t="str">
        <f>IF($A90="","",IF($A90&lt;=_Engine!$B$23,_Engine!$F127,""))</f>
        <v/>
      </c>
      <c r="E90" s="10" t="str">
        <f>IF($A90="","",IF($A90&lt;=_Engine!$B$24,_Engine!$G127,""))</f>
        <v/>
      </c>
      <c r="F90" s="10" t="str">
        <f>IF($A90="","",IF($A90&lt;=_Engine!$B$24,_Engine!$H127,""))</f>
        <v/>
      </c>
    </row>
    <row r="91" spans="1:6" x14ac:dyDescent="0.25">
      <c r="A91" s="8" t="str">
        <f>IF(88&lt;=MAX(_Engine!$B$23,_Engine!$B$24),88,"")</f>
        <v/>
      </c>
      <c r="B91" s="9" t="str">
        <f>IF($A91="","",EDATE(_Engine!$B$2,$A91-1))</f>
        <v/>
      </c>
      <c r="C91" s="10" t="str">
        <f>IF($A91="","",IF($A91&lt;=_Engine!$B$23,_Engine!$E128,""))</f>
        <v/>
      </c>
      <c r="D91" s="10" t="str">
        <f>IF($A91="","",IF($A91&lt;=_Engine!$B$23,_Engine!$F128,""))</f>
        <v/>
      </c>
      <c r="E91" s="10" t="str">
        <f>IF($A91="","",IF($A91&lt;=_Engine!$B$24,_Engine!$G128,""))</f>
        <v/>
      </c>
      <c r="F91" s="10" t="str">
        <f>IF($A91="","",IF($A91&lt;=_Engine!$B$24,_Engine!$H128,""))</f>
        <v/>
      </c>
    </row>
    <row r="92" spans="1:6" x14ac:dyDescent="0.25">
      <c r="A92" s="8" t="str">
        <f>IF(89&lt;=MAX(_Engine!$B$23,_Engine!$B$24),89,"")</f>
        <v/>
      </c>
      <c r="B92" s="9" t="str">
        <f>IF($A92="","",EDATE(_Engine!$B$2,$A92-1))</f>
        <v/>
      </c>
      <c r="C92" s="10" t="str">
        <f>IF($A92="","",IF($A92&lt;=_Engine!$B$23,_Engine!$E129,""))</f>
        <v/>
      </c>
      <c r="D92" s="10" t="str">
        <f>IF($A92="","",IF($A92&lt;=_Engine!$B$23,_Engine!$F129,""))</f>
        <v/>
      </c>
      <c r="E92" s="10" t="str">
        <f>IF($A92="","",IF($A92&lt;=_Engine!$B$24,_Engine!$G129,""))</f>
        <v/>
      </c>
      <c r="F92" s="10" t="str">
        <f>IF($A92="","",IF($A92&lt;=_Engine!$B$24,_Engine!$H129,""))</f>
        <v/>
      </c>
    </row>
    <row r="93" spans="1:6" x14ac:dyDescent="0.25">
      <c r="A93" s="8" t="str">
        <f>IF(90&lt;=MAX(_Engine!$B$23,_Engine!$B$24),90,"")</f>
        <v/>
      </c>
      <c r="B93" s="9" t="str">
        <f>IF($A93="","",EDATE(_Engine!$B$2,$A93-1))</f>
        <v/>
      </c>
      <c r="C93" s="10" t="str">
        <f>IF($A93="","",IF($A93&lt;=_Engine!$B$23,_Engine!$E130,""))</f>
        <v/>
      </c>
      <c r="D93" s="10" t="str">
        <f>IF($A93="","",IF($A93&lt;=_Engine!$B$23,_Engine!$F130,""))</f>
        <v/>
      </c>
      <c r="E93" s="10" t="str">
        <f>IF($A93="","",IF($A93&lt;=_Engine!$B$24,_Engine!$G130,""))</f>
        <v/>
      </c>
      <c r="F93" s="10" t="str">
        <f>IF($A93="","",IF($A93&lt;=_Engine!$B$24,_Engine!$H130,""))</f>
        <v/>
      </c>
    </row>
    <row r="94" spans="1:6" x14ac:dyDescent="0.25">
      <c r="A94" s="8" t="str">
        <f>IF(91&lt;=MAX(_Engine!$B$23,_Engine!$B$24),91,"")</f>
        <v/>
      </c>
      <c r="B94" s="9" t="str">
        <f>IF($A94="","",EDATE(_Engine!$B$2,$A94-1))</f>
        <v/>
      </c>
      <c r="C94" s="10" t="str">
        <f>IF($A94="","",IF($A94&lt;=_Engine!$B$23,_Engine!$E131,""))</f>
        <v/>
      </c>
      <c r="D94" s="10" t="str">
        <f>IF($A94="","",IF($A94&lt;=_Engine!$B$23,_Engine!$F131,""))</f>
        <v/>
      </c>
      <c r="E94" s="10" t="str">
        <f>IF($A94="","",IF($A94&lt;=_Engine!$B$24,_Engine!$G131,""))</f>
        <v/>
      </c>
      <c r="F94" s="10" t="str">
        <f>IF($A94="","",IF($A94&lt;=_Engine!$B$24,_Engine!$H131,""))</f>
        <v/>
      </c>
    </row>
    <row r="95" spans="1:6" x14ac:dyDescent="0.25">
      <c r="A95" s="8" t="str">
        <f>IF(92&lt;=MAX(_Engine!$B$23,_Engine!$B$24),92,"")</f>
        <v/>
      </c>
      <c r="B95" s="9" t="str">
        <f>IF($A95="","",EDATE(_Engine!$B$2,$A95-1))</f>
        <v/>
      </c>
      <c r="C95" s="10" t="str">
        <f>IF($A95="","",IF($A95&lt;=_Engine!$B$23,_Engine!$E132,""))</f>
        <v/>
      </c>
      <c r="D95" s="10" t="str">
        <f>IF($A95="","",IF($A95&lt;=_Engine!$B$23,_Engine!$F132,""))</f>
        <v/>
      </c>
      <c r="E95" s="10" t="str">
        <f>IF($A95="","",IF($A95&lt;=_Engine!$B$24,_Engine!$G132,""))</f>
        <v/>
      </c>
      <c r="F95" s="10" t="str">
        <f>IF($A95="","",IF($A95&lt;=_Engine!$B$24,_Engine!$H132,""))</f>
        <v/>
      </c>
    </row>
    <row r="96" spans="1:6" x14ac:dyDescent="0.25">
      <c r="A96" s="8" t="str">
        <f>IF(93&lt;=MAX(_Engine!$B$23,_Engine!$B$24),93,"")</f>
        <v/>
      </c>
      <c r="B96" s="9" t="str">
        <f>IF($A96="","",EDATE(_Engine!$B$2,$A96-1))</f>
        <v/>
      </c>
      <c r="C96" s="10" t="str">
        <f>IF($A96="","",IF($A96&lt;=_Engine!$B$23,_Engine!$E133,""))</f>
        <v/>
      </c>
      <c r="D96" s="10" t="str">
        <f>IF($A96="","",IF($A96&lt;=_Engine!$B$23,_Engine!$F133,""))</f>
        <v/>
      </c>
      <c r="E96" s="10" t="str">
        <f>IF($A96="","",IF($A96&lt;=_Engine!$B$24,_Engine!$G133,""))</f>
        <v/>
      </c>
      <c r="F96" s="10" t="str">
        <f>IF($A96="","",IF($A96&lt;=_Engine!$B$24,_Engine!$H133,""))</f>
        <v/>
      </c>
    </row>
    <row r="97" spans="1:6" x14ac:dyDescent="0.25">
      <c r="A97" s="8" t="str">
        <f>IF(94&lt;=MAX(_Engine!$B$23,_Engine!$B$24),94,"")</f>
        <v/>
      </c>
      <c r="B97" s="9" t="str">
        <f>IF($A97="","",EDATE(_Engine!$B$2,$A97-1))</f>
        <v/>
      </c>
      <c r="C97" s="10" t="str">
        <f>IF($A97="","",IF($A97&lt;=_Engine!$B$23,_Engine!$E134,""))</f>
        <v/>
      </c>
      <c r="D97" s="10" t="str">
        <f>IF($A97="","",IF($A97&lt;=_Engine!$B$23,_Engine!$F134,""))</f>
        <v/>
      </c>
      <c r="E97" s="10" t="str">
        <f>IF($A97="","",IF($A97&lt;=_Engine!$B$24,_Engine!$G134,""))</f>
        <v/>
      </c>
      <c r="F97" s="10" t="str">
        <f>IF($A97="","",IF($A97&lt;=_Engine!$B$24,_Engine!$H134,""))</f>
        <v/>
      </c>
    </row>
    <row r="98" spans="1:6" x14ac:dyDescent="0.25">
      <c r="A98" s="8" t="str">
        <f>IF(95&lt;=MAX(_Engine!$B$23,_Engine!$B$24),95,"")</f>
        <v/>
      </c>
      <c r="B98" s="9" t="str">
        <f>IF($A98="","",EDATE(_Engine!$B$2,$A98-1))</f>
        <v/>
      </c>
      <c r="C98" s="10" t="str">
        <f>IF($A98="","",IF($A98&lt;=_Engine!$B$23,_Engine!$E135,""))</f>
        <v/>
      </c>
      <c r="D98" s="10" t="str">
        <f>IF($A98="","",IF($A98&lt;=_Engine!$B$23,_Engine!$F135,""))</f>
        <v/>
      </c>
      <c r="E98" s="10" t="str">
        <f>IF($A98="","",IF($A98&lt;=_Engine!$B$24,_Engine!$G135,""))</f>
        <v/>
      </c>
      <c r="F98" s="10" t="str">
        <f>IF($A98="","",IF($A98&lt;=_Engine!$B$24,_Engine!$H135,""))</f>
        <v/>
      </c>
    </row>
    <row r="99" spans="1:6" x14ac:dyDescent="0.25">
      <c r="A99" s="8" t="str">
        <f>IF(96&lt;=MAX(_Engine!$B$23,_Engine!$B$24),96,"")</f>
        <v/>
      </c>
      <c r="B99" s="9" t="str">
        <f>IF($A99="","",EDATE(_Engine!$B$2,$A99-1))</f>
        <v/>
      </c>
      <c r="C99" s="10" t="str">
        <f>IF($A99="","",IF($A99&lt;=_Engine!$B$23,_Engine!$E136,""))</f>
        <v/>
      </c>
      <c r="D99" s="10" t="str">
        <f>IF($A99="","",IF($A99&lt;=_Engine!$B$23,_Engine!$F136,""))</f>
        <v/>
      </c>
      <c r="E99" s="10" t="str">
        <f>IF($A99="","",IF($A99&lt;=_Engine!$B$24,_Engine!$G136,""))</f>
        <v/>
      </c>
      <c r="F99" s="10" t="str">
        <f>IF($A99="","",IF($A99&lt;=_Engine!$B$24,_Engine!$H136,""))</f>
        <v/>
      </c>
    </row>
    <row r="100" spans="1:6" x14ac:dyDescent="0.25">
      <c r="A100" s="8" t="str">
        <f>IF(97&lt;=MAX(_Engine!$B$23,_Engine!$B$24),97,"")</f>
        <v/>
      </c>
      <c r="B100" s="9" t="str">
        <f>IF($A100="","",EDATE(_Engine!$B$2,$A100-1))</f>
        <v/>
      </c>
      <c r="C100" s="10" t="str">
        <f>IF($A100="","",IF($A100&lt;=_Engine!$B$23,_Engine!$E137,""))</f>
        <v/>
      </c>
      <c r="D100" s="10" t="str">
        <f>IF($A100="","",IF($A100&lt;=_Engine!$B$23,_Engine!$F137,""))</f>
        <v/>
      </c>
      <c r="E100" s="10" t="str">
        <f>IF($A100="","",IF($A100&lt;=_Engine!$B$24,_Engine!$G137,""))</f>
        <v/>
      </c>
      <c r="F100" s="10" t="str">
        <f>IF($A100="","",IF($A100&lt;=_Engine!$B$24,_Engine!$H137,""))</f>
        <v/>
      </c>
    </row>
    <row r="101" spans="1:6" x14ac:dyDescent="0.25">
      <c r="A101" s="8" t="str">
        <f>IF(98&lt;=MAX(_Engine!$B$23,_Engine!$B$24),98,"")</f>
        <v/>
      </c>
      <c r="B101" s="9" t="str">
        <f>IF($A101="","",EDATE(_Engine!$B$2,$A101-1))</f>
        <v/>
      </c>
      <c r="C101" s="10" t="str">
        <f>IF($A101="","",IF($A101&lt;=_Engine!$B$23,_Engine!$E138,""))</f>
        <v/>
      </c>
      <c r="D101" s="10" t="str">
        <f>IF($A101="","",IF($A101&lt;=_Engine!$B$23,_Engine!$F138,""))</f>
        <v/>
      </c>
      <c r="E101" s="10" t="str">
        <f>IF($A101="","",IF($A101&lt;=_Engine!$B$24,_Engine!$G138,""))</f>
        <v/>
      </c>
      <c r="F101" s="10" t="str">
        <f>IF($A101="","",IF($A101&lt;=_Engine!$B$24,_Engine!$H138,""))</f>
        <v/>
      </c>
    </row>
    <row r="102" spans="1:6" x14ac:dyDescent="0.25">
      <c r="A102" s="8" t="str">
        <f>IF(99&lt;=MAX(_Engine!$B$23,_Engine!$B$24),99,"")</f>
        <v/>
      </c>
      <c r="B102" s="9" t="str">
        <f>IF($A102="","",EDATE(_Engine!$B$2,$A102-1))</f>
        <v/>
      </c>
      <c r="C102" s="10" t="str">
        <f>IF($A102="","",IF($A102&lt;=_Engine!$B$23,_Engine!$E139,""))</f>
        <v/>
      </c>
      <c r="D102" s="10" t="str">
        <f>IF($A102="","",IF($A102&lt;=_Engine!$B$23,_Engine!$F139,""))</f>
        <v/>
      </c>
      <c r="E102" s="10" t="str">
        <f>IF($A102="","",IF($A102&lt;=_Engine!$B$24,_Engine!$G139,""))</f>
        <v/>
      </c>
      <c r="F102" s="10" t="str">
        <f>IF($A102="","",IF($A102&lt;=_Engine!$B$24,_Engine!$H139,""))</f>
        <v/>
      </c>
    </row>
    <row r="103" spans="1:6" x14ac:dyDescent="0.25">
      <c r="A103" s="8" t="str">
        <f>IF(100&lt;=MAX(_Engine!$B$23,_Engine!$B$24),100,"")</f>
        <v/>
      </c>
      <c r="B103" s="9" t="str">
        <f>IF($A103="","",EDATE(_Engine!$B$2,$A103-1))</f>
        <v/>
      </c>
      <c r="C103" s="10" t="str">
        <f>IF($A103="","",IF($A103&lt;=_Engine!$B$23,_Engine!$E140,""))</f>
        <v/>
      </c>
      <c r="D103" s="10" t="str">
        <f>IF($A103="","",IF($A103&lt;=_Engine!$B$23,_Engine!$F140,""))</f>
        <v/>
      </c>
      <c r="E103" s="10" t="str">
        <f>IF($A103="","",IF($A103&lt;=_Engine!$B$24,_Engine!$G140,""))</f>
        <v/>
      </c>
      <c r="F103" s="10" t="str">
        <f>IF($A103="","",IF($A103&lt;=_Engine!$B$24,_Engine!$H140,""))</f>
        <v/>
      </c>
    </row>
    <row r="104" spans="1:6" x14ac:dyDescent="0.25">
      <c r="A104" s="8" t="str">
        <f>IF(101&lt;=MAX(_Engine!$B$23,_Engine!$B$24),101,"")</f>
        <v/>
      </c>
      <c r="B104" s="9" t="str">
        <f>IF($A104="","",EDATE(_Engine!$B$2,$A104-1))</f>
        <v/>
      </c>
      <c r="C104" s="10" t="str">
        <f>IF($A104="","",IF($A104&lt;=_Engine!$B$23,_Engine!$E141,""))</f>
        <v/>
      </c>
      <c r="D104" s="10" t="str">
        <f>IF($A104="","",IF($A104&lt;=_Engine!$B$23,_Engine!$F141,""))</f>
        <v/>
      </c>
      <c r="E104" s="10" t="str">
        <f>IF($A104="","",IF($A104&lt;=_Engine!$B$24,_Engine!$G141,""))</f>
        <v/>
      </c>
      <c r="F104" s="10" t="str">
        <f>IF($A104="","",IF($A104&lt;=_Engine!$B$24,_Engine!$H141,""))</f>
        <v/>
      </c>
    </row>
    <row r="105" spans="1:6" x14ac:dyDescent="0.25">
      <c r="A105" s="8" t="str">
        <f>IF(102&lt;=MAX(_Engine!$B$23,_Engine!$B$24),102,"")</f>
        <v/>
      </c>
      <c r="B105" s="9" t="str">
        <f>IF($A105="","",EDATE(_Engine!$B$2,$A105-1))</f>
        <v/>
      </c>
      <c r="C105" s="10" t="str">
        <f>IF($A105="","",IF($A105&lt;=_Engine!$B$23,_Engine!$E142,""))</f>
        <v/>
      </c>
      <c r="D105" s="10" t="str">
        <f>IF($A105="","",IF($A105&lt;=_Engine!$B$23,_Engine!$F142,""))</f>
        <v/>
      </c>
      <c r="E105" s="10" t="str">
        <f>IF($A105="","",IF($A105&lt;=_Engine!$B$24,_Engine!$G142,""))</f>
        <v/>
      </c>
      <c r="F105" s="10" t="str">
        <f>IF($A105="","",IF($A105&lt;=_Engine!$B$24,_Engine!$H142,""))</f>
        <v/>
      </c>
    </row>
    <row r="106" spans="1:6" x14ac:dyDescent="0.25">
      <c r="A106" s="8" t="str">
        <f>IF(103&lt;=MAX(_Engine!$B$23,_Engine!$B$24),103,"")</f>
        <v/>
      </c>
      <c r="B106" s="9" t="str">
        <f>IF($A106="","",EDATE(_Engine!$B$2,$A106-1))</f>
        <v/>
      </c>
      <c r="C106" s="10" t="str">
        <f>IF($A106="","",IF($A106&lt;=_Engine!$B$23,_Engine!$E143,""))</f>
        <v/>
      </c>
      <c r="D106" s="10" t="str">
        <f>IF($A106="","",IF($A106&lt;=_Engine!$B$23,_Engine!$F143,""))</f>
        <v/>
      </c>
      <c r="E106" s="10" t="str">
        <f>IF($A106="","",IF($A106&lt;=_Engine!$B$24,_Engine!$G143,""))</f>
        <v/>
      </c>
      <c r="F106" s="10" t="str">
        <f>IF($A106="","",IF($A106&lt;=_Engine!$B$24,_Engine!$H143,""))</f>
        <v/>
      </c>
    </row>
    <row r="107" spans="1:6" x14ac:dyDescent="0.25">
      <c r="A107" s="8" t="str">
        <f>IF(104&lt;=MAX(_Engine!$B$23,_Engine!$B$24),104,"")</f>
        <v/>
      </c>
      <c r="B107" s="9" t="str">
        <f>IF($A107="","",EDATE(_Engine!$B$2,$A107-1))</f>
        <v/>
      </c>
      <c r="C107" s="10" t="str">
        <f>IF($A107="","",IF($A107&lt;=_Engine!$B$23,_Engine!$E144,""))</f>
        <v/>
      </c>
      <c r="D107" s="10" t="str">
        <f>IF($A107="","",IF($A107&lt;=_Engine!$B$23,_Engine!$F144,""))</f>
        <v/>
      </c>
      <c r="E107" s="10" t="str">
        <f>IF($A107="","",IF($A107&lt;=_Engine!$B$24,_Engine!$G144,""))</f>
        <v/>
      </c>
      <c r="F107" s="10" t="str">
        <f>IF($A107="","",IF($A107&lt;=_Engine!$B$24,_Engine!$H144,""))</f>
        <v/>
      </c>
    </row>
    <row r="108" spans="1:6" x14ac:dyDescent="0.25">
      <c r="A108" s="8" t="str">
        <f>IF(105&lt;=MAX(_Engine!$B$23,_Engine!$B$24),105,"")</f>
        <v/>
      </c>
      <c r="B108" s="9" t="str">
        <f>IF($A108="","",EDATE(_Engine!$B$2,$A108-1))</f>
        <v/>
      </c>
      <c r="C108" s="10" t="str">
        <f>IF($A108="","",IF($A108&lt;=_Engine!$B$23,_Engine!$E145,""))</f>
        <v/>
      </c>
      <c r="D108" s="10" t="str">
        <f>IF($A108="","",IF($A108&lt;=_Engine!$B$23,_Engine!$F145,""))</f>
        <v/>
      </c>
      <c r="E108" s="10" t="str">
        <f>IF($A108="","",IF($A108&lt;=_Engine!$B$24,_Engine!$G145,""))</f>
        <v/>
      </c>
      <c r="F108" s="10" t="str">
        <f>IF($A108="","",IF($A108&lt;=_Engine!$B$24,_Engine!$H145,""))</f>
        <v/>
      </c>
    </row>
    <row r="109" spans="1:6" x14ac:dyDescent="0.25">
      <c r="A109" s="8" t="str">
        <f>IF(106&lt;=MAX(_Engine!$B$23,_Engine!$B$24),106,"")</f>
        <v/>
      </c>
      <c r="B109" s="9" t="str">
        <f>IF($A109="","",EDATE(_Engine!$B$2,$A109-1))</f>
        <v/>
      </c>
      <c r="C109" s="10" t="str">
        <f>IF($A109="","",IF($A109&lt;=_Engine!$B$23,_Engine!$E146,""))</f>
        <v/>
      </c>
      <c r="D109" s="10" t="str">
        <f>IF($A109="","",IF($A109&lt;=_Engine!$B$23,_Engine!$F146,""))</f>
        <v/>
      </c>
      <c r="E109" s="10" t="str">
        <f>IF($A109="","",IF($A109&lt;=_Engine!$B$24,_Engine!$G146,""))</f>
        <v/>
      </c>
      <c r="F109" s="10" t="str">
        <f>IF($A109="","",IF($A109&lt;=_Engine!$B$24,_Engine!$H146,""))</f>
        <v/>
      </c>
    </row>
    <row r="110" spans="1:6" x14ac:dyDescent="0.25">
      <c r="A110" s="8" t="str">
        <f>IF(107&lt;=MAX(_Engine!$B$23,_Engine!$B$24),107,"")</f>
        <v/>
      </c>
      <c r="B110" s="9" t="str">
        <f>IF($A110="","",EDATE(_Engine!$B$2,$A110-1))</f>
        <v/>
      </c>
      <c r="C110" s="10" t="str">
        <f>IF($A110="","",IF($A110&lt;=_Engine!$B$23,_Engine!$E147,""))</f>
        <v/>
      </c>
      <c r="D110" s="10" t="str">
        <f>IF($A110="","",IF($A110&lt;=_Engine!$B$23,_Engine!$F147,""))</f>
        <v/>
      </c>
      <c r="E110" s="10" t="str">
        <f>IF($A110="","",IF($A110&lt;=_Engine!$B$24,_Engine!$G147,""))</f>
        <v/>
      </c>
      <c r="F110" s="10" t="str">
        <f>IF($A110="","",IF($A110&lt;=_Engine!$B$24,_Engine!$H147,""))</f>
        <v/>
      </c>
    </row>
    <row r="111" spans="1:6" x14ac:dyDescent="0.25">
      <c r="A111" s="8" t="str">
        <f>IF(108&lt;=MAX(_Engine!$B$23,_Engine!$B$24),108,"")</f>
        <v/>
      </c>
      <c r="B111" s="9" t="str">
        <f>IF($A111="","",EDATE(_Engine!$B$2,$A111-1))</f>
        <v/>
      </c>
      <c r="C111" s="10" t="str">
        <f>IF($A111="","",IF($A111&lt;=_Engine!$B$23,_Engine!$E148,""))</f>
        <v/>
      </c>
      <c r="D111" s="10" t="str">
        <f>IF($A111="","",IF($A111&lt;=_Engine!$B$23,_Engine!$F148,""))</f>
        <v/>
      </c>
      <c r="E111" s="10" t="str">
        <f>IF($A111="","",IF($A111&lt;=_Engine!$B$24,_Engine!$G148,""))</f>
        <v/>
      </c>
      <c r="F111" s="10" t="str">
        <f>IF($A111="","",IF($A111&lt;=_Engine!$B$24,_Engine!$H148,""))</f>
        <v/>
      </c>
    </row>
    <row r="112" spans="1:6" x14ac:dyDescent="0.25">
      <c r="A112" s="8" t="str">
        <f>IF(109&lt;=MAX(_Engine!$B$23,_Engine!$B$24),109,"")</f>
        <v/>
      </c>
      <c r="B112" s="9" t="str">
        <f>IF($A112="","",EDATE(_Engine!$B$2,$A112-1))</f>
        <v/>
      </c>
      <c r="C112" s="10" t="str">
        <f>IF($A112="","",IF($A112&lt;=_Engine!$B$23,_Engine!$E149,""))</f>
        <v/>
      </c>
      <c r="D112" s="10" t="str">
        <f>IF($A112="","",IF($A112&lt;=_Engine!$B$23,_Engine!$F149,""))</f>
        <v/>
      </c>
      <c r="E112" s="10" t="str">
        <f>IF($A112="","",IF($A112&lt;=_Engine!$B$24,_Engine!$G149,""))</f>
        <v/>
      </c>
      <c r="F112" s="10" t="str">
        <f>IF($A112="","",IF($A112&lt;=_Engine!$B$24,_Engine!$H149,""))</f>
        <v/>
      </c>
    </row>
    <row r="113" spans="1:6" x14ac:dyDescent="0.25">
      <c r="A113" s="8" t="str">
        <f>IF(110&lt;=MAX(_Engine!$B$23,_Engine!$B$24),110,"")</f>
        <v/>
      </c>
      <c r="B113" s="9" t="str">
        <f>IF($A113="","",EDATE(_Engine!$B$2,$A113-1))</f>
        <v/>
      </c>
      <c r="C113" s="10" t="str">
        <f>IF($A113="","",IF($A113&lt;=_Engine!$B$23,_Engine!$E150,""))</f>
        <v/>
      </c>
      <c r="D113" s="10" t="str">
        <f>IF($A113="","",IF($A113&lt;=_Engine!$B$23,_Engine!$F150,""))</f>
        <v/>
      </c>
      <c r="E113" s="10" t="str">
        <f>IF($A113="","",IF($A113&lt;=_Engine!$B$24,_Engine!$G150,""))</f>
        <v/>
      </c>
      <c r="F113" s="10" t="str">
        <f>IF($A113="","",IF($A113&lt;=_Engine!$B$24,_Engine!$H150,""))</f>
        <v/>
      </c>
    </row>
    <row r="114" spans="1:6" x14ac:dyDescent="0.25">
      <c r="A114" s="8" t="str">
        <f>IF(111&lt;=MAX(_Engine!$B$23,_Engine!$B$24),111,"")</f>
        <v/>
      </c>
      <c r="B114" s="9" t="str">
        <f>IF($A114="","",EDATE(_Engine!$B$2,$A114-1))</f>
        <v/>
      </c>
      <c r="C114" s="10" t="str">
        <f>IF($A114="","",IF($A114&lt;=_Engine!$B$23,_Engine!$E151,""))</f>
        <v/>
      </c>
      <c r="D114" s="10" t="str">
        <f>IF($A114="","",IF($A114&lt;=_Engine!$B$23,_Engine!$F151,""))</f>
        <v/>
      </c>
      <c r="E114" s="10" t="str">
        <f>IF($A114="","",IF($A114&lt;=_Engine!$B$24,_Engine!$G151,""))</f>
        <v/>
      </c>
      <c r="F114" s="10" t="str">
        <f>IF($A114="","",IF($A114&lt;=_Engine!$B$24,_Engine!$H151,""))</f>
        <v/>
      </c>
    </row>
    <row r="115" spans="1:6" x14ac:dyDescent="0.25">
      <c r="A115" s="8" t="str">
        <f>IF(112&lt;=MAX(_Engine!$B$23,_Engine!$B$24),112,"")</f>
        <v/>
      </c>
      <c r="B115" s="9" t="str">
        <f>IF($A115="","",EDATE(_Engine!$B$2,$A115-1))</f>
        <v/>
      </c>
      <c r="C115" s="10" t="str">
        <f>IF($A115="","",IF($A115&lt;=_Engine!$B$23,_Engine!$E152,""))</f>
        <v/>
      </c>
      <c r="D115" s="10" t="str">
        <f>IF($A115="","",IF($A115&lt;=_Engine!$B$23,_Engine!$F152,""))</f>
        <v/>
      </c>
      <c r="E115" s="10" t="str">
        <f>IF($A115="","",IF($A115&lt;=_Engine!$B$24,_Engine!$G152,""))</f>
        <v/>
      </c>
      <c r="F115" s="10" t="str">
        <f>IF($A115="","",IF($A115&lt;=_Engine!$B$24,_Engine!$H152,""))</f>
        <v/>
      </c>
    </row>
    <row r="116" spans="1:6" x14ac:dyDescent="0.25">
      <c r="A116" s="8" t="str">
        <f>IF(113&lt;=MAX(_Engine!$B$23,_Engine!$B$24),113,"")</f>
        <v/>
      </c>
      <c r="B116" s="9" t="str">
        <f>IF($A116="","",EDATE(_Engine!$B$2,$A116-1))</f>
        <v/>
      </c>
      <c r="C116" s="10" t="str">
        <f>IF($A116="","",IF($A116&lt;=_Engine!$B$23,_Engine!$E153,""))</f>
        <v/>
      </c>
      <c r="D116" s="10" t="str">
        <f>IF($A116="","",IF($A116&lt;=_Engine!$B$23,_Engine!$F153,""))</f>
        <v/>
      </c>
      <c r="E116" s="10" t="str">
        <f>IF($A116="","",IF($A116&lt;=_Engine!$B$24,_Engine!$G153,""))</f>
        <v/>
      </c>
      <c r="F116" s="10" t="str">
        <f>IF($A116="","",IF($A116&lt;=_Engine!$B$24,_Engine!$H153,""))</f>
        <v/>
      </c>
    </row>
    <row r="117" spans="1:6" x14ac:dyDescent="0.25">
      <c r="A117" s="8" t="str">
        <f>IF(114&lt;=MAX(_Engine!$B$23,_Engine!$B$24),114,"")</f>
        <v/>
      </c>
      <c r="B117" s="9" t="str">
        <f>IF($A117="","",EDATE(_Engine!$B$2,$A117-1))</f>
        <v/>
      </c>
      <c r="C117" s="10" t="str">
        <f>IF($A117="","",IF($A117&lt;=_Engine!$B$23,_Engine!$E154,""))</f>
        <v/>
      </c>
      <c r="D117" s="10" t="str">
        <f>IF($A117="","",IF($A117&lt;=_Engine!$B$23,_Engine!$F154,""))</f>
        <v/>
      </c>
      <c r="E117" s="10" t="str">
        <f>IF($A117="","",IF($A117&lt;=_Engine!$B$24,_Engine!$G154,""))</f>
        <v/>
      </c>
      <c r="F117" s="10" t="str">
        <f>IF($A117="","",IF($A117&lt;=_Engine!$B$24,_Engine!$H154,""))</f>
        <v/>
      </c>
    </row>
    <row r="118" spans="1:6" x14ac:dyDescent="0.25">
      <c r="A118" s="8" t="str">
        <f>IF(115&lt;=MAX(_Engine!$B$23,_Engine!$B$24),115,"")</f>
        <v/>
      </c>
      <c r="B118" s="9" t="str">
        <f>IF($A118="","",EDATE(_Engine!$B$2,$A118-1))</f>
        <v/>
      </c>
      <c r="C118" s="10" t="str">
        <f>IF($A118="","",IF($A118&lt;=_Engine!$B$23,_Engine!$E155,""))</f>
        <v/>
      </c>
      <c r="D118" s="10" t="str">
        <f>IF($A118="","",IF($A118&lt;=_Engine!$B$23,_Engine!$F155,""))</f>
        <v/>
      </c>
      <c r="E118" s="10" t="str">
        <f>IF($A118="","",IF($A118&lt;=_Engine!$B$24,_Engine!$G155,""))</f>
        <v/>
      </c>
      <c r="F118" s="10" t="str">
        <f>IF($A118="","",IF($A118&lt;=_Engine!$B$24,_Engine!$H155,""))</f>
        <v/>
      </c>
    </row>
    <row r="119" spans="1:6" x14ac:dyDescent="0.25">
      <c r="A119" s="8" t="str">
        <f>IF(116&lt;=MAX(_Engine!$B$23,_Engine!$B$24),116,"")</f>
        <v/>
      </c>
      <c r="B119" s="9" t="str">
        <f>IF($A119="","",EDATE(_Engine!$B$2,$A119-1))</f>
        <v/>
      </c>
      <c r="C119" s="10" t="str">
        <f>IF($A119="","",IF($A119&lt;=_Engine!$B$23,_Engine!$E156,""))</f>
        <v/>
      </c>
      <c r="D119" s="10" t="str">
        <f>IF($A119="","",IF($A119&lt;=_Engine!$B$23,_Engine!$F156,""))</f>
        <v/>
      </c>
      <c r="E119" s="10" t="str">
        <f>IF($A119="","",IF($A119&lt;=_Engine!$B$24,_Engine!$G156,""))</f>
        <v/>
      </c>
      <c r="F119" s="10" t="str">
        <f>IF($A119="","",IF($A119&lt;=_Engine!$B$24,_Engine!$H156,""))</f>
        <v/>
      </c>
    </row>
    <row r="120" spans="1:6" x14ac:dyDescent="0.25">
      <c r="A120" s="8" t="str">
        <f>IF(117&lt;=MAX(_Engine!$B$23,_Engine!$B$24),117,"")</f>
        <v/>
      </c>
      <c r="B120" s="9" t="str">
        <f>IF($A120="","",EDATE(_Engine!$B$2,$A120-1))</f>
        <v/>
      </c>
      <c r="C120" s="10" t="str">
        <f>IF($A120="","",IF($A120&lt;=_Engine!$B$23,_Engine!$E157,""))</f>
        <v/>
      </c>
      <c r="D120" s="10" t="str">
        <f>IF($A120="","",IF($A120&lt;=_Engine!$B$23,_Engine!$F157,""))</f>
        <v/>
      </c>
      <c r="E120" s="10" t="str">
        <f>IF($A120="","",IF($A120&lt;=_Engine!$B$24,_Engine!$G157,""))</f>
        <v/>
      </c>
      <c r="F120" s="10" t="str">
        <f>IF($A120="","",IF($A120&lt;=_Engine!$B$24,_Engine!$H157,""))</f>
        <v/>
      </c>
    </row>
    <row r="121" spans="1:6" x14ac:dyDescent="0.25">
      <c r="A121" s="8" t="str">
        <f>IF(118&lt;=MAX(_Engine!$B$23,_Engine!$B$24),118,"")</f>
        <v/>
      </c>
      <c r="B121" s="9" t="str">
        <f>IF($A121="","",EDATE(_Engine!$B$2,$A121-1))</f>
        <v/>
      </c>
      <c r="C121" s="10" t="str">
        <f>IF($A121="","",IF($A121&lt;=_Engine!$B$23,_Engine!$E158,""))</f>
        <v/>
      </c>
      <c r="D121" s="10" t="str">
        <f>IF($A121="","",IF($A121&lt;=_Engine!$B$23,_Engine!$F158,""))</f>
        <v/>
      </c>
      <c r="E121" s="10" t="str">
        <f>IF($A121="","",IF($A121&lt;=_Engine!$B$24,_Engine!$G158,""))</f>
        <v/>
      </c>
      <c r="F121" s="10" t="str">
        <f>IF($A121="","",IF($A121&lt;=_Engine!$B$24,_Engine!$H158,""))</f>
        <v/>
      </c>
    </row>
    <row r="122" spans="1:6" x14ac:dyDescent="0.25">
      <c r="A122" s="8" t="str">
        <f>IF(119&lt;=MAX(_Engine!$B$23,_Engine!$B$24),119,"")</f>
        <v/>
      </c>
      <c r="B122" s="9" t="str">
        <f>IF($A122="","",EDATE(_Engine!$B$2,$A122-1))</f>
        <v/>
      </c>
      <c r="C122" s="10" t="str">
        <f>IF($A122="","",IF($A122&lt;=_Engine!$B$23,_Engine!$E159,""))</f>
        <v/>
      </c>
      <c r="D122" s="10" t="str">
        <f>IF($A122="","",IF($A122&lt;=_Engine!$B$23,_Engine!$F159,""))</f>
        <v/>
      </c>
      <c r="E122" s="10" t="str">
        <f>IF($A122="","",IF($A122&lt;=_Engine!$B$24,_Engine!$G159,""))</f>
        <v/>
      </c>
      <c r="F122" s="10" t="str">
        <f>IF($A122="","",IF($A122&lt;=_Engine!$B$24,_Engine!$H159,""))</f>
        <v/>
      </c>
    </row>
    <row r="123" spans="1:6" x14ac:dyDescent="0.25">
      <c r="A123" s="8" t="str">
        <f>IF(120&lt;=MAX(_Engine!$B$23,_Engine!$B$24),120,"")</f>
        <v/>
      </c>
      <c r="B123" s="9" t="str">
        <f>IF($A123="","",EDATE(_Engine!$B$2,$A123-1))</f>
        <v/>
      </c>
      <c r="C123" s="10" t="str">
        <f>IF($A123="","",IF($A123&lt;=_Engine!$B$23,_Engine!$E160,""))</f>
        <v/>
      </c>
      <c r="D123" s="10" t="str">
        <f>IF($A123="","",IF($A123&lt;=_Engine!$B$23,_Engine!$F160,""))</f>
        <v/>
      </c>
      <c r="E123" s="10" t="str">
        <f>IF($A123="","",IF($A123&lt;=_Engine!$B$24,_Engine!$G160,""))</f>
        <v/>
      </c>
      <c r="F123" s="10" t="str">
        <f>IF($A123="","",IF($A123&lt;=_Engine!$B$24,_Engine!$H160,""))</f>
        <v/>
      </c>
    </row>
    <row r="124" spans="1:6" x14ac:dyDescent="0.25">
      <c r="A124" s="8" t="str">
        <f>IF(121&lt;=MAX(_Engine!$B$23,_Engine!$B$24),121,"")</f>
        <v/>
      </c>
      <c r="B124" s="9" t="str">
        <f>IF($A124="","",EDATE(_Engine!$B$2,$A124-1))</f>
        <v/>
      </c>
      <c r="C124" s="10" t="str">
        <f>IF($A124="","",IF($A124&lt;=_Engine!$B$23,_Engine!$E161,""))</f>
        <v/>
      </c>
      <c r="D124" s="10" t="str">
        <f>IF($A124="","",IF($A124&lt;=_Engine!$B$23,_Engine!$F161,""))</f>
        <v/>
      </c>
      <c r="E124" s="10" t="str">
        <f>IF($A124="","",IF($A124&lt;=_Engine!$B$24,_Engine!$G161,""))</f>
        <v/>
      </c>
      <c r="F124" s="10" t="str">
        <f>IF($A124="","",IF($A124&lt;=_Engine!$B$24,_Engine!$H161,""))</f>
        <v/>
      </c>
    </row>
    <row r="125" spans="1:6" x14ac:dyDescent="0.25">
      <c r="A125" s="8" t="str">
        <f>IF(122&lt;=MAX(_Engine!$B$23,_Engine!$B$24),122,"")</f>
        <v/>
      </c>
      <c r="B125" s="9" t="str">
        <f>IF($A125="","",EDATE(_Engine!$B$2,$A125-1))</f>
        <v/>
      </c>
      <c r="C125" s="10" t="str">
        <f>IF($A125="","",IF($A125&lt;=_Engine!$B$23,_Engine!$E162,""))</f>
        <v/>
      </c>
      <c r="D125" s="10" t="str">
        <f>IF($A125="","",IF($A125&lt;=_Engine!$B$23,_Engine!$F162,""))</f>
        <v/>
      </c>
      <c r="E125" s="10" t="str">
        <f>IF($A125="","",IF($A125&lt;=_Engine!$B$24,_Engine!$G162,""))</f>
        <v/>
      </c>
      <c r="F125" s="10" t="str">
        <f>IF($A125="","",IF($A125&lt;=_Engine!$B$24,_Engine!$H162,""))</f>
        <v/>
      </c>
    </row>
    <row r="126" spans="1:6" x14ac:dyDescent="0.25">
      <c r="A126" s="8" t="str">
        <f>IF(123&lt;=MAX(_Engine!$B$23,_Engine!$B$24),123,"")</f>
        <v/>
      </c>
      <c r="B126" s="9" t="str">
        <f>IF($A126="","",EDATE(_Engine!$B$2,$A126-1))</f>
        <v/>
      </c>
      <c r="C126" s="10" t="str">
        <f>IF($A126="","",IF($A126&lt;=_Engine!$B$23,_Engine!$E163,""))</f>
        <v/>
      </c>
      <c r="D126" s="10" t="str">
        <f>IF($A126="","",IF($A126&lt;=_Engine!$B$23,_Engine!$F163,""))</f>
        <v/>
      </c>
      <c r="E126" s="10" t="str">
        <f>IF($A126="","",IF($A126&lt;=_Engine!$B$24,_Engine!$G163,""))</f>
        <v/>
      </c>
      <c r="F126" s="10" t="str">
        <f>IF($A126="","",IF($A126&lt;=_Engine!$B$24,_Engine!$H163,""))</f>
        <v/>
      </c>
    </row>
    <row r="127" spans="1:6" x14ac:dyDescent="0.25">
      <c r="A127" s="8" t="str">
        <f>IF(124&lt;=MAX(_Engine!$B$23,_Engine!$B$24),124,"")</f>
        <v/>
      </c>
      <c r="B127" s="9" t="str">
        <f>IF($A127="","",EDATE(_Engine!$B$2,$A127-1))</f>
        <v/>
      </c>
      <c r="C127" s="10" t="str">
        <f>IF($A127="","",IF($A127&lt;=_Engine!$B$23,_Engine!$E164,""))</f>
        <v/>
      </c>
      <c r="D127" s="10" t="str">
        <f>IF($A127="","",IF($A127&lt;=_Engine!$B$23,_Engine!$F164,""))</f>
        <v/>
      </c>
      <c r="E127" s="10" t="str">
        <f>IF($A127="","",IF($A127&lt;=_Engine!$B$24,_Engine!$G164,""))</f>
        <v/>
      </c>
      <c r="F127" s="10" t="str">
        <f>IF($A127="","",IF($A127&lt;=_Engine!$B$24,_Engine!$H164,""))</f>
        <v/>
      </c>
    </row>
    <row r="128" spans="1:6" x14ac:dyDescent="0.25">
      <c r="A128" s="8" t="str">
        <f>IF(125&lt;=MAX(_Engine!$B$23,_Engine!$B$24),125,"")</f>
        <v/>
      </c>
      <c r="B128" s="9" t="str">
        <f>IF($A128="","",EDATE(_Engine!$B$2,$A128-1))</f>
        <v/>
      </c>
      <c r="C128" s="10" t="str">
        <f>IF($A128="","",IF($A128&lt;=_Engine!$B$23,_Engine!$E165,""))</f>
        <v/>
      </c>
      <c r="D128" s="10" t="str">
        <f>IF($A128="","",IF($A128&lt;=_Engine!$B$23,_Engine!$F165,""))</f>
        <v/>
      </c>
      <c r="E128" s="10" t="str">
        <f>IF($A128="","",IF($A128&lt;=_Engine!$B$24,_Engine!$G165,""))</f>
        <v/>
      </c>
      <c r="F128" s="10" t="str">
        <f>IF($A128="","",IF($A128&lt;=_Engine!$B$24,_Engine!$H165,""))</f>
        <v/>
      </c>
    </row>
    <row r="129" spans="1:6" x14ac:dyDescent="0.25">
      <c r="A129" s="8" t="str">
        <f>IF(126&lt;=MAX(_Engine!$B$23,_Engine!$B$24),126,"")</f>
        <v/>
      </c>
      <c r="B129" s="9" t="str">
        <f>IF($A129="","",EDATE(_Engine!$B$2,$A129-1))</f>
        <v/>
      </c>
      <c r="C129" s="10" t="str">
        <f>IF($A129="","",IF($A129&lt;=_Engine!$B$23,_Engine!$E166,""))</f>
        <v/>
      </c>
      <c r="D129" s="10" t="str">
        <f>IF($A129="","",IF($A129&lt;=_Engine!$B$23,_Engine!$F166,""))</f>
        <v/>
      </c>
      <c r="E129" s="10" t="str">
        <f>IF($A129="","",IF($A129&lt;=_Engine!$B$24,_Engine!$G166,""))</f>
        <v/>
      </c>
      <c r="F129" s="10" t="str">
        <f>IF($A129="","",IF($A129&lt;=_Engine!$B$24,_Engine!$H166,""))</f>
        <v/>
      </c>
    </row>
    <row r="130" spans="1:6" x14ac:dyDescent="0.25">
      <c r="A130" s="8" t="str">
        <f>IF(127&lt;=MAX(_Engine!$B$23,_Engine!$B$24),127,"")</f>
        <v/>
      </c>
      <c r="B130" s="9" t="str">
        <f>IF($A130="","",EDATE(_Engine!$B$2,$A130-1))</f>
        <v/>
      </c>
      <c r="C130" s="10" t="str">
        <f>IF($A130="","",IF($A130&lt;=_Engine!$B$23,_Engine!$E167,""))</f>
        <v/>
      </c>
      <c r="D130" s="10" t="str">
        <f>IF($A130="","",IF($A130&lt;=_Engine!$B$23,_Engine!$F167,""))</f>
        <v/>
      </c>
      <c r="E130" s="10" t="str">
        <f>IF($A130="","",IF($A130&lt;=_Engine!$B$24,_Engine!$G167,""))</f>
        <v/>
      </c>
      <c r="F130" s="10" t="str">
        <f>IF($A130="","",IF($A130&lt;=_Engine!$B$24,_Engine!$H167,""))</f>
        <v/>
      </c>
    </row>
    <row r="131" spans="1:6" x14ac:dyDescent="0.25">
      <c r="A131" s="8" t="str">
        <f>IF(128&lt;=MAX(_Engine!$B$23,_Engine!$B$24),128,"")</f>
        <v/>
      </c>
      <c r="B131" s="9" t="str">
        <f>IF($A131="","",EDATE(_Engine!$B$2,$A131-1))</f>
        <v/>
      </c>
      <c r="C131" s="10" t="str">
        <f>IF($A131="","",IF($A131&lt;=_Engine!$B$23,_Engine!$E168,""))</f>
        <v/>
      </c>
      <c r="D131" s="10" t="str">
        <f>IF($A131="","",IF($A131&lt;=_Engine!$B$23,_Engine!$F168,""))</f>
        <v/>
      </c>
      <c r="E131" s="10" t="str">
        <f>IF($A131="","",IF($A131&lt;=_Engine!$B$24,_Engine!$G168,""))</f>
        <v/>
      </c>
      <c r="F131" s="10" t="str">
        <f>IF($A131="","",IF($A131&lt;=_Engine!$B$24,_Engine!$H168,""))</f>
        <v/>
      </c>
    </row>
    <row r="132" spans="1:6" x14ac:dyDescent="0.25">
      <c r="A132" s="8" t="str">
        <f>IF(129&lt;=MAX(_Engine!$B$23,_Engine!$B$24),129,"")</f>
        <v/>
      </c>
      <c r="B132" s="9" t="str">
        <f>IF($A132="","",EDATE(_Engine!$B$2,$A132-1))</f>
        <v/>
      </c>
      <c r="C132" s="10" t="str">
        <f>IF($A132="","",IF($A132&lt;=_Engine!$B$23,_Engine!$E169,""))</f>
        <v/>
      </c>
      <c r="D132" s="10" t="str">
        <f>IF($A132="","",IF($A132&lt;=_Engine!$B$23,_Engine!$F169,""))</f>
        <v/>
      </c>
      <c r="E132" s="10" t="str">
        <f>IF($A132="","",IF($A132&lt;=_Engine!$B$24,_Engine!$G169,""))</f>
        <v/>
      </c>
      <c r="F132" s="10" t="str">
        <f>IF($A132="","",IF($A132&lt;=_Engine!$B$24,_Engine!$H169,""))</f>
        <v/>
      </c>
    </row>
    <row r="133" spans="1:6" x14ac:dyDescent="0.25">
      <c r="A133" s="8" t="str">
        <f>IF(130&lt;=MAX(_Engine!$B$23,_Engine!$B$24),130,"")</f>
        <v/>
      </c>
      <c r="B133" s="9" t="str">
        <f>IF($A133="","",EDATE(_Engine!$B$2,$A133-1))</f>
        <v/>
      </c>
      <c r="C133" s="10" t="str">
        <f>IF($A133="","",IF($A133&lt;=_Engine!$B$23,_Engine!$E170,""))</f>
        <v/>
      </c>
      <c r="D133" s="10" t="str">
        <f>IF($A133="","",IF($A133&lt;=_Engine!$B$23,_Engine!$F170,""))</f>
        <v/>
      </c>
      <c r="E133" s="10" t="str">
        <f>IF($A133="","",IF($A133&lt;=_Engine!$B$24,_Engine!$G170,""))</f>
        <v/>
      </c>
      <c r="F133" s="10" t="str">
        <f>IF($A133="","",IF($A133&lt;=_Engine!$B$24,_Engine!$H170,""))</f>
        <v/>
      </c>
    </row>
    <row r="134" spans="1:6" x14ac:dyDescent="0.25">
      <c r="A134" s="8" t="str">
        <f>IF(131&lt;=MAX(_Engine!$B$23,_Engine!$B$24),131,"")</f>
        <v/>
      </c>
      <c r="B134" s="9" t="str">
        <f>IF($A134="","",EDATE(_Engine!$B$2,$A134-1))</f>
        <v/>
      </c>
      <c r="C134" s="10" t="str">
        <f>IF($A134="","",IF($A134&lt;=_Engine!$B$23,_Engine!$E171,""))</f>
        <v/>
      </c>
      <c r="D134" s="10" t="str">
        <f>IF($A134="","",IF($A134&lt;=_Engine!$B$23,_Engine!$F171,""))</f>
        <v/>
      </c>
      <c r="E134" s="10" t="str">
        <f>IF($A134="","",IF($A134&lt;=_Engine!$B$24,_Engine!$G171,""))</f>
        <v/>
      </c>
      <c r="F134" s="10" t="str">
        <f>IF($A134="","",IF($A134&lt;=_Engine!$B$24,_Engine!$H171,""))</f>
        <v/>
      </c>
    </row>
    <row r="135" spans="1:6" x14ac:dyDescent="0.25">
      <c r="A135" s="8" t="str">
        <f>IF(132&lt;=MAX(_Engine!$B$23,_Engine!$B$24),132,"")</f>
        <v/>
      </c>
      <c r="B135" s="9" t="str">
        <f>IF($A135="","",EDATE(_Engine!$B$2,$A135-1))</f>
        <v/>
      </c>
      <c r="C135" s="10" t="str">
        <f>IF($A135="","",IF($A135&lt;=_Engine!$B$23,_Engine!$E172,""))</f>
        <v/>
      </c>
      <c r="D135" s="10" t="str">
        <f>IF($A135="","",IF($A135&lt;=_Engine!$B$23,_Engine!$F172,""))</f>
        <v/>
      </c>
      <c r="E135" s="10" t="str">
        <f>IF($A135="","",IF($A135&lt;=_Engine!$B$24,_Engine!$G172,""))</f>
        <v/>
      </c>
      <c r="F135" s="10" t="str">
        <f>IF($A135="","",IF($A135&lt;=_Engine!$B$24,_Engine!$H172,""))</f>
        <v/>
      </c>
    </row>
    <row r="136" spans="1:6" x14ac:dyDescent="0.25">
      <c r="A136" s="8" t="str">
        <f>IF(133&lt;=MAX(_Engine!$B$23,_Engine!$B$24),133,"")</f>
        <v/>
      </c>
      <c r="B136" s="9" t="str">
        <f>IF($A136="","",EDATE(_Engine!$B$2,$A136-1))</f>
        <v/>
      </c>
      <c r="C136" s="10" t="str">
        <f>IF($A136="","",IF($A136&lt;=_Engine!$B$23,_Engine!$E173,""))</f>
        <v/>
      </c>
      <c r="D136" s="10" t="str">
        <f>IF($A136="","",IF($A136&lt;=_Engine!$B$23,_Engine!$F173,""))</f>
        <v/>
      </c>
      <c r="E136" s="10" t="str">
        <f>IF($A136="","",IF($A136&lt;=_Engine!$B$24,_Engine!$G173,""))</f>
        <v/>
      </c>
      <c r="F136" s="10" t="str">
        <f>IF($A136="","",IF($A136&lt;=_Engine!$B$24,_Engine!$H173,""))</f>
        <v/>
      </c>
    </row>
    <row r="137" spans="1:6" x14ac:dyDescent="0.25">
      <c r="A137" s="8" t="str">
        <f>IF(134&lt;=MAX(_Engine!$B$23,_Engine!$B$24),134,"")</f>
        <v/>
      </c>
      <c r="B137" s="9" t="str">
        <f>IF($A137="","",EDATE(_Engine!$B$2,$A137-1))</f>
        <v/>
      </c>
      <c r="C137" s="10" t="str">
        <f>IF($A137="","",IF($A137&lt;=_Engine!$B$23,_Engine!$E174,""))</f>
        <v/>
      </c>
      <c r="D137" s="10" t="str">
        <f>IF($A137="","",IF($A137&lt;=_Engine!$B$23,_Engine!$F174,""))</f>
        <v/>
      </c>
      <c r="E137" s="10" t="str">
        <f>IF($A137="","",IF($A137&lt;=_Engine!$B$24,_Engine!$G174,""))</f>
        <v/>
      </c>
      <c r="F137" s="10" t="str">
        <f>IF($A137="","",IF($A137&lt;=_Engine!$B$24,_Engine!$H174,""))</f>
        <v/>
      </c>
    </row>
    <row r="138" spans="1:6" x14ac:dyDescent="0.25">
      <c r="A138" s="8" t="str">
        <f>IF(135&lt;=MAX(_Engine!$B$23,_Engine!$B$24),135,"")</f>
        <v/>
      </c>
      <c r="B138" s="9" t="str">
        <f>IF($A138="","",EDATE(_Engine!$B$2,$A138-1))</f>
        <v/>
      </c>
      <c r="C138" s="10" t="str">
        <f>IF($A138="","",IF($A138&lt;=_Engine!$B$23,_Engine!$E175,""))</f>
        <v/>
      </c>
      <c r="D138" s="10" t="str">
        <f>IF($A138="","",IF($A138&lt;=_Engine!$B$23,_Engine!$F175,""))</f>
        <v/>
      </c>
      <c r="E138" s="10" t="str">
        <f>IF($A138="","",IF($A138&lt;=_Engine!$B$24,_Engine!$G175,""))</f>
        <v/>
      </c>
      <c r="F138" s="10" t="str">
        <f>IF($A138="","",IF($A138&lt;=_Engine!$B$24,_Engine!$H175,""))</f>
        <v/>
      </c>
    </row>
    <row r="139" spans="1:6" x14ac:dyDescent="0.25">
      <c r="A139" s="8" t="str">
        <f>IF(136&lt;=MAX(_Engine!$B$23,_Engine!$B$24),136,"")</f>
        <v/>
      </c>
      <c r="B139" s="9" t="str">
        <f>IF($A139="","",EDATE(_Engine!$B$2,$A139-1))</f>
        <v/>
      </c>
      <c r="C139" s="10" t="str">
        <f>IF($A139="","",IF($A139&lt;=_Engine!$B$23,_Engine!$E176,""))</f>
        <v/>
      </c>
      <c r="D139" s="10" t="str">
        <f>IF($A139="","",IF($A139&lt;=_Engine!$B$23,_Engine!$F176,""))</f>
        <v/>
      </c>
      <c r="E139" s="10" t="str">
        <f>IF($A139="","",IF($A139&lt;=_Engine!$B$24,_Engine!$G176,""))</f>
        <v/>
      </c>
      <c r="F139" s="10" t="str">
        <f>IF($A139="","",IF($A139&lt;=_Engine!$B$24,_Engine!$H176,""))</f>
        <v/>
      </c>
    </row>
    <row r="140" spans="1:6" x14ac:dyDescent="0.25">
      <c r="A140" s="8" t="str">
        <f>IF(137&lt;=MAX(_Engine!$B$23,_Engine!$B$24),137,"")</f>
        <v/>
      </c>
      <c r="B140" s="9" t="str">
        <f>IF($A140="","",EDATE(_Engine!$B$2,$A140-1))</f>
        <v/>
      </c>
      <c r="C140" s="10" t="str">
        <f>IF($A140="","",IF($A140&lt;=_Engine!$B$23,_Engine!$E177,""))</f>
        <v/>
      </c>
      <c r="D140" s="10" t="str">
        <f>IF($A140="","",IF($A140&lt;=_Engine!$B$23,_Engine!$F177,""))</f>
        <v/>
      </c>
      <c r="E140" s="10" t="str">
        <f>IF($A140="","",IF($A140&lt;=_Engine!$B$24,_Engine!$G177,""))</f>
        <v/>
      </c>
      <c r="F140" s="10" t="str">
        <f>IF($A140="","",IF($A140&lt;=_Engine!$B$24,_Engine!$H177,""))</f>
        <v/>
      </c>
    </row>
    <row r="141" spans="1:6" x14ac:dyDescent="0.25">
      <c r="A141" s="8" t="str">
        <f>IF(138&lt;=MAX(_Engine!$B$23,_Engine!$B$24),138,"")</f>
        <v/>
      </c>
      <c r="B141" s="9" t="str">
        <f>IF($A141="","",EDATE(_Engine!$B$2,$A141-1))</f>
        <v/>
      </c>
      <c r="C141" s="10" t="str">
        <f>IF($A141="","",IF($A141&lt;=_Engine!$B$23,_Engine!$E178,""))</f>
        <v/>
      </c>
      <c r="D141" s="10" t="str">
        <f>IF($A141="","",IF($A141&lt;=_Engine!$B$23,_Engine!$F178,""))</f>
        <v/>
      </c>
      <c r="E141" s="10" t="str">
        <f>IF($A141="","",IF($A141&lt;=_Engine!$B$24,_Engine!$G178,""))</f>
        <v/>
      </c>
      <c r="F141" s="10" t="str">
        <f>IF($A141="","",IF($A141&lt;=_Engine!$B$24,_Engine!$H178,""))</f>
        <v/>
      </c>
    </row>
    <row r="142" spans="1:6" x14ac:dyDescent="0.25">
      <c r="A142" s="8" t="str">
        <f>IF(139&lt;=MAX(_Engine!$B$23,_Engine!$B$24),139,"")</f>
        <v/>
      </c>
      <c r="B142" s="9" t="str">
        <f>IF($A142="","",EDATE(_Engine!$B$2,$A142-1))</f>
        <v/>
      </c>
      <c r="C142" s="10" t="str">
        <f>IF($A142="","",IF($A142&lt;=_Engine!$B$23,_Engine!$E179,""))</f>
        <v/>
      </c>
      <c r="D142" s="10" t="str">
        <f>IF($A142="","",IF($A142&lt;=_Engine!$B$23,_Engine!$F179,""))</f>
        <v/>
      </c>
      <c r="E142" s="10" t="str">
        <f>IF($A142="","",IF($A142&lt;=_Engine!$B$24,_Engine!$G179,""))</f>
        <v/>
      </c>
      <c r="F142" s="10" t="str">
        <f>IF($A142="","",IF($A142&lt;=_Engine!$B$24,_Engine!$H179,""))</f>
        <v/>
      </c>
    </row>
    <row r="143" spans="1:6" x14ac:dyDescent="0.25">
      <c r="A143" s="8" t="str">
        <f>IF(140&lt;=MAX(_Engine!$B$23,_Engine!$B$24),140,"")</f>
        <v/>
      </c>
      <c r="B143" s="9" t="str">
        <f>IF($A143="","",EDATE(_Engine!$B$2,$A143-1))</f>
        <v/>
      </c>
      <c r="C143" s="10" t="str">
        <f>IF($A143="","",IF($A143&lt;=_Engine!$B$23,_Engine!$E180,""))</f>
        <v/>
      </c>
      <c r="D143" s="10" t="str">
        <f>IF($A143="","",IF($A143&lt;=_Engine!$B$23,_Engine!$F180,""))</f>
        <v/>
      </c>
      <c r="E143" s="10" t="str">
        <f>IF($A143="","",IF($A143&lt;=_Engine!$B$24,_Engine!$G180,""))</f>
        <v/>
      </c>
      <c r="F143" s="10" t="str">
        <f>IF($A143="","",IF($A143&lt;=_Engine!$B$24,_Engine!$H180,""))</f>
        <v/>
      </c>
    </row>
    <row r="144" spans="1:6" x14ac:dyDescent="0.25">
      <c r="A144" s="8" t="str">
        <f>IF(141&lt;=MAX(_Engine!$B$23,_Engine!$B$24),141,"")</f>
        <v/>
      </c>
      <c r="B144" s="9" t="str">
        <f>IF($A144="","",EDATE(_Engine!$B$2,$A144-1))</f>
        <v/>
      </c>
      <c r="C144" s="10" t="str">
        <f>IF($A144="","",IF($A144&lt;=_Engine!$B$23,_Engine!$E181,""))</f>
        <v/>
      </c>
      <c r="D144" s="10" t="str">
        <f>IF($A144="","",IF($A144&lt;=_Engine!$B$23,_Engine!$F181,""))</f>
        <v/>
      </c>
      <c r="E144" s="10" t="str">
        <f>IF($A144="","",IF($A144&lt;=_Engine!$B$24,_Engine!$G181,""))</f>
        <v/>
      </c>
      <c r="F144" s="10" t="str">
        <f>IF($A144="","",IF($A144&lt;=_Engine!$B$24,_Engine!$H181,""))</f>
        <v/>
      </c>
    </row>
    <row r="145" spans="1:6" x14ac:dyDescent="0.25">
      <c r="A145" s="8" t="str">
        <f>IF(142&lt;=MAX(_Engine!$B$23,_Engine!$B$24),142,"")</f>
        <v/>
      </c>
      <c r="B145" s="9" t="str">
        <f>IF($A145="","",EDATE(_Engine!$B$2,$A145-1))</f>
        <v/>
      </c>
      <c r="C145" s="10" t="str">
        <f>IF($A145="","",IF($A145&lt;=_Engine!$B$23,_Engine!$E182,""))</f>
        <v/>
      </c>
      <c r="D145" s="10" t="str">
        <f>IF($A145="","",IF($A145&lt;=_Engine!$B$23,_Engine!$F182,""))</f>
        <v/>
      </c>
      <c r="E145" s="10" t="str">
        <f>IF($A145="","",IF($A145&lt;=_Engine!$B$24,_Engine!$G182,""))</f>
        <v/>
      </c>
      <c r="F145" s="10" t="str">
        <f>IF($A145="","",IF($A145&lt;=_Engine!$B$24,_Engine!$H182,""))</f>
        <v/>
      </c>
    </row>
    <row r="146" spans="1:6" x14ac:dyDescent="0.25">
      <c r="A146" s="8" t="str">
        <f>IF(143&lt;=MAX(_Engine!$B$23,_Engine!$B$24),143,"")</f>
        <v/>
      </c>
      <c r="B146" s="9" t="str">
        <f>IF($A146="","",EDATE(_Engine!$B$2,$A146-1))</f>
        <v/>
      </c>
      <c r="C146" s="10" t="str">
        <f>IF($A146="","",IF($A146&lt;=_Engine!$B$23,_Engine!$E183,""))</f>
        <v/>
      </c>
      <c r="D146" s="10" t="str">
        <f>IF($A146="","",IF($A146&lt;=_Engine!$B$23,_Engine!$F183,""))</f>
        <v/>
      </c>
      <c r="E146" s="10" t="str">
        <f>IF($A146="","",IF($A146&lt;=_Engine!$B$24,_Engine!$G183,""))</f>
        <v/>
      </c>
      <c r="F146" s="10" t="str">
        <f>IF($A146="","",IF($A146&lt;=_Engine!$B$24,_Engine!$H183,""))</f>
        <v/>
      </c>
    </row>
    <row r="147" spans="1:6" x14ac:dyDescent="0.25">
      <c r="A147" s="8" t="str">
        <f>IF(144&lt;=MAX(_Engine!$B$23,_Engine!$B$24),144,"")</f>
        <v/>
      </c>
      <c r="B147" s="9" t="str">
        <f>IF($A147="","",EDATE(_Engine!$B$2,$A147-1))</f>
        <v/>
      </c>
      <c r="C147" s="10" t="str">
        <f>IF($A147="","",IF($A147&lt;=_Engine!$B$23,_Engine!$E184,""))</f>
        <v/>
      </c>
      <c r="D147" s="10" t="str">
        <f>IF($A147="","",IF($A147&lt;=_Engine!$B$23,_Engine!$F184,""))</f>
        <v/>
      </c>
      <c r="E147" s="10" t="str">
        <f>IF($A147="","",IF($A147&lt;=_Engine!$B$24,_Engine!$G184,""))</f>
        <v/>
      </c>
      <c r="F147" s="10" t="str">
        <f>IF($A147="","",IF($A147&lt;=_Engine!$B$24,_Engine!$H184,""))</f>
        <v/>
      </c>
    </row>
    <row r="148" spans="1:6" x14ac:dyDescent="0.25">
      <c r="A148" s="8" t="str">
        <f>IF(145&lt;=MAX(_Engine!$B$23,_Engine!$B$24),145,"")</f>
        <v/>
      </c>
      <c r="B148" s="9" t="str">
        <f>IF($A148="","",EDATE(_Engine!$B$2,$A148-1))</f>
        <v/>
      </c>
      <c r="C148" s="10" t="str">
        <f>IF($A148="","",IF($A148&lt;=_Engine!$B$23,_Engine!$E185,""))</f>
        <v/>
      </c>
      <c r="D148" s="10" t="str">
        <f>IF($A148="","",IF($A148&lt;=_Engine!$B$23,_Engine!$F185,""))</f>
        <v/>
      </c>
      <c r="E148" s="10" t="str">
        <f>IF($A148="","",IF($A148&lt;=_Engine!$B$24,_Engine!$G185,""))</f>
        <v/>
      </c>
      <c r="F148" s="10" t="str">
        <f>IF($A148="","",IF($A148&lt;=_Engine!$B$24,_Engine!$H185,""))</f>
        <v/>
      </c>
    </row>
    <row r="149" spans="1:6" x14ac:dyDescent="0.25">
      <c r="A149" s="8" t="str">
        <f>IF(146&lt;=MAX(_Engine!$B$23,_Engine!$B$24),146,"")</f>
        <v/>
      </c>
      <c r="B149" s="9" t="str">
        <f>IF($A149="","",EDATE(_Engine!$B$2,$A149-1))</f>
        <v/>
      </c>
      <c r="C149" s="10" t="str">
        <f>IF($A149="","",IF($A149&lt;=_Engine!$B$23,_Engine!$E186,""))</f>
        <v/>
      </c>
      <c r="D149" s="10" t="str">
        <f>IF($A149="","",IF($A149&lt;=_Engine!$B$23,_Engine!$F186,""))</f>
        <v/>
      </c>
      <c r="E149" s="10" t="str">
        <f>IF($A149="","",IF($A149&lt;=_Engine!$B$24,_Engine!$G186,""))</f>
        <v/>
      </c>
      <c r="F149" s="10" t="str">
        <f>IF($A149="","",IF($A149&lt;=_Engine!$B$24,_Engine!$H186,""))</f>
        <v/>
      </c>
    </row>
    <row r="150" spans="1:6" x14ac:dyDescent="0.25">
      <c r="A150" s="8" t="str">
        <f>IF(147&lt;=MAX(_Engine!$B$23,_Engine!$B$24),147,"")</f>
        <v/>
      </c>
      <c r="B150" s="9" t="str">
        <f>IF($A150="","",EDATE(_Engine!$B$2,$A150-1))</f>
        <v/>
      </c>
      <c r="C150" s="10" t="str">
        <f>IF($A150="","",IF($A150&lt;=_Engine!$B$23,_Engine!$E187,""))</f>
        <v/>
      </c>
      <c r="D150" s="10" t="str">
        <f>IF($A150="","",IF($A150&lt;=_Engine!$B$23,_Engine!$F187,""))</f>
        <v/>
      </c>
      <c r="E150" s="10" t="str">
        <f>IF($A150="","",IF($A150&lt;=_Engine!$B$24,_Engine!$G187,""))</f>
        <v/>
      </c>
      <c r="F150" s="10" t="str">
        <f>IF($A150="","",IF($A150&lt;=_Engine!$B$24,_Engine!$H187,""))</f>
        <v/>
      </c>
    </row>
    <row r="151" spans="1:6" x14ac:dyDescent="0.25">
      <c r="A151" s="8" t="str">
        <f>IF(148&lt;=MAX(_Engine!$B$23,_Engine!$B$24),148,"")</f>
        <v/>
      </c>
      <c r="B151" s="9" t="str">
        <f>IF($A151="","",EDATE(_Engine!$B$2,$A151-1))</f>
        <v/>
      </c>
      <c r="C151" s="10" t="str">
        <f>IF($A151="","",IF($A151&lt;=_Engine!$B$23,_Engine!$E188,""))</f>
        <v/>
      </c>
      <c r="D151" s="10" t="str">
        <f>IF($A151="","",IF($A151&lt;=_Engine!$B$23,_Engine!$F188,""))</f>
        <v/>
      </c>
      <c r="E151" s="10" t="str">
        <f>IF($A151="","",IF($A151&lt;=_Engine!$B$24,_Engine!$G188,""))</f>
        <v/>
      </c>
      <c r="F151" s="10" t="str">
        <f>IF($A151="","",IF($A151&lt;=_Engine!$B$24,_Engine!$H188,""))</f>
        <v/>
      </c>
    </row>
    <row r="152" spans="1:6" x14ac:dyDescent="0.25">
      <c r="A152" s="8" t="str">
        <f>IF(149&lt;=MAX(_Engine!$B$23,_Engine!$B$24),149,"")</f>
        <v/>
      </c>
      <c r="B152" s="9" t="str">
        <f>IF($A152="","",EDATE(_Engine!$B$2,$A152-1))</f>
        <v/>
      </c>
      <c r="C152" s="10" t="str">
        <f>IF($A152="","",IF($A152&lt;=_Engine!$B$23,_Engine!$E189,""))</f>
        <v/>
      </c>
      <c r="D152" s="10" t="str">
        <f>IF($A152="","",IF($A152&lt;=_Engine!$B$23,_Engine!$F189,""))</f>
        <v/>
      </c>
      <c r="E152" s="10" t="str">
        <f>IF($A152="","",IF($A152&lt;=_Engine!$B$24,_Engine!$G189,""))</f>
        <v/>
      </c>
      <c r="F152" s="10" t="str">
        <f>IF($A152="","",IF($A152&lt;=_Engine!$B$24,_Engine!$H189,""))</f>
        <v/>
      </c>
    </row>
    <row r="153" spans="1:6" x14ac:dyDescent="0.25">
      <c r="A153" s="8" t="str">
        <f>IF(150&lt;=MAX(_Engine!$B$23,_Engine!$B$24),150,"")</f>
        <v/>
      </c>
      <c r="B153" s="9" t="str">
        <f>IF($A153="","",EDATE(_Engine!$B$2,$A153-1))</f>
        <v/>
      </c>
      <c r="C153" s="10" t="str">
        <f>IF($A153="","",IF($A153&lt;=_Engine!$B$23,_Engine!$E190,""))</f>
        <v/>
      </c>
      <c r="D153" s="10" t="str">
        <f>IF($A153="","",IF($A153&lt;=_Engine!$B$23,_Engine!$F190,""))</f>
        <v/>
      </c>
      <c r="E153" s="10" t="str">
        <f>IF($A153="","",IF($A153&lt;=_Engine!$B$24,_Engine!$G190,""))</f>
        <v/>
      </c>
      <c r="F153" s="10" t="str">
        <f>IF($A153="","",IF($A153&lt;=_Engine!$B$24,_Engine!$H190,""))</f>
        <v/>
      </c>
    </row>
    <row r="154" spans="1:6" x14ac:dyDescent="0.25">
      <c r="A154" s="8" t="str">
        <f>IF(151&lt;=MAX(_Engine!$B$23,_Engine!$B$24),151,"")</f>
        <v/>
      </c>
      <c r="B154" s="9" t="str">
        <f>IF($A154="","",EDATE(_Engine!$B$2,$A154-1))</f>
        <v/>
      </c>
      <c r="C154" s="10" t="str">
        <f>IF($A154="","",IF($A154&lt;=_Engine!$B$23,_Engine!$E191,""))</f>
        <v/>
      </c>
      <c r="D154" s="10" t="str">
        <f>IF($A154="","",IF($A154&lt;=_Engine!$B$23,_Engine!$F191,""))</f>
        <v/>
      </c>
      <c r="E154" s="10" t="str">
        <f>IF($A154="","",IF($A154&lt;=_Engine!$B$24,_Engine!$G191,""))</f>
        <v/>
      </c>
      <c r="F154" s="10" t="str">
        <f>IF($A154="","",IF($A154&lt;=_Engine!$B$24,_Engine!$H191,""))</f>
        <v/>
      </c>
    </row>
    <row r="155" spans="1:6" x14ac:dyDescent="0.25">
      <c r="A155" s="8" t="str">
        <f>IF(152&lt;=MAX(_Engine!$B$23,_Engine!$B$24),152,"")</f>
        <v/>
      </c>
      <c r="B155" s="9" t="str">
        <f>IF($A155="","",EDATE(_Engine!$B$2,$A155-1))</f>
        <v/>
      </c>
      <c r="C155" s="10" t="str">
        <f>IF($A155="","",IF($A155&lt;=_Engine!$B$23,_Engine!$E192,""))</f>
        <v/>
      </c>
      <c r="D155" s="10" t="str">
        <f>IF($A155="","",IF($A155&lt;=_Engine!$B$23,_Engine!$F192,""))</f>
        <v/>
      </c>
      <c r="E155" s="10" t="str">
        <f>IF($A155="","",IF($A155&lt;=_Engine!$B$24,_Engine!$G192,""))</f>
        <v/>
      </c>
      <c r="F155" s="10" t="str">
        <f>IF($A155="","",IF($A155&lt;=_Engine!$B$24,_Engine!$H192,""))</f>
        <v/>
      </c>
    </row>
    <row r="156" spans="1:6" x14ac:dyDescent="0.25">
      <c r="A156" s="8" t="str">
        <f>IF(153&lt;=MAX(_Engine!$B$23,_Engine!$B$24),153,"")</f>
        <v/>
      </c>
      <c r="B156" s="9" t="str">
        <f>IF($A156="","",EDATE(_Engine!$B$2,$A156-1))</f>
        <v/>
      </c>
      <c r="C156" s="10" t="str">
        <f>IF($A156="","",IF($A156&lt;=_Engine!$B$23,_Engine!$E193,""))</f>
        <v/>
      </c>
      <c r="D156" s="10" t="str">
        <f>IF($A156="","",IF($A156&lt;=_Engine!$B$23,_Engine!$F193,""))</f>
        <v/>
      </c>
      <c r="E156" s="10" t="str">
        <f>IF($A156="","",IF($A156&lt;=_Engine!$B$24,_Engine!$G193,""))</f>
        <v/>
      </c>
      <c r="F156" s="10" t="str">
        <f>IF($A156="","",IF($A156&lt;=_Engine!$B$24,_Engine!$H193,""))</f>
        <v/>
      </c>
    </row>
    <row r="157" spans="1:6" x14ac:dyDescent="0.25">
      <c r="A157" s="8" t="str">
        <f>IF(154&lt;=MAX(_Engine!$B$23,_Engine!$B$24),154,"")</f>
        <v/>
      </c>
      <c r="B157" s="9" t="str">
        <f>IF($A157="","",EDATE(_Engine!$B$2,$A157-1))</f>
        <v/>
      </c>
      <c r="C157" s="10" t="str">
        <f>IF($A157="","",IF($A157&lt;=_Engine!$B$23,_Engine!$E194,""))</f>
        <v/>
      </c>
      <c r="D157" s="10" t="str">
        <f>IF($A157="","",IF($A157&lt;=_Engine!$B$23,_Engine!$F194,""))</f>
        <v/>
      </c>
      <c r="E157" s="10" t="str">
        <f>IF($A157="","",IF($A157&lt;=_Engine!$B$24,_Engine!$G194,""))</f>
        <v/>
      </c>
      <c r="F157" s="10" t="str">
        <f>IF($A157="","",IF($A157&lt;=_Engine!$B$24,_Engine!$H194,""))</f>
        <v/>
      </c>
    </row>
    <row r="158" spans="1:6" x14ac:dyDescent="0.25">
      <c r="A158" s="8" t="str">
        <f>IF(155&lt;=MAX(_Engine!$B$23,_Engine!$B$24),155,"")</f>
        <v/>
      </c>
      <c r="B158" s="9" t="str">
        <f>IF($A158="","",EDATE(_Engine!$B$2,$A158-1))</f>
        <v/>
      </c>
      <c r="C158" s="10" t="str">
        <f>IF($A158="","",IF($A158&lt;=_Engine!$B$23,_Engine!$E195,""))</f>
        <v/>
      </c>
      <c r="D158" s="10" t="str">
        <f>IF($A158="","",IF($A158&lt;=_Engine!$B$23,_Engine!$F195,""))</f>
        <v/>
      </c>
      <c r="E158" s="10" t="str">
        <f>IF($A158="","",IF($A158&lt;=_Engine!$B$24,_Engine!$G195,""))</f>
        <v/>
      </c>
      <c r="F158" s="10" t="str">
        <f>IF($A158="","",IF($A158&lt;=_Engine!$B$24,_Engine!$H195,""))</f>
        <v/>
      </c>
    </row>
    <row r="159" spans="1:6" x14ac:dyDescent="0.25">
      <c r="A159" s="8" t="str">
        <f>IF(156&lt;=MAX(_Engine!$B$23,_Engine!$B$24),156,"")</f>
        <v/>
      </c>
      <c r="B159" s="9" t="str">
        <f>IF($A159="","",EDATE(_Engine!$B$2,$A159-1))</f>
        <v/>
      </c>
      <c r="C159" s="10" t="str">
        <f>IF($A159="","",IF($A159&lt;=_Engine!$B$23,_Engine!$E196,""))</f>
        <v/>
      </c>
      <c r="D159" s="10" t="str">
        <f>IF($A159="","",IF($A159&lt;=_Engine!$B$23,_Engine!$F196,""))</f>
        <v/>
      </c>
      <c r="E159" s="10" t="str">
        <f>IF($A159="","",IF($A159&lt;=_Engine!$B$24,_Engine!$G196,""))</f>
        <v/>
      </c>
      <c r="F159" s="10" t="str">
        <f>IF($A159="","",IF($A159&lt;=_Engine!$B$24,_Engine!$H196,""))</f>
        <v/>
      </c>
    </row>
    <row r="160" spans="1:6" x14ac:dyDescent="0.25">
      <c r="A160" s="8" t="str">
        <f>IF(157&lt;=MAX(_Engine!$B$23,_Engine!$B$24),157,"")</f>
        <v/>
      </c>
      <c r="B160" s="9" t="str">
        <f>IF($A160="","",EDATE(_Engine!$B$2,$A160-1))</f>
        <v/>
      </c>
      <c r="C160" s="10" t="str">
        <f>IF($A160="","",IF($A160&lt;=_Engine!$B$23,_Engine!$E197,""))</f>
        <v/>
      </c>
      <c r="D160" s="10" t="str">
        <f>IF($A160="","",IF($A160&lt;=_Engine!$B$23,_Engine!$F197,""))</f>
        <v/>
      </c>
      <c r="E160" s="10" t="str">
        <f>IF($A160="","",IF($A160&lt;=_Engine!$B$24,_Engine!$G197,""))</f>
        <v/>
      </c>
      <c r="F160" s="10" t="str">
        <f>IF($A160="","",IF($A160&lt;=_Engine!$B$24,_Engine!$H197,""))</f>
        <v/>
      </c>
    </row>
    <row r="161" spans="1:6" x14ac:dyDescent="0.25">
      <c r="A161" s="8" t="str">
        <f>IF(158&lt;=MAX(_Engine!$B$23,_Engine!$B$24),158,"")</f>
        <v/>
      </c>
      <c r="B161" s="9" t="str">
        <f>IF($A161="","",EDATE(_Engine!$B$2,$A161-1))</f>
        <v/>
      </c>
      <c r="C161" s="10" t="str">
        <f>IF($A161="","",IF($A161&lt;=_Engine!$B$23,_Engine!$E198,""))</f>
        <v/>
      </c>
      <c r="D161" s="10" t="str">
        <f>IF($A161="","",IF($A161&lt;=_Engine!$B$23,_Engine!$F198,""))</f>
        <v/>
      </c>
      <c r="E161" s="10" t="str">
        <f>IF($A161="","",IF($A161&lt;=_Engine!$B$24,_Engine!$G198,""))</f>
        <v/>
      </c>
      <c r="F161" s="10" t="str">
        <f>IF($A161="","",IF($A161&lt;=_Engine!$B$24,_Engine!$H198,""))</f>
        <v/>
      </c>
    </row>
    <row r="162" spans="1:6" x14ac:dyDescent="0.25">
      <c r="A162" s="8" t="str">
        <f>IF(159&lt;=MAX(_Engine!$B$23,_Engine!$B$24),159,"")</f>
        <v/>
      </c>
      <c r="B162" s="9" t="str">
        <f>IF($A162="","",EDATE(_Engine!$B$2,$A162-1))</f>
        <v/>
      </c>
      <c r="C162" s="10" t="str">
        <f>IF($A162="","",IF($A162&lt;=_Engine!$B$23,_Engine!$E199,""))</f>
        <v/>
      </c>
      <c r="D162" s="10" t="str">
        <f>IF($A162="","",IF($A162&lt;=_Engine!$B$23,_Engine!$F199,""))</f>
        <v/>
      </c>
      <c r="E162" s="10" t="str">
        <f>IF($A162="","",IF($A162&lt;=_Engine!$B$24,_Engine!$G199,""))</f>
        <v/>
      </c>
      <c r="F162" s="10" t="str">
        <f>IF($A162="","",IF($A162&lt;=_Engine!$B$24,_Engine!$H199,""))</f>
        <v/>
      </c>
    </row>
    <row r="163" spans="1:6" x14ac:dyDescent="0.25">
      <c r="A163" s="8" t="str">
        <f>IF(160&lt;=MAX(_Engine!$B$23,_Engine!$B$24),160,"")</f>
        <v/>
      </c>
      <c r="B163" s="9" t="str">
        <f>IF($A163="","",EDATE(_Engine!$B$2,$A163-1))</f>
        <v/>
      </c>
      <c r="C163" s="10" t="str">
        <f>IF($A163="","",IF($A163&lt;=_Engine!$B$23,_Engine!$E200,""))</f>
        <v/>
      </c>
      <c r="D163" s="10" t="str">
        <f>IF($A163="","",IF($A163&lt;=_Engine!$B$23,_Engine!$F200,""))</f>
        <v/>
      </c>
      <c r="E163" s="10" t="str">
        <f>IF($A163="","",IF($A163&lt;=_Engine!$B$24,_Engine!$G200,""))</f>
        <v/>
      </c>
      <c r="F163" s="10" t="str">
        <f>IF($A163="","",IF($A163&lt;=_Engine!$B$24,_Engine!$H200,""))</f>
        <v/>
      </c>
    </row>
    <row r="164" spans="1:6" x14ac:dyDescent="0.25">
      <c r="A164" s="8" t="str">
        <f>IF(161&lt;=MAX(_Engine!$B$23,_Engine!$B$24),161,"")</f>
        <v/>
      </c>
      <c r="B164" s="9" t="str">
        <f>IF($A164="","",EDATE(_Engine!$B$2,$A164-1))</f>
        <v/>
      </c>
      <c r="C164" s="10" t="str">
        <f>IF($A164="","",IF($A164&lt;=_Engine!$B$23,_Engine!$E201,""))</f>
        <v/>
      </c>
      <c r="D164" s="10" t="str">
        <f>IF($A164="","",IF($A164&lt;=_Engine!$B$23,_Engine!$F201,""))</f>
        <v/>
      </c>
      <c r="E164" s="10" t="str">
        <f>IF($A164="","",IF($A164&lt;=_Engine!$B$24,_Engine!$G201,""))</f>
        <v/>
      </c>
      <c r="F164" s="10" t="str">
        <f>IF($A164="","",IF($A164&lt;=_Engine!$B$24,_Engine!$H201,""))</f>
        <v/>
      </c>
    </row>
    <row r="165" spans="1:6" x14ac:dyDescent="0.25">
      <c r="A165" s="8" t="str">
        <f>IF(162&lt;=MAX(_Engine!$B$23,_Engine!$B$24),162,"")</f>
        <v/>
      </c>
      <c r="B165" s="9" t="str">
        <f>IF($A165="","",EDATE(_Engine!$B$2,$A165-1))</f>
        <v/>
      </c>
      <c r="C165" s="10" t="str">
        <f>IF($A165="","",IF($A165&lt;=_Engine!$B$23,_Engine!$E202,""))</f>
        <v/>
      </c>
      <c r="D165" s="10" t="str">
        <f>IF($A165="","",IF($A165&lt;=_Engine!$B$23,_Engine!$F202,""))</f>
        <v/>
      </c>
      <c r="E165" s="10" t="str">
        <f>IF($A165="","",IF($A165&lt;=_Engine!$B$24,_Engine!$G202,""))</f>
        <v/>
      </c>
      <c r="F165" s="10" t="str">
        <f>IF($A165="","",IF($A165&lt;=_Engine!$B$24,_Engine!$H202,""))</f>
        <v/>
      </c>
    </row>
    <row r="166" spans="1:6" x14ac:dyDescent="0.25">
      <c r="A166" s="8" t="str">
        <f>IF(163&lt;=MAX(_Engine!$B$23,_Engine!$B$24),163,"")</f>
        <v/>
      </c>
      <c r="B166" s="9" t="str">
        <f>IF($A166="","",EDATE(_Engine!$B$2,$A166-1))</f>
        <v/>
      </c>
      <c r="C166" s="10" t="str">
        <f>IF($A166="","",IF($A166&lt;=_Engine!$B$23,_Engine!$E203,""))</f>
        <v/>
      </c>
      <c r="D166" s="10" t="str">
        <f>IF($A166="","",IF($A166&lt;=_Engine!$B$23,_Engine!$F203,""))</f>
        <v/>
      </c>
      <c r="E166" s="10" t="str">
        <f>IF($A166="","",IF($A166&lt;=_Engine!$B$24,_Engine!$G203,""))</f>
        <v/>
      </c>
      <c r="F166" s="10" t="str">
        <f>IF($A166="","",IF($A166&lt;=_Engine!$B$24,_Engine!$H203,""))</f>
        <v/>
      </c>
    </row>
    <row r="167" spans="1:6" x14ac:dyDescent="0.25">
      <c r="A167" s="8" t="str">
        <f>IF(164&lt;=MAX(_Engine!$B$23,_Engine!$B$24),164,"")</f>
        <v/>
      </c>
      <c r="B167" s="9" t="str">
        <f>IF($A167="","",EDATE(_Engine!$B$2,$A167-1))</f>
        <v/>
      </c>
      <c r="C167" s="10" t="str">
        <f>IF($A167="","",IF($A167&lt;=_Engine!$B$23,_Engine!$E204,""))</f>
        <v/>
      </c>
      <c r="D167" s="10" t="str">
        <f>IF($A167="","",IF($A167&lt;=_Engine!$B$23,_Engine!$F204,""))</f>
        <v/>
      </c>
      <c r="E167" s="10" t="str">
        <f>IF($A167="","",IF($A167&lt;=_Engine!$B$24,_Engine!$G204,""))</f>
        <v/>
      </c>
      <c r="F167" s="10" t="str">
        <f>IF($A167="","",IF($A167&lt;=_Engine!$B$24,_Engine!$H204,""))</f>
        <v/>
      </c>
    </row>
    <row r="168" spans="1:6" x14ac:dyDescent="0.25">
      <c r="A168" s="8" t="str">
        <f>IF(165&lt;=MAX(_Engine!$B$23,_Engine!$B$24),165,"")</f>
        <v/>
      </c>
      <c r="B168" s="9" t="str">
        <f>IF($A168="","",EDATE(_Engine!$B$2,$A168-1))</f>
        <v/>
      </c>
      <c r="C168" s="10" t="str">
        <f>IF($A168="","",IF($A168&lt;=_Engine!$B$23,_Engine!$E205,""))</f>
        <v/>
      </c>
      <c r="D168" s="10" t="str">
        <f>IF($A168="","",IF($A168&lt;=_Engine!$B$23,_Engine!$F205,""))</f>
        <v/>
      </c>
      <c r="E168" s="10" t="str">
        <f>IF($A168="","",IF($A168&lt;=_Engine!$B$24,_Engine!$G205,""))</f>
        <v/>
      </c>
      <c r="F168" s="10" t="str">
        <f>IF($A168="","",IF($A168&lt;=_Engine!$B$24,_Engine!$H205,""))</f>
        <v/>
      </c>
    </row>
    <row r="169" spans="1:6" x14ac:dyDescent="0.25">
      <c r="A169" s="8" t="str">
        <f>IF(166&lt;=MAX(_Engine!$B$23,_Engine!$B$24),166,"")</f>
        <v/>
      </c>
      <c r="B169" s="9" t="str">
        <f>IF($A169="","",EDATE(_Engine!$B$2,$A169-1))</f>
        <v/>
      </c>
      <c r="C169" s="10" t="str">
        <f>IF($A169="","",IF($A169&lt;=_Engine!$B$23,_Engine!$E206,""))</f>
        <v/>
      </c>
      <c r="D169" s="10" t="str">
        <f>IF($A169="","",IF($A169&lt;=_Engine!$B$23,_Engine!$F206,""))</f>
        <v/>
      </c>
      <c r="E169" s="10" t="str">
        <f>IF($A169="","",IF($A169&lt;=_Engine!$B$24,_Engine!$G206,""))</f>
        <v/>
      </c>
      <c r="F169" s="10" t="str">
        <f>IF($A169="","",IF($A169&lt;=_Engine!$B$24,_Engine!$H206,""))</f>
        <v/>
      </c>
    </row>
    <row r="170" spans="1:6" x14ac:dyDescent="0.25">
      <c r="A170" s="8" t="str">
        <f>IF(167&lt;=MAX(_Engine!$B$23,_Engine!$B$24),167,"")</f>
        <v/>
      </c>
      <c r="B170" s="9" t="str">
        <f>IF($A170="","",EDATE(_Engine!$B$2,$A170-1))</f>
        <v/>
      </c>
      <c r="C170" s="10" t="str">
        <f>IF($A170="","",IF($A170&lt;=_Engine!$B$23,_Engine!$E207,""))</f>
        <v/>
      </c>
      <c r="D170" s="10" t="str">
        <f>IF($A170="","",IF($A170&lt;=_Engine!$B$23,_Engine!$F207,""))</f>
        <v/>
      </c>
      <c r="E170" s="10" t="str">
        <f>IF($A170="","",IF($A170&lt;=_Engine!$B$24,_Engine!$G207,""))</f>
        <v/>
      </c>
      <c r="F170" s="10" t="str">
        <f>IF($A170="","",IF($A170&lt;=_Engine!$B$24,_Engine!$H207,""))</f>
        <v/>
      </c>
    </row>
    <row r="171" spans="1:6" x14ac:dyDescent="0.25">
      <c r="A171" s="8" t="str">
        <f>IF(168&lt;=MAX(_Engine!$B$23,_Engine!$B$24),168,"")</f>
        <v/>
      </c>
      <c r="B171" s="9" t="str">
        <f>IF($A171="","",EDATE(_Engine!$B$2,$A171-1))</f>
        <v/>
      </c>
      <c r="C171" s="10" t="str">
        <f>IF($A171="","",IF($A171&lt;=_Engine!$B$23,_Engine!$E208,""))</f>
        <v/>
      </c>
      <c r="D171" s="10" t="str">
        <f>IF($A171="","",IF($A171&lt;=_Engine!$B$23,_Engine!$F208,""))</f>
        <v/>
      </c>
      <c r="E171" s="10" t="str">
        <f>IF($A171="","",IF($A171&lt;=_Engine!$B$24,_Engine!$G208,""))</f>
        <v/>
      </c>
      <c r="F171" s="10" t="str">
        <f>IF($A171="","",IF($A171&lt;=_Engine!$B$24,_Engine!$H208,""))</f>
        <v/>
      </c>
    </row>
    <row r="172" spans="1:6" x14ac:dyDescent="0.25">
      <c r="A172" s="8" t="str">
        <f>IF(169&lt;=MAX(_Engine!$B$23,_Engine!$B$24),169,"")</f>
        <v/>
      </c>
      <c r="B172" s="9" t="str">
        <f>IF($A172="","",EDATE(_Engine!$B$2,$A172-1))</f>
        <v/>
      </c>
      <c r="C172" s="10" t="str">
        <f>IF($A172="","",IF($A172&lt;=_Engine!$B$23,_Engine!$E209,""))</f>
        <v/>
      </c>
      <c r="D172" s="10" t="str">
        <f>IF($A172="","",IF($A172&lt;=_Engine!$B$23,_Engine!$F209,""))</f>
        <v/>
      </c>
      <c r="E172" s="10" t="str">
        <f>IF($A172="","",IF($A172&lt;=_Engine!$B$24,_Engine!$G209,""))</f>
        <v/>
      </c>
      <c r="F172" s="10" t="str">
        <f>IF($A172="","",IF($A172&lt;=_Engine!$B$24,_Engine!$H209,""))</f>
        <v/>
      </c>
    </row>
    <row r="173" spans="1:6" x14ac:dyDescent="0.25">
      <c r="A173" s="8" t="str">
        <f>IF(170&lt;=MAX(_Engine!$B$23,_Engine!$B$24),170,"")</f>
        <v/>
      </c>
      <c r="B173" s="9" t="str">
        <f>IF($A173="","",EDATE(_Engine!$B$2,$A173-1))</f>
        <v/>
      </c>
      <c r="C173" s="10" t="str">
        <f>IF($A173="","",IF($A173&lt;=_Engine!$B$23,_Engine!$E210,""))</f>
        <v/>
      </c>
      <c r="D173" s="10" t="str">
        <f>IF($A173="","",IF($A173&lt;=_Engine!$B$23,_Engine!$F210,""))</f>
        <v/>
      </c>
      <c r="E173" s="10" t="str">
        <f>IF($A173="","",IF($A173&lt;=_Engine!$B$24,_Engine!$G210,""))</f>
        <v/>
      </c>
      <c r="F173" s="10" t="str">
        <f>IF($A173="","",IF($A173&lt;=_Engine!$B$24,_Engine!$H210,""))</f>
        <v/>
      </c>
    </row>
    <row r="174" spans="1:6" x14ac:dyDescent="0.25">
      <c r="A174" s="8" t="str">
        <f>IF(171&lt;=MAX(_Engine!$B$23,_Engine!$B$24),171,"")</f>
        <v/>
      </c>
      <c r="B174" s="9" t="str">
        <f>IF($A174="","",EDATE(_Engine!$B$2,$A174-1))</f>
        <v/>
      </c>
      <c r="C174" s="10" t="str">
        <f>IF($A174="","",IF($A174&lt;=_Engine!$B$23,_Engine!$E211,""))</f>
        <v/>
      </c>
      <c r="D174" s="10" t="str">
        <f>IF($A174="","",IF($A174&lt;=_Engine!$B$23,_Engine!$F211,""))</f>
        <v/>
      </c>
      <c r="E174" s="10" t="str">
        <f>IF($A174="","",IF($A174&lt;=_Engine!$B$24,_Engine!$G211,""))</f>
        <v/>
      </c>
      <c r="F174" s="10" t="str">
        <f>IF($A174="","",IF($A174&lt;=_Engine!$B$24,_Engine!$H211,""))</f>
        <v/>
      </c>
    </row>
    <row r="175" spans="1:6" x14ac:dyDescent="0.25">
      <c r="A175" s="8" t="str">
        <f>IF(172&lt;=MAX(_Engine!$B$23,_Engine!$B$24),172,"")</f>
        <v/>
      </c>
      <c r="B175" s="9" t="str">
        <f>IF($A175="","",EDATE(_Engine!$B$2,$A175-1))</f>
        <v/>
      </c>
      <c r="C175" s="10" t="str">
        <f>IF($A175="","",IF($A175&lt;=_Engine!$B$23,_Engine!$E212,""))</f>
        <v/>
      </c>
      <c r="D175" s="10" t="str">
        <f>IF($A175="","",IF($A175&lt;=_Engine!$B$23,_Engine!$F212,""))</f>
        <v/>
      </c>
      <c r="E175" s="10" t="str">
        <f>IF($A175="","",IF($A175&lt;=_Engine!$B$24,_Engine!$G212,""))</f>
        <v/>
      </c>
      <c r="F175" s="10" t="str">
        <f>IF($A175="","",IF($A175&lt;=_Engine!$B$24,_Engine!$H212,""))</f>
        <v/>
      </c>
    </row>
    <row r="176" spans="1:6" x14ac:dyDescent="0.25">
      <c r="A176" s="8" t="str">
        <f>IF(173&lt;=MAX(_Engine!$B$23,_Engine!$B$24),173,"")</f>
        <v/>
      </c>
      <c r="B176" s="9" t="str">
        <f>IF($A176="","",EDATE(_Engine!$B$2,$A176-1))</f>
        <v/>
      </c>
      <c r="C176" s="10" t="str">
        <f>IF($A176="","",IF($A176&lt;=_Engine!$B$23,_Engine!$E213,""))</f>
        <v/>
      </c>
      <c r="D176" s="10" t="str">
        <f>IF($A176="","",IF($A176&lt;=_Engine!$B$23,_Engine!$F213,""))</f>
        <v/>
      </c>
      <c r="E176" s="10" t="str">
        <f>IF($A176="","",IF($A176&lt;=_Engine!$B$24,_Engine!$G213,""))</f>
        <v/>
      </c>
      <c r="F176" s="10" t="str">
        <f>IF($A176="","",IF($A176&lt;=_Engine!$B$24,_Engine!$H213,""))</f>
        <v/>
      </c>
    </row>
    <row r="177" spans="1:6" x14ac:dyDescent="0.25">
      <c r="A177" s="8" t="str">
        <f>IF(174&lt;=MAX(_Engine!$B$23,_Engine!$B$24),174,"")</f>
        <v/>
      </c>
      <c r="B177" s="9" t="str">
        <f>IF($A177="","",EDATE(_Engine!$B$2,$A177-1))</f>
        <v/>
      </c>
      <c r="C177" s="10" t="str">
        <f>IF($A177="","",IF($A177&lt;=_Engine!$B$23,_Engine!$E214,""))</f>
        <v/>
      </c>
      <c r="D177" s="10" t="str">
        <f>IF($A177="","",IF($A177&lt;=_Engine!$B$23,_Engine!$F214,""))</f>
        <v/>
      </c>
      <c r="E177" s="10" t="str">
        <f>IF($A177="","",IF($A177&lt;=_Engine!$B$24,_Engine!$G214,""))</f>
        <v/>
      </c>
      <c r="F177" s="10" t="str">
        <f>IF($A177="","",IF($A177&lt;=_Engine!$B$24,_Engine!$H214,""))</f>
        <v/>
      </c>
    </row>
    <row r="178" spans="1:6" x14ac:dyDescent="0.25">
      <c r="A178" s="8" t="str">
        <f>IF(175&lt;=MAX(_Engine!$B$23,_Engine!$B$24),175,"")</f>
        <v/>
      </c>
      <c r="B178" s="9" t="str">
        <f>IF($A178="","",EDATE(_Engine!$B$2,$A178-1))</f>
        <v/>
      </c>
      <c r="C178" s="10" t="str">
        <f>IF($A178="","",IF($A178&lt;=_Engine!$B$23,_Engine!$E215,""))</f>
        <v/>
      </c>
      <c r="D178" s="10" t="str">
        <f>IF($A178="","",IF($A178&lt;=_Engine!$B$23,_Engine!$F215,""))</f>
        <v/>
      </c>
      <c r="E178" s="10" t="str">
        <f>IF($A178="","",IF($A178&lt;=_Engine!$B$24,_Engine!$G215,""))</f>
        <v/>
      </c>
      <c r="F178" s="10" t="str">
        <f>IF($A178="","",IF($A178&lt;=_Engine!$B$24,_Engine!$H215,""))</f>
        <v/>
      </c>
    </row>
    <row r="179" spans="1:6" x14ac:dyDescent="0.25">
      <c r="A179" s="8" t="str">
        <f>IF(176&lt;=MAX(_Engine!$B$23,_Engine!$B$24),176,"")</f>
        <v/>
      </c>
      <c r="B179" s="9" t="str">
        <f>IF($A179="","",EDATE(_Engine!$B$2,$A179-1))</f>
        <v/>
      </c>
      <c r="C179" s="10" t="str">
        <f>IF($A179="","",IF($A179&lt;=_Engine!$B$23,_Engine!$E216,""))</f>
        <v/>
      </c>
      <c r="D179" s="10" t="str">
        <f>IF($A179="","",IF($A179&lt;=_Engine!$B$23,_Engine!$F216,""))</f>
        <v/>
      </c>
      <c r="E179" s="10" t="str">
        <f>IF($A179="","",IF($A179&lt;=_Engine!$B$24,_Engine!$G216,""))</f>
        <v/>
      </c>
      <c r="F179" s="10" t="str">
        <f>IF($A179="","",IF($A179&lt;=_Engine!$B$24,_Engine!$H216,""))</f>
        <v/>
      </c>
    </row>
    <row r="180" spans="1:6" x14ac:dyDescent="0.25">
      <c r="A180" s="8" t="str">
        <f>IF(177&lt;=MAX(_Engine!$B$23,_Engine!$B$24),177,"")</f>
        <v/>
      </c>
      <c r="B180" s="9" t="str">
        <f>IF($A180="","",EDATE(_Engine!$B$2,$A180-1))</f>
        <v/>
      </c>
      <c r="C180" s="10" t="str">
        <f>IF($A180="","",IF($A180&lt;=_Engine!$B$23,_Engine!$E217,""))</f>
        <v/>
      </c>
      <c r="D180" s="10" t="str">
        <f>IF($A180="","",IF($A180&lt;=_Engine!$B$23,_Engine!$F217,""))</f>
        <v/>
      </c>
      <c r="E180" s="10" t="str">
        <f>IF($A180="","",IF($A180&lt;=_Engine!$B$24,_Engine!$G217,""))</f>
        <v/>
      </c>
      <c r="F180" s="10" t="str">
        <f>IF($A180="","",IF($A180&lt;=_Engine!$B$24,_Engine!$H217,""))</f>
        <v/>
      </c>
    </row>
    <row r="181" spans="1:6" x14ac:dyDescent="0.25">
      <c r="A181" s="8" t="str">
        <f>IF(178&lt;=MAX(_Engine!$B$23,_Engine!$B$24),178,"")</f>
        <v/>
      </c>
      <c r="B181" s="9" t="str">
        <f>IF($A181="","",EDATE(_Engine!$B$2,$A181-1))</f>
        <v/>
      </c>
      <c r="C181" s="10" t="str">
        <f>IF($A181="","",IF($A181&lt;=_Engine!$B$23,_Engine!$E218,""))</f>
        <v/>
      </c>
      <c r="D181" s="10" t="str">
        <f>IF($A181="","",IF($A181&lt;=_Engine!$B$23,_Engine!$F218,""))</f>
        <v/>
      </c>
      <c r="E181" s="10" t="str">
        <f>IF($A181="","",IF($A181&lt;=_Engine!$B$24,_Engine!$G218,""))</f>
        <v/>
      </c>
      <c r="F181" s="10" t="str">
        <f>IF($A181="","",IF($A181&lt;=_Engine!$B$24,_Engine!$H218,""))</f>
        <v/>
      </c>
    </row>
    <row r="182" spans="1:6" x14ac:dyDescent="0.25">
      <c r="A182" s="8" t="str">
        <f>IF(179&lt;=MAX(_Engine!$B$23,_Engine!$B$24),179,"")</f>
        <v/>
      </c>
      <c r="B182" s="9" t="str">
        <f>IF($A182="","",EDATE(_Engine!$B$2,$A182-1))</f>
        <v/>
      </c>
      <c r="C182" s="10" t="str">
        <f>IF($A182="","",IF($A182&lt;=_Engine!$B$23,_Engine!$E219,""))</f>
        <v/>
      </c>
      <c r="D182" s="10" t="str">
        <f>IF($A182="","",IF($A182&lt;=_Engine!$B$23,_Engine!$F219,""))</f>
        <v/>
      </c>
      <c r="E182" s="10" t="str">
        <f>IF($A182="","",IF($A182&lt;=_Engine!$B$24,_Engine!$G219,""))</f>
        <v/>
      </c>
      <c r="F182" s="10" t="str">
        <f>IF($A182="","",IF($A182&lt;=_Engine!$B$24,_Engine!$H219,""))</f>
        <v/>
      </c>
    </row>
    <row r="183" spans="1:6" x14ac:dyDescent="0.25">
      <c r="A183" s="8" t="str">
        <f>IF(180&lt;=MAX(_Engine!$B$23,_Engine!$B$24),180,"")</f>
        <v/>
      </c>
      <c r="B183" s="9" t="str">
        <f>IF($A183="","",EDATE(_Engine!$B$2,$A183-1))</f>
        <v/>
      </c>
      <c r="C183" s="10" t="str">
        <f>IF($A183="","",IF($A183&lt;=_Engine!$B$23,_Engine!$E220,""))</f>
        <v/>
      </c>
      <c r="D183" s="10" t="str">
        <f>IF($A183="","",IF($A183&lt;=_Engine!$B$23,_Engine!$F220,""))</f>
        <v/>
      </c>
      <c r="E183" s="10" t="str">
        <f>IF($A183="","",IF($A183&lt;=_Engine!$B$24,_Engine!$G220,""))</f>
        <v/>
      </c>
      <c r="F183" s="10" t="str">
        <f>IF($A183="","",IF($A183&lt;=_Engine!$B$24,_Engine!$H220,""))</f>
        <v/>
      </c>
    </row>
    <row r="184" spans="1:6" x14ac:dyDescent="0.25">
      <c r="A184" s="8" t="str">
        <f>IF(181&lt;=MAX(_Engine!$B$23,_Engine!$B$24),181,"")</f>
        <v/>
      </c>
      <c r="B184" s="9" t="str">
        <f>IF($A184="","",EDATE(_Engine!$B$2,$A184-1))</f>
        <v/>
      </c>
      <c r="C184" s="10" t="str">
        <f>IF($A184="","",IF($A184&lt;=_Engine!$B$23,_Engine!$E221,""))</f>
        <v/>
      </c>
      <c r="D184" s="10" t="str">
        <f>IF($A184="","",IF($A184&lt;=_Engine!$B$23,_Engine!$F221,""))</f>
        <v/>
      </c>
      <c r="E184" s="10" t="str">
        <f>IF($A184="","",IF($A184&lt;=_Engine!$B$24,_Engine!$G221,""))</f>
        <v/>
      </c>
      <c r="F184" s="10" t="str">
        <f>IF($A184="","",IF($A184&lt;=_Engine!$B$24,_Engine!$H221,""))</f>
        <v/>
      </c>
    </row>
    <row r="185" spans="1:6" x14ac:dyDescent="0.25">
      <c r="A185" s="8" t="str">
        <f>IF(182&lt;=MAX(_Engine!$B$23,_Engine!$B$24),182,"")</f>
        <v/>
      </c>
      <c r="B185" s="9" t="str">
        <f>IF($A185="","",EDATE(_Engine!$B$2,$A185-1))</f>
        <v/>
      </c>
      <c r="C185" s="10" t="str">
        <f>IF($A185="","",IF($A185&lt;=_Engine!$B$23,_Engine!$E222,""))</f>
        <v/>
      </c>
      <c r="D185" s="10" t="str">
        <f>IF($A185="","",IF($A185&lt;=_Engine!$B$23,_Engine!$F222,""))</f>
        <v/>
      </c>
      <c r="E185" s="10" t="str">
        <f>IF($A185="","",IF($A185&lt;=_Engine!$B$24,_Engine!$G222,""))</f>
        <v/>
      </c>
      <c r="F185" s="10" t="str">
        <f>IF($A185="","",IF($A185&lt;=_Engine!$B$24,_Engine!$H222,""))</f>
        <v/>
      </c>
    </row>
    <row r="186" spans="1:6" x14ac:dyDescent="0.25">
      <c r="A186" s="8" t="str">
        <f>IF(183&lt;=MAX(_Engine!$B$23,_Engine!$B$24),183,"")</f>
        <v/>
      </c>
      <c r="B186" s="9" t="str">
        <f>IF($A186="","",EDATE(_Engine!$B$2,$A186-1))</f>
        <v/>
      </c>
      <c r="C186" s="10" t="str">
        <f>IF($A186="","",IF($A186&lt;=_Engine!$B$23,_Engine!$E223,""))</f>
        <v/>
      </c>
      <c r="D186" s="10" t="str">
        <f>IF($A186="","",IF($A186&lt;=_Engine!$B$23,_Engine!$F223,""))</f>
        <v/>
      </c>
      <c r="E186" s="10" t="str">
        <f>IF($A186="","",IF($A186&lt;=_Engine!$B$24,_Engine!$G223,""))</f>
        <v/>
      </c>
      <c r="F186" s="10" t="str">
        <f>IF($A186="","",IF($A186&lt;=_Engine!$B$24,_Engine!$H223,""))</f>
        <v/>
      </c>
    </row>
    <row r="187" spans="1:6" x14ac:dyDescent="0.25">
      <c r="A187" s="8" t="str">
        <f>IF(184&lt;=MAX(_Engine!$B$23,_Engine!$B$24),184,"")</f>
        <v/>
      </c>
      <c r="B187" s="9" t="str">
        <f>IF($A187="","",EDATE(_Engine!$B$2,$A187-1))</f>
        <v/>
      </c>
      <c r="C187" s="10" t="str">
        <f>IF($A187="","",IF($A187&lt;=_Engine!$B$23,_Engine!$E224,""))</f>
        <v/>
      </c>
      <c r="D187" s="10" t="str">
        <f>IF($A187="","",IF($A187&lt;=_Engine!$B$23,_Engine!$F224,""))</f>
        <v/>
      </c>
      <c r="E187" s="10" t="str">
        <f>IF($A187="","",IF($A187&lt;=_Engine!$B$24,_Engine!$G224,""))</f>
        <v/>
      </c>
      <c r="F187" s="10" t="str">
        <f>IF($A187="","",IF($A187&lt;=_Engine!$B$24,_Engine!$H224,""))</f>
        <v/>
      </c>
    </row>
    <row r="188" spans="1:6" x14ac:dyDescent="0.25">
      <c r="A188" s="8" t="str">
        <f>IF(185&lt;=MAX(_Engine!$B$23,_Engine!$B$24),185,"")</f>
        <v/>
      </c>
      <c r="B188" s="9" t="str">
        <f>IF($A188="","",EDATE(_Engine!$B$2,$A188-1))</f>
        <v/>
      </c>
      <c r="C188" s="10" t="str">
        <f>IF($A188="","",IF($A188&lt;=_Engine!$B$23,_Engine!$E225,""))</f>
        <v/>
      </c>
      <c r="D188" s="10" t="str">
        <f>IF($A188="","",IF($A188&lt;=_Engine!$B$23,_Engine!$F225,""))</f>
        <v/>
      </c>
      <c r="E188" s="10" t="str">
        <f>IF($A188="","",IF($A188&lt;=_Engine!$B$24,_Engine!$G225,""))</f>
        <v/>
      </c>
      <c r="F188" s="10" t="str">
        <f>IF($A188="","",IF($A188&lt;=_Engine!$B$24,_Engine!$H225,""))</f>
        <v/>
      </c>
    </row>
    <row r="189" spans="1:6" x14ac:dyDescent="0.25">
      <c r="A189" s="8" t="str">
        <f>IF(186&lt;=MAX(_Engine!$B$23,_Engine!$B$24),186,"")</f>
        <v/>
      </c>
      <c r="B189" s="9" t="str">
        <f>IF($A189="","",EDATE(_Engine!$B$2,$A189-1))</f>
        <v/>
      </c>
      <c r="C189" s="10" t="str">
        <f>IF($A189="","",IF($A189&lt;=_Engine!$B$23,_Engine!$E226,""))</f>
        <v/>
      </c>
      <c r="D189" s="10" t="str">
        <f>IF($A189="","",IF($A189&lt;=_Engine!$B$23,_Engine!$F226,""))</f>
        <v/>
      </c>
      <c r="E189" s="10" t="str">
        <f>IF($A189="","",IF($A189&lt;=_Engine!$B$24,_Engine!$G226,""))</f>
        <v/>
      </c>
      <c r="F189" s="10" t="str">
        <f>IF($A189="","",IF($A189&lt;=_Engine!$B$24,_Engine!$H226,""))</f>
        <v/>
      </c>
    </row>
    <row r="190" spans="1:6" x14ac:dyDescent="0.25">
      <c r="A190" s="8" t="str">
        <f>IF(187&lt;=MAX(_Engine!$B$23,_Engine!$B$24),187,"")</f>
        <v/>
      </c>
      <c r="B190" s="9" t="str">
        <f>IF($A190="","",EDATE(_Engine!$B$2,$A190-1))</f>
        <v/>
      </c>
      <c r="C190" s="10" t="str">
        <f>IF($A190="","",IF($A190&lt;=_Engine!$B$23,_Engine!$E227,""))</f>
        <v/>
      </c>
      <c r="D190" s="10" t="str">
        <f>IF($A190="","",IF($A190&lt;=_Engine!$B$23,_Engine!$F227,""))</f>
        <v/>
      </c>
      <c r="E190" s="10" t="str">
        <f>IF($A190="","",IF($A190&lt;=_Engine!$B$24,_Engine!$G227,""))</f>
        <v/>
      </c>
      <c r="F190" s="10" t="str">
        <f>IF($A190="","",IF($A190&lt;=_Engine!$B$24,_Engine!$H227,""))</f>
        <v/>
      </c>
    </row>
    <row r="191" spans="1:6" x14ac:dyDescent="0.25">
      <c r="A191" s="8" t="str">
        <f>IF(188&lt;=MAX(_Engine!$B$23,_Engine!$B$24),188,"")</f>
        <v/>
      </c>
      <c r="B191" s="9" t="str">
        <f>IF($A191="","",EDATE(_Engine!$B$2,$A191-1))</f>
        <v/>
      </c>
      <c r="C191" s="10" t="str">
        <f>IF($A191="","",IF($A191&lt;=_Engine!$B$23,_Engine!$E228,""))</f>
        <v/>
      </c>
      <c r="D191" s="10" t="str">
        <f>IF($A191="","",IF($A191&lt;=_Engine!$B$23,_Engine!$F228,""))</f>
        <v/>
      </c>
      <c r="E191" s="10" t="str">
        <f>IF($A191="","",IF($A191&lt;=_Engine!$B$24,_Engine!$G228,""))</f>
        <v/>
      </c>
      <c r="F191" s="10" t="str">
        <f>IF($A191="","",IF($A191&lt;=_Engine!$B$24,_Engine!$H228,""))</f>
        <v/>
      </c>
    </row>
    <row r="192" spans="1:6" x14ac:dyDescent="0.25">
      <c r="A192" s="8" t="str">
        <f>IF(189&lt;=MAX(_Engine!$B$23,_Engine!$B$24),189,"")</f>
        <v/>
      </c>
      <c r="B192" s="9" t="str">
        <f>IF($A192="","",EDATE(_Engine!$B$2,$A192-1))</f>
        <v/>
      </c>
      <c r="C192" s="10" t="str">
        <f>IF($A192="","",IF($A192&lt;=_Engine!$B$23,_Engine!$E229,""))</f>
        <v/>
      </c>
      <c r="D192" s="10" t="str">
        <f>IF($A192="","",IF($A192&lt;=_Engine!$B$23,_Engine!$F229,""))</f>
        <v/>
      </c>
      <c r="E192" s="10" t="str">
        <f>IF($A192="","",IF($A192&lt;=_Engine!$B$24,_Engine!$G229,""))</f>
        <v/>
      </c>
      <c r="F192" s="10" t="str">
        <f>IF($A192="","",IF($A192&lt;=_Engine!$B$24,_Engine!$H229,""))</f>
        <v/>
      </c>
    </row>
    <row r="193" spans="1:6" x14ac:dyDescent="0.25">
      <c r="A193" s="8" t="str">
        <f>IF(190&lt;=MAX(_Engine!$B$23,_Engine!$B$24),190,"")</f>
        <v/>
      </c>
      <c r="B193" s="9" t="str">
        <f>IF($A193="","",EDATE(_Engine!$B$2,$A193-1))</f>
        <v/>
      </c>
      <c r="C193" s="10" t="str">
        <f>IF($A193="","",IF($A193&lt;=_Engine!$B$23,_Engine!$E230,""))</f>
        <v/>
      </c>
      <c r="D193" s="10" t="str">
        <f>IF($A193="","",IF($A193&lt;=_Engine!$B$23,_Engine!$F230,""))</f>
        <v/>
      </c>
      <c r="E193" s="10" t="str">
        <f>IF($A193="","",IF($A193&lt;=_Engine!$B$24,_Engine!$G230,""))</f>
        <v/>
      </c>
      <c r="F193" s="10" t="str">
        <f>IF($A193="","",IF($A193&lt;=_Engine!$B$24,_Engine!$H230,""))</f>
        <v/>
      </c>
    </row>
    <row r="194" spans="1:6" x14ac:dyDescent="0.25">
      <c r="A194" s="8" t="str">
        <f>IF(191&lt;=MAX(_Engine!$B$23,_Engine!$B$24),191,"")</f>
        <v/>
      </c>
      <c r="B194" s="9" t="str">
        <f>IF($A194="","",EDATE(_Engine!$B$2,$A194-1))</f>
        <v/>
      </c>
      <c r="C194" s="10" t="str">
        <f>IF($A194="","",IF($A194&lt;=_Engine!$B$23,_Engine!$E231,""))</f>
        <v/>
      </c>
      <c r="D194" s="10" t="str">
        <f>IF($A194="","",IF($A194&lt;=_Engine!$B$23,_Engine!$F231,""))</f>
        <v/>
      </c>
      <c r="E194" s="10" t="str">
        <f>IF($A194="","",IF($A194&lt;=_Engine!$B$24,_Engine!$G231,""))</f>
        <v/>
      </c>
      <c r="F194" s="10" t="str">
        <f>IF($A194="","",IF($A194&lt;=_Engine!$B$24,_Engine!$H231,""))</f>
        <v/>
      </c>
    </row>
    <row r="195" spans="1:6" x14ac:dyDescent="0.25">
      <c r="A195" s="8" t="str">
        <f>IF(192&lt;=MAX(_Engine!$B$23,_Engine!$B$24),192,"")</f>
        <v/>
      </c>
      <c r="B195" s="9" t="str">
        <f>IF($A195="","",EDATE(_Engine!$B$2,$A195-1))</f>
        <v/>
      </c>
      <c r="C195" s="10" t="str">
        <f>IF($A195="","",IF($A195&lt;=_Engine!$B$23,_Engine!$E232,""))</f>
        <v/>
      </c>
      <c r="D195" s="10" t="str">
        <f>IF($A195="","",IF($A195&lt;=_Engine!$B$23,_Engine!$F232,""))</f>
        <v/>
      </c>
      <c r="E195" s="10" t="str">
        <f>IF($A195="","",IF($A195&lt;=_Engine!$B$24,_Engine!$G232,""))</f>
        <v/>
      </c>
      <c r="F195" s="10" t="str">
        <f>IF($A195="","",IF($A195&lt;=_Engine!$B$24,_Engine!$H232,""))</f>
        <v/>
      </c>
    </row>
    <row r="196" spans="1:6" x14ac:dyDescent="0.25">
      <c r="A196" s="8" t="str">
        <f>IF(193&lt;=MAX(_Engine!$B$23,_Engine!$B$24),193,"")</f>
        <v/>
      </c>
      <c r="B196" s="9" t="str">
        <f>IF($A196="","",EDATE(_Engine!$B$2,$A196-1))</f>
        <v/>
      </c>
      <c r="C196" s="10" t="str">
        <f>IF($A196="","",IF($A196&lt;=_Engine!$B$23,_Engine!$E233,""))</f>
        <v/>
      </c>
      <c r="D196" s="10" t="str">
        <f>IF($A196="","",IF($A196&lt;=_Engine!$B$23,_Engine!$F233,""))</f>
        <v/>
      </c>
      <c r="E196" s="10" t="str">
        <f>IF($A196="","",IF($A196&lt;=_Engine!$B$24,_Engine!$G233,""))</f>
        <v/>
      </c>
      <c r="F196" s="10" t="str">
        <f>IF($A196="","",IF($A196&lt;=_Engine!$B$24,_Engine!$H233,""))</f>
        <v/>
      </c>
    </row>
    <row r="197" spans="1:6" x14ac:dyDescent="0.25">
      <c r="A197" s="8" t="str">
        <f>IF(194&lt;=MAX(_Engine!$B$23,_Engine!$B$24),194,"")</f>
        <v/>
      </c>
      <c r="B197" s="9" t="str">
        <f>IF($A197="","",EDATE(_Engine!$B$2,$A197-1))</f>
        <v/>
      </c>
      <c r="C197" s="10" t="str">
        <f>IF($A197="","",IF($A197&lt;=_Engine!$B$23,_Engine!$E234,""))</f>
        <v/>
      </c>
      <c r="D197" s="10" t="str">
        <f>IF($A197="","",IF($A197&lt;=_Engine!$B$23,_Engine!$F234,""))</f>
        <v/>
      </c>
      <c r="E197" s="10" t="str">
        <f>IF($A197="","",IF($A197&lt;=_Engine!$B$24,_Engine!$G234,""))</f>
        <v/>
      </c>
      <c r="F197" s="10" t="str">
        <f>IF($A197="","",IF($A197&lt;=_Engine!$B$24,_Engine!$H234,""))</f>
        <v/>
      </c>
    </row>
    <row r="198" spans="1:6" x14ac:dyDescent="0.25">
      <c r="A198" s="8" t="str">
        <f>IF(195&lt;=MAX(_Engine!$B$23,_Engine!$B$24),195,"")</f>
        <v/>
      </c>
      <c r="B198" s="9" t="str">
        <f>IF($A198="","",EDATE(_Engine!$B$2,$A198-1))</f>
        <v/>
      </c>
      <c r="C198" s="10" t="str">
        <f>IF($A198="","",IF($A198&lt;=_Engine!$B$23,_Engine!$E235,""))</f>
        <v/>
      </c>
      <c r="D198" s="10" t="str">
        <f>IF($A198="","",IF($A198&lt;=_Engine!$B$23,_Engine!$F235,""))</f>
        <v/>
      </c>
      <c r="E198" s="10" t="str">
        <f>IF($A198="","",IF($A198&lt;=_Engine!$B$24,_Engine!$G235,""))</f>
        <v/>
      </c>
      <c r="F198" s="10" t="str">
        <f>IF($A198="","",IF($A198&lt;=_Engine!$B$24,_Engine!$H235,""))</f>
        <v/>
      </c>
    </row>
    <row r="199" spans="1:6" x14ac:dyDescent="0.25">
      <c r="A199" s="8" t="str">
        <f>IF(196&lt;=MAX(_Engine!$B$23,_Engine!$B$24),196,"")</f>
        <v/>
      </c>
      <c r="B199" s="9" t="str">
        <f>IF($A199="","",EDATE(_Engine!$B$2,$A199-1))</f>
        <v/>
      </c>
      <c r="C199" s="10" t="str">
        <f>IF($A199="","",IF($A199&lt;=_Engine!$B$23,_Engine!$E236,""))</f>
        <v/>
      </c>
      <c r="D199" s="10" t="str">
        <f>IF($A199="","",IF($A199&lt;=_Engine!$B$23,_Engine!$F236,""))</f>
        <v/>
      </c>
      <c r="E199" s="10" t="str">
        <f>IF($A199="","",IF($A199&lt;=_Engine!$B$24,_Engine!$G236,""))</f>
        <v/>
      </c>
      <c r="F199" s="10" t="str">
        <f>IF($A199="","",IF($A199&lt;=_Engine!$B$24,_Engine!$H236,""))</f>
        <v/>
      </c>
    </row>
    <row r="200" spans="1:6" x14ac:dyDescent="0.25">
      <c r="A200" s="8" t="str">
        <f>IF(197&lt;=MAX(_Engine!$B$23,_Engine!$B$24),197,"")</f>
        <v/>
      </c>
      <c r="B200" s="9" t="str">
        <f>IF($A200="","",EDATE(_Engine!$B$2,$A200-1))</f>
        <v/>
      </c>
      <c r="C200" s="10" t="str">
        <f>IF($A200="","",IF($A200&lt;=_Engine!$B$23,_Engine!$E237,""))</f>
        <v/>
      </c>
      <c r="D200" s="10" t="str">
        <f>IF($A200="","",IF($A200&lt;=_Engine!$B$23,_Engine!$F237,""))</f>
        <v/>
      </c>
      <c r="E200" s="10" t="str">
        <f>IF($A200="","",IF($A200&lt;=_Engine!$B$24,_Engine!$G237,""))</f>
        <v/>
      </c>
      <c r="F200" s="10" t="str">
        <f>IF($A200="","",IF($A200&lt;=_Engine!$B$24,_Engine!$H237,""))</f>
        <v/>
      </c>
    </row>
    <row r="201" spans="1:6" x14ac:dyDescent="0.25">
      <c r="A201" s="8" t="str">
        <f>IF(198&lt;=MAX(_Engine!$B$23,_Engine!$B$24),198,"")</f>
        <v/>
      </c>
      <c r="B201" s="9" t="str">
        <f>IF($A201="","",EDATE(_Engine!$B$2,$A201-1))</f>
        <v/>
      </c>
      <c r="C201" s="10" t="str">
        <f>IF($A201="","",IF($A201&lt;=_Engine!$B$23,_Engine!$E238,""))</f>
        <v/>
      </c>
      <c r="D201" s="10" t="str">
        <f>IF($A201="","",IF($A201&lt;=_Engine!$B$23,_Engine!$F238,""))</f>
        <v/>
      </c>
      <c r="E201" s="10" t="str">
        <f>IF($A201="","",IF($A201&lt;=_Engine!$B$24,_Engine!$G238,""))</f>
        <v/>
      </c>
      <c r="F201" s="10" t="str">
        <f>IF($A201="","",IF($A201&lt;=_Engine!$B$24,_Engine!$H238,""))</f>
        <v/>
      </c>
    </row>
    <row r="202" spans="1:6" x14ac:dyDescent="0.25">
      <c r="A202" s="8" t="str">
        <f>IF(199&lt;=MAX(_Engine!$B$23,_Engine!$B$24),199,"")</f>
        <v/>
      </c>
      <c r="B202" s="9" t="str">
        <f>IF($A202="","",EDATE(_Engine!$B$2,$A202-1))</f>
        <v/>
      </c>
      <c r="C202" s="10" t="str">
        <f>IF($A202="","",IF($A202&lt;=_Engine!$B$23,_Engine!$E239,""))</f>
        <v/>
      </c>
      <c r="D202" s="10" t="str">
        <f>IF($A202="","",IF($A202&lt;=_Engine!$B$23,_Engine!$F239,""))</f>
        <v/>
      </c>
      <c r="E202" s="10" t="str">
        <f>IF($A202="","",IF($A202&lt;=_Engine!$B$24,_Engine!$G239,""))</f>
        <v/>
      </c>
      <c r="F202" s="10" t="str">
        <f>IF($A202="","",IF($A202&lt;=_Engine!$B$24,_Engine!$H239,""))</f>
        <v/>
      </c>
    </row>
    <row r="203" spans="1:6" x14ac:dyDescent="0.25">
      <c r="A203" s="8" t="str">
        <f>IF(200&lt;=MAX(_Engine!$B$23,_Engine!$B$24),200,"")</f>
        <v/>
      </c>
      <c r="B203" s="9" t="str">
        <f>IF($A203="","",EDATE(_Engine!$B$2,$A203-1))</f>
        <v/>
      </c>
      <c r="C203" s="10" t="str">
        <f>IF($A203="","",IF($A203&lt;=_Engine!$B$23,_Engine!$E240,""))</f>
        <v/>
      </c>
      <c r="D203" s="10" t="str">
        <f>IF($A203="","",IF($A203&lt;=_Engine!$B$23,_Engine!$F240,""))</f>
        <v/>
      </c>
      <c r="E203" s="10" t="str">
        <f>IF($A203="","",IF($A203&lt;=_Engine!$B$24,_Engine!$G240,""))</f>
        <v/>
      </c>
      <c r="F203" s="10" t="str">
        <f>IF($A203="","",IF($A203&lt;=_Engine!$B$24,_Engine!$H240,""))</f>
        <v/>
      </c>
    </row>
    <row r="204" spans="1:6" x14ac:dyDescent="0.25">
      <c r="A204" s="8" t="str">
        <f>IF(201&lt;=MAX(_Engine!$B$23,_Engine!$B$24),201,"")</f>
        <v/>
      </c>
      <c r="B204" s="9" t="str">
        <f>IF($A204="","",EDATE(_Engine!$B$2,$A204-1))</f>
        <v/>
      </c>
      <c r="C204" s="10" t="str">
        <f>IF($A204="","",IF($A204&lt;=_Engine!$B$23,_Engine!$E241,""))</f>
        <v/>
      </c>
      <c r="D204" s="10" t="str">
        <f>IF($A204="","",IF($A204&lt;=_Engine!$B$23,_Engine!$F241,""))</f>
        <v/>
      </c>
      <c r="E204" s="10" t="str">
        <f>IF($A204="","",IF($A204&lt;=_Engine!$B$24,_Engine!$G241,""))</f>
        <v/>
      </c>
      <c r="F204" s="10" t="str">
        <f>IF($A204="","",IF($A204&lt;=_Engine!$B$24,_Engine!$H241,""))</f>
        <v/>
      </c>
    </row>
    <row r="205" spans="1:6" x14ac:dyDescent="0.25">
      <c r="A205" s="8" t="str">
        <f>IF(202&lt;=MAX(_Engine!$B$23,_Engine!$B$24),202,"")</f>
        <v/>
      </c>
      <c r="B205" s="9" t="str">
        <f>IF($A205="","",EDATE(_Engine!$B$2,$A205-1))</f>
        <v/>
      </c>
      <c r="C205" s="10" t="str">
        <f>IF($A205="","",IF($A205&lt;=_Engine!$B$23,_Engine!$E242,""))</f>
        <v/>
      </c>
      <c r="D205" s="10" t="str">
        <f>IF($A205="","",IF($A205&lt;=_Engine!$B$23,_Engine!$F242,""))</f>
        <v/>
      </c>
      <c r="E205" s="10" t="str">
        <f>IF($A205="","",IF($A205&lt;=_Engine!$B$24,_Engine!$G242,""))</f>
        <v/>
      </c>
      <c r="F205" s="10" t="str">
        <f>IF($A205="","",IF($A205&lt;=_Engine!$B$24,_Engine!$H242,""))</f>
        <v/>
      </c>
    </row>
    <row r="206" spans="1:6" x14ac:dyDescent="0.25">
      <c r="A206" s="8" t="str">
        <f>IF(203&lt;=MAX(_Engine!$B$23,_Engine!$B$24),203,"")</f>
        <v/>
      </c>
      <c r="B206" s="9" t="str">
        <f>IF($A206="","",EDATE(_Engine!$B$2,$A206-1))</f>
        <v/>
      </c>
      <c r="C206" s="10" t="str">
        <f>IF($A206="","",IF($A206&lt;=_Engine!$B$23,_Engine!$E243,""))</f>
        <v/>
      </c>
      <c r="D206" s="10" t="str">
        <f>IF($A206="","",IF($A206&lt;=_Engine!$B$23,_Engine!$F243,""))</f>
        <v/>
      </c>
      <c r="E206" s="10" t="str">
        <f>IF($A206="","",IF($A206&lt;=_Engine!$B$24,_Engine!$G243,""))</f>
        <v/>
      </c>
      <c r="F206" s="10" t="str">
        <f>IF($A206="","",IF($A206&lt;=_Engine!$B$24,_Engine!$H243,""))</f>
        <v/>
      </c>
    </row>
    <row r="207" spans="1:6" x14ac:dyDescent="0.25">
      <c r="A207" s="8" t="str">
        <f>IF(204&lt;=MAX(_Engine!$B$23,_Engine!$B$24),204,"")</f>
        <v/>
      </c>
      <c r="B207" s="9" t="str">
        <f>IF($A207="","",EDATE(_Engine!$B$2,$A207-1))</f>
        <v/>
      </c>
      <c r="C207" s="10" t="str">
        <f>IF($A207="","",IF($A207&lt;=_Engine!$B$23,_Engine!$E244,""))</f>
        <v/>
      </c>
      <c r="D207" s="10" t="str">
        <f>IF($A207="","",IF($A207&lt;=_Engine!$B$23,_Engine!$F244,""))</f>
        <v/>
      </c>
      <c r="E207" s="10" t="str">
        <f>IF($A207="","",IF($A207&lt;=_Engine!$B$24,_Engine!$G244,""))</f>
        <v/>
      </c>
      <c r="F207" s="10" t="str">
        <f>IF($A207="","",IF($A207&lt;=_Engine!$B$24,_Engine!$H244,""))</f>
        <v/>
      </c>
    </row>
    <row r="208" spans="1:6" x14ac:dyDescent="0.25">
      <c r="A208" s="8" t="str">
        <f>IF(205&lt;=MAX(_Engine!$B$23,_Engine!$B$24),205,"")</f>
        <v/>
      </c>
      <c r="B208" s="9" t="str">
        <f>IF($A208="","",EDATE(_Engine!$B$2,$A208-1))</f>
        <v/>
      </c>
      <c r="C208" s="10" t="str">
        <f>IF($A208="","",IF($A208&lt;=_Engine!$B$23,_Engine!$E245,""))</f>
        <v/>
      </c>
      <c r="D208" s="10" t="str">
        <f>IF($A208="","",IF($A208&lt;=_Engine!$B$23,_Engine!$F245,""))</f>
        <v/>
      </c>
      <c r="E208" s="10" t="str">
        <f>IF($A208="","",IF($A208&lt;=_Engine!$B$24,_Engine!$G245,""))</f>
        <v/>
      </c>
      <c r="F208" s="10" t="str">
        <f>IF($A208="","",IF($A208&lt;=_Engine!$B$24,_Engine!$H245,""))</f>
        <v/>
      </c>
    </row>
    <row r="209" spans="1:6" x14ac:dyDescent="0.25">
      <c r="A209" s="8" t="str">
        <f>IF(206&lt;=MAX(_Engine!$B$23,_Engine!$B$24),206,"")</f>
        <v/>
      </c>
      <c r="B209" s="9" t="str">
        <f>IF($A209="","",EDATE(_Engine!$B$2,$A209-1))</f>
        <v/>
      </c>
      <c r="C209" s="10" t="str">
        <f>IF($A209="","",IF($A209&lt;=_Engine!$B$23,_Engine!$E246,""))</f>
        <v/>
      </c>
      <c r="D209" s="10" t="str">
        <f>IF($A209="","",IF($A209&lt;=_Engine!$B$23,_Engine!$F246,""))</f>
        <v/>
      </c>
      <c r="E209" s="10" t="str">
        <f>IF($A209="","",IF($A209&lt;=_Engine!$B$24,_Engine!$G246,""))</f>
        <v/>
      </c>
      <c r="F209" s="10" t="str">
        <f>IF($A209="","",IF($A209&lt;=_Engine!$B$24,_Engine!$H246,""))</f>
        <v/>
      </c>
    </row>
    <row r="210" spans="1:6" x14ac:dyDescent="0.25">
      <c r="A210" s="8" t="str">
        <f>IF(207&lt;=MAX(_Engine!$B$23,_Engine!$B$24),207,"")</f>
        <v/>
      </c>
      <c r="B210" s="9" t="str">
        <f>IF($A210="","",EDATE(_Engine!$B$2,$A210-1))</f>
        <v/>
      </c>
      <c r="C210" s="10" t="str">
        <f>IF($A210="","",IF($A210&lt;=_Engine!$B$23,_Engine!$E247,""))</f>
        <v/>
      </c>
      <c r="D210" s="10" t="str">
        <f>IF($A210="","",IF($A210&lt;=_Engine!$B$23,_Engine!$F247,""))</f>
        <v/>
      </c>
      <c r="E210" s="10" t="str">
        <f>IF($A210="","",IF($A210&lt;=_Engine!$B$24,_Engine!$G247,""))</f>
        <v/>
      </c>
      <c r="F210" s="10" t="str">
        <f>IF($A210="","",IF($A210&lt;=_Engine!$B$24,_Engine!$H247,""))</f>
        <v/>
      </c>
    </row>
    <row r="211" spans="1:6" x14ac:dyDescent="0.25">
      <c r="A211" s="8" t="str">
        <f>IF(208&lt;=MAX(_Engine!$B$23,_Engine!$B$24),208,"")</f>
        <v/>
      </c>
      <c r="B211" s="9" t="str">
        <f>IF($A211="","",EDATE(_Engine!$B$2,$A211-1))</f>
        <v/>
      </c>
      <c r="C211" s="10" t="str">
        <f>IF($A211="","",IF($A211&lt;=_Engine!$B$23,_Engine!$E248,""))</f>
        <v/>
      </c>
      <c r="D211" s="10" t="str">
        <f>IF($A211="","",IF($A211&lt;=_Engine!$B$23,_Engine!$F248,""))</f>
        <v/>
      </c>
      <c r="E211" s="10" t="str">
        <f>IF($A211="","",IF($A211&lt;=_Engine!$B$24,_Engine!$G248,""))</f>
        <v/>
      </c>
      <c r="F211" s="10" t="str">
        <f>IF($A211="","",IF($A211&lt;=_Engine!$B$24,_Engine!$H248,""))</f>
        <v/>
      </c>
    </row>
    <row r="212" spans="1:6" x14ac:dyDescent="0.25">
      <c r="A212" s="8" t="str">
        <f>IF(209&lt;=MAX(_Engine!$B$23,_Engine!$B$24),209,"")</f>
        <v/>
      </c>
      <c r="B212" s="9" t="str">
        <f>IF($A212="","",EDATE(_Engine!$B$2,$A212-1))</f>
        <v/>
      </c>
      <c r="C212" s="10" t="str">
        <f>IF($A212="","",IF($A212&lt;=_Engine!$B$23,_Engine!$E249,""))</f>
        <v/>
      </c>
      <c r="D212" s="10" t="str">
        <f>IF($A212="","",IF($A212&lt;=_Engine!$B$23,_Engine!$F249,""))</f>
        <v/>
      </c>
      <c r="E212" s="10" t="str">
        <f>IF($A212="","",IF($A212&lt;=_Engine!$B$24,_Engine!$G249,""))</f>
        <v/>
      </c>
      <c r="F212" s="10" t="str">
        <f>IF($A212="","",IF($A212&lt;=_Engine!$B$24,_Engine!$H249,""))</f>
        <v/>
      </c>
    </row>
    <row r="213" spans="1:6" x14ac:dyDescent="0.25">
      <c r="A213" s="8" t="str">
        <f>IF(210&lt;=MAX(_Engine!$B$23,_Engine!$B$24),210,"")</f>
        <v/>
      </c>
      <c r="B213" s="9" t="str">
        <f>IF($A213="","",EDATE(_Engine!$B$2,$A213-1))</f>
        <v/>
      </c>
      <c r="C213" s="10" t="str">
        <f>IF($A213="","",IF($A213&lt;=_Engine!$B$23,_Engine!$E250,""))</f>
        <v/>
      </c>
      <c r="D213" s="10" t="str">
        <f>IF($A213="","",IF($A213&lt;=_Engine!$B$23,_Engine!$F250,""))</f>
        <v/>
      </c>
      <c r="E213" s="10" t="str">
        <f>IF($A213="","",IF($A213&lt;=_Engine!$B$24,_Engine!$G250,""))</f>
        <v/>
      </c>
      <c r="F213" s="10" t="str">
        <f>IF($A213="","",IF($A213&lt;=_Engine!$B$24,_Engine!$H250,""))</f>
        <v/>
      </c>
    </row>
    <row r="214" spans="1:6" x14ac:dyDescent="0.25">
      <c r="A214" s="8" t="str">
        <f>IF(211&lt;=MAX(_Engine!$B$23,_Engine!$B$24),211,"")</f>
        <v/>
      </c>
      <c r="B214" s="9" t="str">
        <f>IF($A214="","",EDATE(_Engine!$B$2,$A214-1))</f>
        <v/>
      </c>
      <c r="C214" s="10" t="str">
        <f>IF($A214="","",IF($A214&lt;=_Engine!$B$23,_Engine!$E251,""))</f>
        <v/>
      </c>
      <c r="D214" s="10" t="str">
        <f>IF($A214="","",IF($A214&lt;=_Engine!$B$23,_Engine!$F251,""))</f>
        <v/>
      </c>
      <c r="E214" s="10" t="str">
        <f>IF($A214="","",IF($A214&lt;=_Engine!$B$24,_Engine!$G251,""))</f>
        <v/>
      </c>
      <c r="F214" s="10" t="str">
        <f>IF($A214="","",IF($A214&lt;=_Engine!$B$24,_Engine!$H251,""))</f>
        <v/>
      </c>
    </row>
    <row r="215" spans="1:6" x14ac:dyDescent="0.25">
      <c r="A215" s="8" t="str">
        <f>IF(212&lt;=MAX(_Engine!$B$23,_Engine!$B$24),212,"")</f>
        <v/>
      </c>
      <c r="B215" s="9" t="str">
        <f>IF($A215="","",EDATE(_Engine!$B$2,$A215-1))</f>
        <v/>
      </c>
      <c r="C215" s="10" t="str">
        <f>IF($A215="","",IF($A215&lt;=_Engine!$B$23,_Engine!$E252,""))</f>
        <v/>
      </c>
      <c r="D215" s="10" t="str">
        <f>IF($A215="","",IF($A215&lt;=_Engine!$B$23,_Engine!$F252,""))</f>
        <v/>
      </c>
      <c r="E215" s="10" t="str">
        <f>IF($A215="","",IF($A215&lt;=_Engine!$B$24,_Engine!$G252,""))</f>
        <v/>
      </c>
      <c r="F215" s="10" t="str">
        <f>IF($A215="","",IF($A215&lt;=_Engine!$B$24,_Engine!$H252,""))</f>
        <v/>
      </c>
    </row>
    <row r="216" spans="1:6" x14ac:dyDescent="0.25">
      <c r="A216" s="8" t="str">
        <f>IF(213&lt;=MAX(_Engine!$B$23,_Engine!$B$24),213,"")</f>
        <v/>
      </c>
      <c r="B216" s="9" t="str">
        <f>IF($A216="","",EDATE(_Engine!$B$2,$A216-1))</f>
        <v/>
      </c>
      <c r="C216" s="10" t="str">
        <f>IF($A216="","",IF($A216&lt;=_Engine!$B$23,_Engine!$E253,""))</f>
        <v/>
      </c>
      <c r="D216" s="10" t="str">
        <f>IF($A216="","",IF($A216&lt;=_Engine!$B$23,_Engine!$F253,""))</f>
        <v/>
      </c>
      <c r="E216" s="10" t="str">
        <f>IF($A216="","",IF($A216&lt;=_Engine!$B$24,_Engine!$G253,""))</f>
        <v/>
      </c>
      <c r="F216" s="10" t="str">
        <f>IF($A216="","",IF($A216&lt;=_Engine!$B$24,_Engine!$H253,""))</f>
        <v/>
      </c>
    </row>
    <row r="217" spans="1:6" x14ac:dyDescent="0.25">
      <c r="A217" s="8" t="str">
        <f>IF(214&lt;=MAX(_Engine!$B$23,_Engine!$B$24),214,"")</f>
        <v/>
      </c>
      <c r="B217" s="9" t="str">
        <f>IF($A217="","",EDATE(_Engine!$B$2,$A217-1))</f>
        <v/>
      </c>
      <c r="C217" s="10" t="str">
        <f>IF($A217="","",IF($A217&lt;=_Engine!$B$23,_Engine!$E254,""))</f>
        <v/>
      </c>
      <c r="D217" s="10" t="str">
        <f>IF($A217="","",IF($A217&lt;=_Engine!$B$23,_Engine!$F254,""))</f>
        <v/>
      </c>
      <c r="E217" s="10" t="str">
        <f>IF($A217="","",IF($A217&lt;=_Engine!$B$24,_Engine!$G254,""))</f>
        <v/>
      </c>
      <c r="F217" s="10" t="str">
        <f>IF($A217="","",IF($A217&lt;=_Engine!$B$24,_Engine!$H254,""))</f>
        <v/>
      </c>
    </row>
    <row r="218" spans="1:6" x14ac:dyDescent="0.25">
      <c r="A218" s="8" t="str">
        <f>IF(215&lt;=MAX(_Engine!$B$23,_Engine!$B$24),215,"")</f>
        <v/>
      </c>
      <c r="B218" s="9" t="str">
        <f>IF($A218="","",EDATE(_Engine!$B$2,$A218-1))</f>
        <v/>
      </c>
      <c r="C218" s="10" t="str">
        <f>IF($A218="","",IF($A218&lt;=_Engine!$B$23,_Engine!$E255,""))</f>
        <v/>
      </c>
      <c r="D218" s="10" t="str">
        <f>IF($A218="","",IF($A218&lt;=_Engine!$B$23,_Engine!$F255,""))</f>
        <v/>
      </c>
      <c r="E218" s="10" t="str">
        <f>IF($A218="","",IF($A218&lt;=_Engine!$B$24,_Engine!$G255,""))</f>
        <v/>
      </c>
      <c r="F218" s="10" t="str">
        <f>IF($A218="","",IF($A218&lt;=_Engine!$B$24,_Engine!$H255,""))</f>
        <v/>
      </c>
    </row>
    <row r="219" spans="1:6" x14ac:dyDescent="0.25">
      <c r="A219" s="8" t="str">
        <f>IF(216&lt;=MAX(_Engine!$B$23,_Engine!$B$24),216,"")</f>
        <v/>
      </c>
      <c r="B219" s="9" t="str">
        <f>IF($A219="","",EDATE(_Engine!$B$2,$A219-1))</f>
        <v/>
      </c>
      <c r="C219" s="10" t="str">
        <f>IF($A219="","",IF($A219&lt;=_Engine!$B$23,_Engine!$E256,""))</f>
        <v/>
      </c>
      <c r="D219" s="10" t="str">
        <f>IF($A219="","",IF($A219&lt;=_Engine!$B$23,_Engine!$F256,""))</f>
        <v/>
      </c>
      <c r="E219" s="10" t="str">
        <f>IF($A219="","",IF($A219&lt;=_Engine!$B$24,_Engine!$G256,""))</f>
        <v/>
      </c>
      <c r="F219" s="10" t="str">
        <f>IF($A219="","",IF($A219&lt;=_Engine!$B$24,_Engine!$H256,""))</f>
        <v/>
      </c>
    </row>
    <row r="220" spans="1:6" x14ac:dyDescent="0.25">
      <c r="A220" s="8" t="str">
        <f>IF(217&lt;=MAX(_Engine!$B$23,_Engine!$B$24),217,"")</f>
        <v/>
      </c>
      <c r="B220" s="9" t="str">
        <f>IF($A220="","",EDATE(_Engine!$B$2,$A220-1))</f>
        <v/>
      </c>
      <c r="C220" s="10" t="str">
        <f>IF($A220="","",IF($A220&lt;=_Engine!$B$23,_Engine!$E257,""))</f>
        <v/>
      </c>
      <c r="D220" s="10" t="str">
        <f>IF($A220="","",IF($A220&lt;=_Engine!$B$23,_Engine!$F257,""))</f>
        <v/>
      </c>
      <c r="E220" s="10" t="str">
        <f>IF($A220="","",IF($A220&lt;=_Engine!$B$24,_Engine!$G257,""))</f>
        <v/>
      </c>
      <c r="F220" s="10" t="str">
        <f>IF($A220="","",IF($A220&lt;=_Engine!$B$24,_Engine!$H257,""))</f>
        <v/>
      </c>
    </row>
    <row r="221" spans="1:6" x14ac:dyDescent="0.25">
      <c r="A221" s="8" t="str">
        <f>IF(218&lt;=MAX(_Engine!$B$23,_Engine!$B$24),218,"")</f>
        <v/>
      </c>
      <c r="B221" s="9" t="str">
        <f>IF($A221="","",EDATE(_Engine!$B$2,$A221-1))</f>
        <v/>
      </c>
      <c r="C221" s="10" t="str">
        <f>IF($A221="","",IF($A221&lt;=_Engine!$B$23,_Engine!$E258,""))</f>
        <v/>
      </c>
      <c r="D221" s="10" t="str">
        <f>IF($A221="","",IF($A221&lt;=_Engine!$B$23,_Engine!$F258,""))</f>
        <v/>
      </c>
      <c r="E221" s="10" t="str">
        <f>IF($A221="","",IF($A221&lt;=_Engine!$B$24,_Engine!$G258,""))</f>
        <v/>
      </c>
      <c r="F221" s="10" t="str">
        <f>IF($A221="","",IF($A221&lt;=_Engine!$B$24,_Engine!$H258,""))</f>
        <v/>
      </c>
    </row>
    <row r="222" spans="1:6" x14ac:dyDescent="0.25">
      <c r="A222" s="8" t="str">
        <f>IF(219&lt;=MAX(_Engine!$B$23,_Engine!$B$24),219,"")</f>
        <v/>
      </c>
      <c r="B222" s="9" t="str">
        <f>IF($A222="","",EDATE(_Engine!$B$2,$A222-1))</f>
        <v/>
      </c>
      <c r="C222" s="10" t="str">
        <f>IF($A222="","",IF($A222&lt;=_Engine!$B$23,_Engine!$E259,""))</f>
        <v/>
      </c>
      <c r="D222" s="10" t="str">
        <f>IF($A222="","",IF($A222&lt;=_Engine!$B$23,_Engine!$F259,""))</f>
        <v/>
      </c>
      <c r="E222" s="10" t="str">
        <f>IF($A222="","",IF($A222&lt;=_Engine!$B$24,_Engine!$G259,""))</f>
        <v/>
      </c>
      <c r="F222" s="10" t="str">
        <f>IF($A222="","",IF($A222&lt;=_Engine!$B$24,_Engine!$H259,""))</f>
        <v/>
      </c>
    </row>
    <row r="223" spans="1:6" x14ac:dyDescent="0.25">
      <c r="A223" s="8" t="str">
        <f>IF(220&lt;=MAX(_Engine!$B$23,_Engine!$B$24),220,"")</f>
        <v/>
      </c>
      <c r="B223" s="9" t="str">
        <f>IF($A223="","",EDATE(_Engine!$B$2,$A223-1))</f>
        <v/>
      </c>
      <c r="C223" s="10" t="str">
        <f>IF($A223="","",IF($A223&lt;=_Engine!$B$23,_Engine!$E260,""))</f>
        <v/>
      </c>
      <c r="D223" s="10" t="str">
        <f>IF($A223="","",IF($A223&lt;=_Engine!$B$23,_Engine!$F260,""))</f>
        <v/>
      </c>
      <c r="E223" s="10" t="str">
        <f>IF($A223="","",IF($A223&lt;=_Engine!$B$24,_Engine!$G260,""))</f>
        <v/>
      </c>
      <c r="F223" s="10" t="str">
        <f>IF($A223="","",IF($A223&lt;=_Engine!$B$24,_Engine!$H260,""))</f>
        <v/>
      </c>
    </row>
    <row r="224" spans="1:6" x14ac:dyDescent="0.25">
      <c r="A224" s="8" t="str">
        <f>IF(221&lt;=MAX(_Engine!$B$23,_Engine!$B$24),221,"")</f>
        <v/>
      </c>
      <c r="B224" s="9" t="str">
        <f>IF($A224="","",EDATE(_Engine!$B$2,$A224-1))</f>
        <v/>
      </c>
      <c r="C224" s="10" t="str">
        <f>IF($A224="","",IF($A224&lt;=_Engine!$B$23,_Engine!$E261,""))</f>
        <v/>
      </c>
      <c r="D224" s="10" t="str">
        <f>IF($A224="","",IF($A224&lt;=_Engine!$B$23,_Engine!$F261,""))</f>
        <v/>
      </c>
      <c r="E224" s="10" t="str">
        <f>IF($A224="","",IF($A224&lt;=_Engine!$B$24,_Engine!$G261,""))</f>
        <v/>
      </c>
      <c r="F224" s="10" t="str">
        <f>IF($A224="","",IF($A224&lt;=_Engine!$B$24,_Engine!$H261,""))</f>
        <v/>
      </c>
    </row>
    <row r="225" spans="1:6" x14ac:dyDescent="0.25">
      <c r="A225" s="8" t="str">
        <f>IF(222&lt;=MAX(_Engine!$B$23,_Engine!$B$24),222,"")</f>
        <v/>
      </c>
      <c r="B225" s="9" t="str">
        <f>IF($A225="","",EDATE(_Engine!$B$2,$A225-1))</f>
        <v/>
      </c>
      <c r="C225" s="10" t="str">
        <f>IF($A225="","",IF($A225&lt;=_Engine!$B$23,_Engine!$E262,""))</f>
        <v/>
      </c>
      <c r="D225" s="10" t="str">
        <f>IF($A225="","",IF($A225&lt;=_Engine!$B$23,_Engine!$F262,""))</f>
        <v/>
      </c>
      <c r="E225" s="10" t="str">
        <f>IF($A225="","",IF($A225&lt;=_Engine!$B$24,_Engine!$G262,""))</f>
        <v/>
      </c>
      <c r="F225" s="10" t="str">
        <f>IF($A225="","",IF($A225&lt;=_Engine!$B$24,_Engine!$H262,""))</f>
        <v/>
      </c>
    </row>
    <row r="226" spans="1:6" x14ac:dyDescent="0.25">
      <c r="A226" s="8" t="str">
        <f>IF(223&lt;=MAX(_Engine!$B$23,_Engine!$B$24),223,"")</f>
        <v/>
      </c>
      <c r="B226" s="9" t="str">
        <f>IF($A226="","",EDATE(_Engine!$B$2,$A226-1))</f>
        <v/>
      </c>
      <c r="C226" s="10" t="str">
        <f>IF($A226="","",IF($A226&lt;=_Engine!$B$23,_Engine!$E263,""))</f>
        <v/>
      </c>
      <c r="D226" s="10" t="str">
        <f>IF($A226="","",IF($A226&lt;=_Engine!$B$23,_Engine!$F263,""))</f>
        <v/>
      </c>
      <c r="E226" s="10" t="str">
        <f>IF($A226="","",IF($A226&lt;=_Engine!$B$24,_Engine!$G263,""))</f>
        <v/>
      </c>
      <c r="F226" s="10" t="str">
        <f>IF($A226="","",IF($A226&lt;=_Engine!$B$24,_Engine!$H263,""))</f>
        <v/>
      </c>
    </row>
    <row r="227" spans="1:6" x14ac:dyDescent="0.25">
      <c r="A227" s="8" t="str">
        <f>IF(224&lt;=MAX(_Engine!$B$23,_Engine!$B$24),224,"")</f>
        <v/>
      </c>
      <c r="B227" s="9" t="str">
        <f>IF($A227="","",EDATE(_Engine!$B$2,$A227-1))</f>
        <v/>
      </c>
      <c r="C227" s="10" t="str">
        <f>IF($A227="","",IF($A227&lt;=_Engine!$B$23,_Engine!$E264,""))</f>
        <v/>
      </c>
      <c r="D227" s="10" t="str">
        <f>IF($A227="","",IF($A227&lt;=_Engine!$B$23,_Engine!$F264,""))</f>
        <v/>
      </c>
      <c r="E227" s="10" t="str">
        <f>IF($A227="","",IF($A227&lt;=_Engine!$B$24,_Engine!$G264,""))</f>
        <v/>
      </c>
      <c r="F227" s="10" t="str">
        <f>IF($A227="","",IF($A227&lt;=_Engine!$B$24,_Engine!$H264,""))</f>
        <v/>
      </c>
    </row>
    <row r="228" spans="1:6" x14ac:dyDescent="0.25">
      <c r="A228" s="8" t="str">
        <f>IF(225&lt;=MAX(_Engine!$B$23,_Engine!$B$24),225,"")</f>
        <v/>
      </c>
      <c r="B228" s="9" t="str">
        <f>IF($A228="","",EDATE(_Engine!$B$2,$A228-1))</f>
        <v/>
      </c>
      <c r="C228" s="10" t="str">
        <f>IF($A228="","",IF($A228&lt;=_Engine!$B$23,_Engine!$E265,""))</f>
        <v/>
      </c>
      <c r="D228" s="10" t="str">
        <f>IF($A228="","",IF($A228&lt;=_Engine!$B$23,_Engine!$F265,""))</f>
        <v/>
      </c>
      <c r="E228" s="10" t="str">
        <f>IF($A228="","",IF($A228&lt;=_Engine!$B$24,_Engine!$G265,""))</f>
        <v/>
      </c>
      <c r="F228" s="10" t="str">
        <f>IF($A228="","",IF($A228&lt;=_Engine!$B$24,_Engine!$H265,""))</f>
        <v/>
      </c>
    </row>
    <row r="229" spans="1:6" x14ac:dyDescent="0.25">
      <c r="A229" s="8" t="str">
        <f>IF(226&lt;=MAX(_Engine!$B$23,_Engine!$B$24),226,"")</f>
        <v/>
      </c>
      <c r="B229" s="9" t="str">
        <f>IF($A229="","",EDATE(_Engine!$B$2,$A229-1))</f>
        <v/>
      </c>
      <c r="C229" s="10" t="str">
        <f>IF($A229="","",IF($A229&lt;=_Engine!$B$23,_Engine!$E266,""))</f>
        <v/>
      </c>
      <c r="D229" s="10" t="str">
        <f>IF($A229="","",IF($A229&lt;=_Engine!$B$23,_Engine!$F266,""))</f>
        <v/>
      </c>
      <c r="E229" s="10" t="str">
        <f>IF($A229="","",IF($A229&lt;=_Engine!$B$24,_Engine!$G266,""))</f>
        <v/>
      </c>
      <c r="F229" s="10" t="str">
        <f>IF($A229="","",IF($A229&lt;=_Engine!$B$24,_Engine!$H266,""))</f>
        <v/>
      </c>
    </row>
    <row r="230" spans="1:6" x14ac:dyDescent="0.25">
      <c r="A230" s="8" t="str">
        <f>IF(227&lt;=MAX(_Engine!$B$23,_Engine!$B$24),227,"")</f>
        <v/>
      </c>
      <c r="B230" s="9" t="str">
        <f>IF($A230="","",EDATE(_Engine!$B$2,$A230-1))</f>
        <v/>
      </c>
      <c r="C230" s="10" t="str">
        <f>IF($A230="","",IF($A230&lt;=_Engine!$B$23,_Engine!$E267,""))</f>
        <v/>
      </c>
      <c r="D230" s="10" t="str">
        <f>IF($A230="","",IF($A230&lt;=_Engine!$B$23,_Engine!$F267,""))</f>
        <v/>
      </c>
      <c r="E230" s="10" t="str">
        <f>IF($A230="","",IF($A230&lt;=_Engine!$B$24,_Engine!$G267,""))</f>
        <v/>
      </c>
      <c r="F230" s="10" t="str">
        <f>IF($A230="","",IF($A230&lt;=_Engine!$B$24,_Engine!$H267,""))</f>
        <v/>
      </c>
    </row>
    <row r="231" spans="1:6" x14ac:dyDescent="0.25">
      <c r="A231" s="8" t="str">
        <f>IF(228&lt;=MAX(_Engine!$B$23,_Engine!$B$24),228,"")</f>
        <v/>
      </c>
      <c r="B231" s="9" t="str">
        <f>IF($A231="","",EDATE(_Engine!$B$2,$A231-1))</f>
        <v/>
      </c>
      <c r="C231" s="10" t="str">
        <f>IF($A231="","",IF($A231&lt;=_Engine!$B$23,_Engine!$E268,""))</f>
        <v/>
      </c>
      <c r="D231" s="10" t="str">
        <f>IF($A231="","",IF($A231&lt;=_Engine!$B$23,_Engine!$F268,""))</f>
        <v/>
      </c>
      <c r="E231" s="10" t="str">
        <f>IF($A231="","",IF($A231&lt;=_Engine!$B$24,_Engine!$G268,""))</f>
        <v/>
      </c>
      <c r="F231" s="10" t="str">
        <f>IF($A231="","",IF($A231&lt;=_Engine!$B$24,_Engine!$H268,""))</f>
        <v/>
      </c>
    </row>
    <row r="232" spans="1:6" x14ac:dyDescent="0.25">
      <c r="A232" s="8" t="str">
        <f>IF(229&lt;=MAX(_Engine!$B$23,_Engine!$B$24),229,"")</f>
        <v/>
      </c>
      <c r="B232" s="9" t="str">
        <f>IF($A232="","",EDATE(_Engine!$B$2,$A232-1))</f>
        <v/>
      </c>
      <c r="C232" s="10" t="str">
        <f>IF($A232="","",IF($A232&lt;=_Engine!$B$23,_Engine!$E269,""))</f>
        <v/>
      </c>
      <c r="D232" s="10" t="str">
        <f>IF($A232="","",IF($A232&lt;=_Engine!$B$23,_Engine!$F269,""))</f>
        <v/>
      </c>
      <c r="E232" s="10" t="str">
        <f>IF($A232="","",IF($A232&lt;=_Engine!$B$24,_Engine!$G269,""))</f>
        <v/>
      </c>
      <c r="F232" s="10" t="str">
        <f>IF($A232="","",IF($A232&lt;=_Engine!$B$24,_Engine!$H269,""))</f>
        <v/>
      </c>
    </row>
    <row r="233" spans="1:6" x14ac:dyDescent="0.25">
      <c r="A233" s="8" t="str">
        <f>IF(230&lt;=MAX(_Engine!$B$23,_Engine!$B$24),230,"")</f>
        <v/>
      </c>
      <c r="B233" s="9" t="str">
        <f>IF($A233="","",EDATE(_Engine!$B$2,$A233-1))</f>
        <v/>
      </c>
      <c r="C233" s="10" t="str">
        <f>IF($A233="","",IF($A233&lt;=_Engine!$B$23,_Engine!$E270,""))</f>
        <v/>
      </c>
      <c r="D233" s="10" t="str">
        <f>IF($A233="","",IF($A233&lt;=_Engine!$B$23,_Engine!$F270,""))</f>
        <v/>
      </c>
      <c r="E233" s="10" t="str">
        <f>IF($A233="","",IF($A233&lt;=_Engine!$B$24,_Engine!$G270,""))</f>
        <v/>
      </c>
      <c r="F233" s="10" t="str">
        <f>IF($A233="","",IF($A233&lt;=_Engine!$B$24,_Engine!$H270,""))</f>
        <v/>
      </c>
    </row>
    <row r="234" spans="1:6" x14ac:dyDescent="0.25">
      <c r="A234" s="8" t="str">
        <f>IF(231&lt;=MAX(_Engine!$B$23,_Engine!$B$24),231,"")</f>
        <v/>
      </c>
      <c r="B234" s="9" t="str">
        <f>IF($A234="","",EDATE(_Engine!$B$2,$A234-1))</f>
        <v/>
      </c>
      <c r="C234" s="10" t="str">
        <f>IF($A234="","",IF($A234&lt;=_Engine!$B$23,_Engine!$E271,""))</f>
        <v/>
      </c>
      <c r="D234" s="10" t="str">
        <f>IF($A234="","",IF($A234&lt;=_Engine!$B$23,_Engine!$F271,""))</f>
        <v/>
      </c>
      <c r="E234" s="10" t="str">
        <f>IF($A234="","",IF($A234&lt;=_Engine!$B$24,_Engine!$G271,""))</f>
        <v/>
      </c>
      <c r="F234" s="10" t="str">
        <f>IF($A234="","",IF($A234&lt;=_Engine!$B$24,_Engine!$H271,""))</f>
        <v/>
      </c>
    </row>
    <row r="235" spans="1:6" x14ac:dyDescent="0.25">
      <c r="A235" s="8" t="str">
        <f>IF(232&lt;=MAX(_Engine!$B$23,_Engine!$B$24),232,"")</f>
        <v/>
      </c>
      <c r="B235" s="9" t="str">
        <f>IF($A235="","",EDATE(_Engine!$B$2,$A235-1))</f>
        <v/>
      </c>
      <c r="C235" s="10" t="str">
        <f>IF($A235="","",IF($A235&lt;=_Engine!$B$23,_Engine!$E272,""))</f>
        <v/>
      </c>
      <c r="D235" s="10" t="str">
        <f>IF($A235="","",IF($A235&lt;=_Engine!$B$23,_Engine!$F272,""))</f>
        <v/>
      </c>
      <c r="E235" s="10" t="str">
        <f>IF($A235="","",IF($A235&lt;=_Engine!$B$24,_Engine!$G272,""))</f>
        <v/>
      </c>
      <c r="F235" s="10" t="str">
        <f>IF($A235="","",IF($A235&lt;=_Engine!$B$24,_Engine!$H272,""))</f>
        <v/>
      </c>
    </row>
    <row r="236" spans="1:6" x14ac:dyDescent="0.25">
      <c r="A236" s="8" t="str">
        <f>IF(233&lt;=MAX(_Engine!$B$23,_Engine!$B$24),233,"")</f>
        <v/>
      </c>
      <c r="B236" s="9" t="str">
        <f>IF($A236="","",EDATE(_Engine!$B$2,$A236-1))</f>
        <v/>
      </c>
      <c r="C236" s="10" t="str">
        <f>IF($A236="","",IF($A236&lt;=_Engine!$B$23,_Engine!$E273,""))</f>
        <v/>
      </c>
      <c r="D236" s="10" t="str">
        <f>IF($A236="","",IF($A236&lt;=_Engine!$B$23,_Engine!$F273,""))</f>
        <v/>
      </c>
      <c r="E236" s="10" t="str">
        <f>IF($A236="","",IF($A236&lt;=_Engine!$B$24,_Engine!$G273,""))</f>
        <v/>
      </c>
      <c r="F236" s="10" t="str">
        <f>IF($A236="","",IF($A236&lt;=_Engine!$B$24,_Engine!$H273,""))</f>
        <v/>
      </c>
    </row>
    <row r="237" spans="1:6" x14ac:dyDescent="0.25">
      <c r="A237" s="8" t="str">
        <f>IF(234&lt;=MAX(_Engine!$B$23,_Engine!$B$24),234,"")</f>
        <v/>
      </c>
      <c r="B237" s="9" t="str">
        <f>IF($A237="","",EDATE(_Engine!$B$2,$A237-1))</f>
        <v/>
      </c>
      <c r="C237" s="10" t="str">
        <f>IF($A237="","",IF($A237&lt;=_Engine!$B$23,_Engine!$E274,""))</f>
        <v/>
      </c>
      <c r="D237" s="10" t="str">
        <f>IF($A237="","",IF($A237&lt;=_Engine!$B$23,_Engine!$F274,""))</f>
        <v/>
      </c>
      <c r="E237" s="10" t="str">
        <f>IF($A237="","",IF($A237&lt;=_Engine!$B$24,_Engine!$G274,""))</f>
        <v/>
      </c>
      <c r="F237" s="10" t="str">
        <f>IF($A237="","",IF($A237&lt;=_Engine!$B$24,_Engine!$H274,""))</f>
        <v/>
      </c>
    </row>
    <row r="238" spans="1:6" x14ac:dyDescent="0.25">
      <c r="A238" s="8" t="str">
        <f>IF(235&lt;=MAX(_Engine!$B$23,_Engine!$B$24),235,"")</f>
        <v/>
      </c>
      <c r="B238" s="9" t="str">
        <f>IF($A238="","",EDATE(_Engine!$B$2,$A238-1))</f>
        <v/>
      </c>
      <c r="C238" s="10" t="str">
        <f>IF($A238="","",IF($A238&lt;=_Engine!$B$23,_Engine!$E275,""))</f>
        <v/>
      </c>
      <c r="D238" s="10" t="str">
        <f>IF($A238="","",IF($A238&lt;=_Engine!$B$23,_Engine!$F275,""))</f>
        <v/>
      </c>
      <c r="E238" s="10" t="str">
        <f>IF($A238="","",IF($A238&lt;=_Engine!$B$24,_Engine!$G275,""))</f>
        <v/>
      </c>
      <c r="F238" s="10" t="str">
        <f>IF($A238="","",IF($A238&lt;=_Engine!$B$24,_Engine!$H275,""))</f>
        <v/>
      </c>
    </row>
    <row r="239" spans="1:6" x14ac:dyDescent="0.25">
      <c r="A239" s="8" t="str">
        <f>IF(236&lt;=MAX(_Engine!$B$23,_Engine!$B$24),236,"")</f>
        <v/>
      </c>
      <c r="B239" s="9" t="str">
        <f>IF($A239="","",EDATE(_Engine!$B$2,$A239-1))</f>
        <v/>
      </c>
      <c r="C239" s="10" t="str">
        <f>IF($A239="","",IF($A239&lt;=_Engine!$B$23,_Engine!$E276,""))</f>
        <v/>
      </c>
      <c r="D239" s="10" t="str">
        <f>IF($A239="","",IF($A239&lt;=_Engine!$B$23,_Engine!$F276,""))</f>
        <v/>
      </c>
      <c r="E239" s="10" t="str">
        <f>IF($A239="","",IF($A239&lt;=_Engine!$B$24,_Engine!$G276,""))</f>
        <v/>
      </c>
      <c r="F239" s="10" t="str">
        <f>IF($A239="","",IF($A239&lt;=_Engine!$B$24,_Engine!$H276,""))</f>
        <v/>
      </c>
    </row>
    <row r="240" spans="1:6" x14ac:dyDescent="0.25">
      <c r="A240" s="8" t="str">
        <f>IF(237&lt;=MAX(_Engine!$B$23,_Engine!$B$24),237,"")</f>
        <v/>
      </c>
      <c r="B240" s="9" t="str">
        <f>IF($A240="","",EDATE(_Engine!$B$2,$A240-1))</f>
        <v/>
      </c>
      <c r="C240" s="10" t="str">
        <f>IF($A240="","",IF($A240&lt;=_Engine!$B$23,_Engine!$E277,""))</f>
        <v/>
      </c>
      <c r="D240" s="10" t="str">
        <f>IF($A240="","",IF($A240&lt;=_Engine!$B$23,_Engine!$F277,""))</f>
        <v/>
      </c>
      <c r="E240" s="10" t="str">
        <f>IF($A240="","",IF($A240&lt;=_Engine!$B$24,_Engine!$G277,""))</f>
        <v/>
      </c>
      <c r="F240" s="10" t="str">
        <f>IF($A240="","",IF($A240&lt;=_Engine!$B$24,_Engine!$H277,""))</f>
        <v/>
      </c>
    </row>
    <row r="241" spans="1:6" x14ac:dyDescent="0.25">
      <c r="A241" s="8" t="str">
        <f>IF(238&lt;=MAX(_Engine!$B$23,_Engine!$B$24),238,"")</f>
        <v/>
      </c>
      <c r="B241" s="9" t="str">
        <f>IF($A241="","",EDATE(_Engine!$B$2,$A241-1))</f>
        <v/>
      </c>
      <c r="C241" s="10" t="str">
        <f>IF($A241="","",IF($A241&lt;=_Engine!$B$23,_Engine!$E278,""))</f>
        <v/>
      </c>
      <c r="D241" s="10" t="str">
        <f>IF($A241="","",IF($A241&lt;=_Engine!$B$23,_Engine!$F278,""))</f>
        <v/>
      </c>
      <c r="E241" s="10" t="str">
        <f>IF($A241="","",IF($A241&lt;=_Engine!$B$24,_Engine!$G278,""))</f>
        <v/>
      </c>
      <c r="F241" s="10" t="str">
        <f>IF($A241="","",IF($A241&lt;=_Engine!$B$24,_Engine!$H278,""))</f>
        <v/>
      </c>
    </row>
    <row r="242" spans="1:6" x14ac:dyDescent="0.25">
      <c r="A242" s="8" t="str">
        <f>IF(239&lt;=MAX(_Engine!$B$23,_Engine!$B$24),239,"")</f>
        <v/>
      </c>
      <c r="B242" s="9" t="str">
        <f>IF($A242="","",EDATE(_Engine!$B$2,$A242-1))</f>
        <v/>
      </c>
      <c r="C242" s="10" t="str">
        <f>IF($A242="","",IF($A242&lt;=_Engine!$B$23,_Engine!$E279,""))</f>
        <v/>
      </c>
      <c r="D242" s="10" t="str">
        <f>IF($A242="","",IF($A242&lt;=_Engine!$B$23,_Engine!$F279,""))</f>
        <v/>
      </c>
      <c r="E242" s="10" t="str">
        <f>IF($A242="","",IF($A242&lt;=_Engine!$B$24,_Engine!$G279,""))</f>
        <v/>
      </c>
      <c r="F242" s="10" t="str">
        <f>IF($A242="","",IF($A242&lt;=_Engine!$B$24,_Engine!$H279,""))</f>
        <v/>
      </c>
    </row>
    <row r="243" spans="1:6" x14ac:dyDescent="0.25">
      <c r="A243" s="8" t="str">
        <f>IF(240&lt;=MAX(_Engine!$B$23,_Engine!$B$24),240,"")</f>
        <v/>
      </c>
      <c r="B243" s="9" t="str">
        <f>IF($A243="","",EDATE(_Engine!$B$2,$A243-1))</f>
        <v/>
      </c>
      <c r="C243" s="10" t="str">
        <f>IF($A243="","",IF($A243&lt;=_Engine!$B$23,_Engine!$E280,""))</f>
        <v/>
      </c>
      <c r="D243" s="10" t="str">
        <f>IF($A243="","",IF($A243&lt;=_Engine!$B$23,_Engine!$F280,""))</f>
        <v/>
      </c>
      <c r="E243" s="10" t="str">
        <f>IF($A243="","",IF($A243&lt;=_Engine!$B$24,_Engine!$G280,""))</f>
        <v/>
      </c>
      <c r="F243" s="10" t="str">
        <f>IF($A243="","",IF($A243&lt;=_Engine!$B$24,_Engine!$H280,""))</f>
        <v/>
      </c>
    </row>
    <row r="244" spans="1:6" x14ac:dyDescent="0.25">
      <c r="A244" s="8" t="str">
        <f>IF(241&lt;=MAX(_Engine!$B$23,_Engine!$B$24),241,"")</f>
        <v/>
      </c>
      <c r="B244" s="9" t="str">
        <f>IF($A244="","",EDATE(_Engine!$B$2,$A244-1))</f>
        <v/>
      </c>
      <c r="C244" s="10" t="str">
        <f>IF($A244="","",IF($A244&lt;=_Engine!$B$23,_Engine!$E281,""))</f>
        <v/>
      </c>
      <c r="D244" s="10" t="str">
        <f>IF($A244="","",IF($A244&lt;=_Engine!$B$23,_Engine!$F281,""))</f>
        <v/>
      </c>
      <c r="E244" s="10" t="str">
        <f>IF($A244="","",IF($A244&lt;=_Engine!$B$24,_Engine!$G281,""))</f>
        <v/>
      </c>
      <c r="F244" s="10" t="str">
        <f>IF($A244="","",IF($A244&lt;=_Engine!$B$24,_Engine!$H281,""))</f>
        <v/>
      </c>
    </row>
    <row r="245" spans="1:6" x14ac:dyDescent="0.25">
      <c r="A245" s="8" t="str">
        <f>IF(242&lt;=MAX(_Engine!$B$23,_Engine!$B$24),242,"")</f>
        <v/>
      </c>
      <c r="B245" s="9" t="str">
        <f>IF($A245="","",EDATE(_Engine!$B$2,$A245-1))</f>
        <v/>
      </c>
      <c r="C245" s="10" t="str">
        <f>IF($A245="","",IF($A245&lt;=_Engine!$B$23,_Engine!$E282,""))</f>
        <v/>
      </c>
      <c r="D245" s="10" t="str">
        <f>IF($A245="","",IF($A245&lt;=_Engine!$B$23,_Engine!$F282,""))</f>
        <v/>
      </c>
      <c r="E245" s="10" t="str">
        <f>IF($A245="","",IF($A245&lt;=_Engine!$B$24,_Engine!$G282,""))</f>
        <v/>
      </c>
      <c r="F245" s="10" t="str">
        <f>IF($A245="","",IF($A245&lt;=_Engine!$B$24,_Engine!$H282,""))</f>
        <v/>
      </c>
    </row>
    <row r="246" spans="1:6" x14ac:dyDescent="0.25">
      <c r="A246" s="8" t="str">
        <f>IF(243&lt;=MAX(_Engine!$B$23,_Engine!$B$24),243,"")</f>
        <v/>
      </c>
      <c r="B246" s="9" t="str">
        <f>IF($A246="","",EDATE(_Engine!$B$2,$A246-1))</f>
        <v/>
      </c>
      <c r="C246" s="10" t="str">
        <f>IF($A246="","",IF($A246&lt;=_Engine!$B$23,_Engine!$E283,""))</f>
        <v/>
      </c>
      <c r="D246" s="10" t="str">
        <f>IF($A246="","",IF($A246&lt;=_Engine!$B$23,_Engine!$F283,""))</f>
        <v/>
      </c>
      <c r="E246" s="10" t="str">
        <f>IF($A246="","",IF($A246&lt;=_Engine!$B$24,_Engine!$G283,""))</f>
        <v/>
      </c>
      <c r="F246" s="10" t="str">
        <f>IF($A246="","",IF($A246&lt;=_Engine!$B$24,_Engine!$H283,""))</f>
        <v/>
      </c>
    </row>
    <row r="247" spans="1:6" x14ac:dyDescent="0.25">
      <c r="A247" s="8" t="str">
        <f>IF(244&lt;=MAX(_Engine!$B$23,_Engine!$B$24),244,"")</f>
        <v/>
      </c>
      <c r="B247" s="9" t="str">
        <f>IF($A247="","",EDATE(_Engine!$B$2,$A247-1))</f>
        <v/>
      </c>
      <c r="C247" s="10" t="str">
        <f>IF($A247="","",IF($A247&lt;=_Engine!$B$23,_Engine!$E284,""))</f>
        <v/>
      </c>
      <c r="D247" s="10" t="str">
        <f>IF($A247="","",IF($A247&lt;=_Engine!$B$23,_Engine!$F284,""))</f>
        <v/>
      </c>
      <c r="E247" s="10" t="str">
        <f>IF($A247="","",IF($A247&lt;=_Engine!$B$24,_Engine!$G284,""))</f>
        <v/>
      </c>
      <c r="F247" s="10" t="str">
        <f>IF($A247="","",IF($A247&lt;=_Engine!$B$24,_Engine!$H284,""))</f>
        <v/>
      </c>
    </row>
    <row r="248" spans="1:6" x14ac:dyDescent="0.25">
      <c r="A248" s="8" t="str">
        <f>IF(245&lt;=MAX(_Engine!$B$23,_Engine!$B$24),245,"")</f>
        <v/>
      </c>
      <c r="B248" s="9" t="str">
        <f>IF($A248="","",EDATE(_Engine!$B$2,$A248-1))</f>
        <v/>
      </c>
      <c r="C248" s="10" t="str">
        <f>IF($A248="","",IF($A248&lt;=_Engine!$B$23,_Engine!$E285,""))</f>
        <v/>
      </c>
      <c r="D248" s="10" t="str">
        <f>IF($A248="","",IF($A248&lt;=_Engine!$B$23,_Engine!$F285,""))</f>
        <v/>
      </c>
      <c r="E248" s="10" t="str">
        <f>IF($A248="","",IF($A248&lt;=_Engine!$B$24,_Engine!$G285,""))</f>
        <v/>
      </c>
      <c r="F248" s="10" t="str">
        <f>IF($A248="","",IF($A248&lt;=_Engine!$B$24,_Engine!$H285,""))</f>
        <v/>
      </c>
    </row>
    <row r="249" spans="1:6" x14ac:dyDescent="0.25">
      <c r="A249" s="8" t="str">
        <f>IF(246&lt;=MAX(_Engine!$B$23,_Engine!$B$24),246,"")</f>
        <v/>
      </c>
      <c r="B249" s="9" t="str">
        <f>IF($A249="","",EDATE(_Engine!$B$2,$A249-1))</f>
        <v/>
      </c>
      <c r="C249" s="10" t="str">
        <f>IF($A249="","",IF($A249&lt;=_Engine!$B$23,_Engine!$E286,""))</f>
        <v/>
      </c>
      <c r="D249" s="10" t="str">
        <f>IF($A249="","",IF($A249&lt;=_Engine!$B$23,_Engine!$F286,""))</f>
        <v/>
      </c>
      <c r="E249" s="10" t="str">
        <f>IF($A249="","",IF($A249&lt;=_Engine!$B$24,_Engine!$G286,""))</f>
        <v/>
      </c>
      <c r="F249" s="10" t="str">
        <f>IF($A249="","",IF($A249&lt;=_Engine!$B$24,_Engine!$H286,""))</f>
        <v/>
      </c>
    </row>
    <row r="250" spans="1:6" x14ac:dyDescent="0.25">
      <c r="A250" s="8" t="str">
        <f>IF(247&lt;=MAX(_Engine!$B$23,_Engine!$B$24),247,"")</f>
        <v/>
      </c>
      <c r="B250" s="9" t="str">
        <f>IF($A250="","",EDATE(_Engine!$B$2,$A250-1))</f>
        <v/>
      </c>
      <c r="C250" s="10" t="str">
        <f>IF($A250="","",IF($A250&lt;=_Engine!$B$23,_Engine!$E287,""))</f>
        <v/>
      </c>
      <c r="D250" s="10" t="str">
        <f>IF($A250="","",IF($A250&lt;=_Engine!$B$23,_Engine!$F287,""))</f>
        <v/>
      </c>
      <c r="E250" s="10" t="str">
        <f>IF($A250="","",IF($A250&lt;=_Engine!$B$24,_Engine!$G287,""))</f>
        <v/>
      </c>
      <c r="F250" s="10" t="str">
        <f>IF($A250="","",IF($A250&lt;=_Engine!$B$24,_Engine!$H287,""))</f>
        <v/>
      </c>
    </row>
    <row r="251" spans="1:6" x14ac:dyDescent="0.25">
      <c r="A251" s="8" t="str">
        <f>IF(248&lt;=MAX(_Engine!$B$23,_Engine!$B$24),248,"")</f>
        <v/>
      </c>
      <c r="B251" s="9" t="str">
        <f>IF($A251="","",EDATE(_Engine!$B$2,$A251-1))</f>
        <v/>
      </c>
      <c r="C251" s="10" t="str">
        <f>IF($A251="","",IF($A251&lt;=_Engine!$B$23,_Engine!$E288,""))</f>
        <v/>
      </c>
      <c r="D251" s="10" t="str">
        <f>IF($A251="","",IF($A251&lt;=_Engine!$B$23,_Engine!$F288,""))</f>
        <v/>
      </c>
      <c r="E251" s="10" t="str">
        <f>IF($A251="","",IF($A251&lt;=_Engine!$B$24,_Engine!$G288,""))</f>
        <v/>
      </c>
      <c r="F251" s="10" t="str">
        <f>IF($A251="","",IF($A251&lt;=_Engine!$B$24,_Engine!$H288,""))</f>
        <v/>
      </c>
    </row>
    <row r="252" spans="1:6" x14ac:dyDescent="0.25">
      <c r="A252" s="8" t="str">
        <f>IF(249&lt;=MAX(_Engine!$B$23,_Engine!$B$24),249,"")</f>
        <v/>
      </c>
      <c r="B252" s="9" t="str">
        <f>IF($A252="","",EDATE(_Engine!$B$2,$A252-1))</f>
        <v/>
      </c>
      <c r="C252" s="10" t="str">
        <f>IF($A252="","",IF($A252&lt;=_Engine!$B$23,_Engine!$E289,""))</f>
        <v/>
      </c>
      <c r="D252" s="10" t="str">
        <f>IF($A252="","",IF($A252&lt;=_Engine!$B$23,_Engine!$F289,""))</f>
        <v/>
      </c>
      <c r="E252" s="10" t="str">
        <f>IF($A252="","",IF($A252&lt;=_Engine!$B$24,_Engine!$G289,""))</f>
        <v/>
      </c>
      <c r="F252" s="10" t="str">
        <f>IF($A252="","",IF($A252&lt;=_Engine!$B$24,_Engine!$H289,""))</f>
        <v/>
      </c>
    </row>
    <row r="253" spans="1:6" x14ac:dyDescent="0.25">
      <c r="A253" s="8" t="str">
        <f>IF(250&lt;=MAX(_Engine!$B$23,_Engine!$B$24),250,"")</f>
        <v/>
      </c>
      <c r="B253" s="9" t="str">
        <f>IF($A253="","",EDATE(_Engine!$B$2,$A253-1))</f>
        <v/>
      </c>
      <c r="C253" s="10" t="str">
        <f>IF($A253="","",IF($A253&lt;=_Engine!$B$23,_Engine!$E290,""))</f>
        <v/>
      </c>
      <c r="D253" s="10" t="str">
        <f>IF($A253="","",IF($A253&lt;=_Engine!$B$23,_Engine!$F290,""))</f>
        <v/>
      </c>
      <c r="E253" s="10" t="str">
        <f>IF($A253="","",IF($A253&lt;=_Engine!$B$24,_Engine!$G290,""))</f>
        <v/>
      </c>
      <c r="F253" s="10" t="str">
        <f>IF($A253="","",IF($A253&lt;=_Engine!$B$24,_Engine!$H290,""))</f>
        <v/>
      </c>
    </row>
    <row r="254" spans="1:6" x14ac:dyDescent="0.25">
      <c r="A254" s="8" t="str">
        <f>IF(251&lt;=MAX(_Engine!$B$23,_Engine!$B$24),251,"")</f>
        <v/>
      </c>
      <c r="B254" s="9" t="str">
        <f>IF($A254="","",EDATE(_Engine!$B$2,$A254-1))</f>
        <v/>
      </c>
      <c r="C254" s="10" t="str">
        <f>IF($A254="","",IF($A254&lt;=_Engine!$B$23,_Engine!$E291,""))</f>
        <v/>
      </c>
      <c r="D254" s="10" t="str">
        <f>IF($A254="","",IF($A254&lt;=_Engine!$B$23,_Engine!$F291,""))</f>
        <v/>
      </c>
      <c r="E254" s="10" t="str">
        <f>IF($A254="","",IF($A254&lt;=_Engine!$B$24,_Engine!$G291,""))</f>
        <v/>
      </c>
      <c r="F254" s="10" t="str">
        <f>IF($A254="","",IF($A254&lt;=_Engine!$B$24,_Engine!$H291,""))</f>
        <v/>
      </c>
    </row>
    <row r="255" spans="1:6" x14ac:dyDescent="0.25">
      <c r="A255" s="8" t="str">
        <f>IF(252&lt;=MAX(_Engine!$B$23,_Engine!$B$24),252,"")</f>
        <v/>
      </c>
      <c r="B255" s="9" t="str">
        <f>IF($A255="","",EDATE(_Engine!$B$2,$A255-1))</f>
        <v/>
      </c>
      <c r="C255" s="10" t="str">
        <f>IF($A255="","",IF($A255&lt;=_Engine!$B$23,_Engine!$E292,""))</f>
        <v/>
      </c>
      <c r="D255" s="10" t="str">
        <f>IF($A255="","",IF($A255&lt;=_Engine!$B$23,_Engine!$F292,""))</f>
        <v/>
      </c>
      <c r="E255" s="10" t="str">
        <f>IF($A255="","",IF($A255&lt;=_Engine!$B$24,_Engine!$G292,""))</f>
        <v/>
      </c>
      <c r="F255" s="10" t="str">
        <f>IF($A255="","",IF($A255&lt;=_Engine!$B$24,_Engine!$H292,""))</f>
        <v/>
      </c>
    </row>
    <row r="256" spans="1:6" x14ac:dyDescent="0.25">
      <c r="A256" s="8" t="str">
        <f>IF(253&lt;=MAX(_Engine!$B$23,_Engine!$B$24),253,"")</f>
        <v/>
      </c>
      <c r="B256" s="9" t="str">
        <f>IF($A256="","",EDATE(_Engine!$B$2,$A256-1))</f>
        <v/>
      </c>
      <c r="C256" s="10" t="str">
        <f>IF($A256="","",IF($A256&lt;=_Engine!$B$23,_Engine!$E293,""))</f>
        <v/>
      </c>
      <c r="D256" s="10" t="str">
        <f>IF($A256="","",IF($A256&lt;=_Engine!$B$23,_Engine!$F293,""))</f>
        <v/>
      </c>
      <c r="E256" s="10" t="str">
        <f>IF($A256="","",IF($A256&lt;=_Engine!$B$24,_Engine!$G293,""))</f>
        <v/>
      </c>
      <c r="F256" s="10" t="str">
        <f>IF($A256="","",IF($A256&lt;=_Engine!$B$24,_Engine!$H293,""))</f>
        <v/>
      </c>
    </row>
    <row r="257" spans="1:6" x14ac:dyDescent="0.25">
      <c r="A257" s="8" t="str">
        <f>IF(254&lt;=MAX(_Engine!$B$23,_Engine!$B$24),254,"")</f>
        <v/>
      </c>
      <c r="B257" s="9" t="str">
        <f>IF($A257="","",EDATE(_Engine!$B$2,$A257-1))</f>
        <v/>
      </c>
      <c r="C257" s="10" t="str">
        <f>IF($A257="","",IF($A257&lt;=_Engine!$B$23,_Engine!$E294,""))</f>
        <v/>
      </c>
      <c r="D257" s="10" t="str">
        <f>IF($A257="","",IF($A257&lt;=_Engine!$B$23,_Engine!$F294,""))</f>
        <v/>
      </c>
      <c r="E257" s="10" t="str">
        <f>IF($A257="","",IF($A257&lt;=_Engine!$B$24,_Engine!$G294,""))</f>
        <v/>
      </c>
      <c r="F257" s="10" t="str">
        <f>IF($A257="","",IF($A257&lt;=_Engine!$B$24,_Engine!$H294,""))</f>
        <v/>
      </c>
    </row>
    <row r="258" spans="1:6" x14ac:dyDescent="0.25">
      <c r="A258" s="8" t="str">
        <f>IF(255&lt;=MAX(_Engine!$B$23,_Engine!$B$24),255,"")</f>
        <v/>
      </c>
      <c r="B258" s="9" t="str">
        <f>IF($A258="","",EDATE(_Engine!$B$2,$A258-1))</f>
        <v/>
      </c>
      <c r="C258" s="10" t="str">
        <f>IF($A258="","",IF($A258&lt;=_Engine!$B$23,_Engine!$E295,""))</f>
        <v/>
      </c>
      <c r="D258" s="10" t="str">
        <f>IF($A258="","",IF($A258&lt;=_Engine!$B$23,_Engine!$F295,""))</f>
        <v/>
      </c>
      <c r="E258" s="10" t="str">
        <f>IF($A258="","",IF($A258&lt;=_Engine!$B$24,_Engine!$G295,""))</f>
        <v/>
      </c>
      <c r="F258" s="10" t="str">
        <f>IF($A258="","",IF($A258&lt;=_Engine!$B$24,_Engine!$H295,""))</f>
        <v/>
      </c>
    </row>
    <row r="259" spans="1:6" x14ac:dyDescent="0.25">
      <c r="A259" s="8" t="str">
        <f>IF(256&lt;=MAX(_Engine!$B$23,_Engine!$B$24),256,"")</f>
        <v/>
      </c>
      <c r="B259" s="9" t="str">
        <f>IF($A259="","",EDATE(_Engine!$B$2,$A259-1))</f>
        <v/>
      </c>
      <c r="C259" s="10" t="str">
        <f>IF($A259="","",IF($A259&lt;=_Engine!$B$23,_Engine!$E296,""))</f>
        <v/>
      </c>
      <c r="D259" s="10" t="str">
        <f>IF($A259="","",IF($A259&lt;=_Engine!$B$23,_Engine!$F296,""))</f>
        <v/>
      </c>
      <c r="E259" s="10" t="str">
        <f>IF($A259="","",IF($A259&lt;=_Engine!$B$24,_Engine!$G296,""))</f>
        <v/>
      </c>
      <c r="F259" s="10" t="str">
        <f>IF($A259="","",IF($A259&lt;=_Engine!$B$24,_Engine!$H296,""))</f>
        <v/>
      </c>
    </row>
    <row r="260" spans="1:6" x14ac:dyDescent="0.25">
      <c r="A260" s="8" t="str">
        <f>IF(257&lt;=MAX(_Engine!$B$23,_Engine!$B$24),257,"")</f>
        <v/>
      </c>
      <c r="B260" s="9" t="str">
        <f>IF($A260="","",EDATE(_Engine!$B$2,$A260-1))</f>
        <v/>
      </c>
      <c r="C260" s="10" t="str">
        <f>IF($A260="","",IF($A260&lt;=_Engine!$B$23,_Engine!$E297,""))</f>
        <v/>
      </c>
      <c r="D260" s="10" t="str">
        <f>IF($A260="","",IF($A260&lt;=_Engine!$B$23,_Engine!$F297,""))</f>
        <v/>
      </c>
      <c r="E260" s="10" t="str">
        <f>IF($A260="","",IF($A260&lt;=_Engine!$B$24,_Engine!$G297,""))</f>
        <v/>
      </c>
      <c r="F260" s="10" t="str">
        <f>IF($A260="","",IF($A260&lt;=_Engine!$B$24,_Engine!$H297,""))</f>
        <v/>
      </c>
    </row>
    <row r="261" spans="1:6" x14ac:dyDescent="0.25">
      <c r="A261" s="8" t="str">
        <f>IF(258&lt;=MAX(_Engine!$B$23,_Engine!$B$24),258,"")</f>
        <v/>
      </c>
      <c r="B261" s="9" t="str">
        <f>IF($A261="","",EDATE(_Engine!$B$2,$A261-1))</f>
        <v/>
      </c>
      <c r="C261" s="10" t="str">
        <f>IF($A261="","",IF($A261&lt;=_Engine!$B$23,_Engine!$E298,""))</f>
        <v/>
      </c>
      <c r="D261" s="10" t="str">
        <f>IF($A261="","",IF($A261&lt;=_Engine!$B$23,_Engine!$F298,""))</f>
        <v/>
      </c>
      <c r="E261" s="10" t="str">
        <f>IF($A261="","",IF($A261&lt;=_Engine!$B$24,_Engine!$G298,""))</f>
        <v/>
      </c>
      <c r="F261" s="10" t="str">
        <f>IF($A261="","",IF($A261&lt;=_Engine!$B$24,_Engine!$H298,""))</f>
        <v/>
      </c>
    </row>
    <row r="262" spans="1:6" x14ac:dyDescent="0.25">
      <c r="A262" s="8" t="str">
        <f>IF(259&lt;=MAX(_Engine!$B$23,_Engine!$B$24),259,"")</f>
        <v/>
      </c>
      <c r="B262" s="9" t="str">
        <f>IF($A262="","",EDATE(_Engine!$B$2,$A262-1))</f>
        <v/>
      </c>
      <c r="C262" s="10" t="str">
        <f>IF($A262="","",IF($A262&lt;=_Engine!$B$23,_Engine!$E299,""))</f>
        <v/>
      </c>
      <c r="D262" s="10" t="str">
        <f>IF($A262="","",IF($A262&lt;=_Engine!$B$23,_Engine!$F299,""))</f>
        <v/>
      </c>
      <c r="E262" s="10" t="str">
        <f>IF($A262="","",IF($A262&lt;=_Engine!$B$24,_Engine!$G299,""))</f>
        <v/>
      </c>
      <c r="F262" s="10" t="str">
        <f>IF($A262="","",IF($A262&lt;=_Engine!$B$24,_Engine!$H299,""))</f>
        <v/>
      </c>
    </row>
    <row r="263" spans="1:6" x14ac:dyDescent="0.25">
      <c r="A263" s="8" t="str">
        <f>IF(260&lt;=MAX(_Engine!$B$23,_Engine!$B$24),260,"")</f>
        <v/>
      </c>
      <c r="B263" s="9" t="str">
        <f>IF($A263="","",EDATE(_Engine!$B$2,$A263-1))</f>
        <v/>
      </c>
      <c r="C263" s="10" t="str">
        <f>IF($A263="","",IF($A263&lt;=_Engine!$B$23,_Engine!$E300,""))</f>
        <v/>
      </c>
      <c r="D263" s="10" t="str">
        <f>IF($A263="","",IF($A263&lt;=_Engine!$B$23,_Engine!$F300,""))</f>
        <v/>
      </c>
      <c r="E263" s="10" t="str">
        <f>IF($A263="","",IF($A263&lt;=_Engine!$B$24,_Engine!$G300,""))</f>
        <v/>
      </c>
      <c r="F263" s="10" t="str">
        <f>IF($A263="","",IF($A263&lt;=_Engine!$B$24,_Engine!$H300,""))</f>
        <v/>
      </c>
    </row>
    <row r="264" spans="1:6" x14ac:dyDescent="0.25">
      <c r="A264" s="8" t="str">
        <f>IF(261&lt;=MAX(_Engine!$B$23,_Engine!$B$24),261,"")</f>
        <v/>
      </c>
      <c r="B264" s="9" t="str">
        <f>IF($A264="","",EDATE(_Engine!$B$2,$A264-1))</f>
        <v/>
      </c>
      <c r="C264" s="10" t="str">
        <f>IF($A264="","",IF($A264&lt;=_Engine!$B$23,_Engine!$E301,""))</f>
        <v/>
      </c>
      <c r="D264" s="10" t="str">
        <f>IF($A264="","",IF($A264&lt;=_Engine!$B$23,_Engine!$F301,""))</f>
        <v/>
      </c>
      <c r="E264" s="10" t="str">
        <f>IF($A264="","",IF($A264&lt;=_Engine!$B$24,_Engine!$G301,""))</f>
        <v/>
      </c>
      <c r="F264" s="10" t="str">
        <f>IF($A264="","",IF($A264&lt;=_Engine!$B$24,_Engine!$H301,""))</f>
        <v/>
      </c>
    </row>
    <row r="265" spans="1:6" x14ac:dyDescent="0.25">
      <c r="A265" s="8" t="str">
        <f>IF(262&lt;=MAX(_Engine!$B$23,_Engine!$B$24),262,"")</f>
        <v/>
      </c>
      <c r="B265" s="9" t="str">
        <f>IF($A265="","",EDATE(_Engine!$B$2,$A265-1))</f>
        <v/>
      </c>
      <c r="C265" s="10" t="str">
        <f>IF($A265="","",IF($A265&lt;=_Engine!$B$23,_Engine!$E302,""))</f>
        <v/>
      </c>
      <c r="D265" s="10" t="str">
        <f>IF($A265="","",IF($A265&lt;=_Engine!$B$23,_Engine!$F302,""))</f>
        <v/>
      </c>
      <c r="E265" s="10" t="str">
        <f>IF($A265="","",IF($A265&lt;=_Engine!$B$24,_Engine!$G302,""))</f>
        <v/>
      </c>
      <c r="F265" s="10" t="str">
        <f>IF($A265="","",IF($A265&lt;=_Engine!$B$24,_Engine!$H302,""))</f>
        <v/>
      </c>
    </row>
    <row r="266" spans="1:6" x14ac:dyDescent="0.25">
      <c r="A266" s="8" t="str">
        <f>IF(263&lt;=MAX(_Engine!$B$23,_Engine!$B$24),263,"")</f>
        <v/>
      </c>
      <c r="B266" s="9" t="str">
        <f>IF($A266="","",EDATE(_Engine!$B$2,$A266-1))</f>
        <v/>
      </c>
      <c r="C266" s="10" t="str">
        <f>IF($A266="","",IF($A266&lt;=_Engine!$B$23,_Engine!$E303,""))</f>
        <v/>
      </c>
      <c r="D266" s="10" t="str">
        <f>IF($A266="","",IF($A266&lt;=_Engine!$B$23,_Engine!$F303,""))</f>
        <v/>
      </c>
      <c r="E266" s="10" t="str">
        <f>IF($A266="","",IF($A266&lt;=_Engine!$B$24,_Engine!$G303,""))</f>
        <v/>
      </c>
      <c r="F266" s="10" t="str">
        <f>IF($A266="","",IF($A266&lt;=_Engine!$B$24,_Engine!$H303,""))</f>
        <v/>
      </c>
    </row>
    <row r="267" spans="1:6" x14ac:dyDescent="0.25">
      <c r="A267" s="8" t="str">
        <f>IF(264&lt;=MAX(_Engine!$B$23,_Engine!$B$24),264,"")</f>
        <v/>
      </c>
      <c r="B267" s="9" t="str">
        <f>IF($A267="","",EDATE(_Engine!$B$2,$A267-1))</f>
        <v/>
      </c>
      <c r="C267" s="10" t="str">
        <f>IF($A267="","",IF($A267&lt;=_Engine!$B$23,_Engine!$E304,""))</f>
        <v/>
      </c>
      <c r="D267" s="10" t="str">
        <f>IF($A267="","",IF($A267&lt;=_Engine!$B$23,_Engine!$F304,""))</f>
        <v/>
      </c>
      <c r="E267" s="10" t="str">
        <f>IF($A267="","",IF($A267&lt;=_Engine!$B$24,_Engine!$G304,""))</f>
        <v/>
      </c>
      <c r="F267" s="10" t="str">
        <f>IF($A267="","",IF($A267&lt;=_Engine!$B$24,_Engine!$H304,""))</f>
        <v/>
      </c>
    </row>
    <row r="268" spans="1:6" x14ac:dyDescent="0.25">
      <c r="A268" s="8" t="str">
        <f>IF(265&lt;=MAX(_Engine!$B$23,_Engine!$B$24),265,"")</f>
        <v/>
      </c>
      <c r="B268" s="9" t="str">
        <f>IF($A268="","",EDATE(_Engine!$B$2,$A268-1))</f>
        <v/>
      </c>
      <c r="C268" s="10" t="str">
        <f>IF($A268="","",IF($A268&lt;=_Engine!$B$23,_Engine!$E305,""))</f>
        <v/>
      </c>
      <c r="D268" s="10" t="str">
        <f>IF($A268="","",IF($A268&lt;=_Engine!$B$23,_Engine!$F305,""))</f>
        <v/>
      </c>
      <c r="E268" s="10" t="str">
        <f>IF($A268="","",IF($A268&lt;=_Engine!$B$24,_Engine!$G305,""))</f>
        <v/>
      </c>
      <c r="F268" s="10" t="str">
        <f>IF($A268="","",IF($A268&lt;=_Engine!$B$24,_Engine!$H305,""))</f>
        <v/>
      </c>
    </row>
    <row r="269" spans="1:6" x14ac:dyDescent="0.25">
      <c r="A269" s="8" t="str">
        <f>IF(266&lt;=MAX(_Engine!$B$23,_Engine!$B$24),266,"")</f>
        <v/>
      </c>
      <c r="B269" s="9" t="str">
        <f>IF($A269="","",EDATE(_Engine!$B$2,$A269-1))</f>
        <v/>
      </c>
      <c r="C269" s="10" t="str">
        <f>IF($A269="","",IF($A269&lt;=_Engine!$B$23,_Engine!$E306,""))</f>
        <v/>
      </c>
      <c r="D269" s="10" t="str">
        <f>IF($A269="","",IF($A269&lt;=_Engine!$B$23,_Engine!$F306,""))</f>
        <v/>
      </c>
      <c r="E269" s="10" t="str">
        <f>IF($A269="","",IF($A269&lt;=_Engine!$B$24,_Engine!$G306,""))</f>
        <v/>
      </c>
      <c r="F269" s="10" t="str">
        <f>IF($A269="","",IF($A269&lt;=_Engine!$B$24,_Engine!$H306,""))</f>
        <v/>
      </c>
    </row>
    <row r="270" spans="1:6" x14ac:dyDescent="0.25">
      <c r="A270" s="8" t="str">
        <f>IF(267&lt;=MAX(_Engine!$B$23,_Engine!$B$24),267,"")</f>
        <v/>
      </c>
      <c r="B270" s="9" t="str">
        <f>IF($A270="","",EDATE(_Engine!$B$2,$A270-1))</f>
        <v/>
      </c>
      <c r="C270" s="10" t="str">
        <f>IF($A270="","",IF($A270&lt;=_Engine!$B$23,_Engine!$E307,""))</f>
        <v/>
      </c>
      <c r="D270" s="10" t="str">
        <f>IF($A270="","",IF($A270&lt;=_Engine!$B$23,_Engine!$F307,""))</f>
        <v/>
      </c>
      <c r="E270" s="10" t="str">
        <f>IF($A270="","",IF($A270&lt;=_Engine!$B$24,_Engine!$G307,""))</f>
        <v/>
      </c>
      <c r="F270" s="10" t="str">
        <f>IF($A270="","",IF($A270&lt;=_Engine!$B$24,_Engine!$H307,""))</f>
        <v/>
      </c>
    </row>
    <row r="271" spans="1:6" x14ac:dyDescent="0.25">
      <c r="A271" s="8" t="str">
        <f>IF(268&lt;=MAX(_Engine!$B$23,_Engine!$B$24),268,"")</f>
        <v/>
      </c>
      <c r="B271" s="9" t="str">
        <f>IF($A271="","",EDATE(_Engine!$B$2,$A271-1))</f>
        <v/>
      </c>
      <c r="C271" s="10" t="str">
        <f>IF($A271="","",IF($A271&lt;=_Engine!$B$23,_Engine!$E308,""))</f>
        <v/>
      </c>
      <c r="D271" s="10" t="str">
        <f>IF($A271="","",IF($A271&lt;=_Engine!$B$23,_Engine!$F308,""))</f>
        <v/>
      </c>
      <c r="E271" s="10" t="str">
        <f>IF($A271="","",IF($A271&lt;=_Engine!$B$24,_Engine!$G308,""))</f>
        <v/>
      </c>
      <c r="F271" s="10" t="str">
        <f>IF($A271="","",IF($A271&lt;=_Engine!$B$24,_Engine!$H308,""))</f>
        <v/>
      </c>
    </row>
    <row r="272" spans="1:6" x14ac:dyDescent="0.25">
      <c r="A272" s="8" t="str">
        <f>IF(269&lt;=MAX(_Engine!$B$23,_Engine!$B$24),269,"")</f>
        <v/>
      </c>
      <c r="B272" s="9" t="str">
        <f>IF($A272="","",EDATE(_Engine!$B$2,$A272-1))</f>
        <v/>
      </c>
      <c r="C272" s="10" t="str">
        <f>IF($A272="","",IF($A272&lt;=_Engine!$B$23,_Engine!$E309,""))</f>
        <v/>
      </c>
      <c r="D272" s="10" t="str">
        <f>IF($A272="","",IF($A272&lt;=_Engine!$B$23,_Engine!$F309,""))</f>
        <v/>
      </c>
      <c r="E272" s="10" t="str">
        <f>IF($A272="","",IF($A272&lt;=_Engine!$B$24,_Engine!$G309,""))</f>
        <v/>
      </c>
      <c r="F272" s="10" t="str">
        <f>IF($A272="","",IF($A272&lt;=_Engine!$B$24,_Engine!$H309,""))</f>
        <v/>
      </c>
    </row>
    <row r="273" spans="1:6" x14ac:dyDescent="0.25">
      <c r="A273" s="8" t="str">
        <f>IF(270&lt;=MAX(_Engine!$B$23,_Engine!$B$24),270,"")</f>
        <v/>
      </c>
      <c r="B273" s="9" t="str">
        <f>IF($A273="","",EDATE(_Engine!$B$2,$A273-1))</f>
        <v/>
      </c>
      <c r="C273" s="10" t="str">
        <f>IF($A273="","",IF($A273&lt;=_Engine!$B$23,_Engine!$E310,""))</f>
        <v/>
      </c>
      <c r="D273" s="10" t="str">
        <f>IF($A273="","",IF($A273&lt;=_Engine!$B$23,_Engine!$F310,""))</f>
        <v/>
      </c>
      <c r="E273" s="10" t="str">
        <f>IF($A273="","",IF($A273&lt;=_Engine!$B$24,_Engine!$G310,""))</f>
        <v/>
      </c>
      <c r="F273" s="10" t="str">
        <f>IF($A273="","",IF($A273&lt;=_Engine!$B$24,_Engine!$H310,""))</f>
        <v/>
      </c>
    </row>
    <row r="274" spans="1:6" x14ac:dyDescent="0.25">
      <c r="A274" s="8" t="str">
        <f>IF(271&lt;=MAX(_Engine!$B$23,_Engine!$B$24),271,"")</f>
        <v/>
      </c>
      <c r="B274" s="9" t="str">
        <f>IF($A274="","",EDATE(_Engine!$B$2,$A274-1))</f>
        <v/>
      </c>
      <c r="C274" s="10" t="str">
        <f>IF($A274="","",IF($A274&lt;=_Engine!$B$23,_Engine!$E311,""))</f>
        <v/>
      </c>
      <c r="D274" s="10" t="str">
        <f>IF($A274="","",IF($A274&lt;=_Engine!$B$23,_Engine!$F311,""))</f>
        <v/>
      </c>
      <c r="E274" s="10" t="str">
        <f>IF($A274="","",IF($A274&lt;=_Engine!$B$24,_Engine!$G311,""))</f>
        <v/>
      </c>
      <c r="F274" s="10" t="str">
        <f>IF($A274="","",IF($A274&lt;=_Engine!$B$24,_Engine!$H311,""))</f>
        <v/>
      </c>
    </row>
    <row r="275" spans="1:6" x14ac:dyDescent="0.25">
      <c r="A275" s="8" t="str">
        <f>IF(272&lt;=MAX(_Engine!$B$23,_Engine!$B$24),272,"")</f>
        <v/>
      </c>
      <c r="B275" s="9" t="str">
        <f>IF($A275="","",EDATE(_Engine!$B$2,$A275-1))</f>
        <v/>
      </c>
      <c r="C275" s="10" t="str">
        <f>IF($A275="","",IF($A275&lt;=_Engine!$B$23,_Engine!$E312,""))</f>
        <v/>
      </c>
      <c r="D275" s="10" t="str">
        <f>IF($A275="","",IF($A275&lt;=_Engine!$B$23,_Engine!$F312,""))</f>
        <v/>
      </c>
      <c r="E275" s="10" t="str">
        <f>IF($A275="","",IF($A275&lt;=_Engine!$B$24,_Engine!$G312,""))</f>
        <v/>
      </c>
      <c r="F275" s="10" t="str">
        <f>IF($A275="","",IF($A275&lt;=_Engine!$B$24,_Engine!$H312,""))</f>
        <v/>
      </c>
    </row>
    <row r="276" spans="1:6" x14ac:dyDescent="0.25">
      <c r="A276" s="8" t="str">
        <f>IF(273&lt;=MAX(_Engine!$B$23,_Engine!$B$24),273,"")</f>
        <v/>
      </c>
      <c r="B276" s="9" t="str">
        <f>IF($A276="","",EDATE(_Engine!$B$2,$A276-1))</f>
        <v/>
      </c>
      <c r="C276" s="10" t="str">
        <f>IF($A276="","",IF($A276&lt;=_Engine!$B$23,_Engine!$E313,""))</f>
        <v/>
      </c>
      <c r="D276" s="10" t="str">
        <f>IF($A276="","",IF($A276&lt;=_Engine!$B$23,_Engine!$F313,""))</f>
        <v/>
      </c>
      <c r="E276" s="10" t="str">
        <f>IF($A276="","",IF($A276&lt;=_Engine!$B$24,_Engine!$G313,""))</f>
        <v/>
      </c>
      <c r="F276" s="10" t="str">
        <f>IF($A276="","",IF($A276&lt;=_Engine!$B$24,_Engine!$H313,""))</f>
        <v/>
      </c>
    </row>
    <row r="277" spans="1:6" x14ac:dyDescent="0.25">
      <c r="A277" s="8" t="str">
        <f>IF(274&lt;=MAX(_Engine!$B$23,_Engine!$B$24),274,"")</f>
        <v/>
      </c>
      <c r="B277" s="9" t="str">
        <f>IF($A277="","",EDATE(_Engine!$B$2,$A277-1))</f>
        <v/>
      </c>
      <c r="C277" s="10" t="str">
        <f>IF($A277="","",IF($A277&lt;=_Engine!$B$23,_Engine!$E314,""))</f>
        <v/>
      </c>
      <c r="D277" s="10" t="str">
        <f>IF($A277="","",IF($A277&lt;=_Engine!$B$23,_Engine!$F314,""))</f>
        <v/>
      </c>
      <c r="E277" s="10" t="str">
        <f>IF($A277="","",IF($A277&lt;=_Engine!$B$24,_Engine!$G314,""))</f>
        <v/>
      </c>
      <c r="F277" s="10" t="str">
        <f>IF($A277="","",IF($A277&lt;=_Engine!$B$24,_Engine!$H314,""))</f>
        <v/>
      </c>
    </row>
    <row r="278" spans="1:6" x14ac:dyDescent="0.25">
      <c r="A278" s="8" t="str">
        <f>IF(275&lt;=MAX(_Engine!$B$23,_Engine!$B$24),275,"")</f>
        <v/>
      </c>
      <c r="B278" s="9" t="str">
        <f>IF($A278="","",EDATE(_Engine!$B$2,$A278-1))</f>
        <v/>
      </c>
      <c r="C278" s="10" t="str">
        <f>IF($A278="","",IF($A278&lt;=_Engine!$B$23,_Engine!$E315,""))</f>
        <v/>
      </c>
      <c r="D278" s="10" t="str">
        <f>IF($A278="","",IF($A278&lt;=_Engine!$B$23,_Engine!$F315,""))</f>
        <v/>
      </c>
      <c r="E278" s="10" t="str">
        <f>IF($A278="","",IF($A278&lt;=_Engine!$B$24,_Engine!$G315,""))</f>
        <v/>
      </c>
      <c r="F278" s="10" t="str">
        <f>IF($A278="","",IF($A278&lt;=_Engine!$B$24,_Engine!$H315,""))</f>
        <v/>
      </c>
    </row>
    <row r="279" spans="1:6" x14ac:dyDescent="0.25">
      <c r="A279" s="8" t="str">
        <f>IF(276&lt;=MAX(_Engine!$B$23,_Engine!$B$24),276,"")</f>
        <v/>
      </c>
      <c r="B279" s="9" t="str">
        <f>IF($A279="","",EDATE(_Engine!$B$2,$A279-1))</f>
        <v/>
      </c>
      <c r="C279" s="10" t="str">
        <f>IF($A279="","",IF($A279&lt;=_Engine!$B$23,_Engine!$E316,""))</f>
        <v/>
      </c>
      <c r="D279" s="10" t="str">
        <f>IF($A279="","",IF($A279&lt;=_Engine!$B$23,_Engine!$F316,""))</f>
        <v/>
      </c>
      <c r="E279" s="10" t="str">
        <f>IF($A279="","",IF($A279&lt;=_Engine!$B$24,_Engine!$G316,""))</f>
        <v/>
      </c>
      <c r="F279" s="10" t="str">
        <f>IF($A279="","",IF($A279&lt;=_Engine!$B$24,_Engine!$H316,""))</f>
        <v/>
      </c>
    </row>
    <row r="280" spans="1:6" x14ac:dyDescent="0.25">
      <c r="A280" s="8" t="str">
        <f>IF(277&lt;=MAX(_Engine!$B$23,_Engine!$B$24),277,"")</f>
        <v/>
      </c>
      <c r="B280" s="9" t="str">
        <f>IF($A280="","",EDATE(_Engine!$B$2,$A280-1))</f>
        <v/>
      </c>
      <c r="C280" s="10" t="str">
        <f>IF($A280="","",IF($A280&lt;=_Engine!$B$23,_Engine!$E317,""))</f>
        <v/>
      </c>
      <c r="D280" s="10" t="str">
        <f>IF($A280="","",IF($A280&lt;=_Engine!$B$23,_Engine!$F317,""))</f>
        <v/>
      </c>
      <c r="E280" s="10" t="str">
        <f>IF($A280="","",IF($A280&lt;=_Engine!$B$24,_Engine!$G317,""))</f>
        <v/>
      </c>
      <c r="F280" s="10" t="str">
        <f>IF($A280="","",IF($A280&lt;=_Engine!$B$24,_Engine!$H317,""))</f>
        <v/>
      </c>
    </row>
    <row r="281" spans="1:6" x14ac:dyDescent="0.25">
      <c r="A281" s="8" t="str">
        <f>IF(278&lt;=MAX(_Engine!$B$23,_Engine!$B$24),278,"")</f>
        <v/>
      </c>
      <c r="B281" s="9" t="str">
        <f>IF($A281="","",EDATE(_Engine!$B$2,$A281-1))</f>
        <v/>
      </c>
      <c r="C281" s="10" t="str">
        <f>IF($A281="","",IF($A281&lt;=_Engine!$B$23,_Engine!$E318,""))</f>
        <v/>
      </c>
      <c r="D281" s="10" t="str">
        <f>IF($A281="","",IF($A281&lt;=_Engine!$B$23,_Engine!$F318,""))</f>
        <v/>
      </c>
      <c r="E281" s="10" t="str">
        <f>IF($A281="","",IF($A281&lt;=_Engine!$B$24,_Engine!$G318,""))</f>
        <v/>
      </c>
      <c r="F281" s="10" t="str">
        <f>IF($A281="","",IF($A281&lt;=_Engine!$B$24,_Engine!$H318,""))</f>
        <v/>
      </c>
    </row>
    <row r="282" spans="1:6" x14ac:dyDescent="0.25">
      <c r="A282" s="8" t="str">
        <f>IF(279&lt;=MAX(_Engine!$B$23,_Engine!$B$24),279,"")</f>
        <v/>
      </c>
      <c r="B282" s="9" t="str">
        <f>IF($A282="","",EDATE(_Engine!$B$2,$A282-1))</f>
        <v/>
      </c>
      <c r="C282" s="10" t="str">
        <f>IF($A282="","",IF($A282&lt;=_Engine!$B$23,_Engine!$E319,""))</f>
        <v/>
      </c>
      <c r="D282" s="10" t="str">
        <f>IF($A282="","",IF($A282&lt;=_Engine!$B$23,_Engine!$F319,""))</f>
        <v/>
      </c>
      <c r="E282" s="10" t="str">
        <f>IF($A282="","",IF($A282&lt;=_Engine!$B$24,_Engine!$G319,""))</f>
        <v/>
      </c>
      <c r="F282" s="10" t="str">
        <f>IF($A282="","",IF($A282&lt;=_Engine!$B$24,_Engine!$H319,""))</f>
        <v/>
      </c>
    </row>
    <row r="283" spans="1:6" x14ac:dyDescent="0.25">
      <c r="A283" s="8" t="str">
        <f>IF(280&lt;=MAX(_Engine!$B$23,_Engine!$B$24),280,"")</f>
        <v/>
      </c>
      <c r="B283" s="9" t="str">
        <f>IF($A283="","",EDATE(_Engine!$B$2,$A283-1))</f>
        <v/>
      </c>
      <c r="C283" s="10" t="str">
        <f>IF($A283="","",IF($A283&lt;=_Engine!$B$23,_Engine!$E320,""))</f>
        <v/>
      </c>
      <c r="D283" s="10" t="str">
        <f>IF($A283="","",IF($A283&lt;=_Engine!$B$23,_Engine!$F320,""))</f>
        <v/>
      </c>
      <c r="E283" s="10" t="str">
        <f>IF($A283="","",IF($A283&lt;=_Engine!$B$24,_Engine!$G320,""))</f>
        <v/>
      </c>
      <c r="F283" s="10" t="str">
        <f>IF($A283="","",IF($A283&lt;=_Engine!$B$24,_Engine!$H320,""))</f>
        <v/>
      </c>
    </row>
    <row r="284" spans="1:6" x14ac:dyDescent="0.25">
      <c r="A284" s="8" t="str">
        <f>IF(281&lt;=MAX(_Engine!$B$23,_Engine!$B$24),281,"")</f>
        <v/>
      </c>
      <c r="B284" s="9" t="str">
        <f>IF($A284="","",EDATE(_Engine!$B$2,$A284-1))</f>
        <v/>
      </c>
      <c r="C284" s="10" t="str">
        <f>IF($A284="","",IF($A284&lt;=_Engine!$B$23,_Engine!$E321,""))</f>
        <v/>
      </c>
      <c r="D284" s="10" t="str">
        <f>IF($A284="","",IF($A284&lt;=_Engine!$B$23,_Engine!$F321,""))</f>
        <v/>
      </c>
      <c r="E284" s="10" t="str">
        <f>IF($A284="","",IF($A284&lt;=_Engine!$B$24,_Engine!$G321,""))</f>
        <v/>
      </c>
      <c r="F284" s="10" t="str">
        <f>IF($A284="","",IF($A284&lt;=_Engine!$B$24,_Engine!$H321,""))</f>
        <v/>
      </c>
    </row>
    <row r="285" spans="1:6" x14ac:dyDescent="0.25">
      <c r="A285" s="8" t="str">
        <f>IF(282&lt;=MAX(_Engine!$B$23,_Engine!$B$24),282,"")</f>
        <v/>
      </c>
      <c r="B285" s="9" t="str">
        <f>IF($A285="","",EDATE(_Engine!$B$2,$A285-1))</f>
        <v/>
      </c>
      <c r="C285" s="10" t="str">
        <f>IF($A285="","",IF($A285&lt;=_Engine!$B$23,_Engine!$E322,""))</f>
        <v/>
      </c>
      <c r="D285" s="10" t="str">
        <f>IF($A285="","",IF($A285&lt;=_Engine!$B$23,_Engine!$F322,""))</f>
        <v/>
      </c>
      <c r="E285" s="10" t="str">
        <f>IF($A285="","",IF($A285&lt;=_Engine!$B$24,_Engine!$G322,""))</f>
        <v/>
      </c>
      <c r="F285" s="10" t="str">
        <f>IF($A285="","",IF($A285&lt;=_Engine!$B$24,_Engine!$H322,""))</f>
        <v/>
      </c>
    </row>
    <row r="286" spans="1:6" x14ac:dyDescent="0.25">
      <c r="A286" s="8" t="str">
        <f>IF(283&lt;=MAX(_Engine!$B$23,_Engine!$B$24),283,"")</f>
        <v/>
      </c>
      <c r="B286" s="9" t="str">
        <f>IF($A286="","",EDATE(_Engine!$B$2,$A286-1))</f>
        <v/>
      </c>
      <c r="C286" s="10" t="str">
        <f>IF($A286="","",IF($A286&lt;=_Engine!$B$23,_Engine!$E323,""))</f>
        <v/>
      </c>
      <c r="D286" s="10" t="str">
        <f>IF($A286="","",IF($A286&lt;=_Engine!$B$23,_Engine!$F323,""))</f>
        <v/>
      </c>
      <c r="E286" s="10" t="str">
        <f>IF($A286="","",IF($A286&lt;=_Engine!$B$24,_Engine!$G323,""))</f>
        <v/>
      </c>
      <c r="F286" s="10" t="str">
        <f>IF($A286="","",IF($A286&lt;=_Engine!$B$24,_Engine!$H323,""))</f>
        <v/>
      </c>
    </row>
    <row r="287" spans="1:6" x14ac:dyDescent="0.25">
      <c r="A287" s="8" t="str">
        <f>IF(284&lt;=MAX(_Engine!$B$23,_Engine!$B$24),284,"")</f>
        <v/>
      </c>
      <c r="B287" s="9" t="str">
        <f>IF($A287="","",EDATE(_Engine!$B$2,$A287-1))</f>
        <v/>
      </c>
      <c r="C287" s="10" t="str">
        <f>IF($A287="","",IF($A287&lt;=_Engine!$B$23,_Engine!$E324,""))</f>
        <v/>
      </c>
      <c r="D287" s="10" t="str">
        <f>IF($A287="","",IF($A287&lt;=_Engine!$B$23,_Engine!$F324,""))</f>
        <v/>
      </c>
      <c r="E287" s="10" t="str">
        <f>IF($A287="","",IF($A287&lt;=_Engine!$B$24,_Engine!$G324,""))</f>
        <v/>
      </c>
      <c r="F287" s="10" t="str">
        <f>IF($A287="","",IF($A287&lt;=_Engine!$B$24,_Engine!$H324,""))</f>
        <v/>
      </c>
    </row>
    <row r="288" spans="1:6" x14ac:dyDescent="0.25">
      <c r="A288" s="8" t="str">
        <f>IF(285&lt;=MAX(_Engine!$B$23,_Engine!$B$24),285,"")</f>
        <v/>
      </c>
      <c r="B288" s="9" t="str">
        <f>IF($A288="","",EDATE(_Engine!$B$2,$A288-1))</f>
        <v/>
      </c>
      <c r="C288" s="10" t="str">
        <f>IF($A288="","",IF($A288&lt;=_Engine!$B$23,_Engine!$E325,""))</f>
        <v/>
      </c>
      <c r="D288" s="10" t="str">
        <f>IF($A288="","",IF($A288&lt;=_Engine!$B$23,_Engine!$F325,""))</f>
        <v/>
      </c>
      <c r="E288" s="10" t="str">
        <f>IF($A288="","",IF($A288&lt;=_Engine!$B$24,_Engine!$G325,""))</f>
        <v/>
      </c>
      <c r="F288" s="10" t="str">
        <f>IF($A288="","",IF($A288&lt;=_Engine!$B$24,_Engine!$H325,""))</f>
        <v/>
      </c>
    </row>
    <row r="289" spans="1:6" x14ac:dyDescent="0.25">
      <c r="A289" s="8" t="str">
        <f>IF(286&lt;=MAX(_Engine!$B$23,_Engine!$B$24),286,"")</f>
        <v/>
      </c>
      <c r="B289" s="9" t="str">
        <f>IF($A289="","",EDATE(_Engine!$B$2,$A289-1))</f>
        <v/>
      </c>
      <c r="C289" s="10" t="str">
        <f>IF($A289="","",IF($A289&lt;=_Engine!$B$23,_Engine!$E326,""))</f>
        <v/>
      </c>
      <c r="D289" s="10" t="str">
        <f>IF($A289="","",IF($A289&lt;=_Engine!$B$23,_Engine!$F326,""))</f>
        <v/>
      </c>
      <c r="E289" s="10" t="str">
        <f>IF($A289="","",IF($A289&lt;=_Engine!$B$24,_Engine!$G326,""))</f>
        <v/>
      </c>
      <c r="F289" s="10" t="str">
        <f>IF($A289="","",IF($A289&lt;=_Engine!$B$24,_Engine!$H326,""))</f>
        <v/>
      </c>
    </row>
    <row r="290" spans="1:6" x14ac:dyDescent="0.25">
      <c r="A290" s="8" t="str">
        <f>IF(287&lt;=MAX(_Engine!$B$23,_Engine!$B$24),287,"")</f>
        <v/>
      </c>
      <c r="B290" s="9" t="str">
        <f>IF($A290="","",EDATE(_Engine!$B$2,$A290-1))</f>
        <v/>
      </c>
      <c r="C290" s="10" t="str">
        <f>IF($A290="","",IF($A290&lt;=_Engine!$B$23,_Engine!$E327,""))</f>
        <v/>
      </c>
      <c r="D290" s="10" t="str">
        <f>IF($A290="","",IF($A290&lt;=_Engine!$B$23,_Engine!$F327,""))</f>
        <v/>
      </c>
      <c r="E290" s="10" t="str">
        <f>IF($A290="","",IF($A290&lt;=_Engine!$B$24,_Engine!$G327,""))</f>
        <v/>
      </c>
      <c r="F290" s="10" t="str">
        <f>IF($A290="","",IF($A290&lt;=_Engine!$B$24,_Engine!$H327,""))</f>
        <v/>
      </c>
    </row>
    <row r="291" spans="1:6" x14ac:dyDescent="0.25">
      <c r="A291" s="8" t="str">
        <f>IF(288&lt;=MAX(_Engine!$B$23,_Engine!$B$24),288,"")</f>
        <v/>
      </c>
      <c r="B291" s="9" t="str">
        <f>IF($A291="","",EDATE(_Engine!$B$2,$A291-1))</f>
        <v/>
      </c>
      <c r="C291" s="10" t="str">
        <f>IF($A291="","",IF($A291&lt;=_Engine!$B$23,_Engine!$E328,""))</f>
        <v/>
      </c>
      <c r="D291" s="10" t="str">
        <f>IF($A291="","",IF($A291&lt;=_Engine!$B$23,_Engine!$F328,""))</f>
        <v/>
      </c>
      <c r="E291" s="10" t="str">
        <f>IF($A291="","",IF($A291&lt;=_Engine!$B$24,_Engine!$G328,""))</f>
        <v/>
      </c>
      <c r="F291" s="10" t="str">
        <f>IF($A291="","",IF($A291&lt;=_Engine!$B$24,_Engine!$H328,""))</f>
        <v/>
      </c>
    </row>
    <row r="292" spans="1:6" x14ac:dyDescent="0.25">
      <c r="A292" s="8" t="str">
        <f>IF(289&lt;=MAX(_Engine!$B$23,_Engine!$B$24),289,"")</f>
        <v/>
      </c>
      <c r="B292" s="9" t="str">
        <f>IF($A292="","",EDATE(_Engine!$B$2,$A292-1))</f>
        <v/>
      </c>
      <c r="C292" s="10" t="str">
        <f>IF($A292="","",IF($A292&lt;=_Engine!$B$23,_Engine!$E329,""))</f>
        <v/>
      </c>
      <c r="D292" s="10" t="str">
        <f>IF($A292="","",IF($A292&lt;=_Engine!$B$23,_Engine!$F329,""))</f>
        <v/>
      </c>
      <c r="E292" s="10" t="str">
        <f>IF($A292="","",IF($A292&lt;=_Engine!$B$24,_Engine!$G329,""))</f>
        <v/>
      </c>
      <c r="F292" s="10" t="str">
        <f>IF($A292="","",IF($A292&lt;=_Engine!$B$24,_Engine!$H329,""))</f>
        <v/>
      </c>
    </row>
    <row r="293" spans="1:6" x14ac:dyDescent="0.25">
      <c r="A293" s="8" t="str">
        <f>IF(290&lt;=MAX(_Engine!$B$23,_Engine!$B$24),290,"")</f>
        <v/>
      </c>
      <c r="B293" s="9" t="str">
        <f>IF($A293="","",EDATE(_Engine!$B$2,$A293-1))</f>
        <v/>
      </c>
      <c r="C293" s="10" t="str">
        <f>IF($A293="","",IF($A293&lt;=_Engine!$B$23,_Engine!$E330,""))</f>
        <v/>
      </c>
      <c r="D293" s="10" t="str">
        <f>IF($A293="","",IF($A293&lt;=_Engine!$B$23,_Engine!$F330,""))</f>
        <v/>
      </c>
      <c r="E293" s="10" t="str">
        <f>IF($A293="","",IF($A293&lt;=_Engine!$B$24,_Engine!$G330,""))</f>
        <v/>
      </c>
      <c r="F293" s="10" t="str">
        <f>IF($A293="","",IF($A293&lt;=_Engine!$B$24,_Engine!$H330,""))</f>
        <v/>
      </c>
    </row>
    <row r="294" spans="1:6" x14ac:dyDescent="0.25">
      <c r="A294" s="8" t="str">
        <f>IF(291&lt;=MAX(_Engine!$B$23,_Engine!$B$24),291,"")</f>
        <v/>
      </c>
      <c r="B294" s="9" t="str">
        <f>IF($A294="","",EDATE(_Engine!$B$2,$A294-1))</f>
        <v/>
      </c>
      <c r="C294" s="10" t="str">
        <f>IF($A294="","",IF($A294&lt;=_Engine!$B$23,_Engine!$E331,""))</f>
        <v/>
      </c>
      <c r="D294" s="10" t="str">
        <f>IF($A294="","",IF($A294&lt;=_Engine!$B$23,_Engine!$F331,""))</f>
        <v/>
      </c>
      <c r="E294" s="10" t="str">
        <f>IF($A294="","",IF($A294&lt;=_Engine!$B$24,_Engine!$G331,""))</f>
        <v/>
      </c>
      <c r="F294" s="10" t="str">
        <f>IF($A294="","",IF($A294&lt;=_Engine!$B$24,_Engine!$H331,""))</f>
        <v/>
      </c>
    </row>
    <row r="295" spans="1:6" x14ac:dyDescent="0.25">
      <c r="A295" s="8" t="str">
        <f>IF(292&lt;=MAX(_Engine!$B$23,_Engine!$B$24),292,"")</f>
        <v/>
      </c>
      <c r="B295" s="9" t="str">
        <f>IF($A295="","",EDATE(_Engine!$B$2,$A295-1))</f>
        <v/>
      </c>
      <c r="C295" s="10" t="str">
        <f>IF($A295="","",IF($A295&lt;=_Engine!$B$23,_Engine!$E332,""))</f>
        <v/>
      </c>
      <c r="D295" s="10" t="str">
        <f>IF($A295="","",IF($A295&lt;=_Engine!$B$23,_Engine!$F332,""))</f>
        <v/>
      </c>
      <c r="E295" s="10" t="str">
        <f>IF($A295="","",IF($A295&lt;=_Engine!$B$24,_Engine!$G332,""))</f>
        <v/>
      </c>
      <c r="F295" s="10" t="str">
        <f>IF($A295="","",IF($A295&lt;=_Engine!$B$24,_Engine!$H332,""))</f>
        <v/>
      </c>
    </row>
    <row r="296" spans="1:6" x14ac:dyDescent="0.25">
      <c r="A296" s="8" t="str">
        <f>IF(293&lt;=MAX(_Engine!$B$23,_Engine!$B$24),293,"")</f>
        <v/>
      </c>
      <c r="B296" s="9" t="str">
        <f>IF($A296="","",EDATE(_Engine!$B$2,$A296-1))</f>
        <v/>
      </c>
      <c r="C296" s="10" t="str">
        <f>IF($A296="","",IF($A296&lt;=_Engine!$B$23,_Engine!$E333,""))</f>
        <v/>
      </c>
      <c r="D296" s="10" t="str">
        <f>IF($A296="","",IF($A296&lt;=_Engine!$B$23,_Engine!$F333,""))</f>
        <v/>
      </c>
      <c r="E296" s="10" t="str">
        <f>IF($A296="","",IF($A296&lt;=_Engine!$B$24,_Engine!$G333,""))</f>
        <v/>
      </c>
      <c r="F296" s="10" t="str">
        <f>IF($A296="","",IF($A296&lt;=_Engine!$B$24,_Engine!$H333,""))</f>
        <v/>
      </c>
    </row>
    <row r="297" spans="1:6" x14ac:dyDescent="0.25">
      <c r="A297" s="8" t="str">
        <f>IF(294&lt;=MAX(_Engine!$B$23,_Engine!$B$24),294,"")</f>
        <v/>
      </c>
      <c r="B297" s="9" t="str">
        <f>IF($A297="","",EDATE(_Engine!$B$2,$A297-1))</f>
        <v/>
      </c>
      <c r="C297" s="10" t="str">
        <f>IF($A297="","",IF($A297&lt;=_Engine!$B$23,_Engine!$E334,""))</f>
        <v/>
      </c>
      <c r="D297" s="10" t="str">
        <f>IF($A297="","",IF($A297&lt;=_Engine!$B$23,_Engine!$F334,""))</f>
        <v/>
      </c>
      <c r="E297" s="10" t="str">
        <f>IF($A297="","",IF($A297&lt;=_Engine!$B$24,_Engine!$G334,""))</f>
        <v/>
      </c>
      <c r="F297" s="10" t="str">
        <f>IF($A297="","",IF($A297&lt;=_Engine!$B$24,_Engine!$H334,""))</f>
        <v/>
      </c>
    </row>
    <row r="298" spans="1:6" x14ac:dyDescent="0.25">
      <c r="A298" s="8" t="str">
        <f>IF(295&lt;=MAX(_Engine!$B$23,_Engine!$B$24),295,"")</f>
        <v/>
      </c>
      <c r="B298" s="9" t="str">
        <f>IF($A298="","",EDATE(_Engine!$B$2,$A298-1))</f>
        <v/>
      </c>
      <c r="C298" s="10" t="str">
        <f>IF($A298="","",IF($A298&lt;=_Engine!$B$23,_Engine!$E335,""))</f>
        <v/>
      </c>
      <c r="D298" s="10" t="str">
        <f>IF($A298="","",IF($A298&lt;=_Engine!$B$23,_Engine!$F335,""))</f>
        <v/>
      </c>
      <c r="E298" s="10" t="str">
        <f>IF($A298="","",IF($A298&lt;=_Engine!$B$24,_Engine!$G335,""))</f>
        <v/>
      </c>
      <c r="F298" s="10" t="str">
        <f>IF($A298="","",IF($A298&lt;=_Engine!$B$24,_Engine!$H335,""))</f>
        <v/>
      </c>
    </row>
    <row r="299" spans="1:6" x14ac:dyDescent="0.25">
      <c r="A299" s="8" t="str">
        <f>IF(296&lt;=MAX(_Engine!$B$23,_Engine!$B$24),296,"")</f>
        <v/>
      </c>
      <c r="B299" s="9" t="str">
        <f>IF($A299="","",EDATE(_Engine!$B$2,$A299-1))</f>
        <v/>
      </c>
      <c r="C299" s="10" t="str">
        <f>IF($A299="","",IF($A299&lt;=_Engine!$B$23,_Engine!$E336,""))</f>
        <v/>
      </c>
      <c r="D299" s="10" t="str">
        <f>IF($A299="","",IF($A299&lt;=_Engine!$B$23,_Engine!$F336,""))</f>
        <v/>
      </c>
      <c r="E299" s="10" t="str">
        <f>IF($A299="","",IF($A299&lt;=_Engine!$B$24,_Engine!$G336,""))</f>
        <v/>
      </c>
      <c r="F299" s="10" t="str">
        <f>IF($A299="","",IF($A299&lt;=_Engine!$B$24,_Engine!$H336,""))</f>
        <v/>
      </c>
    </row>
    <row r="300" spans="1:6" x14ac:dyDescent="0.25">
      <c r="A300" s="8" t="str">
        <f>IF(297&lt;=MAX(_Engine!$B$23,_Engine!$B$24),297,"")</f>
        <v/>
      </c>
      <c r="B300" s="9" t="str">
        <f>IF($A300="","",EDATE(_Engine!$B$2,$A300-1))</f>
        <v/>
      </c>
      <c r="C300" s="10" t="str">
        <f>IF($A300="","",IF($A300&lt;=_Engine!$B$23,_Engine!$E337,""))</f>
        <v/>
      </c>
      <c r="D300" s="10" t="str">
        <f>IF($A300="","",IF($A300&lt;=_Engine!$B$23,_Engine!$F337,""))</f>
        <v/>
      </c>
      <c r="E300" s="10" t="str">
        <f>IF($A300="","",IF($A300&lt;=_Engine!$B$24,_Engine!$G337,""))</f>
        <v/>
      </c>
      <c r="F300" s="10" t="str">
        <f>IF($A300="","",IF($A300&lt;=_Engine!$B$24,_Engine!$H337,""))</f>
        <v/>
      </c>
    </row>
    <row r="301" spans="1:6" x14ac:dyDescent="0.25">
      <c r="A301" s="8" t="str">
        <f>IF(298&lt;=MAX(_Engine!$B$23,_Engine!$B$24),298,"")</f>
        <v/>
      </c>
      <c r="B301" s="9" t="str">
        <f>IF($A301="","",EDATE(_Engine!$B$2,$A301-1))</f>
        <v/>
      </c>
      <c r="C301" s="10" t="str">
        <f>IF($A301="","",IF($A301&lt;=_Engine!$B$23,_Engine!$E338,""))</f>
        <v/>
      </c>
      <c r="D301" s="10" t="str">
        <f>IF($A301="","",IF($A301&lt;=_Engine!$B$23,_Engine!$F338,""))</f>
        <v/>
      </c>
      <c r="E301" s="10" t="str">
        <f>IF($A301="","",IF($A301&lt;=_Engine!$B$24,_Engine!$G338,""))</f>
        <v/>
      </c>
      <c r="F301" s="10" t="str">
        <f>IF($A301="","",IF($A301&lt;=_Engine!$B$24,_Engine!$H338,""))</f>
        <v/>
      </c>
    </row>
    <row r="302" spans="1:6" x14ac:dyDescent="0.25">
      <c r="A302" s="8" t="str">
        <f>IF(299&lt;=MAX(_Engine!$B$23,_Engine!$B$24),299,"")</f>
        <v/>
      </c>
      <c r="B302" s="9" t="str">
        <f>IF($A302="","",EDATE(_Engine!$B$2,$A302-1))</f>
        <v/>
      </c>
      <c r="C302" s="10" t="str">
        <f>IF($A302="","",IF($A302&lt;=_Engine!$B$23,_Engine!$E339,""))</f>
        <v/>
      </c>
      <c r="D302" s="10" t="str">
        <f>IF($A302="","",IF($A302&lt;=_Engine!$B$23,_Engine!$F339,""))</f>
        <v/>
      </c>
      <c r="E302" s="10" t="str">
        <f>IF($A302="","",IF($A302&lt;=_Engine!$B$24,_Engine!$G339,""))</f>
        <v/>
      </c>
      <c r="F302" s="10" t="str">
        <f>IF($A302="","",IF($A302&lt;=_Engine!$B$24,_Engine!$H339,""))</f>
        <v/>
      </c>
    </row>
    <row r="303" spans="1:6" x14ac:dyDescent="0.25">
      <c r="A303" s="8" t="str">
        <f>IF(300&lt;=MAX(_Engine!$B$23,_Engine!$B$24),300,"")</f>
        <v/>
      </c>
      <c r="B303" s="9" t="str">
        <f>IF($A303="","",EDATE(_Engine!$B$2,$A303-1))</f>
        <v/>
      </c>
      <c r="C303" s="10" t="str">
        <f>IF($A303="","",IF($A303&lt;=_Engine!$B$23,_Engine!$E340,""))</f>
        <v/>
      </c>
      <c r="D303" s="10" t="str">
        <f>IF($A303="","",IF($A303&lt;=_Engine!$B$23,_Engine!$F340,""))</f>
        <v/>
      </c>
      <c r="E303" s="10" t="str">
        <f>IF($A303="","",IF($A303&lt;=_Engine!$B$24,_Engine!$G340,""))</f>
        <v/>
      </c>
      <c r="F303" s="10" t="str">
        <f>IF($A303="","",IF($A303&lt;=_Engine!$B$24,_Engine!$H340,""))</f>
        <v/>
      </c>
    </row>
    <row r="304" spans="1:6" x14ac:dyDescent="0.25">
      <c r="A304" s="8" t="str">
        <f>IF(301&lt;=MAX(_Engine!$B$23,_Engine!$B$24),301,"")</f>
        <v/>
      </c>
      <c r="B304" s="9" t="str">
        <f>IF($A304="","",EDATE(_Engine!$B$2,$A304-1))</f>
        <v/>
      </c>
      <c r="C304" s="10" t="str">
        <f>IF($A304="","",IF($A304&lt;=_Engine!$B$23,_Engine!$E341,""))</f>
        <v/>
      </c>
      <c r="D304" s="10" t="str">
        <f>IF($A304="","",IF($A304&lt;=_Engine!$B$23,_Engine!$F341,""))</f>
        <v/>
      </c>
      <c r="E304" s="10" t="str">
        <f>IF($A304="","",IF($A304&lt;=_Engine!$B$24,_Engine!$G341,""))</f>
        <v/>
      </c>
      <c r="F304" s="10" t="str">
        <f>IF($A304="","",IF($A304&lt;=_Engine!$B$24,_Engine!$H341,""))</f>
        <v/>
      </c>
    </row>
    <row r="305" spans="1:6" x14ac:dyDescent="0.25">
      <c r="A305" s="8" t="str">
        <f>IF(302&lt;=MAX(_Engine!$B$23,_Engine!$B$24),302,"")</f>
        <v/>
      </c>
      <c r="B305" s="9" t="str">
        <f>IF($A305="","",EDATE(_Engine!$B$2,$A305-1))</f>
        <v/>
      </c>
      <c r="C305" s="10" t="str">
        <f>IF($A305="","",IF($A305&lt;=_Engine!$B$23,_Engine!$E342,""))</f>
        <v/>
      </c>
      <c r="D305" s="10" t="str">
        <f>IF($A305="","",IF($A305&lt;=_Engine!$B$23,_Engine!$F342,""))</f>
        <v/>
      </c>
      <c r="E305" s="10" t="str">
        <f>IF($A305="","",IF($A305&lt;=_Engine!$B$24,_Engine!$G342,""))</f>
        <v/>
      </c>
      <c r="F305" s="10" t="str">
        <f>IF($A305="","",IF($A305&lt;=_Engine!$B$24,_Engine!$H342,""))</f>
        <v/>
      </c>
    </row>
    <row r="306" spans="1:6" x14ac:dyDescent="0.25">
      <c r="A306" s="8" t="str">
        <f>IF(303&lt;=MAX(_Engine!$B$23,_Engine!$B$24),303,"")</f>
        <v/>
      </c>
      <c r="B306" s="9" t="str">
        <f>IF($A306="","",EDATE(_Engine!$B$2,$A306-1))</f>
        <v/>
      </c>
      <c r="C306" s="10" t="str">
        <f>IF($A306="","",IF($A306&lt;=_Engine!$B$23,_Engine!$E343,""))</f>
        <v/>
      </c>
      <c r="D306" s="10" t="str">
        <f>IF($A306="","",IF($A306&lt;=_Engine!$B$23,_Engine!$F343,""))</f>
        <v/>
      </c>
      <c r="E306" s="10" t="str">
        <f>IF($A306="","",IF($A306&lt;=_Engine!$B$24,_Engine!$G343,""))</f>
        <v/>
      </c>
      <c r="F306" s="10" t="str">
        <f>IF($A306="","",IF($A306&lt;=_Engine!$B$24,_Engine!$H343,""))</f>
        <v/>
      </c>
    </row>
    <row r="307" spans="1:6" x14ac:dyDescent="0.25">
      <c r="A307" s="8" t="str">
        <f>IF(304&lt;=MAX(_Engine!$B$23,_Engine!$B$24),304,"")</f>
        <v/>
      </c>
      <c r="B307" s="9" t="str">
        <f>IF($A307="","",EDATE(_Engine!$B$2,$A307-1))</f>
        <v/>
      </c>
      <c r="C307" s="10" t="str">
        <f>IF($A307="","",IF($A307&lt;=_Engine!$B$23,_Engine!$E344,""))</f>
        <v/>
      </c>
      <c r="D307" s="10" t="str">
        <f>IF($A307="","",IF($A307&lt;=_Engine!$B$23,_Engine!$F344,""))</f>
        <v/>
      </c>
      <c r="E307" s="10" t="str">
        <f>IF($A307="","",IF($A307&lt;=_Engine!$B$24,_Engine!$G344,""))</f>
        <v/>
      </c>
      <c r="F307" s="10" t="str">
        <f>IF($A307="","",IF($A307&lt;=_Engine!$B$24,_Engine!$H344,""))</f>
        <v/>
      </c>
    </row>
    <row r="308" spans="1:6" x14ac:dyDescent="0.25">
      <c r="A308" s="8" t="str">
        <f>IF(305&lt;=MAX(_Engine!$B$23,_Engine!$B$24),305,"")</f>
        <v/>
      </c>
      <c r="B308" s="9" t="str">
        <f>IF($A308="","",EDATE(_Engine!$B$2,$A308-1))</f>
        <v/>
      </c>
      <c r="C308" s="10" t="str">
        <f>IF($A308="","",IF($A308&lt;=_Engine!$B$23,_Engine!$E345,""))</f>
        <v/>
      </c>
      <c r="D308" s="10" t="str">
        <f>IF($A308="","",IF($A308&lt;=_Engine!$B$23,_Engine!$F345,""))</f>
        <v/>
      </c>
      <c r="E308" s="10" t="str">
        <f>IF($A308="","",IF($A308&lt;=_Engine!$B$24,_Engine!$G345,""))</f>
        <v/>
      </c>
      <c r="F308" s="10" t="str">
        <f>IF($A308="","",IF($A308&lt;=_Engine!$B$24,_Engine!$H345,""))</f>
        <v/>
      </c>
    </row>
    <row r="309" spans="1:6" x14ac:dyDescent="0.25">
      <c r="A309" s="8" t="str">
        <f>IF(306&lt;=MAX(_Engine!$B$23,_Engine!$B$24),306,"")</f>
        <v/>
      </c>
      <c r="B309" s="9" t="str">
        <f>IF($A309="","",EDATE(_Engine!$B$2,$A309-1))</f>
        <v/>
      </c>
      <c r="C309" s="10" t="str">
        <f>IF($A309="","",IF($A309&lt;=_Engine!$B$23,_Engine!$E346,""))</f>
        <v/>
      </c>
      <c r="D309" s="10" t="str">
        <f>IF($A309="","",IF($A309&lt;=_Engine!$B$23,_Engine!$F346,""))</f>
        <v/>
      </c>
      <c r="E309" s="10" t="str">
        <f>IF($A309="","",IF($A309&lt;=_Engine!$B$24,_Engine!$G346,""))</f>
        <v/>
      </c>
      <c r="F309" s="10" t="str">
        <f>IF($A309="","",IF($A309&lt;=_Engine!$B$24,_Engine!$H346,""))</f>
        <v/>
      </c>
    </row>
    <row r="310" spans="1:6" x14ac:dyDescent="0.25">
      <c r="A310" s="8" t="str">
        <f>IF(307&lt;=MAX(_Engine!$B$23,_Engine!$B$24),307,"")</f>
        <v/>
      </c>
      <c r="B310" s="9" t="str">
        <f>IF($A310="","",EDATE(_Engine!$B$2,$A310-1))</f>
        <v/>
      </c>
      <c r="C310" s="10" t="str">
        <f>IF($A310="","",IF($A310&lt;=_Engine!$B$23,_Engine!$E347,""))</f>
        <v/>
      </c>
      <c r="D310" s="10" t="str">
        <f>IF($A310="","",IF($A310&lt;=_Engine!$B$23,_Engine!$F347,""))</f>
        <v/>
      </c>
      <c r="E310" s="10" t="str">
        <f>IF($A310="","",IF($A310&lt;=_Engine!$B$24,_Engine!$G347,""))</f>
        <v/>
      </c>
      <c r="F310" s="10" t="str">
        <f>IF($A310="","",IF($A310&lt;=_Engine!$B$24,_Engine!$H347,""))</f>
        <v/>
      </c>
    </row>
    <row r="311" spans="1:6" x14ac:dyDescent="0.25">
      <c r="A311" s="8" t="str">
        <f>IF(308&lt;=MAX(_Engine!$B$23,_Engine!$B$24),308,"")</f>
        <v/>
      </c>
      <c r="B311" s="9" t="str">
        <f>IF($A311="","",EDATE(_Engine!$B$2,$A311-1))</f>
        <v/>
      </c>
      <c r="C311" s="10" t="str">
        <f>IF($A311="","",IF($A311&lt;=_Engine!$B$23,_Engine!$E348,""))</f>
        <v/>
      </c>
      <c r="D311" s="10" t="str">
        <f>IF($A311="","",IF($A311&lt;=_Engine!$B$23,_Engine!$F348,""))</f>
        <v/>
      </c>
      <c r="E311" s="10" t="str">
        <f>IF($A311="","",IF($A311&lt;=_Engine!$B$24,_Engine!$G348,""))</f>
        <v/>
      </c>
      <c r="F311" s="10" t="str">
        <f>IF($A311="","",IF($A311&lt;=_Engine!$B$24,_Engine!$H348,""))</f>
        <v/>
      </c>
    </row>
    <row r="312" spans="1:6" x14ac:dyDescent="0.25">
      <c r="A312" s="8" t="str">
        <f>IF(309&lt;=MAX(_Engine!$B$23,_Engine!$B$24),309,"")</f>
        <v/>
      </c>
      <c r="B312" s="9" t="str">
        <f>IF($A312="","",EDATE(_Engine!$B$2,$A312-1))</f>
        <v/>
      </c>
      <c r="C312" s="10" t="str">
        <f>IF($A312="","",IF($A312&lt;=_Engine!$B$23,_Engine!$E349,""))</f>
        <v/>
      </c>
      <c r="D312" s="10" t="str">
        <f>IF($A312="","",IF($A312&lt;=_Engine!$B$23,_Engine!$F349,""))</f>
        <v/>
      </c>
      <c r="E312" s="10" t="str">
        <f>IF($A312="","",IF($A312&lt;=_Engine!$B$24,_Engine!$G349,""))</f>
        <v/>
      </c>
      <c r="F312" s="10" t="str">
        <f>IF($A312="","",IF($A312&lt;=_Engine!$B$24,_Engine!$H349,""))</f>
        <v/>
      </c>
    </row>
    <row r="313" spans="1:6" x14ac:dyDescent="0.25">
      <c r="A313" s="8" t="str">
        <f>IF(310&lt;=MAX(_Engine!$B$23,_Engine!$B$24),310,"")</f>
        <v/>
      </c>
      <c r="B313" s="9" t="str">
        <f>IF($A313="","",EDATE(_Engine!$B$2,$A313-1))</f>
        <v/>
      </c>
      <c r="C313" s="10" t="str">
        <f>IF($A313="","",IF($A313&lt;=_Engine!$B$23,_Engine!$E350,""))</f>
        <v/>
      </c>
      <c r="D313" s="10" t="str">
        <f>IF($A313="","",IF($A313&lt;=_Engine!$B$23,_Engine!$F350,""))</f>
        <v/>
      </c>
      <c r="E313" s="10" t="str">
        <f>IF($A313="","",IF($A313&lt;=_Engine!$B$24,_Engine!$G350,""))</f>
        <v/>
      </c>
      <c r="F313" s="10" t="str">
        <f>IF($A313="","",IF($A313&lt;=_Engine!$B$24,_Engine!$H350,""))</f>
        <v/>
      </c>
    </row>
    <row r="314" spans="1:6" x14ac:dyDescent="0.25">
      <c r="A314" s="8" t="str">
        <f>IF(311&lt;=MAX(_Engine!$B$23,_Engine!$B$24),311,"")</f>
        <v/>
      </c>
      <c r="B314" s="9" t="str">
        <f>IF($A314="","",EDATE(_Engine!$B$2,$A314-1))</f>
        <v/>
      </c>
      <c r="C314" s="10" t="str">
        <f>IF($A314="","",IF($A314&lt;=_Engine!$B$23,_Engine!$E351,""))</f>
        <v/>
      </c>
      <c r="D314" s="10" t="str">
        <f>IF($A314="","",IF($A314&lt;=_Engine!$B$23,_Engine!$F351,""))</f>
        <v/>
      </c>
      <c r="E314" s="10" t="str">
        <f>IF($A314="","",IF($A314&lt;=_Engine!$B$24,_Engine!$G351,""))</f>
        <v/>
      </c>
      <c r="F314" s="10" t="str">
        <f>IF($A314="","",IF($A314&lt;=_Engine!$B$24,_Engine!$H351,""))</f>
        <v/>
      </c>
    </row>
    <row r="315" spans="1:6" x14ac:dyDescent="0.25">
      <c r="A315" s="8" t="str">
        <f>IF(312&lt;=MAX(_Engine!$B$23,_Engine!$B$24),312,"")</f>
        <v/>
      </c>
      <c r="B315" s="9" t="str">
        <f>IF($A315="","",EDATE(_Engine!$B$2,$A315-1))</f>
        <v/>
      </c>
      <c r="C315" s="10" t="str">
        <f>IF($A315="","",IF($A315&lt;=_Engine!$B$23,_Engine!$E352,""))</f>
        <v/>
      </c>
      <c r="D315" s="10" t="str">
        <f>IF($A315="","",IF($A315&lt;=_Engine!$B$23,_Engine!$F352,""))</f>
        <v/>
      </c>
      <c r="E315" s="10" t="str">
        <f>IF($A315="","",IF($A315&lt;=_Engine!$B$24,_Engine!$G352,""))</f>
        <v/>
      </c>
      <c r="F315" s="10" t="str">
        <f>IF($A315="","",IF($A315&lt;=_Engine!$B$24,_Engine!$H352,""))</f>
        <v/>
      </c>
    </row>
    <row r="316" spans="1:6" x14ac:dyDescent="0.25">
      <c r="A316" s="8" t="str">
        <f>IF(313&lt;=MAX(_Engine!$B$23,_Engine!$B$24),313,"")</f>
        <v/>
      </c>
      <c r="B316" s="9" t="str">
        <f>IF($A316="","",EDATE(_Engine!$B$2,$A316-1))</f>
        <v/>
      </c>
      <c r="C316" s="10" t="str">
        <f>IF($A316="","",IF($A316&lt;=_Engine!$B$23,_Engine!$E353,""))</f>
        <v/>
      </c>
      <c r="D316" s="10" t="str">
        <f>IF($A316="","",IF($A316&lt;=_Engine!$B$23,_Engine!$F353,""))</f>
        <v/>
      </c>
      <c r="E316" s="10" t="str">
        <f>IF($A316="","",IF($A316&lt;=_Engine!$B$24,_Engine!$G353,""))</f>
        <v/>
      </c>
      <c r="F316" s="10" t="str">
        <f>IF($A316="","",IF($A316&lt;=_Engine!$B$24,_Engine!$H353,""))</f>
        <v/>
      </c>
    </row>
    <row r="317" spans="1:6" x14ac:dyDescent="0.25">
      <c r="A317" s="8" t="str">
        <f>IF(314&lt;=MAX(_Engine!$B$23,_Engine!$B$24),314,"")</f>
        <v/>
      </c>
      <c r="B317" s="9" t="str">
        <f>IF($A317="","",EDATE(_Engine!$B$2,$A317-1))</f>
        <v/>
      </c>
      <c r="C317" s="10" t="str">
        <f>IF($A317="","",IF($A317&lt;=_Engine!$B$23,_Engine!$E354,""))</f>
        <v/>
      </c>
      <c r="D317" s="10" t="str">
        <f>IF($A317="","",IF($A317&lt;=_Engine!$B$23,_Engine!$F354,""))</f>
        <v/>
      </c>
      <c r="E317" s="10" t="str">
        <f>IF($A317="","",IF($A317&lt;=_Engine!$B$24,_Engine!$G354,""))</f>
        <v/>
      </c>
      <c r="F317" s="10" t="str">
        <f>IF($A317="","",IF($A317&lt;=_Engine!$B$24,_Engine!$H354,""))</f>
        <v/>
      </c>
    </row>
    <row r="318" spans="1:6" x14ac:dyDescent="0.25">
      <c r="A318" s="8" t="str">
        <f>IF(315&lt;=MAX(_Engine!$B$23,_Engine!$B$24),315,"")</f>
        <v/>
      </c>
      <c r="B318" s="9" t="str">
        <f>IF($A318="","",EDATE(_Engine!$B$2,$A318-1))</f>
        <v/>
      </c>
      <c r="C318" s="10" t="str">
        <f>IF($A318="","",IF($A318&lt;=_Engine!$B$23,_Engine!$E355,""))</f>
        <v/>
      </c>
      <c r="D318" s="10" t="str">
        <f>IF($A318="","",IF($A318&lt;=_Engine!$B$23,_Engine!$F355,""))</f>
        <v/>
      </c>
      <c r="E318" s="10" t="str">
        <f>IF($A318="","",IF($A318&lt;=_Engine!$B$24,_Engine!$G355,""))</f>
        <v/>
      </c>
      <c r="F318" s="10" t="str">
        <f>IF($A318="","",IF($A318&lt;=_Engine!$B$24,_Engine!$H355,""))</f>
        <v/>
      </c>
    </row>
    <row r="319" spans="1:6" x14ac:dyDescent="0.25">
      <c r="A319" s="8" t="str">
        <f>IF(316&lt;=MAX(_Engine!$B$23,_Engine!$B$24),316,"")</f>
        <v/>
      </c>
      <c r="B319" s="9" t="str">
        <f>IF($A319="","",EDATE(_Engine!$B$2,$A319-1))</f>
        <v/>
      </c>
      <c r="C319" s="10" t="str">
        <f>IF($A319="","",IF($A319&lt;=_Engine!$B$23,_Engine!$E356,""))</f>
        <v/>
      </c>
      <c r="D319" s="10" t="str">
        <f>IF($A319="","",IF($A319&lt;=_Engine!$B$23,_Engine!$F356,""))</f>
        <v/>
      </c>
      <c r="E319" s="10" t="str">
        <f>IF($A319="","",IF($A319&lt;=_Engine!$B$24,_Engine!$G356,""))</f>
        <v/>
      </c>
      <c r="F319" s="10" t="str">
        <f>IF($A319="","",IF($A319&lt;=_Engine!$B$24,_Engine!$H356,""))</f>
        <v/>
      </c>
    </row>
    <row r="320" spans="1:6" x14ac:dyDescent="0.25">
      <c r="A320" s="8" t="str">
        <f>IF(317&lt;=MAX(_Engine!$B$23,_Engine!$B$24),317,"")</f>
        <v/>
      </c>
      <c r="B320" s="9" t="str">
        <f>IF($A320="","",EDATE(_Engine!$B$2,$A320-1))</f>
        <v/>
      </c>
      <c r="C320" s="10" t="str">
        <f>IF($A320="","",IF($A320&lt;=_Engine!$B$23,_Engine!$E357,""))</f>
        <v/>
      </c>
      <c r="D320" s="10" t="str">
        <f>IF($A320="","",IF($A320&lt;=_Engine!$B$23,_Engine!$F357,""))</f>
        <v/>
      </c>
      <c r="E320" s="10" t="str">
        <f>IF($A320="","",IF($A320&lt;=_Engine!$B$24,_Engine!$G357,""))</f>
        <v/>
      </c>
      <c r="F320" s="10" t="str">
        <f>IF($A320="","",IF($A320&lt;=_Engine!$B$24,_Engine!$H357,""))</f>
        <v/>
      </c>
    </row>
    <row r="321" spans="1:6" x14ac:dyDescent="0.25">
      <c r="A321" s="8" t="str">
        <f>IF(318&lt;=MAX(_Engine!$B$23,_Engine!$B$24),318,"")</f>
        <v/>
      </c>
      <c r="B321" s="9" t="str">
        <f>IF($A321="","",EDATE(_Engine!$B$2,$A321-1))</f>
        <v/>
      </c>
      <c r="C321" s="10" t="str">
        <f>IF($A321="","",IF($A321&lt;=_Engine!$B$23,_Engine!$E358,""))</f>
        <v/>
      </c>
      <c r="D321" s="10" t="str">
        <f>IF($A321="","",IF($A321&lt;=_Engine!$B$23,_Engine!$F358,""))</f>
        <v/>
      </c>
      <c r="E321" s="10" t="str">
        <f>IF($A321="","",IF($A321&lt;=_Engine!$B$24,_Engine!$G358,""))</f>
        <v/>
      </c>
      <c r="F321" s="10" t="str">
        <f>IF($A321="","",IF($A321&lt;=_Engine!$B$24,_Engine!$H358,""))</f>
        <v/>
      </c>
    </row>
    <row r="322" spans="1:6" x14ac:dyDescent="0.25">
      <c r="A322" s="8" t="str">
        <f>IF(319&lt;=MAX(_Engine!$B$23,_Engine!$B$24),319,"")</f>
        <v/>
      </c>
      <c r="B322" s="9" t="str">
        <f>IF($A322="","",EDATE(_Engine!$B$2,$A322-1))</f>
        <v/>
      </c>
      <c r="C322" s="10" t="str">
        <f>IF($A322="","",IF($A322&lt;=_Engine!$B$23,_Engine!$E359,""))</f>
        <v/>
      </c>
      <c r="D322" s="10" t="str">
        <f>IF($A322="","",IF($A322&lt;=_Engine!$B$23,_Engine!$F359,""))</f>
        <v/>
      </c>
      <c r="E322" s="10" t="str">
        <f>IF($A322="","",IF($A322&lt;=_Engine!$B$24,_Engine!$G359,""))</f>
        <v/>
      </c>
      <c r="F322" s="10" t="str">
        <f>IF($A322="","",IF($A322&lt;=_Engine!$B$24,_Engine!$H359,""))</f>
        <v/>
      </c>
    </row>
    <row r="323" spans="1:6" x14ac:dyDescent="0.25">
      <c r="A323" s="8" t="str">
        <f>IF(320&lt;=MAX(_Engine!$B$23,_Engine!$B$24),320,"")</f>
        <v/>
      </c>
      <c r="B323" s="9" t="str">
        <f>IF($A323="","",EDATE(_Engine!$B$2,$A323-1))</f>
        <v/>
      </c>
      <c r="C323" s="10" t="str">
        <f>IF($A323="","",IF($A323&lt;=_Engine!$B$23,_Engine!$E360,""))</f>
        <v/>
      </c>
      <c r="D323" s="10" t="str">
        <f>IF($A323="","",IF($A323&lt;=_Engine!$B$23,_Engine!$F360,""))</f>
        <v/>
      </c>
      <c r="E323" s="10" t="str">
        <f>IF($A323="","",IF($A323&lt;=_Engine!$B$24,_Engine!$G360,""))</f>
        <v/>
      </c>
      <c r="F323" s="10" t="str">
        <f>IF($A323="","",IF($A323&lt;=_Engine!$B$24,_Engine!$H360,""))</f>
        <v/>
      </c>
    </row>
    <row r="324" spans="1:6" x14ac:dyDescent="0.25">
      <c r="A324" s="8" t="str">
        <f>IF(321&lt;=MAX(_Engine!$B$23,_Engine!$B$24),321,"")</f>
        <v/>
      </c>
      <c r="B324" s="9" t="str">
        <f>IF($A324="","",EDATE(_Engine!$B$2,$A324-1))</f>
        <v/>
      </c>
      <c r="C324" s="10" t="str">
        <f>IF($A324="","",IF($A324&lt;=_Engine!$B$23,_Engine!$E361,""))</f>
        <v/>
      </c>
      <c r="D324" s="10" t="str">
        <f>IF($A324="","",IF($A324&lt;=_Engine!$B$23,_Engine!$F361,""))</f>
        <v/>
      </c>
      <c r="E324" s="10" t="str">
        <f>IF($A324="","",IF($A324&lt;=_Engine!$B$24,_Engine!$G361,""))</f>
        <v/>
      </c>
      <c r="F324" s="10" t="str">
        <f>IF($A324="","",IF($A324&lt;=_Engine!$B$24,_Engine!$H361,""))</f>
        <v/>
      </c>
    </row>
    <row r="325" spans="1:6" x14ac:dyDescent="0.25">
      <c r="A325" s="8" t="str">
        <f>IF(322&lt;=MAX(_Engine!$B$23,_Engine!$B$24),322,"")</f>
        <v/>
      </c>
      <c r="B325" s="9" t="str">
        <f>IF($A325="","",EDATE(_Engine!$B$2,$A325-1))</f>
        <v/>
      </c>
      <c r="C325" s="10" t="str">
        <f>IF($A325="","",IF($A325&lt;=_Engine!$B$23,_Engine!$E362,""))</f>
        <v/>
      </c>
      <c r="D325" s="10" t="str">
        <f>IF($A325="","",IF($A325&lt;=_Engine!$B$23,_Engine!$F362,""))</f>
        <v/>
      </c>
      <c r="E325" s="10" t="str">
        <f>IF($A325="","",IF($A325&lt;=_Engine!$B$24,_Engine!$G362,""))</f>
        <v/>
      </c>
      <c r="F325" s="10" t="str">
        <f>IF($A325="","",IF($A325&lt;=_Engine!$B$24,_Engine!$H362,""))</f>
        <v/>
      </c>
    </row>
    <row r="326" spans="1:6" x14ac:dyDescent="0.25">
      <c r="A326" s="8" t="str">
        <f>IF(323&lt;=MAX(_Engine!$B$23,_Engine!$B$24),323,"")</f>
        <v/>
      </c>
      <c r="B326" s="9" t="str">
        <f>IF($A326="","",EDATE(_Engine!$B$2,$A326-1))</f>
        <v/>
      </c>
      <c r="C326" s="10" t="str">
        <f>IF($A326="","",IF($A326&lt;=_Engine!$B$23,_Engine!$E363,""))</f>
        <v/>
      </c>
      <c r="D326" s="10" t="str">
        <f>IF($A326="","",IF($A326&lt;=_Engine!$B$23,_Engine!$F363,""))</f>
        <v/>
      </c>
      <c r="E326" s="10" t="str">
        <f>IF($A326="","",IF($A326&lt;=_Engine!$B$24,_Engine!$G363,""))</f>
        <v/>
      </c>
      <c r="F326" s="10" t="str">
        <f>IF($A326="","",IF($A326&lt;=_Engine!$B$24,_Engine!$H363,""))</f>
        <v/>
      </c>
    </row>
    <row r="327" spans="1:6" x14ac:dyDescent="0.25">
      <c r="A327" s="8" t="str">
        <f>IF(324&lt;=MAX(_Engine!$B$23,_Engine!$B$24),324,"")</f>
        <v/>
      </c>
      <c r="B327" s="9" t="str">
        <f>IF($A327="","",EDATE(_Engine!$B$2,$A327-1))</f>
        <v/>
      </c>
      <c r="C327" s="10" t="str">
        <f>IF($A327="","",IF($A327&lt;=_Engine!$B$23,_Engine!$E364,""))</f>
        <v/>
      </c>
      <c r="D327" s="10" t="str">
        <f>IF($A327="","",IF($A327&lt;=_Engine!$B$23,_Engine!$F364,""))</f>
        <v/>
      </c>
      <c r="E327" s="10" t="str">
        <f>IF($A327="","",IF($A327&lt;=_Engine!$B$24,_Engine!$G364,""))</f>
        <v/>
      </c>
      <c r="F327" s="10" t="str">
        <f>IF($A327="","",IF($A327&lt;=_Engine!$B$24,_Engine!$H364,""))</f>
        <v/>
      </c>
    </row>
    <row r="328" spans="1:6" x14ac:dyDescent="0.25">
      <c r="A328" s="8" t="str">
        <f>IF(325&lt;=MAX(_Engine!$B$23,_Engine!$B$24),325,"")</f>
        <v/>
      </c>
      <c r="B328" s="9" t="str">
        <f>IF($A328="","",EDATE(_Engine!$B$2,$A328-1))</f>
        <v/>
      </c>
      <c r="C328" s="10" t="str">
        <f>IF($A328="","",IF($A328&lt;=_Engine!$B$23,_Engine!$E365,""))</f>
        <v/>
      </c>
      <c r="D328" s="10" t="str">
        <f>IF($A328="","",IF($A328&lt;=_Engine!$B$23,_Engine!$F365,""))</f>
        <v/>
      </c>
      <c r="E328" s="10" t="str">
        <f>IF($A328="","",IF($A328&lt;=_Engine!$B$24,_Engine!$G365,""))</f>
        <v/>
      </c>
      <c r="F328" s="10" t="str">
        <f>IF($A328="","",IF($A328&lt;=_Engine!$B$24,_Engine!$H365,""))</f>
        <v/>
      </c>
    </row>
    <row r="329" spans="1:6" x14ac:dyDescent="0.25">
      <c r="A329" s="8" t="str">
        <f>IF(326&lt;=MAX(_Engine!$B$23,_Engine!$B$24),326,"")</f>
        <v/>
      </c>
      <c r="B329" s="9" t="str">
        <f>IF($A329="","",EDATE(_Engine!$B$2,$A329-1))</f>
        <v/>
      </c>
      <c r="C329" s="10" t="str">
        <f>IF($A329="","",IF($A329&lt;=_Engine!$B$23,_Engine!$E366,""))</f>
        <v/>
      </c>
      <c r="D329" s="10" t="str">
        <f>IF($A329="","",IF($A329&lt;=_Engine!$B$23,_Engine!$F366,""))</f>
        <v/>
      </c>
      <c r="E329" s="10" t="str">
        <f>IF($A329="","",IF($A329&lt;=_Engine!$B$24,_Engine!$G366,""))</f>
        <v/>
      </c>
      <c r="F329" s="10" t="str">
        <f>IF($A329="","",IF($A329&lt;=_Engine!$B$24,_Engine!$H366,""))</f>
        <v/>
      </c>
    </row>
    <row r="330" spans="1:6" x14ac:dyDescent="0.25">
      <c r="A330" s="8" t="str">
        <f>IF(327&lt;=MAX(_Engine!$B$23,_Engine!$B$24),327,"")</f>
        <v/>
      </c>
      <c r="B330" s="9" t="str">
        <f>IF($A330="","",EDATE(_Engine!$B$2,$A330-1))</f>
        <v/>
      </c>
      <c r="C330" s="10" t="str">
        <f>IF($A330="","",IF($A330&lt;=_Engine!$B$23,_Engine!$E367,""))</f>
        <v/>
      </c>
      <c r="D330" s="10" t="str">
        <f>IF($A330="","",IF($A330&lt;=_Engine!$B$23,_Engine!$F367,""))</f>
        <v/>
      </c>
      <c r="E330" s="10" t="str">
        <f>IF($A330="","",IF($A330&lt;=_Engine!$B$24,_Engine!$G367,""))</f>
        <v/>
      </c>
      <c r="F330" s="10" t="str">
        <f>IF($A330="","",IF($A330&lt;=_Engine!$B$24,_Engine!$H367,""))</f>
        <v/>
      </c>
    </row>
    <row r="331" spans="1:6" x14ac:dyDescent="0.25">
      <c r="A331" s="8" t="str">
        <f>IF(328&lt;=MAX(_Engine!$B$23,_Engine!$B$24),328,"")</f>
        <v/>
      </c>
      <c r="B331" s="9" t="str">
        <f>IF($A331="","",EDATE(_Engine!$B$2,$A331-1))</f>
        <v/>
      </c>
      <c r="C331" s="10" t="str">
        <f>IF($A331="","",IF($A331&lt;=_Engine!$B$23,_Engine!$E368,""))</f>
        <v/>
      </c>
      <c r="D331" s="10" t="str">
        <f>IF($A331="","",IF($A331&lt;=_Engine!$B$23,_Engine!$F368,""))</f>
        <v/>
      </c>
      <c r="E331" s="10" t="str">
        <f>IF($A331="","",IF($A331&lt;=_Engine!$B$24,_Engine!$G368,""))</f>
        <v/>
      </c>
      <c r="F331" s="10" t="str">
        <f>IF($A331="","",IF($A331&lt;=_Engine!$B$24,_Engine!$H368,""))</f>
        <v/>
      </c>
    </row>
    <row r="332" spans="1:6" x14ac:dyDescent="0.25">
      <c r="A332" s="8" t="str">
        <f>IF(329&lt;=MAX(_Engine!$B$23,_Engine!$B$24),329,"")</f>
        <v/>
      </c>
      <c r="B332" s="9" t="str">
        <f>IF($A332="","",EDATE(_Engine!$B$2,$A332-1))</f>
        <v/>
      </c>
      <c r="C332" s="10" t="str">
        <f>IF($A332="","",IF($A332&lt;=_Engine!$B$23,_Engine!$E369,""))</f>
        <v/>
      </c>
      <c r="D332" s="10" t="str">
        <f>IF($A332="","",IF($A332&lt;=_Engine!$B$23,_Engine!$F369,""))</f>
        <v/>
      </c>
      <c r="E332" s="10" t="str">
        <f>IF($A332="","",IF($A332&lt;=_Engine!$B$24,_Engine!$G369,""))</f>
        <v/>
      </c>
      <c r="F332" s="10" t="str">
        <f>IF($A332="","",IF($A332&lt;=_Engine!$B$24,_Engine!$H369,""))</f>
        <v/>
      </c>
    </row>
    <row r="333" spans="1:6" x14ac:dyDescent="0.25">
      <c r="A333" s="8" t="str">
        <f>IF(330&lt;=MAX(_Engine!$B$23,_Engine!$B$24),330,"")</f>
        <v/>
      </c>
      <c r="B333" s="9" t="str">
        <f>IF($A333="","",EDATE(_Engine!$B$2,$A333-1))</f>
        <v/>
      </c>
      <c r="C333" s="10" t="str">
        <f>IF($A333="","",IF($A333&lt;=_Engine!$B$23,_Engine!$E370,""))</f>
        <v/>
      </c>
      <c r="D333" s="10" t="str">
        <f>IF($A333="","",IF($A333&lt;=_Engine!$B$23,_Engine!$F370,""))</f>
        <v/>
      </c>
      <c r="E333" s="10" t="str">
        <f>IF($A333="","",IF($A333&lt;=_Engine!$B$24,_Engine!$G370,""))</f>
        <v/>
      </c>
      <c r="F333" s="10" t="str">
        <f>IF($A333="","",IF($A333&lt;=_Engine!$B$24,_Engine!$H370,""))</f>
        <v/>
      </c>
    </row>
    <row r="334" spans="1:6" x14ac:dyDescent="0.25">
      <c r="A334" s="8" t="str">
        <f>IF(331&lt;=MAX(_Engine!$B$23,_Engine!$B$24),331,"")</f>
        <v/>
      </c>
      <c r="B334" s="9" t="str">
        <f>IF($A334="","",EDATE(_Engine!$B$2,$A334-1))</f>
        <v/>
      </c>
      <c r="C334" s="10" t="str">
        <f>IF($A334="","",IF($A334&lt;=_Engine!$B$23,_Engine!$E371,""))</f>
        <v/>
      </c>
      <c r="D334" s="10" t="str">
        <f>IF($A334="","",IF($A334&lt;=_Engine!$B$23,_Engine!$F371,""))</f>
        <v/>
      </c>
      <c r="E334" s="10" t="str">
        <f>IF($A334="","",IF($A334&lt;=_Engine!$B$24,_Engine!$G371,""))</f>
        <v/>
      </c>
      <c r="F334" s="10" t="str">
        <f>IF($A334="","",IF($A334&lt;=_Engine!$B$24,_Engine!$H371,""))</f>
        <v/>
      </c>
    </row>
    <row r="335" spans="1:6" x14ac:dyDescent="0.25">
      <c r="A335" s="8" t="str">
        <f>IF(332&lt;=MAX(_Engine!$B$23,_Engine!$B$24),332,"")</f>
        <v/>
      </c>
      <c r="B335" s="9" t="str">
        <f>IF($A335="","",EDATE(_Engine!$B$2,$A335-1))</f>
        <v/>
      </c>
      <c r="C335" s="10" t="str">
        <f>IF($A335="","",IF($A335&lt;=_Engine!$B$23,_Engine!$E372,""))</f>
        <v/>
      </c>
      <c r="D335" s="10" t="str">
        <f>IF($A335="","",IF($A335&lt;=_Engine!$B$23,_Engine!$F372,""))</f>
        <v/>
      </c>
      <c r="E335" s="10" t="str">
        <f>IF($A335="","",IF($A335&lt;=_Engine!$B$24,_Engine!$G372,""))</f>
        <v/>
      </c>
      <c r="F335" s="10" t="str">
        <f>IF($A335="","",IF($A335&lt;=_Engine!$B$24,_Engine!$H372,""))</f>
        <v/>
      </c>
    </row>
    <row r="336" spans="1:6" x14ac:dyDescent="0.25">
      <c r="A336" s="8" t="str">
        <f>IF(333&lt;=MAX(_Engine!$B$23,_Engine!$B$24),333,"")</f>
        <v/>
      </c>
      <c r="B336" s="9" t="str">
        <f>IF($A336="","",EDATE(_Engine!$B$2,$A336-1))</f>
        <v/>
      </c>
      <c r="C336" s="10" t="str">
        <f>IF($A336="","",IF($A336&lt;=_Engine!$B$23,_Engine!$E373,""))</f>
        <v/>
      </c>
      <c r="D336" s="10" t="str">
        <f>IF($A336="","",IF($A336&lt;=_Engine!$B$23,_Engine!$F373,""))</f>
        <v/>
      </c>
      <c r="E336" s="10" t="str">
        <f>IF($A336="","",IF($A336&lt;=_Engine!$B$24,_Engine!$G373,""))</f>
        <v/>
      </c>
      <c r="F336" s="10" t="str">
        <f>IF($A336="","",IF($A336&lt;=_Engine!$B$24,_Engine!$H373,""))</f>
        <v/>
      </c>
    </row>
    <row r="337" spans="1:6" x14ac:dyDescent="0.25">
      <c r="A337" s="8" t="str">
        <f>IF(334&lt;=MAX(_Engine!$B$23,_Engine!$B$24),334,"")</f>
        <v/>
      </c>
      <c r="B337" s="9" t="str">
        <f>IF($A337="","",EDATE(_Engine!$B$2,$A337-1))</f>
        <v/>
      </c>
      <c r="C337" s="10" t="str">
        <f>IF($A337="","",IF($A337&lt;=_Engine!$B$23,_Engine!$E374,""))</f>
        <v/>
      </c>
      <c r="D337" s="10" t="str">
        <f>IF($A337="","",IF($A337&lt;=_Engine!$B$23,_Engine!$F374,""))</f>
        <v/>
      </c>
      <c r="E337" s="10" t="str">
        <f>IF($A337="","",IF($A337&lt;=_Engine!$B$24,_Engine!$G374,""))</f>
        <v/>
      </c>
      <c r="F337" s="10" t="str">
        <f>IF($A337="","",IF($A337&lt;=_Engine!$B$24,_Engine!$H374,""))</f>
        <v/>
      </c>
    </row>
    <row r="338" spans="1:6" x14ac:dyDescent="0.25">
      <c r="A338" s="8" t="str">
        <f>IF(335&lt;=MAX(_Engine!$B$23,_Engine!$B$24),335,"")</f>
        <v/>
      </c>
      <c r="B338" s="9" t="str">
        <f>IF($A338="","",EDATE(_Engine!$B$2,$A338-1))</f>
        <v/>
      </c>
      <c r="C338" s="10" t="str">
        <f>IF($A338="","",IF($A338&lt;=_Engine!$B$23,_Engine!$E375,""))</f>
        <v/>
      </c>
      <c r="D338" s="10" t="str">
        <f>IF($A338="","",IF($A338&lt;=_Engine!$B$23,_Engine!$F375,""))</f>
        <v/>
      </c>
      <c r="E338" s="10" t="str">
        <f>IF($A338="","",IF($A338&lt;=_Engine!$B$24,_Engine!$G375,""))</f>
        <v/>
      </c>
      <c r="F338" s="10" t="str">
        <f>IF($A338="","",IF($A338&lt;=_Engine!$B$24,_Engine!$H375,""))</f>
        <v/>
      </c>
    </row>
    <row r="339" spans="1:6" x14ac:dyDescent="0.25">
      <c r="A339" s="8" t="str">
        <f>IF(336&lt;=MAX(_Engine!$B$23,_Engine!$B$24),336,"")</f>
        <v/>
      </c>
      <c r="B339" s="9" t="str">
        <f>IF($A339="","",EDATE(_Engine!$B$2,$A339-1))</f>
        <v/>
      </c>
      <c r="C339" s="10" t="str">
        <f>IF($A339="","",IF($A339&lt;=_Engine!$B$23,_Engine!$E376,""))</f>
        <v/>
      </c>
      <c r="D339" s="10" t="str">
        <f>IF($A339="","",IF($A339&lt;=_Engine!$B$23,_Engine!$F376,""))</f>
        <v/>
      </c>
      <c r="E339" s="10" t="str">
        <f>IF($A339="","",IF($A339&lt;=_Engine!$B$24,_Engine!$G376,""))</f>
        <v/>
      </c>
      <c r="F339" s="10" t="str">
        <f>IF($A339="","",IF($A339&lt;=_Engine!$B$24,_Engine!$H376,""))</f>
        <v/>
      </c>
    </row>
    <row r="340" spans="1:6" x14ac:dyDescent="0.25">
      <c r="A340" s="8" t="str">
        <f>IF(337&lt;=MAX(_Engine!$B$23,_Engine!$B$24),337,"")</f>
        <v/>
      </c>
      <c r="B340" s="9" t="str">
        <f>IF($A340="","",EDATE(_Engine!$B$2,$A340-1))</f>
        <v/>
      </c>
      <c r="C340" s="10" t="str">
        <f>IF($A340="","",IF($A340&lt;=_Engine!$B$23,_Engine!$E377,""))</f>
        <v/>
      </c>
      <c r="D340" s="10" t="str">
        <f>IF($A340="","",IF($A340&lt;=_Engine!$B$23,_Engine!$F377,""))</f>
        <v/>
      </c>
      <c r="E340" s="10" t="str">
        <f>IF($A340="","",IF($A340&lt;=_Engine!$B$24,_Engine!$G377,""))</f>
        <v/>
      </c>
      <c r="F340" s="10" t="str">
        <f>IF($A340="","",IF($A340&lt;=_Engine!$B$24,_Engine!$H377,""))</f>
        <v/>
      </c>
    </row>
    <row r="341" spans="1:6" x14ac:dyDescent="0.25">
      <c r="A341" s="8" t="str">
        <f>IF(338&lt;=MAX(_Engine!$B$23,_Engine!$B$24),338,"")</f>
        <v/>
      </c>
      <c r="B341" s="9" t="str">
        <f>IF($A341="","",EDATE(_Engine!$B$2,$A341-1))</f>
        <v/>
      </c>
      <c r="C341" s="10" t="str">
        <f>IF($A341="","",IF($A341&lt;=_Engine!$B$23,_Engine!$E378,""))</f>
        <v/>
      </c>
      <c r="D341" s="10" t="str">
        <f>IF($A341="","",IF($A341&lt;=_Engine!$B$23,_Engine!$F378,""))</f>
        <v/>
      </c>
      <c r="E341" s="10" t="str">
        <f>IF($A341="","",IF($A341&lt;=_Engine!$B$24,_Engine!$G378,""))</f>
        <v/>
      </c>
      <c r="F341" s="10" t="str">
        <f>IF($A341="","",IF($A341&lt;=_Engine!$B$24,_Engine!$H378,""))</f>
        <v/>
      </c>
    </row>
    <row r="342" spans="1:6" x14ac:dyDescent="0.25">
      <c r="A342" s="8" t="str">
        <f>IF(339&lt;=MAX(_Engine!$B$23,_Engine!$B$24),339,"")</f>
        <v/>
      </c>
      <c r="B342" s="9" t="str">
        <f>IF($A342="","",EDATE(_Engine!$B$2,$A342-1))</f>
        <v/>
      </c>
      <c r="C342" s="10" t="str">
        <f>IF($A342="","",IF($A342&lt;=_Engine!$B$23,_Engine!$E379,""))</f>
        <v/>
      </c>
      <c r="D342" s="10" t="str">
        <f>IF($A342="","",IF($A342&lt;=_Engine!$B$23,_Engine!$F379,""))</f>
        <v/>
      </c>
      <c r="E342" s="10" t="str">
        <f>IF($A342="","",IF($A342&lt;=_Engine!$B$24,_Engine!$G379,""))</f>
        <v/>
      </c>
      <c r="F342" s="10" t="str">
        <f>IF($A342="","",IF($A342&lt;=_Engine!$B$24,_Engine!$H379,""))</f>
        <v/>
      </c>
    </row>
    <row r="343" spans="1:6" x14ac:dyDescent="0.25">
      <c r="A343" s="8" t="str">
        <f>IF(340&lt;=MAX(_Engine!$B$23,_Engine!$B$24),340,"")</f>
        <v/>
      </c>
      <c r="B343" s="9" t="str">
        <f>IF($A343="","",EDATE(_Engine!$B$2,$A343-1))</f>
        <v/>
      </c>
      <c r="C343" s="10" t="str">
        <f>IF($A343="","",IF($A343&lt;=_Engine!$B$23,_Engine!$E380,""))</f>
        <v/>
      </c>
      <c r="D343" s="10" t="str">
        <f>IF($A343="","",IF($A343&lt;=_Engine!$B$23,_Engine!$F380,""))</f>
        <v/>
      </c>
      <c r="E343" s="10" t="str">
        <f>IF($A343="","",IF($A343&lt;=_Engine!$B$24,_Engine!$G380,""))</f>
        <v/>
      </c>
      <c r="F343" s="10" t="str">
        <f>IF($A343="","",IF($A343&lt;=_Engine!$B$24,_Engine!$H380,""))</f>
        <v/>
      </c>
    </row>
    <row r="344" spans="1:6" x14ac:dyDescent="0.25">
      <c r="A344" s="8" t="str">
        <f>IF(341&lt;=MAX(_Engine!$B$23,_Engine!$B$24),341,"")</f>
        <v/>
      </c>
      <c r="B344" s="9" t="str">
        <f>IF($A344="","",EDATE(_Engine!$B$2,$A344-1))</f>
        <v/>
      </c>
      <c r="C344" s="10" t="str">
        <f>IF($A344="","",IF($A344&lt;=_Engine!$B$23,_Engine!$E381,""))</f>
        <v/>
      </c>
      <c r="D344" s="10" t="str">
        <f>IF($A344="","",IF($A344&lt;=_Engine!$B$23,_Engine!$F381,""))</f>
        <v/>
      </c>
      <c r="E344" s="10" t="str">
        <f>IF($A344="","",IF($A344&lt;=_Engine!$B$24,_Engine!$G381,""))</f>
        <v/>
      </c>
      <c r="F344" s="10" t="str">
        <f>IF($A344="","",IF($A344&lt;=_Engine!$B$24,_Engine!$H381,""))</f>
        <v/>
      </c>
    </row>
    <row r="345" spans="1:6" x14ac:dyDescent="0.25">
      <c r="A345" s="8" t="str">
        <f>IF(342&lt;=MAX(_Engine!$B$23,_Engine!$B$24),342,"")</f>
        <v/>
      </c>
      <c r="B345" s="9" t="str">
        <f>IF($A345="","",EDATE(_Engine!$B$2,$A345-1))</f>
        <v/>
      </c>
      <c r="C345" s="10" t="str">
        <f>IF($A345="","",IF($A345&lt;=_Engine!$B$23,_Engine!$E382,""))</f>
        <v/>
      </c>
      <c r="D345" s="10" t="str">
        <f>IF($A345="","",IF($A345&lt;=_Engine!$B$23,_Engine!$F382,""))</f>
        <v/>
      </c>
      <c r="E345" s="10" t="str">
        <f>IF($A345="","",IF($A345&lt;=_Engine!$B$24,_Engine!$G382,""))</f>
        <v/>
      </c>
      <c r="F345" s="10" t="str">
        <f>IF($A345="","",IF($A345&lt;=_Engine!$B$24,_Engine!$H382,""))</f>
        <v/>
      </c>
    </row>
    <row r="346" spans="1:6" x14ac:dyDescent="0.25">
      <c r="A346" s="8" t="str">
        <f>IF(343&lt;=MAX(_Engine!$B$23,_Engine!$B$24),343,"")</f>
        <v/>
      </c>
      <c r="B346" s="9" t="str">
        <f>IF($A346="","",EDATE(_Engine!$B$2,$A346-1))</f>
        <v/>
      </c>
      <c r="C346" s="10" t="str">
        <f>IF($A346="","",IF($A346&lt;=_Engine!$B$23,_Engine!$E383,""))</f>
        <v/>
      </c>
      <c r="D346" s="10" t="str">
        <f>IF($A346="","",IF($A346&lt;=_Engine!$B$23,_Engine!$F383,""))</f>
        <v/>
      </c>
      <c r="E346" s="10" t="str">
        <f>IF($A346="","",IF($A346&lt;=_Engine!$B$24,_Engine!$G383,""))</f>
        <v/>
      </c>
      <c r="F346" s="10" t="str">
        <f>IF($A346="","",IF($A346&lt;=_Engine!$B$24,_Engine!$H383,""))</f>
        <v/>
      </c>
    </row>
    <row r="347" spans="1:6" x14ac:dyDescent="0.25">
      <c r="A347" s="8" t="str">
        <f>IF(344&lt;=MAX(_Engine!$B$23,_Engine!$B$24),344,"")</f>
        <v/>
      </c>
      <c r="B347" s="9" t="str">
        <f>IF($A347="","",EDATE(_Engine!$B$2,$A347-1))</f>
        <v/>
      </c>
      <c r="C347" s="10" t="str">
        <f>IF($A347="","",IF($A347&lt;=_Engine!$B$23,_Engine!$E384,""))</f>
        <v/>
      </c>
      <c r="D347" s="10" t="str">
        <f>IF($A347="","",IF($A347&lt;=_Engine!$B$23,_Engine!$F384,""))</f>
        <v/>
      </c>
      <c r="E347" s="10" t="str">
        <f>IF($A347="","",IF($A347&lt;=_Engine!$B$24,_Engine!$G384,""))</f>
        <v/>
      </c>
      <c r="F347" s="10" t="str">
        <f>IF($A347="","",IF($A347&lt;=_Engine!$B$24,_Engine!$H384,""))</f>
        <v/>
      </c>
    </row>
    <row r="348" spans="1:6" x14ac:dyDescent="0.25">
      <c r="A348" s="8" t="str">
        <f>IF(345&lt;=MAX(_Engine!$B$23,_Engine!$B$24),345,"")</f>
        <v/>
      </c>
      <c r="B348" s="9" t="str">
        <f>IF($A348="","",EDATE(_Engine!$B$2,$A348-1))</f>
        <v/>
      </c>
      <c r="C348" s="10" t="str">
        <f>IF($A348="","",IF($A348&lt;=_Engine!$B$23,_Engine!$E385,""))</f>
        <v/>
      </c>
      <c r="D348" s="10" t="str">
        <f>IF($A348="","",IF($A348&lt;=_Engine!$B$23,_Engine!$F385,""))</f>
        <v/>
      </c>
      <c r="E348" s="10" t="str">
        <f>IF($A348="","",IF($A348&lt;=_Engine!$B$24,_Engine!$G385,""))</f>
        <v/>
      </c>
      <c r="F348" s="10" t="str">
        <f>IF($A348="","",IF($A348&lt;=_Engine!$B$24,_Engine!$H385,""))</f>
        <v/>
      </c>
    </row>
    <row r="349" spans="1:6" x14ac:dyDescent="0.25">
      <c r="A349" s="8" t="str">
        <f>IF(346&lt;=MAX(_Engine!$B$23,_Engine!$B$24),346,"")</f>
        <v/>
      </c>
      <c r="B349" s="9" t="str">
        <f>IF($A349="","",EDATE(_Engine!$B$2,$A349-1))</f>
        <v/>
      </c>
      <c r="C349" s="10" t="str">
        <f>IF($A349="","",IF($A349&lt;=_Engine!$B$23,_Engine!$E386,""))</f>
        <v/>
      </c>
      <c r="D349" s="10" t="str">
        <f>IF($A349="","",IF($A349&lt;=_Engine!$B$23,_Engine!$F386,""))</f>
        <v/>
      </c>
      <c r="E349" s="10" t="str">
        <f>IF($A349="","",IF($A349&lt;=_Engine!$B$24,_Engine!$G386,""))</f>
        <v/>
      </c>
      <c r="F349" s="10" t="str">
        <f>IF($A349="","",IF($A349&lt;=_Engine!$B$24,_Engine!$H386,""))</f>
        <v/>
      </c>
    </row>
    <row r="350" spans="1:6" x14ac:dyDescent="0.25">
      <c r="A350" s="8" t="str">
        <f>IF(347&lt;=MAX(_Engine!$B$23,_Engine!$B$24),347,"")</f>
        <v/>
      </c>
      <c r="B350" s="9" t="str">
        <f>IF($A350="","",EDATE(_Engine!$B$2,$A350-1))</f>
        <v/>
      </c>
      <c r="C350" s="10" t="str">
        <f>IF($A350="","",IF($A350&lt;=_Engine!$B$23,_Engine!$E387,""))</f>
        <v/>
      </c>
      <c r="D350" s="10" t="str">
        <f>IF($A350="","",IF($A350&lt;=_Engine!$B$23,_Engine!$F387,""))</f>
        <v/>
      </c>
      <c r="E350" s="10" t="str">
        <f>IF($A350="","",IF($A350&lt;=_Engine!$B$24,_Engine!$G387,""))</f>
        <v/>
      </c>
      <c r="F350" s="10" t="str">
        <f>IF($A350="","",IF($A350&lt;=_Engine!$B$24,_Engine!$H387,""))</f>
        <v/>
      </c>
    </row>
    <row r="351" spans="1:6" x14ac:dyDescent="0.25">
      <c r="A351" s="8" t="str">
        <f>IF(348&lt;=MAX(_Engine!$B$23,_Engine!$B$24),348,"")</f>
        <v/>
      </c>
      <c r="B351" s="9" t="str">
        <f>IF($A351="","",EDATE(_Engine!$B$2,$A351-1))</f>
        <v/>
      </c>
      <c r="C351" s="10" t="str">
        <f>IF($A351="","",IF($A351&lt;=_Engine!$B$23,_Engine!$E388,""))</f>
        <v/>
      </c>
      <c r="D351" s="10" t="str">
        <f>IF($A351="","",IF($A351&lt;=_Engine!$B$23,_Engine!$F388,""))</f>
        <v/>
      </c>
      <c r="E351" s="10" t="str">
        <f>IF($A351="","",IF($A351&lt;=_Engine!$B$24,_Engine!$G388,""))</f>
        <v/>
      </c>
      <c r="F351" s="10" t="str">
        <f>IF($A351="","",IF($A351&lt;=_Engine!$B$24,_Engine!$H388,""))</f>
        <v/>
      </c>
    </row>
    <row r="352" spans="1:6" x14ac:dyDescent="0.25">
      <c r="A352" s="8" t="str">
        <f>IF(349&lt;=MAX(_Engine!$B$23,_Engine!$B$24),349,"")</f>
        <v/>
      </c>
      <c r="B352" s="9" t="str">
        <f>IF($A352="","",EDATE(_Engine!$B$2,$A352-1))</f>
        <v/>
      </c>
      <c r="C352" s="10" t="str">
        <f>IF($A352="","",IF($A352&lt;=_Engine!$B$23,_Engine!$E389,""))</f>
        <v/>
      </c>
      <c r="D352" s="10" t="str">
        <f>IF($A352="","",IF($A352&lt;=_Engine!$B$23,_Engine!$F389,""))</f>
        <v/>
      </c>
      <c r="E352" s="10" t="str">
        <f>IF($A352="","",IF($A352&lt;=_Engine!$B$24,_Engine!$G389,""))</f>
        <v/>
      </c>
      <c r="F352" s="10" t="str">
        <f>IF($A352="","",IF($A352&lt;=_Engine!$B$24,_Engine!$H389,""))</f>
        <v/>
      </c>
    </row>
    <row r="353" spans="1:6" x14ac:dyDescent="0.25">
      <c r="A353" s="8" t="str">
        <f>IF(350&lt;=MAX(_Engine!$B$23,_Engine!$B$24),350,"")</f>
        <v/>
      </c>
      <c r="B353" s="9" t="str">
        <f>IF($A353="","",EDATE(_Engine!$B$2,$A353-1))</f>
        <v/>
      </c>
      <c r="C353" s="10" t="str">
        <f>IF($A353="","",IF($A353&lt;=_Engine!$B$23,_Engine!$E390,""))</f>
        <v/>
      </c>
      <c r="D353" s="10" t="str">
        <f>IF($A353="","",IF($A353&lt;=_Engine!$B$23,_Engine!$F390,""))</f>
        <v/>
      </c>
      <c r="E353" s="10" t="str">
        <f>IF($A353="","",IF($A353&lt;=_Engine!$B$24,_Engine!$G390,""))</f>
        <v/>
      </c>
      <c r="F353" s="10" t="str">
        <f>IF($A353="","",IF($A353&lt;=_Engine!$B$24,_Engine!$H390,""))</f>
        <v/>
      </c>
    </row>
    <row r="354" spans="1:6" x14ac:dyDescent="0.25">
      <c r="A354" s="8" t="str">
        <f>IF(351&lt;=MAX(_Engine!$B$23,_Engine!$B$24),351,"")</f>
        <v/>
      </c>
      <c r="B354" s="9" t="str">
        <f>IF($A354="","",EDATE(_Engine!$B$2,$A354-1))</f>
        <v/>
      </c>
      <c r="C354" s="10" t="str">
        <f>IF($A354="","",IF($A354&lt;=_Engine!$B$23,_Engine!$E391,""))</f>
        <v/>
      </c>
      <c r="D354" s="10" t="str">
        <f>IF($A354="","",IF($A354&lt;=_Engine!$B$23,_Engine!$F391,""))</f>
        <v/>
      </c>
      <c r="E354" s="10" t="str">
        <f>IF($A354="","",IF($A354&lt;=_Engine!$B$24,_Engine!$G391,""))</f>
        <v/>
      </c>
      <c r="F354" s="10" t="str">
        <f>IF($A354="","",IF($A354&lt;=_Engine!$B$24,_Engine!$H391,""))</f>
        <v/>
      </c>
    </row>
    <row r="355" spans="1:6" x14ac:dyDescent="0.25">
      <c r="A355" s="8" t="str">
        <f>IF(352&lt;=MAX(_Engine!$B$23,_Engine!$B$24),352,"")</f>
        <v/>
      </c>
      <c r="B355" s="9" t="str">
        <f>IF($A355="","",EDATE(_Engine!$B$2,$A355-1))</f>
        <v/>
      </c>
      <c r="C355" s="10" t="str">
        <f>IF($A355="","",IF($A355&lt;=_Engine!$B$23,_Engine!$E392,""))</f>
        <v/>
      </c>
      <c r="D355" s="10" t="str">
        <f>IF($A355="","",IF($A355&lt;=_Engine!$B$23,_Engine!$F392,""))</f>
        <v/>
      </c>
      <c r="E355" s="10" t="str">
        <f>IF($A355="","",IF($A355&lt;=_Engine!$B$24,_Engine!$G392,""))</f>
        <v/>
      </c>
      <c r="F355" s="10" t="str">
        <f>IF($A355="","",IF($A355&lt;=_Engine!$B$24,_Engine!$H392,""))</f>
        <v/>
      </c>
    </row>
    <row r="356" spans="1:6" x14ac:dyDescent="0.25">
      <c r="A356" s="8" t="str">
        <f>IF(353&lt;=MAX(_Engine!$B$23,_Engine!$B$24),353,"")</f>
        <v/>
      </c>
      <c r="B356" s="9" t="str">
        <f>IF($A356="","",EDATE(_Engine!$B$2,$A356-1))</f>
        <v/>
      </c>
      <c r="C356" s="10" t="str">
        <f>IF($A356="","",IF($A356&lt;=_Engine!$B$23,_Engine!$E393,""))</f>
        <v/>
      </c>
      <c r="D356" s="10" t="str">
        <f>IF($A356="","",IF($A356&lt;=_Engine!$B$23,_Engine!$F393,""))</f>
        <v/>
      </c>
      <c r="E356" s="10" t="str">
        <f>IF($A356="","",IF($A356&lt;=_Engine!$B$24,_Engine!$G393,""))</f>
        <v/>
      </c>
      <c r="F356" s="10" t="str">
        <f>IF($A356="","",IF($A356&lt;=_Engine!$B$24,_Engine!$H393,""))</f>
        <v/>
      </c>
    </row>
    <row r="357" spans="1:6" x14ac:dyDescent="0.25">
      <c r="A357" s="8" t="str">
        <f>IF(354&lt;=MAX(_Engine!$B$23,_Engine!$B$24),354,"")</f>
        <v/>
      </c>
      <c r="B357" s="9" t="str">
        <f>IF($A357="","",EDATE(_Engine!$B$2,$A357-1))</f>
        <v/>
      </c>
      <c r="C357" s="10" t="str">
        <f>IF($A357="","",IF($A357&lt;=_Engine!$B$23,_Engine!$E394,""))</f>
        <v/>
      </c>
      <c r="D357" s="10" t="str">
        <f>IF($A357="","",IF($A357&lt;=_Engine!$B$23,_Engine!$F394,""))</f>
        <v/>
      </c>
      <c r="E357" s="10" t="str">
        <f>IF($A357="","",IF($A357&lt;=_Engine!$B$24,_Engine!$G394,""))</f>
        <v/>
      </c>
      <c r="F357" s="10" t="str">
        <f>IF($A357="","",IF($A357&lt;=_Engine!$B$24,_Engine!$H394,""))</f>
        <v/>
      </c>
    </row>
    <row r="358" spans="1:6" x14ac:dyDescent="0.25">
      <c r="A358" s="8" t="str">
        <f>IF(355&lt;=MAX(_Engine!$B$23,_Engine!$B$24),355,"")</f>
        <v/>
      </c>
      <c r="B358" s="9" t="str">
        <f>IF($A358="","",EDATE(_Engine!$B$2,$A358-1))</f>
        <v/>
      </c>
      <c r="C358" s="10" t="str">
        <f>IF($A358="","",IF($A358&lt;=_Engine!$B$23,_Engine!$E395,""))</f>
        <v/>
      </c>
      <c r="D358" s="10" t="str">
        <f>IF($A358="","",IF($A358&lt;=_Engine!$B$23,_Engine!$F395,""))</f>
        <v/>
      </c>
      <c r="E358" s="10" t="str">
        <f>IF($A358="","",IF($A358&lt;=_Engine!$B$24,_Engine!$G395,""))</f>
        <v/>
      </c>
      <c r="F358" s="10" t="str">
        <f>IF($A358="","",IF($A358&lt;=_Engine!$B$24,_Engine!$H395,""))</f>
        <v/>
      </c>
    </row>
    <row r="359" spans="1:6" x14ac:dyDescent="0.25">
      <c r="A359" s="8" t="str">
        <f>IF(356&lt;=MAX(_Engine!$B$23,_Engine!$B$24),356,"")</f>
        <v/>
      </c>
      <c r="B359" s="9" t="str">
        <f>IF($A359="","",EDATE(_Engine!$B$2,$A359-1))</f>
        <v/>
      </c>
      <c r="C359" s="10" t="str">
        <f>IF($A359="","",IF($A359&lt;=_Engine!$B$23,_Engine!$E396,""))</f>
        <v/>
      </c>
      <c r="D359" s="10" t="str">
        <f>IF($A359="","",IF($A359&lt;=_Engine!$B$23,_Engine!$F396,""))</f>
        <v/>
      </c>
      <c r="E359" s="10" t="str">
        <f>IF($A359="","",IF($A359&lt;=_Engine!$B$24,_Engine!$G396,""))</f>
        <v/>
      </c>
      <c r="F359" s="10" t="str">
        <f>IF($A359="","",IF($A359&lt;=_Engine!$B$24,_Engine!$H396,""))</f>
        <v/>
      </c>
    </row>
    <row r="360" spans="1:6" x14ac:dyDescent="0.25">
      <c r="A360" s="8" t="str">
        <f>IF(357&lt;=MAX(_Engine!$B$23,_Engine!$B$24),357,"")</f>
        <v/>
      </c>
      <c r="B360" s="9" t="str">
        <f>IF($A360="","",EDATE(_Engine!$B$2,$A360-1))</f>
        <v/>
      </c>
      <c r="C360" s="10" t="str">
        <f>IF($A360="","",IF($A360&lt;=_Engine!$B$23,_Engine!$E397,""))</f>
        <v/>
      </c>
      <c r="D360" s="10" t="str">
        <f>IF($A360="","",IF($A360&lt;=_Engine!$B$23,_Engine!$F397,""))</f>
        <v/>
      </c>
      <c r="E360" s="10" t="str">
        <f>IF($A360="","",IF($A360&lt;=_Engine!$B$24,_Engine!$G397,""))</f>
        <v/>
      </c>
      <c r="F360" s="10" t="str">
        <f>IF($A360="","",IF($A360&lt;=_Engine!$B$24,_Engine!$H397,""))</f>
        <v/>
      </c>
    </row>
    <row r="361" spans="1:6" x14ac:dyDescent="0.25">
      <c r="A361" s="8" t="str">
        <f>IF(358&lt;=MAX(_Engine!$B$23,_Engine!$B$24),358,"")</f>
        <v/>
      </c>
      <c r="B361" s="9" t="str">
        <f>IF($A361="","",EDATE(_Engine!$B$2,$A361-1))</f>
        <v/>
      </c>
      <c r="C361" s="10" t="str">
        <f>IF($A361="","",IF($A361&lt;=_Engine!$B$23,_Engine!$E398,""))</f>
        <v/>
      </c>
      <c r="D361" s="10" t="str">
        <f>IF($A361="","",IF($A361&lt;=_Engine!$B$23,_Engine!$F398,""))</f>
        <v/>
      </c>
      <c r="E361" s="10" t="str">
        <f>IF($A361="","",IF($A361&lt;=_Engine!$B$24,_Engine!$G398,""))</f>
        <v/>
      </c>
      <c r="F361" s="10" t="str">
        <f>IF($A361="","",IF($A361&lt;=_Engine!$B$24,_Engine!$H398,""))</f>
        <v/>
      </c>
    </row>
    <row r="362" spans="1:6" x14ac:dyDescent="0.25">
      <c r="A362" s="8" t="str">
        <f>IF(359&lt;=MAX(_Engine!$B$23,_Engine!$B$24),359,"")</f>
        <v/>
      </c>
      <c r="B362" s="9" t="str">
        <f>IF($A362="","",EDATE(_Engine!$B$2,$A362-1))</f>
        <v/>
      </c>
      <c r="C362" s="10" t="str">
        <f>IF($A362="","",IF($A362&lt;=_Engine!$B$23,_Engine!$E399,""))</f>
        <v/>
      </c>
      <c r="D362" s="10" t="str">
        <f>IF($A362="","",IF($A362&lt;=_Engine!$B$23,_Engine!$F399,""))</f>
        <v/>
      </c>
      <c r="E362" s="10" t="str">
        <f>IF($A362="","",IF($A362&lt;=_Engine!$B$24,_Engine!$G399,""))</f>
        <v/>
      </c>
      <c r="F362" s="10" t="str">
        <f>IF($A362="","",IF($A362&lt;=_Engine!$B$24,_Engine!$H399,""))</f>
        <v/>
      </c>
    </row>
    <row r="363" spans="1:6" x14ac:dyDescent="0.25">
      <c r="A363" s="8" t="str">
        <f>IF(360&lt;=MAX(_Engine!$B$23,_Engine!$B$24),360,"")</f>
        <v/>
      </c>
      <c r="B363" s="9" t="str">
        <f>IF($A363="","",EDATE(_Engine!$B$2,$A363-1))</f>
        <v/>
      </c>
      <c r="C363" s="10" t="str">
        <f>IF($A363="","",IF($A363&lt;=_Engine!$B$23,_Engine!$E400,""))</f>
        <v/>
      </c>
      <c r="D363" s="10" t="str">
        <f>IF($A363="","",IF($A363&lt;=_Engine!$B$23,_Engine!$F400,""))</f>
        <v/>
      </c>
      <c r="E363" s="10" t="str">
        <f>IF($A363="","",IF($A363&lt;=_Engine!$B$24,_Engine!$G400,""))</f>
        <v/>
      </c>
      <c r="F363" s="10" t="str">
        <f>IF($A363="","",IF($A363&lt;=_Engine!$B$24,_Engine!$H400,""))</f>
        <v/>
      </c>
    </row>
    <row r="364" spans="1:6" x14ac:dyDescent="0.25">
      <c r="A364" s="8" t="str">
        <f>IF(361&lt;=MAX(_Engine!$B$23,_Engine!$B$24),361,"")</f>
        <v/>
      </c>
      <c r="B364" s="9" t="str">
        <f>IF($A364="","",EDATE(_Engine!$B$2,$A364-1))</f>
        <v/>
      </c>
      <c r="C364" s="10" t="str">
        <f>IF($A364="","",IF($A364&lt;=_Engine!$B$23,_Engine!$E401,""))</f>
        <v/>
      </c>
      <c r="D364" s="10" t="str">
        <f>IF($A364="","",IF($A364&lt;=_Engine!$B$23,_Engine!$F401,""))</f>
        <v/>
      </c>
      <c r="E364" s="10" t="str">
        <f>IF($A364="","",IF($A364&lt;=_Engine!$B$24,_Engine!$G401,""))</f>
        <v/>
      </c>
      <c r="F364" s="10" t="str">
        <f>IF($A364="","",IF($A364&lt;=_Engine!$B$24,_Engine!$H401,""))</f>
        <v/>
      </c>
    </row>
    <row r="365" spans="1:6" x14ac:dyDescent="0.25">
      <c r="A365" s="8" t="str">
        <f>IF(362&lt;=MAX(_Engine!$B$23,_Engine!$B$24),362,"")</f>
        <v/>
      </c>
      <c r="B365" s="9" t="str">
        <f>IF($A365="","",EDATE(_Engine!$B$2,$A365-1))</f>
        <v/>
      </c>
      <c r="C365" s="10" t="str">
        <f>IF($A365="","",IF($A365&lt;=_Engine!$B$23,_Engine!$E402,""))</f>
        <v/>
      </c>
      <c r="D365" s="10" t="str">
        <f>IF($A365="","",IF($A365&lt;=_Engine!$B$23,_Engine!$F402,""))</f>
        <v/>
      </c>
      <c r="E365" s="10" t="str">
        <f>IF($A365="","",IF($A365&lt;=_Engine!$B$24,_Engine!$G402,""))</f>
        <v/>
      </c>
      <c r="F365" s="10" t="str">
        <f>IF($A365="","",IF($A365&lt;=_Engine!$B$24,_Engine!$H402,""))</f>
        <v/>
      </c>
    </row>
    <row r="366" spans="1:6" x14ac:dyDescent="0.25">
      <c r="A366" s="8" t="str">
        <f>IF(363&lt;=MAX(_Engine!$B$23,_Engine!$B$24),363,"")</f>
        <v/>
      </c>
      <c r="B366" s="9" t="str">
        <f>IF($A366="","",EDATE(_Engine!$B$2,$A366-1))</f>
        <v/>
      </c>
      <c r="C366" s="10" t="str">
        <f>IF($A366="","",IF($A366&lt;=_Engine!$B$23,_Engine!$E403,""))</f>
        <v/>
      </c>
      <c r="D366" s="10" t="str">
        <f>IF($A366="","",IF($A366&lt;=_Engine!$B$23,_Engine!$F403,""))</f>
        <v/>
      </c>
      <c r="E366" s="10" t="str">
        <f>IF($A366="","",IF($A366&lt;=_Engine!$B$24,_Engine!$G403,""))</f>
        <v/>
      </c>
      <c r="F366" s="10" t="str">
        <f>IF($A366="","",IF($A366&lt;=_Engine!$B$24,_Engine!$H403,""))</f>
        <v/>
      </c>
    </row>
    <row r="367" spans="1:6" x14ac:dyDescent="0.25">
      <c r="A367" s="8" t="str">
        <f>IF(364&lt;=MAX(_Engine!$B$23,_Engine!$B$24),364,"")</f>
        <v/>
      </c>
      <c r="B367" s="9" t="str">
        <f>IF($A367="","",EDATE(_Engine!$B$2,$A367-1))</f>
        <v/>
      </c>
      <c r="C367" s="10" t="str">
        <f>IF($A367="","",IF($A367&lt;=_Engine!$B$23,_Engine!$E404,""))</f>
        <v/>
      </c>
      <c r="D367" s="10" t="str">
        <f>IF($A367="","",IF($A367&lt;=_Engine!$B$23,_Engine!$F404,""))</f>
        <v/>
      </c>
      <c r="E367" s="10" t="str">
        <f>IF($A367="","",IF($A367&lt;=_Engine!$B$24,_Engine!$G404,""))</f>
        <v/>
      </c>
      <c r="F367" s="10" t="str">
        <f>IF($A367="","",IF($A367&lt;=_Engine!$B$24,_Engine!$H404,""))</f>
        <v/>
      </c>
    </row>
    <row r="368" spans="1:6" x14ac:dyDescent="0.25">
      <c r="A368" s="8" t="str">
        <f>IF(365&lt;=MAX(_Engine!$B$23,_Engine!$B$24),365,"")</f>
        <v/>
      </c>
      <c r="B368" s="9" t="str">
        <f>IF($A368="","",EDATE(_Engine!$B$2,$A368-1))</f>
        <v/>
      </c>
      <c r="C368" s="10" t="str">
        <f>IF($A368="","",IF($A368&lt;=_Engine!$B$23,_Engine!$E405,""))</f>
        <v/>
      </c>
      <c r="D368" s="10" t="str">
        <f>IF($A368="","",IF($A368&lt;=_Engine!$B$23,_Engine!$F405,""))</f>
        <v/>
      </c>
      <c r="E368" s="10" t="str">
        <f>IF($A368="","",IF($A368&lt;=_Engine!$B$24,_Engine!$G405,""))</f>
        <v/>
      </c>
      <c r="F368" s="10" t="str">
        <f>IF($A368="","",IF($A368&lt;=_Engine!$B$24,_Engine!$H405,""))</f>
        <v/>
      </c>
    </row>
    <row r="369" spans="1:6" x14ac:dyDescent="0.25">
      <c r="A369" s="8" t="str">
        <f>IF(366&lt;=MAX(_Engine!$B$23,_Engine!$B$24),366,"")</f>
        <v/>
      </c>
      <c r="B369" s="9" t="str">
        <f>IF($A369="","",EDATE(_Engine!$B$2,$A369-1))</f>
        <v/>
      </c>
      <c r="C369" s="10" t="str">
        <f>IF($A369="","",IF($A369&lt;=_Engine!$B$23,_Engine!$E406,""))</f>
        <v/>
      </c>
      <c r="D369" s="10" t="str">
        <f>IF($A369="","",IF($A369&lt;=_Engine!$B$23,_Engine!$F406,""))</f>
        <v/>
      </c>
      <c r="E369" s="10" t="str">
        <f>IF($A369="","",IF($A369&lt;=_Engine!$B$24,_Engine!$G406,""))</f>
        <v/>
      </c>
      <c r="F369" s="10" t="str">
        <f>IF($A369="","",IF($A369&lt;=_Engine!$B$24,_Engine!$H406,""))</f>
        <v/>
      </c>
    </row>
    <row r="370" spans="1:6" x14ac:dyDescent="0.25">
      <c r="A370" s="8" t="str">
        <f>IF(367&lt;=MAX(_Engine!$B$23,_Engine!$B$24),367,"")</f>
        <v/>
      </c>
      <c r="B370" s="9" t="str">
        <f>IF($A370="","",EDATE(_Engine!$B$2,$A370-1))</f>
        <v/>
      </c>
      <c r="C370" s="10" t="str">
        <f>IF($A370="","",IF($A370&lt;=_Engine!$B$23,_Engine!$E407,""))</f>
        <v/>
      </c>
      <c r="D370" s="10" t="str">
        <f>IF($A370="","",IF($A370&lt;=_Engine!$B$23,_Engine!$F407,""))</f>
        <v/>
      </c>
      <c r="E370" s="10" t="str">
        <f>IF($A370="","",IF($A370&lt;=_Engine!$B$24,_Engine!$G407,""))</f>
        <v/>
      </c>
      <c r="F370" s="10" t="str">
        <f>IF($A370="","",IF($A370&lt;=_Engine!$B$24,_Engine!$H407,""))</f>
        <v/>
      </c>
    </row>
    <row r="371" spans="1:6" x14ac:dyDescent="0.25">
      <c r="A371" s="8" t="str">
        <f>IF(368&lt;=MAX(_Engine!$B$23,_Engine!$B$24),368,"")</f>
        <v/>
      </c>
      <c r="B371" s="9" t="str">
        <f>IF($A371="","",EDATE(_Engine!$B$2,$A371-1))</f>
        <v/>
      </c>
      <c r="C371" s="10" t="str">
        <f>IF($A371="","",IF($A371&lt;=_Engine!$B$23,_Engine!$E408,""))</f>
        <v/>
      </c>
      <c r="D371" s="10" t="str">
        <f>IF($A371="","",IF($A371&lt;=_Engine!$B$23,_Engine!$F408,""))</f>
        <v/>
      </c>
      <c r="E371" s="10" t="str">
        <f>IF($A371="","",IF($A371&lt;=_Engine!$B$24,_Engine!$G408,""))</f>
        <v/>
      </c>
      <c r="F371" s="10" t="str">
        <f>IF($A371="","",IF($A371&lt;=_Engine!$B$24,_Engine!$H408,""))</f>
        <v/>
      </c>
    </row>
    <row r="372" spans="1:6" x14ac:dyDescent="0.25">
      <c r="A372" s="8" t="str">
        <f>IF(369&lt;=MAX(_Engine!$B$23,_Engine!$B$24),369,"")</f>
        <v/>
      </c>
      <c r="B372" s="9" t="str">
        <f>IF($A372="","",EDATE(_Engine!$B$2,$A372-1))</f>
        <v/>
      </c>
      <c r="C372" s="10" t="str">
        <f>IF($A372="","",IF($A372&lt;=_Engine!$B$23,_Engine!$E409,""))</f>
        <v/>
      </c>
      <c r="D372" s="10" t="str">
        <f>IF($A372="","",IF($A372&lt;=_Engine!$B$23,_Engine!$F409,""))</f>
        <v/>
      </c>
      <c r="E372" s="10" t="str">
        <f>IF($A372="","",IF($A372&lt;=_Engine!$B$24,_Engine!$G409,""))</f>
        <v/>
      </c>
      <c r="F372" s="10" t="str">
        <f>IF($A372="","",IF($A372&lt;=_Engine!$B$24,_Engine!$H409,""))</f>
        <v/>
      </c>
    </row>
    <row r="373" spans="1:6" x14ac:dyDescent="0.25">
      <c r="A373" s="8" t="str">
        <f>IF(370&lt;=MAX(_Engine!$B$23,_Engine!$B$24),370,"")</f>
        <v/>
      </c>
      <c r="B373" s="9" t="str">
        <f>IF($A373="","",EDATE(_Engine!$B$2,$A373-1))</f>
        <v/>
      </c>
      <c r="C373" s="10" t="str">
        <f>IF($A373="","",IF($A373&lt;=_Engine!$B$23,_Engine!$E410,""))</f>
        <v/>
      </c>
      <c r="D373" s="10" t="str">
        <f>IF($A373="","",IF($A373&lt;=_Engine!$B$23,_Engine!$F410,""))</f>
        <v/>
      </c>
      <c r="E373" s="10" t="str">
        <f>IF($A373="","",IF($A373&lt;=_Engine!$B$24,_Engine!$G410,""))</f>
        <v/>
      </c>
      <c r="F373" s="10" t="str">
        <f>IF($A373="","",IF($A373&lt;=_Engine!$B$24,_Engine!$H410,""))</f>
        <v/>
      </c>
    </row>
    <row r="374" spans="1:6" x14ac:dyDescent="0.25">
      <c r="A374" s="8" t="str">
        <f>IF(371&lt;=MAX(_Engine!$B$23,_Engine!$B$24),371,"")</f>
        <v/>
      </c>
      <c r="B374" s="9" t="str">
        <f>IF($A374="","",EDATE(_Engine!$B$2,$A374-1))</f>
        <v/>
      </c>
      <c r="C374" s="10" t="str">
        <f>IF($A374="","",IF($A374&lt;=_Engine!$B$23,_Engine!$E411,""))</f>
        <v/>
      </c>
      <c r="D374" s="10" t="str">
        <f>IF($A374="","",IF($A374&lt;=_Engine!$B$23,_Engine!$F411,""))</f>
        <v/>
      </c>
      <c r="E374" s="10" t="str">
        <f>IF($A374="","",IF($A374&lt;=_Engine!$B$24,_Engine!$G411,""))</f>
        <v/>
      </c>
      <c r="F374" s="10" t="str">
        <f>IF($A374="","",IF($A374&lt;=_Engine!$B$24,_Engine!$H411,""))</f>
        <v/>
      </c>
    </row>
    <row r="375" spans="1:6" x14ac:dyDescent="0.25">
      <c r="A375" s="8" t="str">
        <f>IF(372&lt;=MAX(_Engine!$B$23,_Engine!$B$24),372,"")</f>
        <v/>
      </c>
      <c r="B375" s="9" t="str">
        <f>IF($A375="","",EDATE(_Engine!$B$2,$A375-1))</f>
        <v/>
      </c>
      <c r="C375" s="10" t="str">
        <f>IF($A375="","",IF($A375&lt;=_Engine!$B$23,_Engine!$E412,""))</f>
        <v/>
      </c>
      <c r="D375" s="10" t="str">
        <f>IF($A375="","",IF($A375&lt;=_Engine!$B$23,_Engine!$F412,""))</f>
        <v/>
      </c>
      <c r="E375" s="10" t="str">
        <f>IF($A375="","",IF($A375&lt;=_Engine!$B$24,_Engine!$G412,""))</f>
        <v/>
      </c>
      <c r="F375" s="10" t="str">
        <f>IF($A375="","",IF($A375&lt;=_Engine!$B$24,_Engine!$H412,""))</f>
        <v/>
      </c>
    </row>
    <row r="376" spans="1:6" x14ac:dyDescent="0.25">
      <c r="A376" s="8" t="str">
        <f>IF(373&lt;=MAX(_Engine!$B$23,_Engine!$B$24),373,"")</f>
        <v/>
      </c>
      <c r="B376" s="9" t="str">
        <f>IF($A376="","",EDATE(_Engine!$B$2,$A376-1))</f>
        <v/>
      </c>
      <c r="C376" s="10" t="str">
        <f>IF($A376="","",IF($A376&lt;=_Engine!$B$23,_Engine!$E413,""))</f>
        <v/>
      </c>
      <c r="D376" s="10" t="str">
        <f>IF($A376="","",IF($A376&lt;=_Engine!$B$23,_Engine!$F413,""))</f>
        <v/>
      </c>
      <c r="E376" s="10" t="str">
        <f>IF($A376="","",IF($A376&lt;=_Engine!$B$24,_Engine!$G413,""))</f>
        <v/>
      </c>
      <c r="F376" s="10" t="str">
        <f>IF($A376="","",IF($A376&lt;=_Engine!$B$24,_Engine!$H413,""))</f>
        <v/>
      </c>
    </row>
    <row r="377" spans="1:6" x14ac:dyDescent="0.25">
      <c r="A377" s="8" t="str">
        <f>IF(374&lt;=MAX(_Engine!$B$23,_Engine!$B$24),374,"")</f>
        <v/>
      </c>
      <c r="B377" s="9" t="str">
        <f>IF($A377="","",EDATE(_Engine!$B$2,$A377-1))</f>
        <v/>
      </c>
      <c r="C377" s="10" t="str">
        <f>IF($A377="","",IF($A377&lt;=_Engine!$B$23,_Engine!$E414,""))</f>
        <v/>
      </c>
      <c r="D377" s="10" t="str">
        <f>IF($A377="","",IF($A377&lt;=_Engine!$B$23,_Engine!$F414,""))</f>
        <v/>
      </c>
      <c r="E377" s="10" t="str">
        <f>IF($A377="","",IF($A377&lt;=_Engine!$B$24,_Engine!$G414,""))</f>
        <v/>
      </c>
      <c r="F377" s="10" t="str">
        <f>IF($A377="","",IF($A377&lt;=_Engine!$B$24,_Engine!$H414,""))</f>
        <v/>
      </c>
    </row>
    <row r="378" spans="1:6" x14ac:dyDescent="0.25">
      <c r="A378" s="8" t="str">
        <f>IF(375&lt;=MAX(_Engine!$B$23,_Engine!$B$24),375,"")</f>
        <v/>
      </c>
      <c r="B378" s="9" t="str">
        <f>IF($A378="","",EDATE(_Engine!$B$2,$A378-1))</f>
        <v/>
      </c>
      <c r="C378" s="10" t="str">
        <f>IF($A378="","",IF($A378&lt;=_Engine!$B$23,_Engine!$E415,""))</f>
        <v/>
      </c>
      <c r="D378" s="10" t="str">
        <f>IF($A378="","",IF($A378&lt;=_Engine!$B$23,_Engine!$F415,""))</f>
        <v/>
      </c>
      <c r="E378" s="10" t="str">
        <f>IF($A378="","",IF($A378&lt;=_Engine!$B$24,_Engine!$G415,""))</f>
        <v/>
      </c>
      <c r="F378" s="10" t="str">
        <f>IF($A378="","",IF($A378&lt;=_Engine!$B$24,_Engine!$H415,""))</f>
        <v/>
      </c>
    </row>
    <row r="379" spans="1:6" x14ac:dyDescent="0.25">
      <c r="A379" s="8" t="str">
        <f>IF(376&lt;=MAX(_Engine!$B$23,_Engine!$B$24),376,"")</f>
        <v/>
      </c>
      <c r="B379" s="9" t="str">
        <f>IF($A379="","",EDATE(_Engine!$B$2,$A379-1))</f>
        <v/>
      </c>
      <c r="C379" s="10" t="str">
        <f>IF($A379="","",IF($A379&lt;=_Engine!$B$23,_Engine!$E416,""))</f>
        <v/>
      </c>
      <c r="D379" s="10" t="str">
        <f>IF($A379="","",IF($A379&lt;=_Engine!$B$23,_Engine!$F416,""))</f>
        <v/>
      </c>
      <c r="E379" s="10" t="str">
        <f>IF($A379="","",IF($A379&lt;=_Engine!$B$24,_Engine!$G416,""))</f>
        <v/>
      </c>
      <c r="F379" s="10" t="str">
        <f>IF($A379="","",IF($A379&lt;=_Engine!$B$24,_Engine!$H416,""))</f>
        <v/>
      </c>
    </row>
    <row r="380" spans="1:6" x14ac:dyDescent="0.25">
      <c r="A380" s="8" t="str">
        <f>IF(377&lt;=MAX(_Engine!$B$23,_Engine!$B$24),377,"")</f>
        <v/>
      </c>
      <c r="B380" s="9" t="str">
        <f>IF($A380="","",EDATE(_Engine!$B$2,$A380-1))</f>
        <v/>
      </c>
      <c r="C380" s="10" t="str">
        <f>IF($A380="","",IF($A380&lt;=_Engine!$B$23,_Engine!$E417,""))</f>
        <v/>
      </c>
      <c r="D380" s="10" t="str">
        <f>IF($A380="","",IF($A380&lt;=_Engine!$B$23,_Engine!$F417,""))</f>
        <v/>
      </c>
      <c r="E380" s="10" t="str">
        <f>IF($A380="","",IF($A380&lt;=_Engine!$B$24,_Engine!$G417,""))</f>
        <v/>
      </c>
      <c r="F380" s="10" t="str">
        <f>IF($A380="","",IF($A380&lt;=_Engine!$B$24,_Engine!$H417,""))</f>
        <v/>
      </c>
    </row>
    <row r="381" spans="1:6" x14ac:dyDescent="0.25">
      <c r="A381" s="8" t="str">
        <f>IF(378&lt;=MAX(_Engine!$B$23,_Engine!$B$24),378,"")</f>
        <v/>
      </c>
      <c r="B381" s="9" t="str">
        <f>IF($A381="","",EDATE(_Engine!$B$2,$A381-1))</f>
        <v/>
      </c>
      <c r="C381" s="10" t="str">
        <f>IF($A381="","",IF($A381&lt;=_Engine!$B$23,_Engine!$E418,""))</f>
        <v/>
      </c>
      <c r="D381" s="10" t="str">
        <f>IF($A381="","",IF($A381&lt;=_Engine!$B$23,_Engine!$F418,""))</f>
        <v/>
      </c>
      <c r="E381" s="10" t="str">
        <f>IF($A381="","",IF($A381&lt;=_Engine!$B$24,_Engine!$G418,""))</f>
        <v/>
      </c>
      <c r="F381" s="10" t="str">
        <f>IF($A381="","",IF($A381&lt;=_Engine!$B$24,_Engine!$H418,""))</f>
        <v/>
      </c>
    </row>
    <row r="382" spans="1:6" x14ac:dyDescent="0.25">
      <c r="A382" s="8" t="str">
        <f>IF(379&lt;=MAX(_Engine!$B$23,_Engine!$B$24),379,"")</f>
        <v/>
      </c>
      <c r="B382" s="9" t="str">
        <f>IF($A382="","",EDATE(_Engine!$B$2,$A382-1))</f>
        <v/>
      </c>
      <c r="C382" s="10" t="str">
        <f>IF($A382="","",IF($A382&lt;=_Engine!$B$23,_Engine!$E419,""))</f>
        <v/>
      </c>
      <c r="D382" s="10" t="str">
        <f>IF($A382="","",IF($A382&lt;=_Engine!$B$23,_Engine!$F419,""))</f>
        <v/>
      </c>
      <c r="E382" s="10" t="str">
        <f>IF($A382="","",IF($A382&lt;=_Engine!$B$24,_Engine!$G419,""))</f>
        <v/>
      </c>
      <c r="F382" s="10" t="str">
        <f>IF($A382="","",IF($A382&lt;=_Engine!$B$24,_Engine!$H419,""))</f>
        <v/>
      </c>
    </row>
    <row r="383" spans="1:6" x14ac:dyDescent="0.25">
      <c r="A383" s="8" t="str">
        <f>IF(380&lt;=MAX(_Engine!$B$23,_Engine!$B$24),380,"")</f>
        <v/>
      </c>
      <c r="B383" s="9" t="str">
        <f>IF($A383="","",EDATE(_Engine!$B$2,$A383-1))</f>
        <v/>
      </c>
      <c r="C383" s="10" t="str">
        <f>IF($A383="","",IF($A383&lt;=_Engine!$B$23,_Engine!$E420,""))</f>
        <v/>
      </c>
      <c r="D383" s="10" t="str">
        <f>IF($A383="","",IF($A383&lt;=_Engine!$B$23,_Engine!$F420,""))</f>
        <v/>
      </c>
      <c r="E383" s="10" t="str">
        <f>IF($A383="","",IF($A383&lt;=_Engine!$B$24,_Engine!$G420,""))</f>
        <v/>
      </c>
      <c r="F383" s="10" t="str">
        <f>IF($A383="","",IF($A383&lt;=_Engine!$B$24,_Engine!$H420,""))</f>
        <v/>
      </c>
    </row>
    <row r="384" spans="1:6" x14ac:dyDescent="0.25">
      <c r="A384" s="8" t="str">
        <f>IF(381&lt;=MAX(_Engine!$B$23,_Engine!$B$24),381,"")</f>
        <v/>
      </c>
      <c r="B384" s="9" t="str">
        <f>IF($A384="","",EDATE(_Engine!$B$2,$A384-1))</f>
        <v/>
      </c>
      <c r="C384" s="10" t="str">
        <f>IF($A384="","",IF($A384&lt;=_Engine!$B$23,_Engine!$E421,""))</f>
        <v/>
      </c>
      <c r="D384" s="10" t="str">
        <f>IF($A384="","",IF($A384&lt;=_Engine!$B$23,_Engine!$F421,""))</f>
        <v/>
      </c>
      <c r="E384" s="10" t="str">
        <f>IF($A384="","",IF($A384&lt;=_Engine!$B$24,_Engine!$G421,""))</f>
        <v/>
      </c>
      <c r="F384" s="10" t="str">
        <f>IF($A384="","",IF($A384&lt;=_Engine!$B$24,_Engine!$H421,""))</f>
        <v/>
      </c>
    </row>
    <row r="385" spans="1:6" x14ac:dyDescent="0.25">
      <c r="A385" s="8" t="str">
        <f>IF(382&lt;=MAX(_Engine!$B$23,_Engine!$B$24),382,"")</f>
        <v/>
      </c>
      <c r="B385" s="9" t="str">
        <f>IF($A385="","",EDATE(_Engine!$B$2,$A385-1))</f>
        <v/>
      </c>
      <c r="C385" s="10" t="str">
        <f>IF($A385="","",IF($A385&lt;=_Engine!$B$23,_Engine!$E422,""))</f>
        <v/>
      </c>
      <c r="D385" s="10" t="str">
        <f>IF($A385="","",IF($A385&lt;=_Engine!$B$23,_Engine!$F422,""))</f>
        <v/>
      </c>
      <c r="E385" s="10" t="str">
        <f>IF($A385="","",IF($A385&lt;=_Engine!$B$24,_Engine!$G422,""))</f>
        <v/>
      </c>
      <c r="F385" s="10" t="str">
        <f>IF($A385="","",IF($A385&lt;=_Engine!$B$24,_Engine!$H422,""))</f>
        <v/>
      </c>
    </row>
    <row r="386" spans="1:6" x14ac:dyDescent="0.25">
      <c r="A386" s="8" t="str">
        <f>IF(383&lt;=MAX(_Engine!$B$23,_Engine!$B$24),383,"")</f>
        <v/>
      </c>
      <c r="B386" s="9" t="str">
        <f>IF($A386="","",EDATE(_Engine!$B$2,$A386-1))</f>
        <v/>
      </c>
      <c r="C386" s="10" t="str">
        <f>IF($A386="","",IF($A386&lt;=_Engine!$B$23,_Engine!$E423,""))</f>
        <v/>
      </c>
      <c r="D386" s="10" t="str">
        <f>IF($A386="","",IF($A386&lt;=_Engine!$B$23,_Engine!$F423,""))</f>
        <v/>
      </c>
      <c r="E386" s="10" t="str">
        <f>IF($A386="","",IF($A386&lt;=_Engine!$B$24,_Engine!$G423,""))</f>
        <v/>
      </c>
      <c r="F386" s="10" t="str">
        <f>IF($A386="","",IF($A386&lt;=_Engine!$B$24,_Engine!$H423,""))</f>
        <v/>
      </c>
    </row>
    <row r="387" spans="1:6" x14ac:dyDescent="0.25">
      <c r="A387" s="8" t="str">
        <f>IF(384&lt;=MAX(_Engine!$B$23,_Engine!$B$24),384,"")</f>
        <v/>
      </c>
      <c r="B387" s="9" t="str">
        <f>IF($A387="","",EDATE(_Engine!$B$2,$A387-1))</f>
        <v/>
      </c>
      <c r="C387" s="10" t="str">
        <f>IF($A387="","",IF($A387&lt;=_Engine!$B$23,_Engine!$E424,""))</f>
        <v/>
      </c>
      <c r="D387" s="10" t="str">
        <f>IF($A387="","",IF($A387&lt;=_Engine!$B$23,_Engine!$F424,""))</f>
        <v/>
      </c>
      <c r="E387" s="10" t="str">
        <f>IF($A387="","",IF($A387&lt;=_Engine!$B$24,_Engine!$G424,""))</f>
        <v/>
      </c>
      <c r="F387" s="10" t="str">
        <f>IF($A387="","",IF($A387&lt;=_Engine!$B$24,_Engine!$H424,""))</f>
        <v/>
      </c>
    </row>
    <row r="388" spans="1:6" x14ac:dyDescent="0.25">
      <c r="A388" s="8" t="str">
        <f>IF(385&lt;=MAX(_Engine!$B$23,_Engine!$B$24),385,"")</f>
        <v/>
      </c>
      <c r="B388" s="9" t="str">
        <f>IF($A388="","",EDATE(_Engine!$B$2,$A388-1))</f>
        <v/>
      </c>
      <c r="C388" s="10" t="str">
        <f>IF($A388="","",IF($A388&lt;=_Engine!$B$23,_Engine!$E425,""))</f>
        <v/>
      </c>
      <c r="D388" s="10" t="str">
        <f>IF($A388="","",IF($A388&lt;=_Engine!$B$23,_Engine!$F425,""))</f>
        <v/>
      </c>
      <c r="E388" s="10" t="str">
        <f>IF($A388="","",IF($A388&lt;=_Engine!$B$24,_Engine!$G425,""))</f>
        <v/>
      </c>
      <c r="F388" s="10" t="str">
        <f>IF($A388="","",IF($A388&lt;=_Engine!$B$24,_Engine!$H425,""))</f>
        <v/>
      </c>
    </row>
    <row r="389" spans="1:6" x14ac:dyDescent="0.25">
      <c r="A389" s="8" t="str">
        <f>IF(386&lt;=MAX(_Engine!$B$23,_Engine!$B$24),386,"")</f>
        <v/>
      </c>
      <c r="B389" s="9" t="str">
        <f>IF($A389="","",EDATE(_Engine!$B$2,$A389-1))</f>
        <v/>
      </c>
      <c r="C389" s="10" t="str">
        <f>IF($A389="","",IF($A389&lt;=_Engine!$B$23,_Engine!$E426,""))</f>
        <v/>
      </c>
      <c r="D389" s="10" t="str">
        <f>IF($A389="","",IF($A389&lt;=_Engine!$B$23,_Engine!$F426,""))</f>
        <v/>
      </c>
      <c r="E389" s="10" t="str">
        <f>IF($A389="","",IF($A389&lt;=_Engine!$B$24,_Engine!$G426,""))</f>
        <v/>
      </c>
      <c r="F389" s="10" t="str">
        <f>IF($A389="","",IF($A389&lt;=_Engine!$B$24,_Engine!$H426,""))</f>
        <v/>
      </c>
    </row>
    <row r="390" spans="1:6" x14ac:dyDescent="0.25">
      <c r="A390" s="8" t="str">
        <f>IF(387&lt;=MAX(_Engine!$B$23,_Engine!$B$24),387,"")</f>
        <v/>
      </c>
      <c r="B390" s="9" t="str">
        <f>IF($A390="","",EDATE(_Engine!$B$2,$A390-1))</f>
        <v/>
      </c>
      <c r="C390" s="10" t="str">
        <f>IF($A390="","",IF($A390&lt;=_Engine!$B$23,_Engine!$E427,""))</f>
        <v/>
      </c>
      <c r="D390" s="10" t="str">
        <f>IF($A390="","",IF($A390&lt;=_Engine!$B$23,_Engine!$F427,""))</f>
        <v/>
      </c>
      <c r="E390" s="10" t="str">
        <f>IF($A390="","",IF($A390&lt;=_Engine!$B$24,_Engine!$G427,""))</f>
        <v/>
      </c>
      <c r="F390" s="10" t="str">
        <f>IF($A390="","",IF($A390&lt;=_Engine!$B$24,_Engine!$H427,""))</f>
        <v/>
      </c>
    </row>
    <row r="391" spans="1:6" x14ac:dyDescent="0.25">
      <c r="A391" s="8" t="str">
        <f>IF(388&lt;=MAX(_Engine!$B$23,_Engine!$B$24),388,"")</f>
        <v/>
      </c>
      <c r="B391" s="9" t="str">
        <f>IF($A391="","",EDATE(_Engine!$B$2,$A391-1))</f>
        <v/>
      </c>
      <c r="C391" s="10" t="str">
        <f>IF($A391="","",IF($A391&lt;=_Engine!$B$23,_Engine!$E428,""))</f>
        <v/>
      </c>
      <c r="D391" s="10" t="str">
        <f>IF($A391="","",IF($A391&lt;=_Engine!$B$23,_Engine!$F428,""))</f>
        <v/>
      </c>
      <c r="E391" s="10" t="str">
        <f>IF($A391="","",IF($A391&lt;=_Engine!$B$24,_Engine!$G428,""))</f>
        <v/>
      </c>
      <c r="F391" s="10" t="str">
        <f>IF($A391="","",IF($A391&lt;=_Engine!$B$24,_Engine!$H428,""))</f>
        <v/>
      </c>
    </row>
    <row r="392" spans="1:6" x14ac:dyDescent="0.25">
      <c r="A392" s="8" t="str">
        <f>IF(389&lt;=MAX(_Engine!$B$23,_Engine!$B$24),389,"")</f>
        <v/>
      </c>
      <c r="B392" s="9" t="str">
        <f>IF($A392="","",EDATE(_Engine!$B$2,$A392-1))</f>
        <v/>
      </c>
      <c r="C392" s="10" t="str">
        <f>IF($A392="","",IF($A392&lt;=_Engine!$B$23,_Engine!$E429,""))</f>
        <v/>
      </c>
      <c r="D392" s="10" t="str">
        <f>IF($A392="","",IF($A392&lt;=_Engine!$B$23,_Engine!$F429,""))</f>
        <v/>
      </c>
      <c r="E392" s="10" t="str">
        <f>IF($A392="","",IF($A392&lt;=_Engine!$B$24,_Engine!$G429,""))</f>
        <v/>
      </c>
      <c r="F392" s="10" t="str">
        <f>IF($A392="","",IF($A392&lt;=_Engine!$B$24,_Engine!$H429,""))</f>
        <v/>
      </c>
    </row>
    <row r="393" spans="1:6" x14ac:dyDescent="0.25">
      <c r="A393" s="8" t="str">
        <f>IF(390&lt;=MAX(_Engine!$B$23,_Engine!$B$24),390,"")</f>
        <v/>
      </c>
      <c r="B393" s="9" t="str">
        <f>IF($A393="","",EDATE(_Engine!$B$2,$A393-1))</f>
        <v/>
      </c>
      <c r="C393" s="10" t="str">
        <f>IF($A393="","",IF($A393&lt;=_Engine!$B$23,_Engine!$E430,""))</f>
        <v/>
      </c>
      <c r="D393" s="10" t="str">
        <f>IF($A393="","",IF($A393&lt;=_Engine!$B$23,_Engine!$F430,""))</f>
        <v/>
      </c>
      <c r="E393" s="10" t="str">
        <f>IF($A393="","",IF($A393&lt;=_Engine!$B$24,_Engine!$G430,""))</f>
        <v/>
      </c>
      <c r="F393" s="10" t="str">
        <f>IF($A393="","",IF($A393&lt;=_Engine!$B$24,_Engine!$H430,""))</f>
        <v/>
      </c>
    </row>
    <row r="394" spans="1:6" x14ac:dyDescent="0.25">
      <c r="A394" s="8" t="str">
        <f>IF(391&lt;=MAX(_Engine!$B$23,_Engine!$B$24),391,"")</f>
        <v/>
      </c>
      <c r="B394" s="9" t="str">
        <f>IF($A394="","",EDATE(_Engine!$B$2,$A394-1))</f>
        <v/>
      </c>
      <c r="C394" s="10" t="str">
        <f>IF($A394="","",IF($A394&lt;=_Engine!$B$23,_Engine!$E431,""))</f>
        <v/>
      </c>
      <c r="D394" s="10" t="str">
        <f>IF($A394="","",IF($A394&lt;=_Engine!$B$23,_Engine!$F431,""))</f>
        <v/>
      </c>
      <c r="E394" s="10" t="str">
        <f>IF($A394="","",IF($A394&lt;=_Engine!$B$24,_Engine!$G431,""))</f>
        <v/>
      </c>
      <c r="F394" s="10" t="str">
        <f>IF($A394="","",IF($A394&lt;=_Engine!$B$24,_Engine!$H431,""))</f>
        <v/>
      </c>
    </row>
    <row r="395" spans="1:6" x14ac:dyDescent="0.25">
      <c r="A395" s="8" t="str">
        <f>IF(392&lt;=MAX(_Engine!$B$23,_Engine!$B$24),392,"")</f>
        <v/>
      </c>
      <c r="B395" s="9" t="str">
        <f>IF($A395="","",EDATE(_Engine!$B$2,$A395-1))</f>
        <v/>
      </c>
      <c r="C395" s="10" t="str">
        <f>IF($A395="","",IF($A395&lt;=_Engine!$B$23,_Engine!$E432,""))</f>
        <v/>
      </c>
      <c r="D395" s="10" t="str">
        <f>IF($A395="","",IF($A395&lt;=_Engine!$B$23,_Engine!$F432,""))</f>
        <v/>
      </c>
      <c r="E395" s="10" t="str">
        <f>IF($A395="","",IF($A395&lt;=_Engine!$B$24,_Engine!$G432,""))</f>
        <v/>
      </c>
      <c r="F395" s="10" t="str">
        <f>IF($A395="","",IF($A395&lt;=_Engine!$B$24,_Engine!$H432,""))</f>
        <v/>
      </c>
    </row>
    <row r="396" spans="1:6" x14ac:dyDescent="0.25">
      <c r="A396" s="8" t="str">
        <f>IF(393&lt;=MAX(_Engine!$B$23,_Engine!$B$24),393,"")</f>
        <v/>
      </c>
      <c r="B396" s="9" t="str">
        <f>IF($A396="","",EDATE(_Engine!$B$2,$A396-1))</f>
        <v/>
      </c>
      <c r="C396" s="10" t="str">
        <f>IF($A396="","",IF($A396&lt;=_Engine!$B$23,_Engine!$E433,""))</f>
        <v/>
      </c>
      <c r="D396" s="10" t="str">
        <f>IF($A396="","",IF($A396&lt;=_Engine!$B$23,_Engine!$F433,""))</f>
        <v/>
      </c>
      <c r="E396" s="10" t="str">
        <f>IF($A396="","",IF($A396&lt;=_Engine!$B$24,_Engine!$G433,""))</f>
        <v/>
      </c>
      <c r="F396" s="10" t="str">
        <f>IF($A396="","",IF($A396&lt;=_Engine!$B$24,_Engine!$H433,""))</f>
        <v/>
      </c>
    </row>
    <row r="397" spans="1:6" x14ac:dyDescent="0.25">
      <c r="A397" s="8" t="str">
        <f>IF(394&lt;=MAX(_Engine!$B$23,_Engine!$B$24),394,"")</f>
        <v/>
      </c>
      <c r="B397" s="9" t="str">
        <f>IF($A397="","",EDATE(_Engine!$B$2,$A397-1))</f>
        <v/>
      </c>
      <c r="C397" s="10" t="str">
        <f>IF($A397="","",IF($A397&lt;=_Engine!$B$23,_Engine!$E434,""))</f>
        <v/>
      </c>
      <c r="D397" s="10" t="str">
        <f>IF($A397="","",IF($A397&lt;=_Engine!$B$23,_Engine!$F434,""))</f>
        <v/>
      </c>
      <c r="E397" s="10" t="str">
        <f>IF($A397="","",IF($A397&lt;=_Engine!$B$24,_Engine!$G434,""))</f>
        <v/>
      </c>
      <c r="F397" s="10" t="str">
        <f>IF($A397="","",IF($A397&lt;=_Engine!$B$24,_Engine!$H434,""))</f>
        <v/>
      </c>
    </row>
    <row r="398" spans="1:6" x14ac:dyDescent="0.25">
      <c r="A398" s="8" t="str">
        <f>IF(395&lt;=MAX(_Engine!$B$23,_Engine!$B$24),395,"")</f>
        <v/>
      </c>
      <c r="B398" s="9" t="str">
        <f>IF($A398="","",EDATE(_Engine!$B$2,$A398-1))</f>
        <v/>
      </c>
      <c r="C398" s="10" t="str">
        <f>IF($A398="","",IF($A398&lt;=_Engine!$B$23,_Engine!$E435,""))</f>
        <v/>
      </c>
      <c r="D398" s="10" t="str">
        <f>IF($A398="","",IF($A398&lt;=_Engine!$B$23,_Engine!$F435,""))</f>
        <v/>
      </c>
      <c r="E398" s="10" t="str">
        <f>IF($A398="","",IF($A398&lt;=_Engine!$B$24,_Engine!$G435,""))</f>
        <v/>
      </c>
      <c r="F398" s="10" t="str">
        <f>IF($A398="","",IF($A398&lt;=_Engine!$B$24,_Engine!$H435,""))</f>
        <v/>
      </c>
    </row>
    <row r="399" spans="1:6" x14ac:dyDescent="0.25">
      <c r="A399" s="8" t="str">
        <f>IF(396&lt;=MAX(_Engine!$B$23,_Engine!$B$24),396,"")</f>
        <v/>
      </c>
      <c r="B399" s="9" t="str">
        <f>IF($A399="","",EDATE(_Engine!$B$2,$A399-1))</f>
        <v/>
      </c>
      <c r="C399" s="10" t="str">
        <f>IF($A399="","",IF($A399&lt;=_Engine!$B$23,_Engine!$E436,""))</f>
        <v/>
      </c>
      <c r="D399" s="10" t="str">
        <f>IF($A399="","",IF($A399&lt;=_Engine!$B$23,_Engine!$F436,""))</f>
        <v/>
      </c>
      <c r="E399" s="10" t="str">
        <f>IF($A399="","",IF($A399&lt;=_Engine!$B$24,_Engine!$G436,""))</f>
        <v/>
      </c>
      <c r="F399" s="10" t="str">
        <f>IF($A399="","",IF($A399&lt;=_Engine!$B$24,_Engine!$H436,""))</f>
        <v/>
      </c>
    </row>
    <row r="400" spans="1:6" x14ac:dyDescent="0.25">
      <c r="A400" s="8" t="str">
        <f>IF(397&lt;=MAX(_Engine!$B$23,_Engine!$B$24),397,"")</f>
        <v/>
      </c>
      <c r="B400" s="9" t="str">
        <f>IF($A400="","",EDATE(_Engine!$B$2,$A400-1))</f>
        <v/>
      </c>
      <c r="C400" s="10" t="str">
        <f>IF($A400="","",IF($A400&lt;=_Engine!$B$23,_Engine!$E437,""))</f>
        <v/>
      </c>
      <c r="D400" s="10" t="str">
        <f>IF($A400="","",IF($A400&lt;=_Engine!$B$23,_Engine!$F437,""))</f>
        <v/>
      </c>
      <c r="E400" s="10" t="str">
        <f>IF($A400="","",IF($A400&lt;=_Engine!$B$24,_Engine!$G437,""))</f>
        <v/>
      </c>
      <c r="F400" s="10" t="str">
        <f>IF($A400="","",IF($A400&lt;=_Engine!$B$24,_Engine!$H437,""))</f>
        <v/>
      </c>
    </row>
    <row r="401" spans="1:6" x14ac:dyDescent="0.25">
      <c r="A401" s="8" t="str">
        <f>IF(398&lt;=MAX(_Engine!$B$23,_Engine!$B$24),398,"")</f>
        <v/>
      </c>
      <c r="B401" s="9" t="str">
        <f>IF($A401="","",EDATE(_Engine!$B$2,$A401-1))</f>
        <v/>
      </c>
      <c r="C401" s="10" t="str">
        <f>IF($A401="","",IF($A401&lt;=_Engine!$B$23,_Engine!$E438,""))</f>
        <v/>
      </c>
      <c r="D401" s="10" t="str">
        <f>IF($A401="","",IF($A401&lt;=_Engine!$B$23,_Engine!$F438,""))</f>
        <v/>
      </c>
      <c r="E401" s="10" t="str">
        <f>IF($A401="","",IF($A401&lt;=_Engine!$B$24,_Engine!$G438,""))</f>
        <v/>
      </c>
      <c r="F401" s="10" t="str">
        <f>IF($A401="","",IF($A401&lt;=_Engine!$B$24,_Engine!$H438,""))</f>
        <v/>
      </c>
    </row>
    <row r="402" spans="1:6" x14ac:dyDescent="0.25">
      <c r="A402" s="8" t="str">
        <f>IF(399&lt;=MAX(_Engine!$B$23,_Engine!$B$24),399,"")</f>
        <v/>
      </c>
      <c r="B402" s="9" t="str">
        <f>IF($A402="","",EDATE(_Engine!$B$2,$A402-1))</f>
        <v/>
      </c>
      <c r="C402" s="10" t="str">
        <f>IF($A402="","",IF($A402&lt;=_Engine!$B$23,_Engine!$E439,""))</f>
        <v/>
      </c>
      <c r="D402" s="10" t="str">
        <f>IF($A402="","",IF($A402&lt;=_Engine!$B$23,_Engine!$F439,""))</f>
        <v/>
      </c>
      <c r="E402" s="10" t="str">
        <f>IF($A402="","",IF($A402&lt;=_Engine!$B$24,_Engine!$G439,""))</f>
        <v/>
      </c>
      <c r="F402" s="10" t="str">
        <f>IF($A402="","",IF($A402&lt;=_Engine!$B$24,_Engine!$H439,""))</f>
        <v/>
      </c>
    </row>
    <row r="403" spans="1:6" x14ac:dyDescent="0.25">
      <c r="A403" s="8" t="str">
        <f>IF(400&lt;=MAX(_Engine!$B$23,_Engine!$B$24),400,"")</f>
        <v/>
      </c>
      <c r="B403" s="9" t="str">
        <f>IF($A403="","",EDATE(_Engine!$B$2,$A403-1))</f>
        <v/>
      </c>
      <c r="C403" s="10" t="str">
        <f>IF($A403="","",IF($A403&lt;=_Engine!$B$23,_Engine!$E440,""))</f>
        <v/>
      </c>
      <c r="D403" s="10" t="str">
        <f>IF($A403="","",IF($A403&lt;=_Engine!$B$23,_Engine!$F440,""))</f>
        <v/>
      </c>
      <c r="E403" s="10" t="str">
        <f>IF($A403="","",IF($A403&lt;=_Engine!$B$24,_Engine!$G440,""))</f>
        <v/>
      </c>
      <c r="F403" s="10" t="str">
        <f>IF($A403="","",IF($A403&lt;=_Engine!$B$24,_Engine!$H440,""))</f>
        <v/>
      </c>
    </row>
    <row r="404" spans="1:6" x14ac:dyDescent="0.25">
      <c r="A404" s="8" t="str">
        <f>IF(401&lt;=MAX(_Engine!$B$23,_Engine!$B$24),401,"")</f>
        <v/>
      </c>
      <c r="B404" s="9" t="str">
        <f>IF($A404="","",EDATE(_Engine!$B$2,$A404-1))</f>
        <v/>
      </c>
      <c r="C404" s="10" t="str">
        <f>IF($A404="","",IF($A404&lt;=_Engine!$B$23,_Engine!$E441,""))</f>
        <v/>
      </c>
      <c r="D404" s="10" t="str">
        <f>IF($A404="","",IF($A404&lt;=_Engine!$B$23,_Engine!$F441,""))</f>
        <v/>
      </c>
      <c r="E404" s="10" t="str">
        <f>IF($A404="","",IF($A404&lt;=_Engine!$B$24,_Engine!$G441,""))</f>
        <v/>
      </c>
      <c r="F404" s="10" t="str">
        <f>IF($A404="","",IF($A404&lt;=_Engine!$B$24,_Engine!$H441,""))</f>
        <v/>
      </c>
    </row>
    <row r="405" spans="1:6" x14ac:dyDescent="0.25">
      <c r="A405" s="8" t="str">
        <f>IF(402&lt;=MAX(_Engine!$B$23,_Engine!$B$24),402,"")</f>
        <v/>
      </c>
      <c r="B405" s="9" t="str">
        <f>IF($A405="","",EDATE(_Engine!$B$2,$A405-1))</f>
        <v/>
      </c>
      <c r="C405" s="10" t="str">
        <f>IF($A405="","",IF($A405&lt;=_Engine!$B$23,_Engine!$E442,""))</f>
        <v/>
      </c>
      <c r="D405" s="10" t="str">
        <f>IF($A405="","",IF($A405&lt;=_Engine!$B$23,_Engine!$F442,""))</f>
        <v/>
      </c>
      <c r="E405" s="10" t="str">
        <f>IF($A405="","",IF($A405&lt;=_Engine!$B$24,_Engine!$G442,""))</f>
        <v/>
      </c>
      <c r="F405" s="10" t="str">
        <f>IF($A405="","",IF($A405&lt;=_Engine!$B$24,_Engine!$H442,""))</f>
        <v/>
      </c>
    </row>
    <row r="406" spans="1:6" x14ac:dyDescent="0.25">
      <c r="A406" s="8" t="str">
        <f>IF(403&lt;=MAX(_Engine!$B$23,_Engine!$B$24),403,"")</f>
        <v/>
      </c>
      <c r="B406" s="9" t="str">
        <f>IF($A406="","",EDATE(_Engine!$B$2,$A406-1))</f>
        <v/>
      </c>
      <c r="C406" s="10" t="str">
        <f>IF($A406="","",IF($A406&lt;=_Engine!$B$23,_Engine!$E443,""))</f>
        <v/>
      </c>
      <c r="D406" s="10" t="str">
        <f>IF($A406="","",IF($A406&lt;=_Engine!$B$23,_Engine!$F443,""))</f>
        <v/>
      </c>
      <c r="E406" s="10" t="str">
        <f>IF($A406="","",IF($A406&lt;=_Engine!$B$24,_Engine!$G443,""))</f>
        <v/>
      </c>
      <c r="F406" s="10" t="str">
        <f>IF($A406="","",IF($A406&lt;=_Engine!$B$24,_Engine!$H443,""))</f>
        <v/>
      </c>
    </row>
    <row r="407" spans="1:6" x14ac:dyDescent="0.25">
      <c r="A407" s="8" t="str">
        <f>IF(404&lt;=MAX(_Engine!$B$23,_Engine!$B$24),404,"")</f>
        <v/>
      </c>
      <c r="B407" s="9" t="str">
        <f>IF($A407="","",EDATE(_Engine!$B$2,$A407-1))</f>
        <v/>
      </c>
      <c r="C407" s="10" t="str">
        <f>IF($A407="","",IF($A407&lt;=_Engine!$B$23,_Engine!$E444,""))</f>
        <v/>
      </c>
      <c r="D407" s="10" t="str">
        <f>IF($A407="","",IF($A407&lt;=_Engine!$B$23,_Engine!$F444,""))</f>
        <v/>
      </c>
      <c r="E407" s="10" t="str">
        <f>IF($A407="","",IF($A407&lt;=_Engine!$B$24,_Engine!$G444,""))</f>
        <v/>
      </c>
      <c r="F407" s="10" t="str">
        <f>IF($A407="","",IF($A407&lt;=_Engine!$B$24,_Engine!$H444,""))</f>
        <v/>
      </c>
    </row>
    <row r="408" spans="1:6" x14ac:dyDescent="0.25">
      <c r="A408" s="8" t="str">
        <f>IF(405&lt;=MAX(_Engine!$B$23,_Engine!$B$24),405,"")</f>
        <v/>
      </c>
      <c r="B408" s="9" t="str">
        <f>IF($A408="","",EDATE(_Engine!$B$2,$A408-1))</f>
        <v/>
      </c>
      <c r="C408" s="10" t="str">
        <f>IF($A408="","",IF($A408&lt;=_Engine!$B$23,_Engine!$E445,""))</f>
        <v/>
      </c>
      <c r="D408" s="10" t="str">
        <f>IF($A408="","",IF($A408&lt;=_Engine!$B$23,_Engine!$F445,""))</f>
        <v/>
      </c>
      <c r="E408" s="10" t="str">
        <f>IF($A408="","",IF($A408&lt;=_Engine!$B$24,_Engine!$G445,""))</f>
        <v/>
      </c>
      <c r="F408" s="10" t="str">
        <f>IF($A408="","",IF($A408&lt;=_Engine!$B$24,_Engine!$H445,""))</f>
        <v/>
      </c>
    </row>
    <row r="409" spans="1:6" x14ac:dyDescent="0.25">
      <c r="A409" s="8" t="str">
        <f>IF(406&lt;=MAX(_Engine!$B$23,_Engine!$B$24),406,"")</f>
        <v/>
      </c>
      <c r="B409" s="9" t="str">
        <f>IF($A409="","",EDATE(_Engine!$B$2,$A409-1))</f>
        <v/>
      </c>
      <c r="C409" s="10" t="str">
        <f>IF($A409="","",IF($A409&lt;=_Engine!$B$23,_Engine!$E446,""))</f>
        <v/>
      </c>
      <c r="D409" s="10" t="str">
        <f>IF($A409="","",IF($A409&lt;=_Engine!$B$23,_Engine!$F446,""))</f>
        <v/>
      </c>
      <c r="E409" s="10" t="str">
        <f>IF($A409="","",IF($A409&lt;=_Engine!$B$24,_Engine!$G446,""))</f>
        <v/>
      </c>
      <c r="F409" s="10" t="str">
        <f>IF($A409="","",IF($A409&lt;=_Engine!$B$24,_Engine!$H446,""))</f>
        <v/>
      </c>
    </row>
    <row r="410" spans="1:6" x14ac:dyDescent="0.25">
      <c r="A410" s="8" t="str">
        <f>IF(407&lt;=MAX(_Engine!$B$23,_Engine!$B$24),407,"")</f>
        <v/>
      </c>
      <c r="B410" s="9" t="str">
        <f>IF($A410="","",EDATE(_Engine!$B$2,$A410-1))</f>
        <v/>
      </c>
      <c r="C410" s="10" t="str">
        <f>IF($A410="","",IF($A410&lt;=_Engine!$B$23,_Engine!$E447,""))</f>
        <v/>
      </c>
      <c r="D410" s="10" t="str">
        <f>IF($A410="","",IF($A410&lt;=_Engine!$B$23,_Engine!$F447,""))</f>
        <v/>
      </c>
      <c r="E410" s="10" t="str">
        <f>IF($A410="","",IF($A410&lt;=_Engine!$B$24,_Engine!$G447,""))</f>
        <v/>
      </c>
      <c r="F410" s="10" t="str">
        <f>IF($A410="","",IF($A410&lt;=_Engine!$B$24,_Engine!$H447,""))</f>
        <v/>
      </c>
    </row>
    <row r="411" spans="1:6" x14ac:dyDescent="0.25">
      <c r="A411" s="8" t="str">
        <f>IF(408&lt;=MAX(_Engine!$B$23,_Engine!$B$24),408,"")</f>
        <v/>
      </c>
      <c r="B411" s="9" t="str">
        <f>IF($A411="","",EDATE(_Engine!$B$2,$A411-1))</f>
        <v/>
      </c>
      <c r="C411" s="10" t="str">
        <f>IF($A411="","",IF($A411&lt;=_Engine!$B$23,_Engine!$E448,""))</f>
        <v/>
      </c>
      <c r="D411" s="10" t="str">
        <f>IF($A411="","",IF($A411&lt;=_Engine!$B$23,_Engine!$F448,""))</f>
        <v/>
      </c>
      <c r="E411" s="10" t="str">
        <f>IF($A411="","",IF($A411&lt;=_Engine!$B$24,_Engine!$G448,""))</f>
        <v/>
      </c>
      <c r="F411" s="10" t="str">
        <f>IF($A411="","",IF($A411&lt;=_Engine!$B$24,_Engine!$H448,""))</f>
        <v/>
      </c>
    </row>
    <row r="412" spans="1:6" x14ac:dyDescent="0.25">
      <c r="A412" s="8" t="str">
        <f>IF(409&lt;=MAX(_Engine!$B$23,_Engine!$B$24),409,"")</f>
        <v/>
      </c>
      <c r="B412" s="9" t="str">
        <f>IF($A412="","",EDATE(_Engine!$B$2,$A412-1))</f>
        <v/>
      </c>
      <c r="C412" s="10" t="str">
        <f>IF($A412="","",IF($A412&lt;=_Engine!$B$23,_Engine!$E449,""))</f>
        <v/>
      </c>
      <c r="D412" s="10" t="str">
        <f>IF($A412="","",IF($A412&lt;=_Engine!$B$23,_Engine!$F449,""))</f>
        <v/>
      </c>
      <c r="E412" s="10" t="str">
        <f>IF($A412="","",IF($A412&lt;=_Engine!$B$24,_Engine!$G449,""))</f>
        <v/>
      </c>
      <c r="F412" s="10" t="str">
        <f>IF($A412="","",IF($A412&lt;=_Engine!$B$24,_Engine!$H449,""))</f>
        <v/>
      </c>
    </row>
    <row r="413" spans="1:6" x14ac:dyDescent="0.25">
      <c r="A413" s="8" t="str">
        <f>IF(410&lt;=MAX(_Engine!$B$23,_Engine!$B$24),410,"")</f>
        <v/>
      </c>
      <c r="B413" s="9" t="str">
        <f>IF($A413="","",EDATE(_Engine!$B$2,$A413-1))</f>
        <v/>
      </c>
      <c r="C413" s="10" t="str">
        <f>IF($A413="","",IF($A413&lt;=_Engine!$B$23,_Engine!$E450,""))</f>
        <v/>
      </c>
      <c r="D413" s="10" t="str">
        <f>IF($A413="","",IF($A413&lt;=_Engine!$B$23,_Engine!$F450,""))</f>
        <v/>
      </c>
      <c r="E413" s="10" t="str">
        <f>IF($A413="","",IF($A413&lt;=_Engine!$B$24,_Engine!$G450,""))</f>
        <v/>
      </c>
      <c r="F413" s="10" t="str">
        <f>IF($A413="","",IF($A413&lt;=_Engine!$B$24,_Engine!$H450,""))</f>
        <v/>
      </c>
    </row>
    <row r="414" spans="1:6" x14ac:dyDescent="0.25">
      <c r="A414" s="8" t="str">
        <f>IF(411&lt;=MAX(_Engine!$B$23,_Engine!$B$24),411,"")</f>
        <v/>
      </c>
      <c r="B414" s="9" t="str">
        <f>IF($A414="","",EDATE(_Engine!$B$2,$A414-1))</f>
        <v/>
      </c>
      <c r="C414" s="10" t="str">
        <f>IF($A414="","",IF($A414&lt;=_Engine!$B$23,_Engine!$E451,""))</f>
        <v/>
      </c>
      <c r="D414" s="10" t="str">
        <f>IF($A414="","",IF($A414&lt;=_Engine!$B$23,_Engine!$F451,""))</f>
        <v/>
      </c>
      <c r="E414" s="10" t="str">
        <f>IF($A414="","",IF($A414&lt;=_Engine!$B$24,_Engine!$G451,""))</f>
        <v/>
      </c>
      <c r="F414" s="10" t="str">
        <f>IF($A414="","",IF($A414&lt;=_Engine!$B$24,_Engine!$H451,""))</f>
        <v/>
      </c>
    </row>
    <row r="415" spans="1:6" x14ac:dyDescent="0.25">
      <c r="A415" s="8" t="str">
        <f>IF(412&lt;=MAX(_Engine!$B$23,_Engine!$B$24),412,"")</f>
        <v/>
      </c>
      <c r="B415" s="9" t="str">
        <f>IF($A415="","",EDATE(_Engine!$B$2,$A415-1))</f>
        <v/>
      </c>
      <c r="C415" s="10" t="str">
        <f>IF($A415="","",IF($A415&lt;=_Engine!$B$23,_Engine!$E452,""))</f>
        <v/>
      </c>
      <c r="D415" s="10" t="str">
        <f>IF($A415="","",IF($A415&lt;=_Engine!$B$23,_Engine!$F452,""))</f>
        <v/>
      </c>
      <c r="E415" s="10" t="str">
        <f>IF($A415="","",IF($A415&lt;=_Engine!$B$24,_Engine!$G452,""))</f>
        <v/>
      </c>
      <c r="F415" s="10" t="str">
        <f>IF($A415="","",IF($A415&lt;=_Engine!$B$24,_Engine!$H452,""))</f>
        <v/>
      </c>
    </row>
    <row r="416" spans="1:6" x14ac:dyDescent="0.25">
      <c r="A416" s="8" t="str">
        <f>IF(413&lt;=MAX(_Engine!$B$23,_Engine!$B$24),413,"")</f>
        <v/>
      </c>
      <c r="B416" s="9" t="str">
        <f>IF($A416="","",EDATE(_Engine!$B$2,$A416-1))</f>
        <v/>
      </c>
      <c r="C416" s="10" t="str">
        <f>IF($A416="","",IF($A416&lt;=_Engine!$B$23,_Engine!$E453,""))</f>
        <v/>
      </c>
      <c r="D416" s="10" t="str">
        <f>IF($A416="","",IF($A416&lt;=_Engine!$B$23,_Engine!$F453,""))</f>
        <v/>
      </c>
      <c r="E416" s="10" t="str">
        <f>IF($A416="","",IF($A416&lt;=_Engine!$B$24,_Engine!$G453,""))</f>
        <v/>
      </c>
      <c r="F416" s="10" t="str">
        <f>IF($A416="","",IF($A416&lt;=_Engine!$B$24,_Engine!$H453,""))</f>
        <v/>
      </c>
    </row>
    <row r="417" spans="1:6" x14ac:dyDescent="0.25">
      <c r="A417" s="8" t="str">
        <f>IF(414&lt;=MAX(_Engine!$B$23,_Engine!$B$24),414,"")</f>
        <v/>
      </c>
      <c r="B417" s="9" t="str">
        <f>IF($A417="","",EDATE(_Engine!$B$2,$A417-1))</f>
        <v/>
      </c>
      <c r="C417" s="10" t="str">
        <f>IF($A417="","",IF($A417&lt;=_Engine!$B$23,_Engine!$E454,""))</f>
        <v/>
      </c>
      <c r="D417" s="10" t="str">
        <f>IF($A417="","",IF($A417&lt;=_Engine!$B$23,_Engine!$F454,""))</f>
        <v/>
      </c>
      <c r="E417" s="10" t="str">
        <f>IF($A417="","",IF($A417&lt;=_Engine!$B$24,_Engine!$G454,""))</f>
        <v/>
      </c>
      <c r="F417" s="10" t="str">
        <f>IF($A417="","",IF($A417&lt;=_Engine!$B$24,_Engine!$H454,""))</f>
        <v/>
      </c>
    </row>
    <row r="418" spans="1:6" x14ac:dyDescent="0.25">
      <c r="A418" s="8" t="str">
        <f>IF(415&lt;=MAX(_Engine!$B$23,_Engine!$B$24),415,"")</f>
        <v/>
      </c>
      <c r="B418" s="9" t="str">
        <f>IF($A418="","",EDATE(_Engine!$B$2,$A418-1))</f>
        <v/>
      </c>
      <c r="C418" s="10" t="str">
        <f>IF($A418="","",IF($A418&lt;=_Engine!$B$23,_Engine!$E455,""))</f>
        <v/>
      </c>
      <c r="D418" s="10" t="str">
        <f>IF($A418="","",IF($A418&lt;=_Engine!$B$23,_Engine!$F455,""))</f>
        <v/>
      </c>
      <c r="E418" s="10" t="str">
        <f>IF($A418="","",IF($A418&lt;=_Engine!$B$24,_Engine!$G455,""))</f>
        <v/>
      </c>
      <c r="F418" s="10" t="str">
        <f>IF($A418="","",IF($A418&lt;=_Engine!$B$24,_Engine!$H455,""))</f>
        <v/>
      </c>
    </row>
    <row r="419" spans="1:6" x14ac:dyDescent="0.25">
      <c r="A419" s="8" t="str">
        <f>IF(416&lt;=MAX(_Engine!$B$23,_Engine!$B$24),416,"")</f>
        <v/>
      </c>
      <c r="B419" s="9" t="str">
        <f>IF($A419="","",EDATE(_Engine!$B$2,$A419-1))</f>
        <v/>
      </c>
      <c r="C419" s="10" t="str">
        <f>IF($A419="","",IF($A419&lt;=_Engine!$B$23,_Engine!$E456,""))</f>
        <v/>
      </c>
      <c r="D419" s="10" t="str">
        <f>IF($A419="","",IF($A419&lt;=_Engine!$B$23,_Engine!$F456,""))</f>
        <v/>
      </c>
      <c r="E419" s="10" t="str">
        <f>IF($A419="","",IF($A419&lt;=_Engine!$B$24,_Engine!$G456,""))</f>
        <v/>
      </c>
      <c r="F419" s="10" t="str">
        <f>IF($A419="","",IF($A419&lt;=_Engine!$B$24,_Engine!$H456,""))</f>
        <v/>
      </c>
    </row>
    <row r="420" spans="1:6" x14ac:dyDescent="0.25">
      <c r="A420" s="8" t="str">
        <f>IF(417&lt;=MAX(_Engine!$B$23,_Engine!$B$24),417,"")</f>
        <v/>
      </c>
      <c r="B420" s="9" t="str">
        <f>IF($A420="","",EDATE(_Engine!$B$2,$A420-1))</f>
        <v/>
      </c>
      <c r="C420" s="10" t="str">
        <f>IF($A420="","",IF($A420&lt;=_Engine!$B$23,_Engine!$E457,""))</f>
        <v/>
      </c>
      <c r="D420" s="10" t="str">
        <f>IF($A420="","",IF($A420&lt;=_Engine!$B$23,_Engine!$F457,""))</f>
        <v/>
      </c>
      <c r="E420" s="10" t="str">
        <f>IF($A420="","",IF($A420&lt;=_Engine!$B$24,_Engine!$G457,""))</f>
        <v/>
      </c>
      <c r="F420" s="10" t="str">
        <f>IF($A420="","",IF($A420&lt;=_Engine!$B$24,_Engine!$H457,""))</f>
        <v/>
      </c>
    </row>
    <row r="421" spans="1:6" x14ac:dyDescent="0.25">
      <c r="A421" s="8" t="str">
        <f>IF(418&lt;=MAX(_Engine!$B$23,_Engine!$B$24),418,"")</f>
        <v/>
      </c>
      <c r="B421" s="9" t="str">
        <f>IF($A421="","",EDATE(_Engine!$B$2,$A421-1))</f>
        <v/>
      </c>
      <c r="C421" s="10" t="str">
        <f>IF($A421="","",IF($A421&lt;=_Engine!$B$23,_Engine!$E458,""))</f>
        <v/>
      </c>
      <c r="D421" s="10" t="str">
        <f>IF($A421="","",IF($A421&lt;=_Engine!$B$23,_Engine!$F458,""))</f>
        <v/>
      </c>
      <c r="E421" s="10" t="str">
        <f>IF($A421="","",IF($A421&lt;=_Engine!$B$24,_Engine!$G458,""))</f>
        <v/>
      </c>
      <c r="F421" s="10" t="str">
        <f>IF($A421="","",IF($A421&lt;=_Engine!$B$24,_Engine!$H458,""))</f>
        <v/>
      </c>
    </row>
    <row r="422" spans="1:6" x14ac:dyDescent="0.25">
      <c r="A422" s="8" t="str">
        <f>IF(419&lt;=MAX(_Engine!$B$23,_Engine!$B$24),419,"")</f>
        <v/>
      </c>
      <c r="B422" s="9" t="str">
        <f>IF($A422="","",EDATE(_Engine!$B$2,$A422-1))</f>
        <v/>
      </c>
      <c r="C422" s="10" t="str">
        <f>IF($A422="","",IF($A422&lt;=_Engine!$B$23,_Engine!$E459,""))</f>
        <v/>
      </c>
      <c r="D422" s="10" t="str">
        <f>IF($A422="","",IF($A422&lt;=_Engine!$B$23,_Engine!$F459,""))</f>
        <v/>
      </c>
      <c r="E422" s="10" t="str">
        <f>IF($A422="","",IF($A422&lt;=_Engine!$B$24,_Engine!$G459,""))</f>
        <v/>
      </c>
      <c r="F422" s="10" t="str">
        <f>IF($A422="","",IF($A422&lt;=_Engine!$B$24,_Engine!$H459,""))</f>
        <v/>
      </c>
    </row>
    <row r="423" spans="1:6" x14ac:dyDescent="0.25">
      <c r="A423" s="8" t="str">
        <f>IF(420&lt;=MAX(_Engine!$B$23,_Engine!$B$24),420,"")</f>
        <v/>
      </c>
      <c r="B423" s="9" t="str">
        <f>IF($A423="","",EDATE(_Engine!$B$2,$A423-1))</f>
        <v/>
      </c>
      <c r="C423" s="10" t="str">
        <f>IF($A423="","",IF($A423&lt;=_Engine!$B$23,_Engine!$E460,""))</f>
        <v/>
      </c>
      <c r="D423" s="10" t="str">
        <f>IF($A423="","",IF($A423&lt;=_Engine!$B$23,_Engine!$F460,""))</f>
        <v/>
      </c>
      <c r="E423" s="10" t="str">
        <f>IF($A423="","",IF($A423&lt;=_Engine!$B$24,_Engine!$G460,""))</f>
        <v/>
      </c>
      <c r="F423" s="10" t="str">
        <f>IF($A423="","",IF($A423&lt;=_Engine!$B$24,_Engine!$H460,""))</f>
        <v/>
      </c>
    </row>
    <row r="424" spans="1:6" x14ac:dyDescent="0.25">
      <c r="A424" s="8" t="str">
        <f>IF(421&lt;=MAX(_Engine!$B$23,_Engine!$B$24),421,"")</f>
        <v/>
      </c>
      <c r="B424" s="9" t="str">
        <f>IF($A424="","",EDATE(_Engine!$B$2,$A424-1))</f>
        <v/>
      </c>
      <c r="C424" s="10" t="str">
        <f>IF($A424="","",IF($A424&lt;=_Engine!$B$23,_Engine!$E461,""))</f>
        <v/>
      </c>
      <c r="D424" s="10" t="str">
        <f>IF($A424="","",IF($A424&lt;=_Engine!$B$23,_Engine!$F461,""))</f>
        <v/>
      </c>
      <c r="E424" s="10" t="str">
        <f>IF($A424="","",IF($A424&lt;=_Engine!$B$24,_Engine!$G461,""))</f>
        <v/>
      </c>
      <c r="F424" s="10" t="str">
        <f>IF($A424="","",IF($A424&lt;=_Engine!$B$24,_Engine!$H461,""))</f>
        <v/>
      </c>
    </row>
    <row r="425" spans="1:6" x14ac:dyDescent="0.25">
      <c r="A425" s="8" t="str">
        <f>IF(422&lt;=MAX(_Engine!$B$23,_Engine!$B$24),422,"")</f>
        <v/>
      </c>
      <c r="B425" s="9" t="str">
        <f>IF($A425="","",EDATE(_Engine!$B$2,$A425-1))</f>
        <v/>
      </c>
      <c r="C425" s="10" t="str">
        <f>IF($A425="","",IF($A425&lt;=_Engine!$B$23,_Engine!$E462,""))</f>
        <v/>
      </c>
      <c r="D425" s="10" t="str">
        <f>IF($A425="","",IF($A425&lt;=_Engine!$B$23,_Engine!$F462,""))</f>
        <v/>
      </c>
      <c r="E425" s="10" t="str">
        <f>IF($A425="","",IF($A425&lt;=_Engine!$B$24,_Engine!$G462,""))</f>
        <v/>
      </c>
      <c r="F425" s="10" t="str">
        <f>IF($A425="","",IF($A425&lt;=_Engine!$B$24,_Engine!$H462,""))</f>
        <v/>
      </c>
    </row>
    <row r="426" spans="1:6" x14ac:dyDescent="0.25">
      <c r="A426" s="8" t="str">
        <f>IF(423&lt;=MAX(_Engine!$B$23,_Engine!$B$24),423,"")</f>
        <v/>
      </c>
      <c r="B426" s="9" t="str">
        <f>IF($A426="","",EDATE(_Engine!$B$2,$A426-1))</f>
        <v/>
      </c>
      <c r="C426" s="10" t="str">
        <f>IF($A426="","",IF($A426&lt;=_Engine!$B$23,_Engine!$E463,""))</f>
        <v/>
      </c>
      <c r="D426" s="10" t="str">
        <f>IF($A426="","",IF($A426&lt;=_Engine!$B$23,_Engine!$F463,""))</f>
        <v/>
      </c>
      <c r="E426" s="10" t="str">
        <f>IF($A426="","",IF($A426&lt;=_Engine!$B$24,_Engine!$G463,""))</f>
        <v/>
      </c>
      <c r="F426" s="10" t="str">
        <f>IF($A426="","",IF($A426&lt;=_Engine!$B$24,_Engine!$H463,""))</f>
        <v/>
      </c>
    </row>
    <row r="427" spans="1:6" x14ac:dyDescent="0.25">
      <c r="A427" s="8" t="str">
        <f>IF(424&lt;=MAX(_Engine!$B$23,_Engine!$B$24),424,"")</f>
        <v/>
      </c>
      <c r="B427" s="9" t="str">
        <f>IF($A427="","",EDATE(_Engine!$B$2,$A427-1))</f>
        <v/>
      </c>
      <c r="C427" s="10" t="str">
        <f>IF($A427="","",IF($A427&lt;=_Engine!$B$23,_Engine!$E464,""))</f>
        <v/>
      </c>
      <c r="D427" s="10" t="str">
        <f>IF($A427="","",IF($A427&lt;=_Engine!$B$23,_Engine!$F464,""))</f>
        <v/>
      </c>
      <c r="E427" s="10" t="str">
        <f>IF($A427="","",IF($A427&lt;=_Engine!$B$24,_Engine!$G464,""))</f>
        <v/>
      </c>
      <c r="F427" s="10" t="str">
        <f>IF($A427="","",IF($A427&lt;=_Engine!$B$24,_Engine!$H464,""))</f>
        <v/>
      </c>
    </row>
    <row r="428" spans="1:6" x14ac:dyDescent="0.25">
      <c r="A428" s="8" t="str">
        <f>IF(425&lt;=MAX(_Engine!$B$23,_Engine!$B$24),425,"")</f>
        <v/>
      </c>
      <c r="B428" s="9" t="str">
        <f>IF($A428="","",EDATE(_Engine!$B$2,$A428-1))</f>
        <v/>
      </c>
      <c r="C428" s="10" t="str">
        <f>IF($A428="","",IF($A428&lt;=_Engine!$B$23,_Engine!$E465,""))</f>
        <v/>
      </c>
      <c r="D428" s="10" t="str">
        <f>IF($A428="","",IF($A428&lt;=_Engine!$B$23,_Engine!$F465,""))</f>
        <v/>
      </c>
      <c r="E428" s="10" t="str">
        <f>IF($A428="","",IF($A428&lt;=_Engine!$B$24,_Engine!$G465,""))</f>
        <v/>
      </c>
      <c r="F428" s="10" t="str">
        <f>IF($A428="","",IF($A428&lt;=_Engine!$B$24,_Engine!$H465,""))</f>
        <v/>
      </c>
    </row>
    <row r="429" spans="1:6" x14ac:dyDescent="0.25">
      <c r="A429" s="8" t="str">
        <f>IF(426&lt;=MAX(_Engine!$B$23,_Engine!$B$24),426,"")</f>
        <v/>
      </c>
      <c r="B429" s="9" t="str">
        <f>IF($A429="","",EDATE(_Engine!$B$2,$A429-1))</f>
        <v/>
      </c>
      <c r="C429" s="10" t="str">
        <f>IF($A429="","",IF($A429&lt;=_Engine!$B$23,_Engine!$E466,""))</f>
        <v/>
      </c>
      <c r="D429" s="10" t="str">
        <f>IF($A429="","",IF($A429&lt;=_Engine!$B$23,_Engine!$F466,""))</f>
        <v/>
      </c>
      <c r="E429" s="10" t="str">
        <f>IF($A429="","",IF($A429&lt;=_Engine!$B$24,_Engine!$G466,""))</f>
        <v/>
      </c>
      <c r="F429" s="10" t="str">
        <f>IF($A429="","",IF($A429&lt;=_Engine!$B$24,_Engine!$H466,""))</f>
        <v/>
      </c>
    </row>
    <row r="430" spans="1:6" x14ac:dyDescent="0.25">
      <c r="A430" s="8" t="str">
        <f>IF(427&lt;=MAX(_Engine!$B$23,_Engine!$B$24),427,"")</f>
        <v/>
      </c>
      <c r="B430" s="9" t="str">
        <f>IF($A430="","",EDATE(_Engine!$B$2,$A430-1))</f>
        <v/>
      </c>
      <c r="C430" s="10" t="str">
        <f>IF($A430="","",IF($A430&lt;=_Engine!$B$23,_Engine!$E467,""))</f>
        <v/>
      </c>
      <c r="D430" s="10" t="str">
        <f>IF($A430="","",IF($A430&lt;=_Engine!$B$23,_Engine!$F467,""))</f>
        <v/>
      </c>
      <c r="E430" s="10" t="str">
        <f>IF($A430="","",IF($A430&lt;=_Engine!$B$24,_Engine!$G467,""))</f>
        <v/>
      </c>
      <c r="F430" s="10" t="str">
        <f>IF($A430="","",IF($A430&lt;=_Engine!$B$24,_Engine!$H467,""))</f>
        <v/>
      </c>
    </row>
    <row r="431" spans="1:6" x14ac:dyDescent="0.25">
      <c r="A431" s="8" t="str">
        <f>IF(428&lt;=MAX(_Engine!$B$23,_Engine!$B$24),428,"")</f>
        <v/>
      </c>
      <c r="B431" s="9" t="str">
        <f>IF($A431="","",EDATE(_Engine!$B$2,$A431-1))</f>
        <v/>
      </c>
      <c r="C431" s="10" t="str">
        <f>IF($A431="","",IF($A431&lt;=_Engine!$B$23,_Engine!$E468,""))</f>
        <v/>
      </c>
      <c r="D431" s="10" t="str">
        <f>IF($A431="","",IF($A431&lt;=_Engine!$B$23,_Engine!$F468,""))</f>
        <v/>
      </c>
      <c r="E431" s="10" t="str">
        <f>IF($A431="","",IF($A431&lt;=_Engine!$B$24,_Engine!$G468,""))</f>
        <v/>
      </c>
      <c r="F431" s="10" t="str">
        <f>IF($A431="","",IF($A431&lt;=_Engine!$B$24,_Engine!$H468,""))</f>
        <v/>
      </c>
    </row>
    <row r="432" spans="1:6" x14ac:dyDescent="0.25">
      <c r="A432" s="8" t="str">
        <f>IF(429&lt;=MAX(_Engine!$B$23,_Engine!$B$24),429,"")</f>
        <v/>
      </c>
      <c r="B432" s="9" t="str">
        <f>IF($A432="","",EDATE(_Engine!$B$2,$A432-1))</f>
        <v/>
      </c>
      <c r="C432" s="10" t="str">
        <f>IF($A432="","",IF($A432&lt;=_Engine!$B$23,_Engine!$E469,""))</f>
        <v/>
      </c>
      <c r="D432" s="10" t="str">
        <f>IF($A432="","",IF($A432&lt;=_Engine!$B$23,_Engine!$F469,""))</f>
        <v/>
      </c>
      <c r="E432" s="10" t="str">
        <f>IF($A432="","",IF($A432&lt;=_Engine!$B$24,_Engine!$G469,""))</f>
        <v/>
      </c>
      <c r="F432" s="10" t="str">
        <f>IF($A432="","",IF($A432&lt;=_Engine!$B$24,_Engine!$H469,""))</f>
        <v/>
      </c>
    </row>
    <row r="433" spans="1:6" x14ac:dyDescent="0.25">
      <c r="A433" s="8" t="str">
        <f>IF(430&lt;=MAX(_Engine!$B$23,_Engine!$B$24),430,"")</f>
        <v/>
      </c>
      <c r="B433" s="9" t="str">
        <f>IF($A433="","",EDATE(_Engine!$B$2,$A433-1))</f>
        <v/>
      </c>
      <c r="C433" s="10" t="str">
        <f>IF($A433="","",IF($A433&lt;=_Engine!$B$23,_Engine!$E470,""))</f>
        <v/>
      </c>
      <c r="D433" s="10" t="str">
        <f>IF($A433="","",IF($A433&lt;=_Engine!$B$23,_Engine!$F470,""))</f>
        <v/>
      </c>
      <c r="E433" s="10" t="str">
        <f>IF($A433="","",IF($A433&lt;=_Engine!$B$24,_Engine!$G470,""))</f>
        <v/>
      </c>
      <c r="F433" s="10" t="str">
        <f>IF($A433="","",IF($A433&lt;=_Engine!$B$24,_Engine!$H470,""))</f>
        <v/>
      </c>
    </row>
    <row r="434" spans="1:6" x14ac:dyDescent="0.25">
      <c r="A434" s="8" t="str">
        <f>IF(431&lt;=MAX(_Engine!$B$23,_Engine!$B$24),431,"")</f>
        <v/>
      </c>
      <c r="B434" s="9" t="str">
        <f>IF($A434="","",EDATE(_Engine!$B$2,$A434-1))</f>
        <v/>
      </c>
      <c r="C434" s="10" t="str">
        <f>IF($A434="","",IF($A434&lt;=_Engine!$B$23,_Engine!$E471,""))</f>
        <v/>
      </c>
      <c r="D434" s="10" t="str">
        <f>IF($A434="","",IF($A434&lt;=_Engine!$B$23,_Engine!$F471,""))</f>
        <v/>
      </c>
      <c r="E434" s="10" t="str">
        <f>IF($A434="","",IF($A434&lt;=_Engine!$B$24,_Engine!$G471,""))</f>
        <v/>
      </c>
      <c r="F434" s="10" t="str">
        <f>IF($A434="","",IF($A434&lt;=_Engine!$B$24,_Engine!$H471,""))</f>
        <v/>
      </c>
    </row>
    <row r="435" spans="1:6" x14ac:dyDescent="0.25">
      <c r="A435" s="8" t="str">
        <f>IF(432&lt;=MAX(_Engine!$B$23,_Engine!$B$24),432,"")</f>
        <v/>
      </c>
      <c r="B435" s="9" t="str">
        <f>IF($A435="","",EDATE(_Engine!$B$2,$A435-1))</f>
        <v/>
      </c>
      <c r="C435" s="10" t="str">
        <f>IF($A435="","",IF($A435&lt;=_Engine!$B$23,_Engine!$E472,""))</f>
        <v/>
      </c>
      <c r="D435" s="10" t="str">
        <f>IF($A435="","",IF($A435&lt;=_Engine!$B$23,_Engine!$F472,""))</f>
        <v/>
      </c>
      <c r="E435" s="10" t="str">
        <f>IF($A435="","",IF($A435&lt;=_Engine!$B$24,_Engine!$G472,""))</f>
        <v/>
      </c>
      <c r="F435" s="10" t="str">
        <f>IF($A435="","",IF($A435&lt;=_Engine!$B$24,_Engine!$H472,""))</f>
        <v/>
      </c>
    </row>
    <row r="436" spans="1:6" x14ac:dyDescent="0.25">
      <c r="A436" s="8" t="str">
        <f>IF(433&lt;=MAX(_Engine!$B$23,_Engine!$B$24),433,"")</f>
        <v/>
      </c>
      <c r="B436" s="9" t="str">
        <f>IF($A436="","",EDATE(_Engine!$B$2,$A436-1))</f>
        <v/>
      </c>
      <c r="C436" s="10" t="str">
        <f>IF($A436="","",IF($A436&lt;=_Engine!$B$23,_Engine!$E473,""))</f>
        <v/>
      </c>
      <c r="D436" s="10" t="str">
        <f>IF($A436="","",IF($A436&lt;=_Engine!$B$23,_Engine!$F473,""))</f>
        <v/>
      </c>
      <c r="E436" s="10" t="str">
        <f>IF($A436="","",IF($A436&lt;=_Engine!$B$24,_Engine!$G473,""))</f>
        <v/>
      </c>
      <c r="F436" s="10" t="str">
        <f>IF($A436="","",IF($A436&lt;=_Engine!$B$24,_Engine!$H473,""))</f>
        <v/>
      </c>
    </row>
    <row r="437" spans="1:6" x14ac:dyDescent="0.25">
      <c r="A437" s="8" t="str">
        <f>IF(434&lt;=MAX(_Engine!$B$23,_Engine!$B$24),434,"")</f>
        <v/>
      </c>
      <c r="B437" s="9" t="str">
        <f>IF($A437="","",EDATE(_Engine!$B$2,$A437-1))</f>
        <v/>
      </c>
      <c r="C437" s="10" t="str">
        <f>IF($A437="","",IF($A437&lt;=_Engine!$B$23,_Engine!$E474,""))</f>
        <v/>
      </c>
      <c r="D437" s="10" t="str">
        <f>IF($A437="","",IF($A437&lt;=_Engine!$B$23,_Engine!$F474,""))</f>
        <v/>
      </c>
      <c r="E437" s="10" t="str">
        <f>IF($A437="","",IF($A437&lt;=_Engine!$B$24,_Engine!$G474,""))</f>
        <v/>
      </c>
      <c r="F437" s="10" t="str">
        <f>IF($A437="","",IF($A437&lt;=_Engine!$B$24,_Engine!$H474,""))</f>
        <v/>
      </c>
    </row>
    <row r="438" spans="1:6" x14ac:dyDescent="0.25">
      <c r="A438" s="8" t="str">
        <f>IF(435&lt;=MAX(_Engine!$B$23,_Engine!$B$24),435,"")</f>
        <v/>
      </c>
      <c r="B438" s="9" t="str">
        <f>IF($A438="","",EDATE(_Engine!$B$2,$A438-1))</f>
        <v/>
      </c>
      <c r="C438" s="10" t="str">
        <f>IF($A438="","",IF($A438&lt;=_Engine!$B$23,_Engine!$E475,""))</f>
        <v/>
      </c>
      <c r="D438" s="10" t="str">
        <f>IF($A438="","",IF($A438&lt;=_Engine!$B$23,_Engine!$F475,""))</f>
        <v/>
      </c>
      <c r="E438" s="10" t="str">
        <f>IF($A438="","",IF($A438&lt;=_Engine!$B$24,_Engine!$G475,""))</f>
        <v/>
      </c>
      <c r="F438" s="10" t="str">
        <f>IF($A438="","",IF($A438&lt;=_Engine!$B$24,_Engine!$H475,""))</f>
        <v/>
      </c>
    </row>
    <row r="439" spans="1:6" x14ac:dyDescent="0.25">
      <c r="A439" s="8" t="str">
        <f>IF(436&lt;=MAX(_Engine!$B$23,_Engine!$B$24),436,"")</f>
        <v/>
      </c>
      <c r="B439" s="9" t="str">
        <f>IF($A439="","",EDATE(_Engine!$B$2,$A439-1))</f>
        <v/>
      </c>
      <c r="C439" s="10" t="str">
        <f>IF($A439="","",IF($A439&lt;=_Engine!$B$23,_Engine!$E476,""))</f>
        <v/>
      </c>
      <c r="D439" s="10" t="str">
        <f>IF($A439="","",IF($A439&lt;=_Engine!$B$23,_Engine!$F476,""))</f>
        <v/>
      </c>
      <c r="E439" s="10" t="str">
        <f>IF($A439="","",IF($A439&lt;=_Engine!$B$24,_Engine!$G476,""))</f>
        <v/>
      </c>
      <c r="F439" s="10" t="str">
        <f>IF($A439="","",IF($A439&lt;=_Engine!$B$24,_Engine!$H476,""))</f>
        <v/>
      </c>
    </row>
    <row r="440" spans="1:6" x14ac:dyDescent="0.25">
      <c r="A440" s="8" t="str">
        <f>IF(437&lt;=MAX(_Engine!$B$23,_Engine!$B$24),437,"")</f>
        <v/>
      </c>
      <c r="B440" s="9" t="str">
        <f>IF($A440="","",EDATE(_Engine!$B$2,$A440-1))</f>
        <v/>
      </c>
      <c r="C440" s="10" t="str">
        <f>IF($A440="","",IF($A440&lt;=_Engine!$B$23,_Engine!$E477,""))</f>
        <v/>
      </c>
      <c r="D440" s="10" t="str">
        <f>IF($A440="","",IF($A440&lt;=_Engine!$B$23,_Engine!$F477,""))</f>
        <v/>
      </c>
      <c r="E440" s="10" t="str">
        <f>IF($A440="","",IF($A440&lt;=_Engine!$B$24,_Engine!$G477,""))</f>
        <v/>
      </c>
      <c r="F440" s="10" t="str">
        <f>IF($A440="","",IF($A440&lt;=_Engine!$B$24,_Engine!$H477,""))</f>
        <v/>
      </c>
    </row>
    <row r="441" spans="1:6" x14ac:dyDescent="0.25">
      <c r="A441" s="8" t="str">
        <f>IF(438&lt;=MAX(_Engine!$B$23,_Engine!$B$24),438,"")</f>
        <v/>
      </c>
      <c r="B441" s="9" t="str">
        <f>IF($A441="","",EDATE(_Engine!$B$2,$A441-1))</f>
        <v/>
      </c>
      <c r="C441" s="10" t="str">
        <f>IF($A441="","",IF($A441&lt;=_Engine!$B$23,_Engine!$E478,""))</f>
        <v/>
      </c>
      <c r="D441" s="10" t="str">
        <f>IF($A441="","",IF($A441&lt;=_Engine!$B$23,_Engine!$F478,""))</f>
        <v/>
      </c>
      <c r="E441" s="10" t="str">
        <f>IF($A441="","",IF($A441&lt;=_Engine!$B$24,_Engine!$G478,""))</f>
        <v/>
      </c>
      <c r="F441" s="10" t="str">
        <f>IF($A441="","",IF($A441&lt;=_Engine!$B$24,_Engine!$H478,""))</f>
        <v/>
      </c>
    </row>
    <row r="442" spans="1:6" x14ac:dyDescent="0.25">
      <c r="A442" s="8" t="str">
        <f>IF(439&lt;=MAX(_Engine!$B$23,_Engine!$B$24),439,"")</f>
        <v/>
      </c>
      <c r="B442" s="9" t="str">
        <f>IF($A442="","",EDATE(_Engine!$B$2,$A442-1))</f>
        <v/>
      </c>
      <c r="C442" s="10" t="str">
        <f>IF($A442="","",IF($A442&lt;=_Engine!$B$23,_Engine!$E479,""))</f>
        <v/>
      </c>
      <c r="D442" s="10" t="str">
        <f>IF($A442="","",IF($A442&lt;=_Engine!$B$23,_Engine!$F479,""))</f>
        <v/>
      </c>
      <c r="E442" s="10" t="str">
        <f>IF($A442="","",IF($A442&lt;=_Engine!$B$24,_Engine!$G479,""))</f>
        <v/>
      </c>
      <c r="F442" s="10" t="str">
        <f>IF($A442="","",IF($A442&lt;=_Engine!$B$24,_Engine!$H479,""))</f>
        <v/>
      </c>
    </row>
    <row r="443" spans="1:6" x14ac:dyDescent="0.25">
      <c r="A443" s="8" t="str">
        <f>IF(440&lt;=MAX(_Engine!$B$23,_Engine!$B$24),440,"")</f>
        <v/>
      </c>
      <c r="B443" s="9" t="str">
        <f>IF($A443="","",EDATE(_Engine!$B$2,$A443-1))</f>
        <v/>
      </c>
      <c r="C443" s="10" t="str">
        <f>IF($A443="","",IF($A443&lt;=_Engine!$B$23,_Engine!$E480,""))</f>
        <v/>
      </c>
      <c r="D443" s="10" t="str">
        <f>IF($A443="","",IF($A443&lt;=_Engine!$B$23,_Engine!$F480,""))</f>
        <v/>
      </c>
      <c r="E443" s="10" t="str">
        <f>IF($A443="","",IF($A443&lt;=_Engine!$B$24,_Engine!$G480,""))</f>
        <v/>
      </c>
      <c r="F443" s="10" t="str">
        <f>IF($A443="","",IF($A443&lt;=_Engine!$B$24,_Engine!$H480,""))</f>
        <v/>
      </c>
    </row>
    <row r="444" spans="1:6" x14ac:dyDescent="0.25">
      <c r="A444" s="8" t="str">
        <f>IF(441&lt;=MAX(_Engine!$B$23,_Engine!$B$24),441,"")</f>
        <v/>
      </c>
      <c r="B444" s="9" t="str">
        <f>IF($A444="","",EDATE(_Engine!$B$2,$A444-1))</f>
        <v/>
      </c>
      <c r="C444" s="10" t="str">
        <f>IF($A444="","",IF($A444&lt;=_Engine!$B$23,_Engine!$E481,""))</f>
        <v/>
      </c>
      <c r="D444" s="10" t="str">
        <f>IF($A444="","",IF($A444&lt;=_Engine!$B$23,_Engine!$F481,""))</f>
        <v/>
      </c>
      <c r="E444" s="10" t="str">
        <f>IF($A444="","",IF($A444&lt;=_Engine!$B$24,_Engine!$G481,""))</f>
        <v/>
      </c>
      <c r="F444" s="10" t="str">
        <f>IF($A444="","",IF($A444&lt;=_Engine!$B$24,_Engine!$H481,""))</f>
        <v/>
      </c>
    </row>
    <row r="445" spans="1:6" x14ac:dyDescent="0.25">
      <c r="A445" s="8" t="str">
        <f>IF(442&lt;=MAX(_Engine!$B$23,_Engine!$B$24),442,"")</f>
        <v/>
      </c>
      <c r="B445" s="9" t="str">
        <f>IF($A445="","",EDATE(_Engine!$B$2,$A445-1))</f>
        <v/>
      </c>
      <c r="C445" s="10" t="str">
        <f>IF($A445="","",IF($A445&lt;=_Engine!$B$23,_Engine!$E482,""))</f>
        <v/>
      </c>
      <c r="D445" s="10" t="str">
        <f>IF($A445="","",IF($A445&lt;=_Engine!$B$23,_Engine!$F482,""))</f>
        <v/>
      </c>
      <c r="E445" s="10" t="str">
        <f>IF($A445="","",IF($A445&lt;=_Engine!$B$24,_Engine!$G482,""))</f>
        <v/>
      </c>
      <c r="F445" s="10" t="str">
        <f>IF($A445="","",IF($A445&lt;=_Engine!$B$24,_Engine!$H482,""))</f>
        <v/>
      </c>
    </row>
    <row r="446" spans="1:6" x14ac:dyDescent="0.25">
      <c r="A446" s="8" t="str">
        <f>IF(443&lt;=MAX(_Engine!$B$23,_Engine!$B$24),443,"")</f>
        <v/>
      </c>
      <c r="B446" s="9" t="str">
        <f>IF($A446="","",EDATE(_Engine!$B$2,$A446-1))</f>
        <v/>
      </c>
      <c r="C446" s="10" t="str">
        <f>IF($A446="","",IF($A446&lt;=_Engine!$B$23,_Engine!$E483,""))</f>
        <v/>
      </c>
      <c r="D446" s="10" t="str">
        <f>IF($A446="","",IF($A446&lt;=_Engine!$B$23,_Engine!$F483,""))</f>
        <v/>
      </c>
      <c r="E446" s="10" t="str">
        <f>IF($A446="","",IF($A446&lt;=_Engine!$B$24,_Engine!$G483,""))</f>
        <v/>
      </c>
      <c r="F446" s="10" t="str">
        <f>IF($A446="","",IF($A446&lt;=_Engine!$B$24,_Engine!$H483,""))</f>
        <v/>
      </c>
    </row>
    <row r="447" spans="1:6" x14ac:dyDescent="0.25">
      <c r="A447" s="8" t="str">
        <f>IF(444&lt;=MAX(_Engine!$B$23,_Engine!$B$24),444,"")</f>
        <v/>
      </c>
      <c r="B447" s="9" t="str">
        <f>IF($A447="","",EDATE(_Engine!$B$2,$A447-1))</f>
        <v/>
      </c>
      <c r="C447" s="10" t="str">
        <f>IF($A447="","",IF($A447&lt;=_Engine!$B$23,_Engine!$E484,""))</f>
        <v/>
      </c>
      <c r="D447" s="10" t="str">
        <f>IF($A447="","",IF($A447&lt;=_Engine!$B$23,_Engine!$F484,""))</f>
        <v/>
      </c>
      <c r="E447" s="10" t="str">
        <f>IF($A447="","",IF($A447&lt;=_Engine!$B$24,_Engine!$G484,""))</f>
        <v/>
      </c>
      <c r="F447" s="10" t="str">
        <f>IF($A447="","",IF($A447&lt;=_Engine!$B$24,_Engine!$H484,""))</f>
        <v/>
      </c>
    </row>
    <row r="448" spans="1:6" x14ac:dyDescent="0.25">
      <c r="A448" s="8" t="str">
        <f>IF(445&lt;=MAX(_Engine!$B$23,_Engine!$B$24),445,"")</f>
        <v/>
      </c>
      <c r="B448" s="9" t="str">
        <f>IF($A448="","",EDATE(_Engine!$B$2,$A448-1))</f>
        <v/>
      </c>
      <c r="C448" s="10" t="str">
        <f>IF($A448="","",IF($A448&lt;=_Engine!$B$23,_Engine!$E485,""))</f>
        <v/>
      </c>
      <c r="D448" s="10" t="str">
        <f>IF($A448="","",IF($A448&lt;=_Engine!$B$23,_Engine!$F485,""))</f>
        <v/>
      </c>
      <c r="E448" s="10" t="str">
        <f>IF($A448="","",IF($A448&lt;=_Engine!$B$24,_Engine!$G485,""))</f>
        <v/>
      </c>
      <c r="F448" s="10" t="str">
        <f>IF($A448="","",IF($A448&lt;=_Engine!$B$24,_Engine!$H485,""))</f>
        <v/>
      </c>
    </row>
    <row r="449" spans="1:6" x14ac:dyDescent="0.25">
      <c r="A449" s="8" t="str">
        <f>IF(446&lt;=MAX(_Engine!$B$23,_Engine!$B$24),446,"")</f>
        <v/>
      </c>
      <c r="B449" s="9" t="str">
        <f>IF($A449="","",EDATE(_Engine!$B$2,$A449-1))</f>
        <v/>
      </c>
      <c r="C449" s="10" t="str">
        <f>IF($A449="","",IF($A449&lt;=_Engine!$B$23,_Engine!$E486,""))</f>
        <v/>
      </c>
      <c r="D449" s="10" t="str">
        <f>IF($A449="","",IF($A449&lt;=_Engine!$B$23,_Engine!$F486,""))</f>
        <v/>
      </c>
      <c r="E449" s="10" t="str">
        <f>IF($A449="","",IF($A449&lt;=_Engine!$B$24,_Engine!$G486,""))</f>
        <v/>
      </c>
      <c r="F449" s="10" t="str">
        <f>IF($A449="","",IF($A449&lt;=_Engine!$B$24,_Engine!$H486,""))</f>
        <v/>
      </c>
    </row>
    <row r="450" spans="1:6" x14ac:dyDescent="0.25">
      <c r="A450" s="8" t="str">
        <f>IF(447&lt;=MAX(_Engine!$B$23,_Engine!$B$24),447,"")</f>
        <v/>
      </c>
      <c r="B450" s="9" t="str">
        <f>IF($A450="","",EDATE(_Engine!$B$2,$A450-1))</f>
        <v/>
      </c>
      <c r="C450" s="10" t="str">
        <f>IF($A450="","",IF($A450&lt;=_Engine!$B$23,_Engine!$E487,""))</f>
        <v/>
      </c>
      <c r="D450" s="10" t="str">
        <f>IF($A450="","",IF($A450&lt;=_Engine!$B$23,_Engine!$F487,""))</f>
        <v/>
      </c>
      <c r="E450" s="10" t="str">
        <f>IF($A450="","",IF($A450&lt;=_Engine!$B$24,_Engine!$G487,""))</f>
        <v/>
      </c>
      <c r="F450" s="10" t="str">
        <f>IF($A450="","",IF($A450&lt;=_Engine!$B$24,_Engine!$H487,""))</f>
        <v/>
      </c>
    </row>
    <row r="451" spans="1:6" x14ac:dyDescent="0.25">
      <c r="A451" s="8" t="str">
        <f>IF(448&lt;=MAX(_Engine!$B$23,_Engine!$B$24),448,"")</f>
        <v/>
      </c>
      <c r="B451" s="9" t="str">
        <f>IF($A451="","",EDATE(_Engine!$B$2,$A451-1))</f>
        <v/>
      </c>
      <c r="C451" s="10" t="str">
        <f>IF($A451="","",IF($A451&lt;=_Engine!$B$23,_Engine!$E488,""))</f>
        <v/>
      </c>
      <c r="D451" s="10" t="str">
        <f>IF($A451="","",IF($A451&lt;=_Engine!$B$23,_Engine!$F488,""))</f>
        <v/>
      </c>
      <c r="E451" s="10" t="str">
        <f>IF($A451="","",IF($A451&lt;=_Engine!$B$24,_Engine!$G488,""))</f>
        <v/>
      </c>
      <c r="F451" s="10" t="str">
        <f>IF($A451="","",IF($A451&lt;=_Engine!$B$24,_Engine!$H488,""))</f>
        <v/>
      </c>
    </row>
    <row r="452" spans="1:6" x14ac:dyDescent="0.25">
      <c r="A452" s="8" t="str">
        <f>IF(449&lt;=MAX(_Engine!$B$23,_Engine!$B$24),449,"")</f>
        <v/>
      </c>
      <c r="B452" s="9" t="str">
        <f>IF($A452="","",EDATE(_Engine!$B$2,$A452-1))</f>
        <v/>
      </c>
      <c r="C452" s="10" t="str">
        <f>IF($A452="","",IF($A452&lt;=_Engine!$B$23,_Engine!$E489,""))</f>
        <v/>
      </c>
      <c r="D452" s="10" t="str">
        <f>IF($A452="","",IF($A452&lt;=_Engine!$B$23,_Engine!$F489,""))</f>
        <v/>
      </c>
      <c r="E452" s="10" t="str">
        <f>IF($A452="","",IF($A452&lt;=_Engine!$B$24,_Engine!$G489,""))</f>
        <v/>
      </c>
      <c r="F452" s="10" t="str">
        <f>IF($A452="","",IF($A452&lt;=_Engine!$B$24,_Engine!$H489,""))</f>
        <v/>
      </c>
    </row>
    <row r="453" spans="1:6" x14ac:dyDescent="0.25">
      <c r="A453" s="8" t="str">
        <f>IF(450&lt;=MAX(_Engine!$B$23,_Engine!$B$24),450,"")</f>
        <v/>
      </c>
      <c r="B453" s="9" t="str">
        <f>IF($A453="","",EDATE(_Engine!$B$2,$A453-1))</f>
        <v/>
      </c>
      <c r="C453" s="10" t="str">
        <f>IF($A453="","",IF($A453&lt;=_Engine!$B$23,_Engine!$E490,""))</f>
        <v/>
      </c>
      <c r="D453" s="10" t="str">
        <f>IF($A453="","",IF($A453&lt;=_Engine!$B$23,_Engine!$F490,""))</f>
        <v/>
      </c>
      <c r="E453" s="10" t="str">
        <f>IF($A453="","",IF($A453&lt;=_Engine!$B$24,_Engine!$G490,""))</f>
        <v/>
      </c>
      <c r="F453" s="10" t="str">
        <f>IF($A453="","",IF($A453&lt;=_Engine!$B$24,_Engine!$H490,""))</f>
        <v/>
      </c>
    </row>
    <row r="454" spans="1:6" x14ac:dyDescent="0.25">
      <c r="A454" s="8" t="str">
        <f>IF(451&lt;=MAX(_Engine!$B$23,_Engine!$B$24),451,"")</f>
        <v/>
      </c>
      <c r="B454" s="9" t="str">
        <f>IF($A454="","",EDATE(_Engine!$B$2,$A454-1))</f>
        <v/>
      </c>
      <c r="C454" s="10" t="str">
        <f>IF($A454="","",IF($A454&lt;=_Engine!$B$23,_Engine!$E491,""))</f>
        <v/>
      </c>
      <c r="D454" s="10" t="str">
        <f>IF($A454="","",IF($A454&lt;=_Engine!$B$23,_Engine!$F491,""))</f>
        <v/>
      </c>
      <c r="E454" s="10" t="str">
        <f>IF($A454="","",IF($A454&lt;=_Engine!$B$24,_Engine!$G491,""))</f>
        <v/>
      </c>
      <c r="F454" s="10" t="str">
        <f>IF($A454="","",IF($A454&lt;=_Engine!$B$24,_Engine!$H491,""))</f>
        <v/>
      </c>
    </row>
    <row r="455" spans="1:6" x14ac:dyDescent="0.25">
      <c r="A455" s="8" t="str">
        <f>IF(452&lt;=MAX(_Engine!$B$23,_Engine!$B$24),452,"")</f>
        <v/>
      </c>
      <c r="B455" s="9" t="str">
        <f>IF($A455="","",EDATE(_Engine!$B$2,$A455-1))</f>
        <v/>
      </c>
      <c r="C455" s="10" t="str">
        <f>IF($A455="","",IF($A455&lt;=_Engine!$B$23,_Engine!$E492,""))</f>
        <v/>
      </c>
      <c r="D455" s="10" t="str">
        <f>IF($A455="","",IF($A455&lt;=_Engine!$B$23,_Engine!$F492,""))</f>
        <v/>
      </c>
      <c r="E455" s="10" t="str">
        <f>IF($A455="","",IF($A455&lt;=_Engine!$B$24,_Engine!$G492,""))</f>
        <v/>
      </c>
      <c r="F455" s="10" t="str">
        <f>IF($A455="","",IF($A455&lt;=_Engine!$B$24,_Engine!$H492,""))</f>
        <v/>
      </c>
    </row>
    <row r="456" spans="1:6" x14ac:dyDescent="0.25">
      <c r="A456" s="8" t="str">
        <f>IF(453&lt;=MAX(_Engine!$B$23,_Engine!$B$24),453,"")</f>
        <v/>
      </c>
      <c r="B456" s="9" t="str">
        <f>IF($A456="","",EDATE(_Engine!$B$2,$A456-1))</f>
        <v/>
      </c>
      <c r="C456" s="10" t="str">
        <f>IF($A456="","",IF($A456&lt;=_Engine!$B$23,_Engine!$E493,""))</f>
        <v/>
      </c>
      <c r="D456" s="10" t="str">
        <f>IF($A456="","",IF($A456&lt;=_Engine!$B$23,_Engine!$F493,""))</f>
        <v/>
      </c>
      <c r="E456" s="10" t="str">
        <f>IF($A456="","",IF($A456&lt;=_Engine!$B$24,_Engine!$G493,""))</f>
        <v/>
      </c>
      <c r="F456" s="10" t="str">
        <f>IF($A456="","",IF($A456&lt;=_Engine!$B$24,_Engine!$H493,""))</f>
        <v/>
      </c>
    </row>
    <row r="457" spans="1:6" x14ac:dyDescent="0.25">
      <c r="A457" s="8" t="str">
        <f>IF(454&lt;=MAX(_Engine!$B$23,_Engine!$B$24),454,"")</f>
        <v/>
      </c>
      <c r="B457" s="9" t="str">
        <f>IF($A457="","",EDATE(_Engine!$B$2,$A457-1))</f>
        <v/>
      </c>
      <c r="C457" s="10" t="str">
        <f>IF($A457="","",IF($A457&lt;=_Engine!$B$23,_Engine!$E494,""))</f>
        <v/>
      </c>
      <c r="D457" s="10" t="str">
        <f>IF($A457="","",IF($A457&lt;=_Engine!$B$23,_Engine!$F494,""))</f>
        <v/>
      </c>
      <c r="E457" s="10" t="str">
        <f>IF($A457="","",IF($A457&lt;=_Engine!$B$24,_Engine!$G494,""))</f>
        <v/>
      </c>
      <c r="F457" s="10" t="str">
        <f>IF($A457="","",IF($A457&lt;=_Engine!$B$24,_Engine!$H494,""))</f>
        <v/>
      </c>
    </row>
    <row r="458" spans="1:6" x14ac:dyDescent="0.25">
      <c r="A458" s="8" t="str">
        <f>IF(455&lt;=MAX(_Engine!$B$23,_Engine!$B$24),455,"")</f>
        <v/>
      </c>
      <c r="B458" s="9" t="str">
        <f>IF($A458="","",EDATE(_Engine!$B$2,$A458-1))</f>
        <v/>
      </c>
      <c r="C458" s="10" t="str">
        <f>IF($A458="","",IF($A458&lt;=_Engine!$B$23,_Engine!$E495,""))</f>
        <v/>
      </c>
      <c r="D458" s="10" t="str">
        <f>IF($A458="","",IF($A458&lt;=_Engine!$B$23,_Engine!$F495,""))</f>
        <v/>
      </c>
      <c r="E458" s="10" t="str">
        <f>IF($A458="","",IF($A458&lt;=_Engine!$B$24,_Engine!$G495,""))</f>
        <v/>
      </c>
      <c r="F458" s="10" t="str">
        <f>IF($A458="","",IF($A458&lt;=_Engine!$B$24,_Engine!$H495,""))</f>
        <v/>
      </c>
    </row>
    <row r="459" spans="1:6" x14ac:dyDescent="0.25">
      <c r="A459" s="8" t="str">
        <f>IF(456&lt;=MAX(_Engine!$B$23,_Engine!$B$24),456,"")</f>
        <v/>
      </c>
      <c r="B459" s="9" t="str">
        <f>IF($A459="","",EDATE(_Engine!$B$2,$A459-1))</f>
        <v/>
      </c>
      <c r="C459" s="10" t="str">
        <f>IF($A459="","",IF($A459&lt;=_Engine!$B$23,_Engine!$E496,""))</f>
        <v/>
      </c>
      <c r="D459" s="10" t="str">
        <f>IF($A459="","",IF($A459&lt;=_Engine!$B$23,_Engine!$F496,""))</f>
        <v/>
      </c>
      <c r="E459" s="10" t="str">
        <f>IF($A459="","",IF($A459&lt;=_Engine!$B$24,_Engine!$G496,""))</f>
        <v/>
      </c>
      <c r="F459" s="10" t="str">
        <f>IF($A459="","",IF($A459&lt;=_Engine!$B$24,_Engine!$H496,""))</f>
        <v/>
      </c>
    </row>
    <row r="460" spans="1:6" x14ac:dyDescent="0.25">
      <c r="A460" s="8" t="str">
        <f>IF(457&lt;=MAX(_Engine!$B$23,_Engine!$B$24),457,"")</f>
        <v/>
      </c>
      <c r="B460" s="9" t="str">
        <f>IF($A460="","",EDATE(_Engine!$B$2,$A460-1))</f>
        <v/>
      </c>
      <c r="C460" s="10" t="str">
        <f>IF($A460="","",IF($A460&lt;=_Engine!$B$23,_Engine!$E497,""))</f>
        <v/>
      </c>
      <c r="D460" s="10" t="str">
        <f>IF($A460="","",IF($A460&lt;=_Engine!$B$23,_Engine!$F497,""))</f>
        <v/>
      </c>
      <c r="E460" s="10" t="str">
        <f>IF($A460="","",IF($A460&lt;=_Engine!$B$24,_Engine!$G497,""))</f>
        <v/>
      </c>
      <c r="F460" s="10" t="str">
        <f>IF($A460="","",IF($A460&lt;=_Engine!$B$24,_Engine!$H497,""))</f>
        <v/>
      </c>
    </row>
    <row r="461" spans="1:6" x14ac:dyDescent="0.25">
      <c r="A461" s="8" t="str">
        <f>IF(458&lt;=MAX(_Engine!$B$23,_Engine!$B$24),458,"")</f>
        <v/>
      </c>
      <c r="B461" s="9" t="str">
        <f>IF($A461="","",EDATE(_Engine!$B$2,$A461-1))</f>
        <v/>
      </c>
      <c r="C461" s="10" t="str">
        <f>IF($A461="","",IF($A461&lt;=_Engine!$B$23,_Engine!$E498,""))</f>
        <v/>
      </c>
      <c r="D461" s="10" t="str">
        <f>IF($A461="","",IF($A461&lt;=_Engine!$B$23,_Engine!$F498,""))</f>
        <v/>
      </c>
      <c r="E461" s="10" t="str">
        <f>IF($A461="","",IF($A461&lt;=_Engine!$B$24,_Engine!$G498,""))</f>
        <v/>
      </c>
      <c r="F461" s="10" t="str">
        <f>IF($A461="","",IF($A461&lt;=_Engine!$B$24,_Engine!$H498,""))</f>
        <v/>
      </c>
    </row>
    <row r="462" spans="1:6" x14ac:dyDescent="0.25">
      <c r="A462" s="8" t="str">
        <f>IF(459&lt;=MAX(_Engine!$B$23,_Engine!$B$24),459,"")</f>
        <v/>
      </c>
      <c r="B462" s="9" t="str">
        <f>IF($A462="","",EDATE(_Engine!$B$2,$A462-1))</f>
        <v/>
      </c>
      <c r="C462" s="10" t="str">
        <f>IF($A462="","",IF($A462&lt;=_Engine!$B$23,_Engine!$E499,""))</f>
        <v/>
      </c>
      <c r="D462" s="10" t="str">
        <f>IF($A462="","",IF($A462&lt;=_Engine!$B$23,_Engine!$F499,""))</f>
        <v/>
      </c>
      <c r="E462" s="10" t="str">
        <f>IF($A462="","",IF($A462&lt;=_Engine!$B$24,_Engine!$G499,""))</f>
        <v/>
      </c>
      <c r="F462" s="10" t="str">
        <f>IF($A462="","",IF($A462&lt;=_Engine!$B$24,_Engine!$H499,""))</f>
        <v/>
      </c>
    </row>
    <row r="463" spans="1:6" x14ac:dyDescent="0.25">
      <c r="A463" s="8" t="str">
        <f>IF(460&lt;=MAX(_Engine!$B$23,_Engine!$B$24),460,"")</f>
        <v/>
      </c>
      <c r="B463" s="9" t="str">
        <f>IF($A463="","",EDATE(_Engine!$B$2,$A463-1))</f>
        <v/>
      </c>
      <c r="C463" s="10" t="str">
        <f>IF($A463="","",IF($A463&lt;=_Engine!$B$23,_Engine!$E500,""))</f>
        <v/>
      </c>
      <c r="D463" s="10" t="str">
        <f>IF($A463="","",IF($A463&lt;=_Engine!$B$23,_Engine!$F500,""))</f>
        <v/>
      </c>
      <c r="E463" s="10" t="str">
        <f>IF($A463="","",IF($A463&lt;=_Engine!$B$24,_Engine!$G500,""))</f>
        <v/>
      </c>
      <c r="F463" s="10" t="str">
        <f>IF($A463="","",IF($A463&lt;=_Engine!$B$24,_Engine!$H500,""))</f>
        <v/>
      </c>
    </row>
    <row r="464" spans="1:6" x14ac:dyDescent="0.25">
      <c r="A464" s="8" t="str">
        <f>IF(461&lt;=MAX(_Engine!$B$23,_Engine!$B$24),461,"")</f>
        <v/>
      </c>
      <c r="B464" s="9" t="str">
        <f>IF($A464="","",EDATE(_Engine!$B$2,$A464-1))</f>
        <v/>
      </c>
      <c r="C464" s="10" t="str">
        <f>IF($A464="","",IF($A464&lt;=_Engine!$B$23,_Engine!$E501,""))</f>
        <v/>
      </c>
      <c r="D464" s="10" t="str">
        <f>IF($A464="","",IF($A464&lt;=_Engine!$B$23,_Engine!$F501,""))</f>
        <v/>
      </c>
      <c r="E464" s="10" t="str">
        <f>IF($A464="","",IF($A464&lt;=_Engine!$B$24,_Engine!$G501,""))</f>
        <v/>
      </c>
      <c r="F464" s="10" t="str">
        <f>IF($A464="","",IF($A464&lt;=_Engine!$B$24,_Engine!$H501,""))</f>
        <v/>
      </c>
    </row>
    <row r="465" spans="1:6" x14ac:dyDescent="0.25">
      <c r="A465" s="8" t="str">
        <f>IF(462&lt;=MAX(_Engine!$B$23,_Engine!$B$24),462,"")</f>
        <v/>
      </c>
      <c r="B465" s="9" t="str">
        <f>IF($A465="","",EDATE(_Engine!$B$2,$A465-1))</f>
        <v/>
      </c>
      <c r="C465" s="10" t="str">
        <f>IF($A465="","",IF($A465&lt;=_Engine!$B$23,_Engine!$E502,""))</f>
        <v/>
      </c>
      <c r="D465" s="10" t="str">
        <f>IF($A465="","",IF($A465&lt;=_Engine!$B$23,_Engine!$F502,""))</f>
        <v/>
      </c>
      <c r="E465" s="10" t="str">
        <f>IF($A465="","",IF($A465&lt;=_Engine!$B$24,_Engine!$G502,""))</f>
        <v/>
      </c>
      <c r="F465" s="10" t="str">
        <f>IF($A465="","",IF($A465&lt;=_Engine!$B$24,_Engine!$H502,""))</f>
        <v/>
      </c>
    </row>
    <row r="466" spans="1:6" x14ac:dyDescent="0.25">
      <c r="A466" s="8" t="str">
        <f>IF(463&lt;=MAX(_Engine!$B$23,_Engine!$B$24),463,"")</f>
        <v/>
      </c>
      <c r="B466" s="9" t="str">
        <f>IF($A466="","",EDATE(_Engine!$B$2,$A466-1))</f>
        <v/>
      </c>
      <c r="C466" s="10" t="str">
        <f>IF($A466="","",IF($A466&lt;=_Engine!$B$23,_Engine!$E503,""))</f>
        <v/>
      </c>
      <c r="D466" s="10" t="str">
        <f>IF($A466="","",IF($A466&lt;=_Engine!$B$23,_Engine!$F503,""))</f>
        <v/>
      </c>
      <c r="E466" s="10" t="str">
        <f>IF($A466="","",IF($A466&lt;=_Engine!$B$24,_Engine!$G503,""))</f>
        <v/>
      </c>
      <c r="F466" s="10" t="str">
        <f>IF($A466="","",IF($A466&lt;=_Engine!$B$24,_Engine!$H503,""))</f>
        <v/>
      </c>
    </row>
    <row r="467" spans="1:6" x14ac:dyDescent="0.25">
      <c r="A467" s="8" t="str">
        <f>IF(464&lt;=MAX(_Engine!$B$23,_Engine!$B$24),464,"")</f>
        <v/>
      </c>
      <c r="B467" s="9" t="str">
        <f>IF($A467="","",EDATE(_Engine!$B$2,$A467-1))</f>
        <v/>
      </c>
      <c r="C467" s="10" t="str">
        <f>IF($A467="","",IF($A467&lt;=_Engine!$B$23,_Engine!$E504,""))</f>
        <v/>
      </c>
      <c r="D467" s="10" t="str">
        <f>IF($A467="","",IF($A467&lt;=_Engine!$B$23,_Engine!$F504,""))</f>
        <v/>
      </c>
      <c r="E467" s="10" t="str">
        <f>IF($A467="","",IF($A467&lt;=_Engine!$B$24,_Engine!$G504,""))</f>
        <v/>
      </c>
      <c r="F467" s="10" t="str">
        <f>IF($A467="","",IF($A467&lt;=_Engine!$B$24,_Engine!$H504,""))</f>
        <v/>
      </c>
    </row>
    <row r="468" spans="1:6" x14ac:dyDescent="0.25">
      <c r="A468" s="8" t="str">
        <f>IF(465&lt;=MAX(_Engine!$B$23,_Engine!$B$24),465,"")</f>
        <v/>
      </c>
      <c r="B468" s="9" t="str">
        <f>IF($A468="","",EDATE(_Engine!$B$2,$A468-1))</f>
        <v/>
      </c>
      <c r="C468" s="10" t="str">
        <f>IF($A468="","",IF($A468&lt;=_Engine!$B$23,_Engine!$E505,""))</f>
        <v/>
      </c>
      <c r="D468" s="10" t="str">
        <f>IF($A468="","",IF($A468&lt;=_Engine!$B$23,_Engine!$F505,""))</f>
        <v/>
      </c>
      <c r="E468" s="10" t="str">
        <f>IF($A468="","",IF($A468&lt;=_Engine!$B$24,_Engine!$G505,""))</f>
        <v/>
      </c>
      <c r="F468" s="10" t="str">
        <f>IF($A468="","",IF($A468&lt;=_Engine!$B$24,_Engine!$H505,""))</f>
        <v/>
      </c>
    </row>
    <row r="469" spans="1:6" x14ac:dyDescent="0.25">
      <c r="A469" s="8" t="str">
        <f>IF(466&lt;=MAX(_Engine!$B$23,_Engine!$B$24),466,"")</f>
        <v/>
      </c>
      <c r="B469" s="9" t="str">
        <f>IF($A469="","",EDATE(_Engine!$B$2,$A469-1))</f>
        <v/>
      </c>
      <c r="C469" s="10" t="str">
        <f>IF($A469="","",IF($A469&lt;=_Engine!$B$23,_Engine!$E506,""))</f>
        <v/>
      </c>
      <c r="D469" s="10" t="str">
        <f>IF($A469="","",IF($A469&lt;=_Engine!$B$23,_Engine!$F506,""))</f>
        <v/>
      </c>
      <c r="E469" s="10" t="str">
        <f>IF($A469="","",IF($A469&lt;=_Engine!$B$24,_Engine!$G506,""))</f>
        <v/>
      </c>
      <c r="F469" s="10" t="str">
        <f>IF($A469="","",IF($A469&lt;=_Engine!$B$24,_Engine!$H506,""))</f>
        <v/>
      </c>
    </row>
    <row r="470" spans="1:6" x14ac:dyDescent="0.25">
      <c r="A470" s="8" t="str">
        <f>IF(467&lt;=MAX(_Engine!$B$23,_Engine!$B$24),467,"")</f>
        <v/>
      </c>
      <c r="B470" s="9" t="str">
        <f>IF($A470="","",EDATE(_Engine!$B$2,$A470-1))</f>
        <v/>
      </c>
      <c r="C470" s="10" t="str">
        <f>IF($A470="","",IF($A470&lt;=_Engine!$B$23,_Engine!$E507,""))</f>
        <v/>
      </c>
      <c r="D470" s="10" t="str">
        <f>IF($A470="","",IF($A470&lt;=_Engine!$B$23,_Engine!$F507,""))</f>
        <v/>
      </c>
      <c r="E470" s="10" t="str">
        <f>IF($A470="","",IF($A470&lt;=_Engine!$B$24,_Engine!$G507,""))</f>
        <v/>
      </c>
      <c r="F470" s="10" t="str">
        <f>IF($A470="","",IF($A470&lt;=_Engine!$B$24,_Engine!$H507,""))</f>
        <v/>
      </c>
    </row>
    <row r="471" spans="1:6" x14ac:dyDescent="0.25">
      <c r="A471" s="8" t="str">
        <f>IF(468&lt;=MAX(_Engine!$B$23,_Engine!$B$24),468,"")</f>
        <v/>
      </c>
      <c r="B471" s="9" t="str">
        <f>IF($A471="","",EDATE(_Engine!$B$2,$A471-1))</f>
        <v/>
      </c>
      <c r="C471" s="10" t="str">
        <f>IF($A471="","",IF($A471&lt;=_Engine!$B$23,_Engine!$E508,""))</f>
        <v/>
      </c>
      <c r="D471" s="10" t="str">
        <f>IF($A471="","",IF($A471&lt;=_Engine!$B$23,_Engine!$F508,""))</f>
        <v/>
      </c>
      <c r="E471" s="10" t="str">
        <f>IF($A471="","",IF($A471&lt;=_Engine!$B$24,_Engine!$G508,""))</f>
        <v/>
      </c>
      <c r="F471" s="10" t="str">
        <f>IF($A471="","",IF($A471&lt;=_Engine!$B$24,_Engine!$H508,""))</f>
        <v/>
      </c>
    </row>
    <row r="472" spans="1:6" x14ac:dyDescent="0.25">
      <c r="A472" s="8" t="str">
        <f>IF(469&lt;=MAX(_Engine!$B$23,_Engine!$B$24),469,"")</f>
        <v/>
      </c>
      <c r="B472" s="9" t="str">
        <f>IF($A472="","",EDATE(_Engine!$B$2,$A472-1))</f>
        <v/>
      </c>
      <c r="C472" s="10" t="str">
        <f>IF($A472="","",IF($A472&lt;=_Engine!$B$23,_Engine!$E509,""))</f>
        <v/>
      </c>
      <c r="D472" s="10" t="str">
        <f>IF($A472="","",IF($A472&lt;=_Engine!$B$23,_Engine!$F509,""))</f>
        <v/>
      </c>
      <c r="E472" s="10" t="str">
        <f>IF($A472="","",IF($A472&lt;=_Engine!$B$24,_Engine!$G509,""))</f>
        <v/>
      </c>
      <c r="F472" s="10" t="str">
        <f>IF($A472="","",IF($A472&lt;=_Engine!$B$24,_Engine!$H509,""))</f>
        <v/>
      </c>
    </row>
    <row r="473" spans="1:6" x14ac:dyDescent="0.25">
      <c r="A473" s="8" t="str">
        <f>IF(470&lt;=MAX(_Engine!$B$23,_Engine!$B$24),470,"")</f>
        <v/>
      </c>
      <c r="B473" s="9" t="str">
        <f>IF($A473="","",EDATE(_Engine!$B$2,$A473-1))</f>
        <v/>
      </c>
      <c r="C473" s="10" t="str">
        <f>IF($A473="","",IF($A473&lt;=_Engine!$B$23,_Engine!$E510,""))</f>
        <v/>
      </c>
      <c r="D473" s="10" t="str">
        <f>IF($A473="","",IF($A473&lt;=_Engine!$B$23,_Engine!$F510,""))</f>
        <v/>
      </c>
      <c r="E473" s="10" t="str">
        <f>IF($A473="","",IF($A473&lt;=_Engine!$B$24,_Engine!$G510,""))</f>
        <v/>
      </c>
      <c r="F473" s="10" t="str">
        <f>IF($A473="","",IF($A473&lt;=_Engine!$B$24,_Engine!$H510,""))</f>
        <v/>
      </c>
    </row>
    <row r="474" spans="1:6" x14ac:dyDescent="0.25">
      <c r="A474" s="8" t="str">
        <f>IF(471&lt;=MAX(_Engine!$B$23,_Engine!$B$24),471,"")</f>
        <v/>
      </c>
      <c r="B474" s="9" t="str">
        <f>IF($A474="","",EDATE(_Engine!$B$2,$A474-1))</f>
        <v/>
      </c>
      <c r="C474" s="10" t="str">
        <f>IF($A474="","",IF($A474&lt;=_Engine!$B$23,_Engine!$E511,""))</f>
        <v/>
      </c>
      <c r="D474" s="10" t="str">
        <f>IF($A474="","",IF($A474&lt;=_Engine!$B$23,_Engine!$F511,""))</f>
        <v/>
      </c>
      <c r="E474" s="10" t="str">
        <f>IF($A474="","",IF($A474&lt;=_Engine!$B$24,_Engine!$G511,""))</f>
        <v/>
      </c>
      <c r="F474" s="10" t="str">
        <f>IF($A474="","",IF($A474&lt;=_Engine!$B$24,_Engine!$H511,""))</f>
        <v/>
      </c>
    </row>
    <row r="475" spans="1:6" x14ac:dyDescent="0.25">
      <c r="A475" s="8" t="str">
        <f>IF(472&lt;=MAX(_Engine!$B$23,_Engine!$B$24),472,"")</f>
        <v/>
      </c>
      <c r="B475" s="9" t="str">
        <f>IF($A475="","",EDATE(_Engine!$B$2,$A475-1))</f>
        <v/>
      </c>
      <c r="C475" s="10" t="str">
        <f>IF($A475="","",IF($A475&lt;=_Engine!$B$23,_Engine!$E512,""))</f>
        <v/>
      </c>
      <c r="D475" s="10" t="str">
        <f>IF($A475="","",IF($A475&lt;=_Engine!$B$23,_Engine!$F512,""))</f>
        <v/>
      </c>
      <c r="E475" s="10" t="str">
        <f>IF($A475="","",IF($A475&lt;=_Engine!$B$24,_Engine!$G512,""))</f>
        <v/>
      </c>
      <c r="F475" s="10" t="str">
        <f>IF($A475="","",IF($A475&lt;=_Engine!$B$24,_Engine!$H512,""))</f>
        <v/>
      </c>
    </row>
    <row r="476" spans="1:6" x14ac:dyDescent="0.25">
      <c r="A476" s="8" t="str">
        <f>IF(473&lt;=MAX(_Engine!$B$23,_Engine!$B$24),473,"")</f>
        <v/>
      </c>
      <c r="B476" s="9" t="str">
        <f>IF($A476="","",EDATE(_Engine!$B$2,$A476-1))</f>
        <v/>
      </c>
      <c r="C476" s="10" t="str">
        <f>IF($A476="","",IF($A476&lt;=_Engine!$B$23,_Engine!$E513,""))</f>
        <v/>
      </c>
      <c r="D476" s="10" t="str">
        <f>IF($A476="","",IF($A476&lt;=_Engine!$B$23,_Engine!$F513,""))</f>
        <v/>
      </c>
      <c r="E476" s="10" t="str">
        <f>IF($A476="","",IF($A476&lt;=_Engine!$B$24,_Engine!$G513,""))</f>
        <v/>
      </c>
      <c r="F476" s="10" t="str">
        <f>IF($A476="","",IF($A476&lt;=_Engine!$B$24,_Engine!$H513,""))</f>
        <v/>
      </c>
    </row>
    <row r="477" spans="1:6" x14ac:dyDescent="0.25">
      <c r="A477" s="8" t="str">
        <f>IF(474&lt;=MAX(_Engine!$B$23,_Engine!$B$24),474,"")</f>
        <v/>
      </c>
      <c r="B477" s="9" t="str">
        <f>IF($A477="","",EDATE(_Engine!$B$2,$A477-1))</f>
        <v/>
      </c>
      <c r="C477" s="10" t="str">
        <f>IF($A477="","",IF($A477&lt;=_Engine!$B$23,_Engine!$E514,""))</f>
        <v/>
      </c>
      <c r="D477" s="10" t="str">
        <f>IF($A477="","",IF($A477&lt;=_Engine!$B$23,_Engine!$F514,""))</f>
        <v/>
      </c>
      <c r="E477" s="10" t="str">
        <f>IF($A477="","",IF($A477&lt;=_Engine!$B$24,_Engine!$G514,""))</f>
        <v/>
      </c>
      <c r="F477" s="10" t="str">
        <f>IF($A477="","",IF($A477&lt;=_Engine!$B$24,_Engine!$H514,""))</f>
        <v/>
      </c>
    </row>
    <row r="478" spans="1:6" x14ac:dyDescent="0.25">
      <c r="A478" s="8" t="str">
        <f>IF(475&lt;=MAX(_Engine!$B$23,_Engine!$B$24),475,"")</f>
        <v/>
      </c>
      <c r="B478" s="9" t="str">
        <f>IF($A478="","",EDATE(_Engine!$B$2,$A478-1))</f>
        <v/>
      </c>
      <c r="C478" s="10" t="str">
        <f>IF($A478="","",IF($A478&lt;=_Engine!$B$23,_Engine!$E515,""))</f>
        <v/>
      </c>
      <c r="D478" s="10" t="str">
        <f>IF($A478="","",IF($A478&lt;=_Engine!$B$23,_Engine!$F515,""))</f>
        <v/>
      </c>
      <c r="E478" s="10" t="str">
        <f>IF($A478="","",IF($A478&lt;=_Engine!$B$24,_Engine!$G515,""))</f>
        <v/>
      </c>
      <c r="F478" s="10" t="str">
        <f>IF($A478="","",IF($A478&lt;=_Engine!$B$24,_Engine!$H515,""))</f>
        <v/>
      </c>
    </row>
    <row r="479" spans="1:6" x14ac:dyDescent="0.25">
      <c r="A479" s="8" t="str">
        <f>IF(476&lt;=MAX(_Engine!$B$23,_Engine!$B$24),476,"")</f>
        <v/>
      </c>
      <c r="B479" s="9" t="str">
        <f>IF($A479="","",EDATE(_Engine!$B$2,$A479-1))</f>
        <v/>
      </c>
      <c r="C479" s="10" t="str">
        <f>IF($A479="","",IF($A479&lt;=_Engine!$B$23,_Engine!$E516,""))</f>
        <v/>
      </c>
      <c r="D479" s="10" t="str">
        <f>IF($A479="","",IF($A479&lt;=_Engine!$B$23,_Engine!$F516,""))</f>
        <v/>
      </c>
      <c r="E479" s="10" t="str">
        <f>IF($A479="","",IF($A479&lt;=_Engine!$B$24,_Engine!$G516,""))</f>
        <v/>
      </c>
      <c r="F479" s="10" t="str">
        <f>IF($A479="","",IF($A479&lt;=_Engine!$B$24,_Engine!$H516,""))</f>
        <v/>
      </c>
    </row>
    <row r="480" spans="1:6" x14ac:dyDescent="0.25">
      <c r="A480" s="8" t="str">
        <f>IF(477&lt;=MAX(_Engine!$B$23,_Engine!$B$24),477,"")</f>
        <v/>
      </c>
      <c r="B480" s="9" t="str">
        <f>IF($A480="","",EDATE(_Engine!$B$2,$A480-1))</f>
        <v/>
      </c>
      <c r="C480" s="10" t="str">
        <f>IF($A480="","",IF($A480&lt;=_Engine!$B$23,_Engine!$E517,""))</f>
        <v/>
      </c>
      <c r="D480" s="10" t="str">
        <f>IF($A480="","",IF($A480&lt;=_Engine!$B$23,_Engine!$F517,""))</f>
        <v/>
      </c>
      <c r="E480" s="10" t="str">
        <f>IF($A480="","",IF($A480&lt;=_Engine!$B$24,_Engine!$G517,""))</f>
        <v/>
      </c>
      <c r="F480" s="10" t="str">
        <f>IF($A480="","",IF($A480&lt;=_Engine!$B$24,_Engine!$H517,""))</f>
        <v/>
      </c>
    </row>
    <row r="481" spans="1:6" x14ac:dyDescent="0.25">
      <c r="A481" s="8" t="str">
        <f>IF(478&lt;=MAX(_Engine!$B$23,_Engine!$B$24),478,"")</f>
        <v/>
      </c>
      <c r="B481" s="9" t="str">
        <f>IF($A481="","",EDATE(_Engine!$B$2,$A481-1))</f>
        <v/>
      </c>
      <c r="C481" s="10" t="str">
        <f>IF($A481="","",IF($A481&lt;=_Engine!$B$23,_Engine!$E518,""))</f>
        <v/>
      </c>
      <c r="D481" s="10" t="str">
        <f>IF($A481="","",IF($A481&lt;=_Engine!$B$23,_Engine!$F518,""))</f>
        <v/>
      </c>
      <c r="E481" s="10" t="str">
        <f>IF($A481="","",IF($A481&lt;=_Engine!$B$24,_Engine!$G518,""))</f>
        <v/>
      </c>
      <c r="F481" s="10" t="str">
        <f>IF($A481="","",IF($A481&lt;=_Engine!$B$24,_Engine!$H518,""))</f>
        <v/>
      </c>
    </row>
    <row r="482" spans="1:6" x14ac:dyDescent="0.25">
      <c r="A482" s="8" t="str">
        <f>IF(479&lt;=MAX(_Engine!$B$23,_Engine!$B$24),479,"")</f>
        <v/>
      </c>
      <c r="B482" s="9" t="str">
        <f>IF($A482="","",EDATE(_Engine!$B$2,$A482-1))</f>
        <v/>
      </c>
      <c r="C482" s="10" t="str">
        <f>IF($A482="","",IF($A482&lt;=_Engine!$B$23,_Engine!$E519,""))</f>
        <v/>
      </c>
      <c r="D482" s="10" t="str">
        <f>IF($A482="","",IF($A482&lt;=_Engine!$B$23,_Engine!$F519,""))</f>
        <v/>
      </c>
      <c r="E482" s="10" t="str">
        <f>IF($A482="","",IF($A482&lt;=_Engine!$B$24,_Engine!$G519,""))</f>
        <v/>
      </c>
      <c r="F482" s="10" t="str">
        <f>IF($A482="","",IF($A482&lt;=_Engine!$B$24,_Engine!$H519,""))</f>
        <v/>
      </c>
    </row>
    <row r="483" spans="1:6" x14ac:dyDescent="0.25">
      <c r="A483" s="8" t="str">
        <f>IF(480&lt;=MAX(_Engine!$B$23,_Engine!$B$24),480,"")</f>
        <v/>
      </c>
      <c r="B483" s="9" t="str">
        <f>IF($A483="","",EDATE(_Engine!$B$2,$A483-1))</f>
        <v/>
      </c>
      <c r="C483" s="10" t="str">
        <f>IF($A483="","",IF($A483&lt;=_Engine!$B$23,_Engine!$E520,""))</f>
        <v/>
      </c>
      <c r="D483" s="10" t="str">
        <f>IF($A483="","",IF($A483&lt;=_Engine!$B$23,_Engine!$F520,""))</f>
        <v/>
      </c>
      <c r="E483" s="10" t="str">
        <f>IF($A483="","",IF($A483&lt;=_Engine!$B$24,_Engine!$G520,""))</f>
        <v/>
      </c>
      <c r="F483" s="10" t="str">
        <f>IF($A483="","",IF($A483&lt;=_Engine!$B$24,_Engine!$H520,""))</f>
        <v/>
      </c>
    </row>
    <row r="484" spans="1:6" x14ac:dyDescent="0.25">
      <c r="A484" s="8" t="str">
        <f>IF(481&lt;=MAX(_Engine!$B$23,_Engine!$B$24),481,"")</f>
        <v/>
      </c>
      <c r="B484" s="9" t="str">
        <f>IF($A484="","",EDATE(_Engine!$B$2,$A484-1))</f>
        <v/>
      </c>
      <c r="C484" s="10" t="str">
        <f>IF($A484="","",IF($A484&lt;=_Engine!$B$23,_Engine!$E521,""))</f>
        <v/>
      </c>
      <c r="D484" s="10" t="str">
        <f>IF($A484="","",IF($A484&lt;=_Engine!$B$23,_Engine!$F521,""))</f>
        <v/>
      </c>
      <c r="E484" s="10" t="str">
        <f>IF($A484="","",IF($A484&lt;=_Engine!$B$24,_Engine!$G521,""))</f>
        <v/>
      </c>
      <c r="F484" s="10" t="str">
        <f>IF($A484="","",IF($A484&lt;=_Engine!$B$24,_Engine!$H521,""))</f>
        <v/>
      </c>
    </row>
    <row r="485" spans="1:6" x14ac:dyDescent="0.25">
      <c r="A485" s="8" t="str">
        <f>IF(482&lt;=MAX(_Engine!$B$23,_Engine!$B$24),482,"")</f>
        <v/>
      </c>
      <c r="B485" s="9" t="str">
        <f>IF($A485="","",EDATE(_Engine!$B$2,$A485-1))</f>
        <v/>
      </c>
      <c r="C485" s="10" t="str">
        <f>IF($A485="","",IF($A485&lt;=_Engine!$B$23,_Engine!$E522,""))</f>
        <v/>
      </c>
      <c r="D485" s="10" t="str">
        <f>IF($A485="","",IF($A485&lt;=_Engine!$B$23,_Engine!$F522,""))</f>
        <v/>
      </c>
      <c r="E485" s="10" t="str">
        <f>IF($A485="","",IF($A485&lt;=_Engine!$B$24,_Engine!$G522,""))</f>
        <v/>
      </c>
      <c r="F485" s="10" t="str">
        <f>IF($A485="","",IF($A485&lt;=_Engine!$B$24,_Engine!$H522,""))</f>
        <v/>
      </c>
    </row>
    <row r="486" spans="1:6" x14ac:dyDescent="0.25">
      <c r="A486" s="8" t="str">
        <f>IF(483&lt;=MAX(_Engine!$B$23,_Engine!$B$24),483,"")</f>
        <v/>
      </c>
      <c r="B486" s="9" t="str">
        <f>IF($A486="","",EDATE(_Engine!$B$2,$A486-1))</f>
        <v/>
      </c>
      <c r="C486" s="10" t="str">
        <f>IF($A486="","",IF($A486&lt;=_Engine!$B$23,_Engine!$E523,""))</f>
        <v/>
      </c>
      <c r="D486" s="10" t="str">
        <f>IF($A486="","",IF($A486&lt;=_Engine!$B$23,_Engine!$F523,""))</f>
        <v/>
      </c>
      <c r="E486" s="10" t="str">
        <f>IF($A486="","",IF($A486&lt;=_Engine!$B$24,_Engine!$G523,""))</f>
        <v/>
      </c>
      <c r="F486" s="10" t="str">
        <f>IF($A486="","",IF($A486&lt;=_Engine!$B$24,_Engine!$H523,""))</f>
        <v/>
      </c>
    </row>
    <row r="487" spans="1:6" x14ac:dyDescent="0.25">
      <c r="A487" s="8" t="str">
        <f>IF(484&lt;=MAX(_Engine!$B$23,_Engine!$B$24),484,"")</f>
        <v/>
      </c>
      <c r="B487" s="9" t="str">
        <f>IF($A487="","",EDATE(_Engine!$B$2,$A487-1))</f>
        <v/>
      </c>
      <c r="C487" s="10" t="str">
        <f>IF($A487="","",IF($A487&lt;=_Engine!$B$23,_Engine!$E524,""))</f>
        <v/>
      </c>
      <c r="D487" s="10" t="str">
        <f>IF($A487="","",IF($A487&lt;=_Engine!$B$23,_Engine!$F524,""))</f>
        <v/>
      </c>
      <c r="E487" s="10" t="str">
        <f>IF($A487="","",IF($A487&lt;=_Engine!$B$24,_Engine!$G524,""))</f>
        <v/>
      </c>
      <c r="F487" s="10" t="str">
        <f>IF($A487="","",IF($A487&lt;=_Engine!$B$24,_Engine!$H524,""))</f>
        <v/>
      </c>
    </row>
    <row r="488" spans="1:6" x14ac:dyDescent="0.25">
      <c r="A488" s="8" t="str">
        <f>IF(485&lt;=MAX(_Engine!$B$23,_Engine!$B$24),485,"")</f>
        <v/>
      </c>
      <c r="B488" s="9" t="str">
        <f>IF($A488="","",EDATE(_Engine!$B$2,$A488-1))</f>
        <v/>
      </c>
      <c r="C488" s="10" t="str">
        <f>IF($A488="","",IF($A488&lt;=_Engine!$B$23,_Engine!$E525,""))</f>
        <v/>
      </c>
      <c r="D488" s="10" t="str">
        <f>IF($A488="","",IF($A488&lt;=_Engine!$B$23,_Engine!$F525,""))</f>
        <v/>
      </c>
      <c r="E488" s="10" t="str">
        <f>IF($A488="","",IF($A488&lt;=_Engine!$B$24,_Engine!$G525,""))</f>
        <v/>
      </c>
      <c r="F488" s="10" t="str">
        <f>IF($A488="","",IF($A488&lt;=_Engine!$B$24,_Engine!$H525,""))</f>
        <v/>
      </c>
    </row>
    <row r="489" spans="1:6" x14ac:dyDescent="0.25">
      <c r="A489" s="8" t="str">
        <f>IF(486&lt;=MAX(_Engine!$B$23,_Engine!$B$24),486,"")</f>
        <v/>
      </c>
      <c r="B489" s="9" t="str">
        <f>IF($A489="","",EDATE(_Engine!$B$2,$A489-1))</f>
        <v/>
      </c>
      <c r="C489" s="10" t="str">
        <f>IF($A489="","",IF($A489&lt;=_Engine!$B$23,_Engine!$E526,""))</f>
        <v/>
      </c>
      <c r="D489" s="10" t="str">
        <f>IF($A489="","",IF($A489&lt;=_Engine!$B$23,_Engine!$F526,""))</f>
        <v/>
      </c>
      <c r="E489" s="10" t="str">
        <f>IF($A489="","",IF($A489&lt;=_Engine!$B$24,_Engine!$G526,""))</f>
        <v/>
      </c>
      <c r="F489" s="10" t="str">
        <f>IF($A489="","",IF($A489&lt;=_Engine!$B$24,_Engine!$H526,""))</f>
        <v/>
      </c>
    </row>
    <row r="490" spans="1:6" x14ac:dyDescent="0.25">
      <c r="A490" s="8" t="str">
        <f>IF(487&lt;=MAX(_Engine!$B$23,_Engine!$B$24),487,"")</f>
        <v/>
      </c>
      <c r="B490" s="9" t="str">
        <f>IF($A490="","",EDATE(_Engine!$B$2,$A490-1))</f>
        <v/>
      </c>
      <c r="C490" s="10" t="str">
        <f>IF($A490="","",IF($A490&lt;=_Engine!$B$23,_Engine!$E527,""))</f>
        <v/>
      </c>
      <c r="D490" s="10" t="str">
        <f>IF($A490="","",IF($A490&lt;=_Engine!$B$23,_Engine!$F527,""))</f>
        <v/>
      </c>
      <c r="E490" s="10" t="str">
        <f>IF($A490="","",IF($A490&lt;=_Engine!$B$24,_Engine!$G527,""))</f>
        <v/>
      </c>
      <c r="F490" s="10" t="str">
        <f>IF($A490="","",IF($A490&lt;=_Engine!$B$24,_Engine!$H527,""))</f>
        <v/>
      </c>
    </row>
    <row r="491" spans="1:6" x14ac:dyDescent="0.25">
      <c r="A491" s="8" t="str">
        <f>IF(488&lt;=MAX(_Engine!$B$23,_Engine!$B$24),488,"")</f>
        <v/>
      </c>
      <c r="B491" s="9" t="str">
        <f>IF($A491="","",EDATE(_Engine!$B$2,$A491-1))</f>
        <v/>
      </c>
      <c r="C491" s="10" t="str">
        <f>IF($A491="","",IF($A491&lt;=_Engine!$B$23,_Engine!$E528,""))</f>
        <v/>
      </c>
      <c r="D491" s="10" t="str">
        <f>IF($A491="","",IF($A491&lt;=_Engine!$B$23,_Engine!$F528,""))</f>
        <v/>
      </c>
      <c r="E491" s="10" t="str">
        <f>IF($A491="","",IF($A491&lt;=_Engine!$B$24,_Engine!$G528,""))</f>
        <v/>
      </c>
      <c r="F491" s="10" t="str">
        <f>IF($A491="","",IF($A491&lt;=_Engine!$B$24,_Engine!$H528,""))</f>
        <v/>
      </c>
    </row>
    <row r="492" spans="1:6" x14ac:dyDescent="0.25">
      <c r="A492" s="8" t="str">
        <f>IF(489&lt;=MAX(_Engine!$B$23,_Engine!$B$24),489,"")</f>
        <v/>
      </c>
      <c r="B492" s="9" t="str">
        <f>IF($A492="","",EDATE(_Engine!$B$2,$A492-1))</f>
        <v/>
      </c>
      <c r="C492" s="10" t="str">
        <f>IF($A492="","",IF($A492&lt;=_Engine!$B$23,_Engine!$E529,""))</f>
        <v/>
      </c>
      <c r="D492" s="10" t="str">
        <f>IF($A492="","",IF($A492&lt;=_Engine!$B$23,_Engine!$F529,""))</f>
        <v/>
      </c>
      <c r="E492" s="10" t="str">
        <f>IF($A492="","",IF($A492&lt;=_Engine!$B$24,_Engine!$G529,""))</f>
        <v/>
      </c>
      <c r="F492" s="10" t="str">
        <f>IF($A492="","",IF($A492&lt;=_Engine!$B$24,_Engine!$H529,""))</f>
        <v/>
      </c>
    </row>
    <row r="493" spans="1:6" x14ac:dyDescent="0.25">
      <c r="A493" s="8" t="str">
        <f>IF(490&lt;=MAX(_Engine!$B$23,_Engine!$B$24),490,"")</f>
        <v/>
      </c>
      <c r="B493" s="9" t="str">
        <f>IF($A493="","",EDATE(_Engine!$B$2,$A493-1))</f>
        <v/>
      </c>
      <c r="C493" s="10" t="str">
        <f>IF($A493="","",IF($A493&lt;=_Engine!$B$23,_Engine!$E530,""))</f>
        <v/>
      </c>
      <c r="D493" s="10" t="str">
        <f>IF($A493="","",IF($A493&lt;=_Engine!$B$23,_Engine!$F530,""))</f>
        <v/>
      </c>
      <c r="E493" s="10" t="str">
        <f>IF($A493="","",IF($A493&lt;=_Engine!$B$24,_Engine!$G530,""))</f>
        <v/>
      </c>
      <c r="F493" s="10" t="str">
        <f>IF($A493="","",IF($A493&lt;=_Engine!$B$24,_Engine!$H530,""))</f>
        <v/>
      </c>
    </row>
    <row r="494" spans="1:6" x14ac:dyDescent="0.25">
      <c r="A494" s="8" t="str">
        <f>IF(491&lt;=MAX(_Engine!$B$23,_Engine!$B$24),491,"")</f>
        <v/>
      </c>
      <c r="B494" s="9" t="str">
        <f>IF($A494="","",EDATE(_Engine!$B$2,$A494-1))</f>
        <v/>
      </c>
      <c r="C494" s="10" t="str">
        <f>IF($A494="","",IF($A494&lt;=_Engine!$B$23,_Engine!$E531,""))</f>
        <v/>
      </c>
      <c r="D494" s="10" t="str">
        <f>IF($A494="","",IF($A494&lt;=_Engine!$B$23,_Engine!$F531,""))</f>
        <v/>
      </c>
      <c r="E494" s="10" t="str">
        <f>IF($A494="","",IF($A494&lt;=_Engine!$B$24,_Engine!$G531,""))</f>
        <v/>
      </c>
      <c r="F494" s="10" t="str">
        <f>IF($A494="","",IF($A494&lt;=_Engine!$B$24,_Engine!$H531,""))</f>
        <v/>
      </c>
    </row>
    <row r="495" spans="1:6" x14ac:dyDescent="0.25">
      <c r="A495" s="8" t="str">
        <f>IF(492&lt;=MAX(_Engine!$B$23,_Engine!$B$24),492,"")</f>
        <v/>
      </c>
      <c r="B495" s="9" t="str">
        <f>IF($A495="","",EDATE(_Engine!$B$2,$A495-1))</f>
        <v/>
      </c>
      <c r="C495" s="10" t="str">
        <f>IF($A495="","",IF($A495&lt;=_Engine!$B$23,_Engine!$E532,""))</f>
        <v/>
      </c>
      <c r="D495" s="10" t="str">
        <f>IF($A495="","",IF($A495&lt;=_Engine!$B$23,_Engine!$F532,""))</f>
        <v/>
      </c>
      <c r="E495" s="10" t="str">
        <f>IF($A495="","",IF($A495&lt;=_Engine!$B$24,_Engine!$G532,""))</f>
        <v/>
      </c>
      <c r="F495" s="10" t="str">
        <f>IF($A495="","",IF($A495&lt;=_Engine!$B$24,_Engine!$H532,""))</f>
        <v/>
      </c>
    </row>
    <row r="496" spans="1:6" x14ac:dyDescent="0.25">
      <c r="A496" s="8" t="str">
        <f>IF(493&lt;=MAX(_Engine!$B$23,_Engine!$B$24),493,"")</f>
        <v/>
      </c>
      <c r="B496" s="9" t="str">
        <f>IF($A496="","",EDATE(_Engine!$B$2,$A496-1))</f>
        <v/>
      </c>
      <c r="C496" s="10" t="str">
        <f>IF($A496="","",IF($A496&lt;=_Engine!$B$23,_Engine!$E533,""))</f>
        <v/>
      </c>
      <c r="D496" s="10" t="str">
        <f>IF($A496="","",IF($A496&lt;=_Engine!$B$23,_Engine!$F533,""))</f>
        <v/>
      </c>
      <c r="E496" s="10" t="str">
        <f>IF($A496="","",IF($A496&lt;=_Engine!$B$24,_Engine!$G533,""))</f>
        <v/>
      </c>
      <c r="F496" s="10" t="str">
        <f>IF($A496="","",IF($A496&lt;=_Engine!$B$24,_Engine!$H533,""))</f>
        <v/>
      </c>
    </row>
    <row r="497" spans="1:6" x14ac:dyDescent="0.25">
      <c r="A497" s="8" t="str">
        <f>IF(494&lt;=MAX(_Engine!$B$23,_Engine!$B$24),494,"")</f>
        <v/>
      </c>
      <c r="B497" s="9" t="str">
        <f>IF($A497="","",EDATE(_Engine!$B$2,$A497-1))</f>
        <v/>
      </c>
      <c r="C497" s="10" t="str">
        <f>IF($A497="","",IF($A497&lt;=_Engine!$B$23,_Engine!$E534,""))</f>
        <v/>
      </c>
      <c r="D497" s="10" t="str">
        <f>IF($A497="","",IF($A497&lt;=_Engine!$B$23,_Engine!$F534,""))</f>
        <v/>
      </c>
      <c r="E497" s="10" t="str">
        <f>IF($A497="","",IF($A497&lt;=_Engine!$B$24,_Engine!$G534,""))</f>
        <v/>
      </c>
      <c r="F497" s="10" t="str">
        <f>IF($A497="","",IF($A497&lt;=_Engine!$B$24,_Engine!$H534,""))</f>
        <v/>
      </c>
    </row>
    <row r="498" spans="1:6" x14ac:dyDescent="0.25">
      <c r="A498" s="8" t="str">
        <f>IF(495&lt;=MAX(_Engine!$B$23,_Engine!$B$24),495,"")</f>
        <v/>
      </c>
      <c r="B498" s="9" t="str">
        <f>IF($A498="","",EDATE(_Engine!$B$2,$A498-1))</f>
        <v/>
      </c>
      <c r="C498" s="10" t="str">
        <f>IF($A498="","",IF($A498&lt;=_Engine!$B$23,_Engine!$E535,""))</f>
        <v/>
      </c>
      <c r="D498" s="10" t="str">
        <f>IF($A498="","",IF($A498&lt;=_Engine!$B$23,_Engine!$F535,""))</f>
        <v/>
      </c>
      <c r="E498" s="10" t="str">
        <f>IF($A498="","",IF($A498&lt;=_Engine!$B$24,_Engine!$G535,""))</f>
        <v/>
      </c>
      <c r="F498" s="10" t="str">
        <f>IF($A498="","",IF($A498&lt;=_Engine!$B$24,_Engine!$H535,""))</f>
        <v/>
      </c>
    </row>
    <row r="499" spans="1:6" x14ac:dyDescent="0.25">
      <c r="A499" s="8" t="str">
        <f>IF(496&lt;=MAX(_Engine!$B$23,_Engine!$B$24),496,"")</f>
        <v/>
      </c>
      <c r="B499" s="9" t="str">
        <f>IF($A499="","",EDATE(_Engine!$B$2,$A499-1))</f>
        <v/>
      </c>
      <c r="C499" s="10" t="str">
        <f>IF($A499="","",IF($A499&lt;=_Engine!$B$23,_Engine!$E536,""))</f>
        <v/>
      </c>
      <c r="D499" s="10" t="str">
        <f>IF($A499="","",IF($A499&lt;=_Engine!$B$23,_Engine!$F536,""))</f>
        <v/>
      </c>
      <c r="E499" s="10" t="str">
        <f>IF($A499="","",IF($A499&lt;=_Engine!$B$24,_Engine!$G536,""))</f>
        <v/>
      </c>
      <c r="F499" s="10" t="str">
        <f>IF($A499="","",IF($A499&lt;=_Engine!$B$24,_Engine!$H536,""))</f>
        <v/>
      </c>
    </row>
    <row r="500" spans="1:6" x14ac:dyDescent="0.25">
      <c r="A500" s="8" t="str">
        <f>IF(497&lt;=MAX(_Engine!$B$23,_Engine!$B$24),497,"")</f>
        <v/>
      </c>
      <c r="B500" s="9" t="str">
        <f>IF($A500="","",EDATE(_Engine!$B$2,$A500-1))</f>
        <v/>
      </c>
      <c r="C500" s="10" t="str">
        <f>IF($A500="","",IF($A500&lt;=_Engine!$B$23,_Engine!$E537,""))</f>
        <v/>
      </c>
      <c r="D500" s="10" t="str">
        <f>IF($A500="","",IF($A500&lt;=_Engine!$B$23,_Engine!$F537,""))</f>
        <v/>
      </c>
      <c r="E500" s="10" t="str">
        <f>IF($A500="","",IF($A500&lt;=_Engine!$B$24,_Engine!$G537,""))</f>
        <v/>
      </c>
      <c r="F500" s="10" t="str">
        <f>IF($A500="","",IF($A500&lt;=_Engine!$B$24,_Engine!$H537,""))</f>
        <v/>
      </c>
    </row>
    <row r="501" spans="1:6" x14ac:dyDescent="0.25">
      <c r="A501" s="8" t="str">
        <f>IF(498&lt;=MAX(_Engine!$B$23,_Engine!$B$24),498,"")</f>
        <v/>
      </c>
      <c r="B501" s="9" t="str">
        <f>IF($A501="","",EDATE(_Engine!$B$2,$A501-1))</f>
        <v/>
      </c>
      <c r="C501" s="10" t="str">
        <f>IF($A501="","",IF($A501&lt;=_Engine!$B$23,_Engine!$E538,""))</f>
        <v/>
      </c>
      <c r="D501" s="10" t="str">
        <f>IF($A501="","",IF($A501&lt;=_Engine!$B$23,_Engine!$F538,""))</f>
        <v/>
      </c>
      <c r="E501" s="10" t="str">
        <f>IF($A501="","",IF($A501&lt;=_Engine!$B$24,_Engine!$G538,""))</f>
        <v/>
      </c>
      <c r="F501" s="10" t="str">
        <f>IF($A501="","",IF($A501&lt;=_Engine!$B$24,_Engine!$H538,""))</f>
        <v/>
      </c>
    </row>
    <row r="502" spans="1:6" x14ac:dyDescent="0.25">
      <c r="A502" s="8" t="str">
        <f>IF(499&lt;=MAX(_Engine!$B$23,_Engine!$B$24),499,"")</f>
        <v/>
      </c>
      <c r="B502" s="9" t="str">
        <f>IF($A502="","",EDATE(_Engine!$B$2,$A502-1))</f>
        <v/>
      </c>
      <c r="C502" s="10" t="str">
        <f>IF($A502="","",IF($A502&lt;=_Engine!$B$23,_Engine!$E539,""))</f>
        <v/>
      </c>
      <c r="D502" s="10" t="str">
        <f>IF($A502="","",IF($A502&lt;=_Engine!$B$23,_Engine!$F539,""))</f>
        <v/>
      </c>
      <c r="E502" s="10" t="str">
        <f>IF($A502="","",IF($A502&lt;=_Engine!$B$24,_Engine!$G539,""))</f>
        <v/>
      </c>
      <c r="F502" s="10" t="str">
        <f>IF($A502="","",IF($A502&lt;=_Engine!$B$24,_Engine!$H539,""))</f>
        <v/>
      </c>
    </row>
    <row r="503" spans="1:6" x14ac:dyDescent="0.25">
      <c r="A503" s="8" t="str">
        <f>IF(500&lt;=MAX(_Engine!$B$23,_Engine!$B$24),500,"")</f>
        <v/>
      </c>
      <c r="B503" s="9" t="str">
        <f>IF($A503="","",EDATE(_Engine!$B$2,$A503-1))</f>
        <v/>
      </c>
      <c r="C503" s="10" t="str">
        <f>IF($A503="","",IF($A503&lt;=_Engine!$B$23,_Engine!$E540,""))</f>
        <v/>
      </c>
      <c r="D503" s="10" t="str">
        <f>IF($A503="","",IF($A503&lt;=_Engine!$B$23,_Engine!$F540,""))</f>
        <v/>
      </c>
      <c r="E503" s="10" t="str">
        <f>IF($A503="","",IF($A503&lt;=_Engine!$B$24,_Engine!$G540,""))</f>
        <v/>
      </c>
      <c r="F503" s="10" t="str">
        <f>IF($A503="","",IF($A503&lt;=_Engine!$B$24,_Engine!$H540,""))</f>
        <v/>
      </c>
    </row>
    <row r="504" spans="1:6" x14ac:dyDescent="0.25">
      <c r="A504" s="8" t="str">
        <f>IF(501&lt;=MAX(_Engine!$B$23,_Engine!$B$24),501,"")</f>
        <v/>
      </c>
      <c r="B504" s="9" t="str">
        <f>IF($A504="","",EDATE(_Engine!$B$2,$A504-1))</f>
        <v/>
      </c>
      <c r="C504" s="10" t="str">
        <f>IF($A504="","",IF($A504&lt;=_Engine!$B$23,_Engine!$E541,""))</f>
        <v/>
      </c>
      <c r="D504" s="10" t="str">
        <f>IF($A504="","",IF($A504&lt;=_Engine!$B$23,_Engine!$F541,""))</f>
        <v/>
      </c>
      <c r="E504" s="10" t="str">
        <f>IF($A504="","",IF($A504&lt;=_Engine!$B$24,_Engine!$G541,""))</f>
        <v/>
      </c>
      <c r="F504" s="10" t="str">
        <f>IF($A504="","",IF($A504&lt;=_Engine!$B$24,_Engine!$H541,""))</f>
        <v/>
      </c>
    </row>
    <row r="505" spans="1:6" x14ac:dyDescent="0.25">
      <c r="A505" s="8" t="str">
        <f>IF(502&lt;=MAX(_Engine!$B$23,_Engine!$B$24),502,"")</f>
        <v/>
      </c>
      <c r="B505" s="9" t="str">
        <f>IF($A505="","",EDATE(_Engine!$B$2,$A505-1))</f>
        <v/>
      </c>
      <c r="C505" s="10" t="str">
        <f>IF($A505="","",IF($A505&lt;=_Engine!$B$23,_Engine!$E542,""))</f>
        <v/>
      </c>
      <c r="D505" s="10" t="str">
        <f>IF($A505="","",IF($A505&lt;=_Engine!$B$23,_Engine!$F542,""))</f>
        <v/>
      </c>
      <c r="E505" s="10" t="str">
        <f>IF($A505="","",IF($A505&lt;=_Engine!$B$24,_Engine!$G542,""))</f>
        <v/>
      </c>
      <c r="F505" s="10" t="str">
        <f>IF($A505="","",IF($A505&lt;=_Engine!$B$24,_Engine!$H542,""))</f>
        <v/>
      </c>
    </row>
    <row r="506" spans="1:6" x14ac:dyDescent="0.25">
      <c r="A506" s="8" t="str">
        <f>IF(503&lt;=MAX(_Engine!$B$23,_Engine!$B$24),503,"")</f>
        <v/>
      </c>
      <c r="B506" s="9" t="str">
        <f>IF($A506="","",EDATE(_Engine!$B$2,$A506-1))</f>
        <v/>
      </c>
      <c r="C506" s="10" t="str">
        <f>IF($A506="","",IF($A506&lt;=_Engine!$B$23,_Engine!$E543,""))</f>
        <v/>
      </c>
      <c r="D506" s="10" t="str">
        <f>IF($A506="","",IF($A506&lt;=_Engine!$B$23,_Engine!$F543,""))</f>
        <v/>
      </c>
      <c r="E506" s="10" t="str">
        <f>IF($A506="","",IF($A506&lt;=_Engine!$B$24,_Engine!$G543,""))</f>
        <v/>
      </c>
      <c r="F506" s="10" t="str">
        <f>IF($A506="","",IF($A506&lt;=_Engine!$B$24,_Engine!$H543,""))</f>
        <v/>
      </c>
    </row>
    <row r="507" spans="1:6" x14ac:dyDescent="0.25">
      <c r="A507" s="8" t="str">
        <f>IF(504&lt;=MAX(_Engine!$B$23,_Engine!$B$24),504,"")</f>
        <v/>
      </c>
      <c r="B507" s="9" t="str">
        <f>IF($A507="","",EDATE(_Engine!$B$2,$A507-1))</f>
        <v/>
      </c>
      <c r="C507" s="10" t="str">
        <f>IF($A507="","",IF($A507&lt;=_Engine!$B$23,_Engine!$E544,""))</f>
        <v/>
      </c>
      <c r="D507" s="10" t="str">
        <f>IF($A507="","",IF($A507&lt;=_Engine!$B$23,_Engine!$F544,""))</f>
        <v/>
      </c>
      <c r="E507" s="10" t="str">
        <f>IF($A507="","",IF($A507&lt;=_Engine!$B$24,_Engine!$G544,""))</f>
        <v/>
      </c>
      <c r="F507" s="10" t="str">
        <f>IF($A507="","",IF($A507&lt;=_Engine!$B$24,_Engine!$H544,""))</f>
        <v/>
      </c>
    </row>
    <row r="508" spans="1:6" x14ac:dyDescent="0.25">
      <c r="A508" s="8" t="str">
        <f>IF(505&lt;=MAX(_Engine!$B$23,_Engine!$B$24),505,"")</f>
        <v/>
      </c>
      <c r="B508" s="9" t="str">
        <f>IF($A508="","",EDATE(_Engine!$B$2,$A508-1))</f>
        <v/>
      </c>
      <c r="C508" s="10" t="str">
        <f>IF($A508="","",IF($A508&lt;=_Engine!$B$23,_Engine!$E545,""))</f>
        <v/>
      </c>
      <c r="D508" s="10" t="str">
        <f>IF($A508="","",IF($A508&lt;=_Engine!$B$23,_Engine!$F545,""))</f>
        <v/>
      </c>
      <c r="E508" s="10" t="str">
        <f>IF($A508="","",IF($A508&lt;=_Engine!$B$24,_Engine!$G545,""))</f>
        <v/>
      </c>
      <c r="F508" s="10" t="str">
        <f>IF($A508="","",IF($A508&lt;=_Engine!$B$24,_Engine!$H545,""))</f>
        <v/>
      </c>
    </row>
    <row r="509" spans="1:6" x14ac:dyDescent="0.25">
      <c r="A509" s="8" t="str">
        <f>IF(506&lt;=MAX(_Engine!$B$23,_Engine!$B$24),506,"")</f>
        <v/>
      </c>
      <c r="B509" s="9" t="str">
        <f>IF($A509="","",EDATE(_Engine!$B$2,$A509-1))</f>
        <v/>
      </c>
      <c r="C509" s="10" t="str">
        <f>IF($A509="","",IF($A509&lt;=_Engine!$B$23,_Engine!$E546,""))</f>
        <v/>
      </c>
      <c r="D509" s="10" t="str">
        <f>IF($A509="","",IF($A509&lt;=_Engine!$B$23,_Engine!$F546,""))</f>
        <v/>
      </c>
      <c r="E509" s="10" t="str">
        <f>IF($A509="","",IF($A509&lt;=_Engine!$B$24,_Engine!$G546,""))</f>
        <v/>
      </c>
      <c r="F509" s="10" t="str">
        <f>IF($A509="","",IF($A509&lt;=_Engine!$B$24,_Engine!$H546,""))</f>
        <v/>
      </c>
    </row>
    <row r="510" spans="1:6" x14ac:dyDescent="0.25">
      <c r="A510" s="8" t="str">
        <f>IF(507&lt;=MAX(_Engine!$B$23,_Engine!$B$24),507,"")</f>
        <v/>
      </c>
      <c r="B510" s="9" t="str">
        <f>IF($A510="","",EDATE(_Engine!$B$2,$A510-1))</f>
        <v/>
      </c>
      <c r="C510" s="10" t="str">
        <f>IF($A510="","",IF($A510&lt;=_Engine!$B$23,_Engine!$E547,""))</f>
        <v/>
      </c>
      <c r="D510" s="10" t="str">
        <f>IF($A510="","",IF($A510&lt;=_Engine!$B$23,_Engine!$F547,""))</f>
        <v/>
      </c>
      <c r="E510" s="10" t="str">
        <f>IF($A510="","",IF($A510&lt;=_Engine!$B$24,_Engine!$G547,""))</f>
        <v/>
      </c>
      <c r="F510" s="10" t="str">
        <f>IF($A510="","",IF($A510&lt;=_Engine!$B$24,_Engine!$H547,""))</f>
        <v/>
      </c>
    </row>
    <row r="511" spans="1:6" x14ac:dyDescent="0.25">
      <c r="A511" s="8" t="str">
        <f>IF(508&lt;=MAX(_Engine!$B$23,_Engine!$B$24),508,"")</f>
        <v/>
      </c>
      <c r="B511" s="9" t="str">
        <f>IF($A511="","",EDATE(_Engine!$B$2,$A511-1))</f>
        <v/>
      </c>
      <c r="C511" s="10" t="str">
        <f>IF($A511="","",IF($A511&lt;=_Engine!$B$23,_Engine!$E548,""))</f>
        <v/>
      </c>
      <c r="D511" s="10" t="str">
        <f>IF($A511="","",IF($A511&lt;=_Engine!$B$23,_Engine!$F548,""))</f>
        <v/>
      </c>
      <c r="E511" s="10" t="str">
        <f>IF($A511="","",IF($A511&lt;=_Engine!$B$24,_Engine!$G548,""))</f>
        <v/>
      </c>
      <c r="F511" s="10" t="str">
        <f>IF($A511="","",IF($A511&lt;=_Engine!$B$24,_Engine!$H548,""))</f>
        <v/>
      </c>
    </row>
    <row r="512" spans="1:6" x14ac:dyDescent="0.25">
      <c r="A512" s="8" t="str">
        <f>IF(509&lt;=MAX(_Engine!$B$23,_Engine!$B$24),509,"")</f>
        <v/>
      </c>
      <c r="B512" s="9" t="str">
        <f>IF($A512="","",EDATE(_Engine!$B$2,$A512-1))</f>
        <v/>
      </c>
      <c r="C512" s="10" t="str">
        <f>IF($A512="","",IF($A512&lt;=_Engine!$B$23,_Engine!$E549,""))</f>
        <v/>
      </c>
      <c r="D512" s="10" t="str">
        <f>IF($A512="","",IF($A512&lt;=_Engine!$B$23,_Engine!$F549,""))</f>
        <v/>
      </c>
      <c r="E512" s="10" t="str">
        <f>IF($A512="","",IF($A512&lt;=_Engine!$B$24,_Engine!$G549,""))</f>
        <v/>
      </c>
      <c r="F512" s="10" t="str">
        <f>IF($A512="","",IF($A512&lt;=_Engine!$B$24,_Engine!$H549,""))</f>
        <v/>
      </c>
    </row>
    <row r="513" spans="1:6" x14ac:dyDescent="0.25">
      <c r="A513" s="8" t="str">
        <f>IF(510&lt;=MAX(_Engine!$B$23,_Engine!$B$24),510,"")</f>
        <v/>
      </c>
      <c r="B513" s="9" t="str">
        <f>IF($A513="","",EDATE(_Engine!$B$2,$A513-1))</f>
        <v/>
      </c>
      <c r="C513" s="10" t="str">
        <f>IF($A513="","",IF($A513&lt;=_Engine!$B$23,_Engine!$E550,""))</f>
        <v/>
      </c>
      <c r="D513" s="10" t="str">
        <f>IF($A513="","",IF($A513&lt;=_Engine!$B$23,_Engine!$F550,""))</f>
        <v/>
      </c>
      <c r="E513" s="10" t="str">
        <f>IF($A513="","",IF($A513&lt;=_Engine!$B$24,_Engine!$G550,""))</f>
        <v/>
      </c>
      <c r="F513" s="10" t="str">
        <f>IF($A513="","",IF($A513&lt;=_Engine!$B$24,_Engine!$H550,""))</f>
        <v/>
      </c>
    </row>
    <row r="514" spans="1:6" x14ac:dyDescent="0.25">
      <c r="A514" s="8" t="str">
        <f>IF(511&lt;=MAX(_Engine!$B$23,_Engine!$B$24),511,"")</f>
        <v/>
      </c>
      <c r="B514" s="9" t="str">
        <f>IF($A514="","",EDATE(_Engine!$B$2,$A514-1))</f>
        <v/>
      </c>
      <c r="C514" s="10" t="str">
        <f>IF($A514="","",IF($A514&lt;=_Engine!$B$23,_Engine!$E551,""))</f>
        <v/>
      </c>
      <c r="D514" s="10" t="str">
        <f>IF($A514="","",IF($A514&lt;=_Engine!$B$23,_Engine!$F551,""))</f>
        <v/>
      </c>
      <c r="E514" s="10" t="str">
        <f>IF($A514="","",IF($A514&lt;=_Engine!$B$24,_Engine!$G551,""))</f>
        <v/>
      </c>
      <c r="F514" s="10" t="str">
        <f>IF($A514="","",IF($A514&lt;=_Engine!$B$24,_Engine!$H551,""))</f>
        <v/>
      </c>
    </row>
    <row r="515" spans="1:6" x14ac:dyDescent="0.25">
      <c r="A515" s="8" t="str">
        <f>IF(512&lt;=MAX(_Engine!$B$23,_Engine!$B$24),512,"")</f>
        <v/>
      </c>
      <c r="B515" s="9" t="str">
        <f>IF($A515="","",EDATE(_Engine!$B$2,$A515-1))</f>
        <v/>
      </c>
      <c r="C515" s="10" t="str">
        <f>IF($A515="","",IF($A515&lt;=_Engine!$B$23,_Engine!$E552,""))</f>
        <v/>
      </c>
      <c r="D515" s="10" t="str">
        <f>IF($A515="","",IF($A515&lt;=_Engine!$B$23,_Engine!$F552,""))</f>
        <v/>
      </c>
      <c r="E515" s="10" t="str">
        <f>IF($A515="","",IF($A515&lt;=_Engine!$B$24,_Engine!$G552,""))</f>
        <v/>
      </c>
      <c r="F515" s="10" t="str">
        <f>IF($A515="","",IF($A515&lt;=_Engine!$B$24,_Engine!$H552,""))</f>
        <v/>
      </c>
    </row>
    <row r="516" spans="1:6" x14ac:dyDescent="0.25">
      <c r="A516" s="8" t="str">
        <f>IF(513&lt;=MAX(_Engine!$B$23,_Engine!$B$24),513,"")</f>
        <v/>
      </c>
      <c r="B516" s="9" t="str">
        <f>IF($A516="","",EDATE(_Engine!$B$2,$A516-1))</f>
        <v/>
      </c>
      <c r="C516" s="10" t="str">
        <f>IF($A516="","",IF($A516&lt;=_Engine!$B$23,_Engine!$E553,""))</f>
        <v/>
      </c>
      <c r="D516" s="10" t="str">
        <f>IF($A516="","",IF($A516&lt;=_Engine!$B$23,_Engine!$F553,""))</f>
        <v/>
      </c>
      <c r="E516" s="10" t="str">
        <f>IF($A516="","",IF($A516&lt;=_Engine!$B$24,_Engine!$G553,""))</f>
        <v/>
      </c>
      <c r="F516" s="10" t="str">
        <f>IF($A516="","",IF($A516&lt;=_Engine!$B$24,_Engine!$H553,""))</f>
        <v/>
      </c>
    </row>
    <row r="517" spans="1:6" x14ac:dyDescent="0.25">
      <c r="A517" s="8" t="str">
        <f>IF(514&lt;=MAX(_Engine!$B$23,_Engine!$B$24),514,"")</f>
        <v/>
      </c>
      <c r="B517" s="9" t="str">
        <f>IF($A517="","",EDATE(_Engine!$B$2,$A517-1))</f>
        <v/>
      </c>
      <c r="C517" s="10" t="str">
        <f>IF($A517="","",IF($A517&lt;=_Engine!$B$23,_Engine!$E554,""))</f>
        <v/>
      </c>
      <c r="D517" s="10" t="str">
        <f>IF($A517="","",IF($A517&lt;=_Engine!$B$23,_Engine!$F554,""))</f>
        <v/>
      </c>
      <c r="E517" s="10" t="str">
        <f>IF($A517="","",IF($A517&lt;=_Engine!$B$24,_Engine!$G554,""))</f>
        <v/>
      </c>
      <c r="F517" s="10" t="str">
        <f>IF($A517="","",IF($A517&lt;=_Engine!$B$24,_Engine!$H554,""))</f>
        <v/>
      </c>
    </row>
    <row r="518" spans="1:6" x14ac:dyDescent="0.25">
      <c r="A518" s="8" t="str">
        <f>IF(515&lt;=MAX(_Engine!$B$23,_Engine!$B$24),515,"")</f>
        <v/>
      </c>
      <c r="B518" s="9" t="str">
        <f>IF($A518="","",EDATE(_Engine!$B$2,$A518-1))</f>
        <v/>
      </c>
      <c r="C518" s="10" t="str">
        <f>IF($A518="","",IF($A518&lt;=_Engine!$B$23,_Engine!$E555,""))</f>
        <v/>
      </c>
      <c r="D518" s="10" t="str">
        <f>IF($A518="","",IF($A518&lt;=_Engine!$B$23,_Engine!$F555,""))</f>
        <v/>
      </c>
      <c r="E518" s="10" t="str">
        <f>IF($A518="","",IF($A518&lt;=_Engine!$B$24,_Engine!$G555,""))</f>
        <v/>
      </c>
      <c r="F518" s="10" t="str">
        <f>IF($A518="","",IF($A518&lt;=_Engine!$B$24,_Engine!$H555,""))</f>
        <v/>
      </c>
    </row>
    <row r="519" spans="1:6" x14ac:dyDescent="0.25">
      <c r="A519" s="8" t="str">
        <f>IF(516&lt;=MAX(_Engine!$B$23,_Engine!$B$24),516,"")</f>
        <v/>
      </c>
      <c r="B519" s="9" t="str">
        <f>IF($A519="","",EDATE(_Engine!$B$2,$A519-1))</f>
        <v/>
      </c>
      <c r="C519" s="10" t="str">
        <f>IF($A519="","",IF($A519&lt;=_Engine!$B$23,_Engine!$E556,""))</f>
        <v/>
      </c>
      <c r="D519" s="10" t="str">
        <f>IF($A519="","",IF($A519&lt;=_Engine!$B$23,_Engine!$F556,""))</f>
        <v/>
      </c>
      <c r="E519" s="10" t="str">
        <f>IF($A519="","",IF($A519&lt;=_Engine!$B$24,_Engine!$G556,""))</f>
        <v/>
      </c>
      <c r="F519" s="10" t="str">
        <f>IF($A519="","",IF($A519&lt;=_Engine!$B$24,_Engine!$H556,""))</f>
        <v/>
      </c>
    </row>
    <row r="520" spans="1:6" x14ac:dyDescent="0.25">
      <c r="A520" s="8" t="str">
        <f>IF(517&lt;=MAX(_Engine!$B$23,_Engine!$B$24),517,"")</f>
        <v/>
      </c>
      <c r="B520" s="9" t="str">
        <f>IF($A520="","",EDATE(_Engine!$B$2,$A520-1))</f>
        <v/>
      </c>
      <c r="C520" s="10" t="str">
        <f>IF($A520="","",IF($A520&lt;=_Engine!$B$23,_Engine!$E557,""))</f>
        <v/>
      </c>
      <c r="D520" s="10" t="str">
        <f>IF($A520="","",IF($A520&lt;=_Engine!$B$23,_Engine!$F557,""))</f>
        <v/>
      </c>
      <c r="E520" s="10" t="str">
        <f>IF($A520="","",IF($A520&lt;=_Engine!$B$24,_Engine!$G557,""))</f>
        <v/>
      </c>
      <c r="F520" s="10" t="str">
        <f>IF($A520="","",IF($A520&lt;=_Engine!$B$24,_Engine!$H557,""))</f>
        <v/>
      </c>
    </row>
    <row r="521" spans="1:6" x14ac:dyDescent="0.25">
      <c r="A521" s="8" t="str">
        <f>IF(518&lt;=MAX(_Engine!$B$23,_Engine!$B$24),518,"")</f>
        <v/>
      </c>
      <c r="B521" s="9" t="str">
        <f>IF($A521="","",EDATE(_Engine!$B$2,$A521-1))</f>
        <v/>
      </c>
      <c r="C521" s="10" t="str">
        <f>IF($A521="","",IF($A521&lt;=_Engine!$B$23,_Engine!$E558,""))</f>
        <v/>
      </c>
      <c r="D521" s="10" t="str">
        <f>IF($A521="","",IF($A521&lt;=_Engine!$B$23,_Engine!$F558,""))</f>
        <v/>
      </c>
      <c r="E521" s="10" t="str">
        <f>IF($A521="","",IF($A521&lt;=_Engine!$B$24,_Engine!$G558,""))</f>
        <v/>
      </c>
      <c r="F521" s="10" t="str">
        <f>IF($A521="","",IF($A521&lt;=_Engine!$B$24,_Engine!$H558,""))</f>
        <v/>
      </c>
    </row>
    <row r="522" spans="1:6" x14ac:dyDescent="0.25">
      <c r="A522" s="8" t="str">
        <f>IF(519&lt;=MAX(_Engine!$B$23,_Engine!$B$24),519,"")</f>
        <v/>
      </c>
      <c r="B522" s="9" t="str">
        <f>IF($A522="","",EDATE(_Engine!$B$2,$A522-1))</f>
        <v/>
      </c>
      <c r="C522" s="10" t="str">
        <f>IF($A522="","",IF($A522&lt;=_Engine!$B$23,_Engine!$E559,""))</f>
        <v/>
      </c>
      <c r="D522" s="10" t="str">
        <f>IF($A522="","",IF($A522&lt;=_Engine!$B$23,_Engine!$F559,""))</f>
        <v/>
      </c>
      <c r="E522" s="10" t="str">
        <f>IF($A522="","",IF($A522&lt;=_Engine!$B$24,_Engine!$G559,""))</f>
        <v/>
      </c>
      <c r="F522" s="10" t="str">
        <f>IF($A522="","",IF($A522&lt;=_Engine!$B$24,_Engine!$H559,""))</f>
        <v/>
      </c>
    </row>
    <row r="523" spans="1:6" x14ac:dyDescent="0.25">
      <c r="A523" s="8" t="str">
        <f>IF(520&lt;=MAX(_Engine!$B$23,_Engine!$B$24),520,"")</f>
        <v/>
      </c>
      <c r="B523" s="9" t="str">
        <f>IF($A523="","",EDATE(_Engine!$B$2,$A523-1))</f>
        <v/>
      </c>
      <c r="C523" s="10" t="str">
        <f>IF($A523="","",IF($A523&lt;=_Engine!$B$23,_Engine!$E560,""))</f>
        <v/>
      </c>
      <c r="D523" s="10" t="str">
        <f>IF($A523="","",IF($A523&lt;=_Engine!$B$23,_Engine!$F560,""))</f>
        <v/>
      </c>
      <c r="E523" s="10" t="str">
        <f>IF($A523="","",IF($A523&lt;=_Engine!$B$24,_Engine!$G560,""))</f>
        <v/>
      </c>
      <c r="F523" s="10" t="str">
        <f>IF($A523="","",IF($A523&lt;=_Engine!$B$24,_Engine!$H560,""))</f>
        <v/>
      </c>
    </row>
    <row r="524" spans="1:6" x14ac:dyDescent="0.25">
      <c r="A524" s="8" t="str">
        <f>IF(521&lt;=MAX(_Engine!$B$23,_Engine!$B$24),521,"")</f>
        <v/>
      </c>
      <c r="B524" s="9" t="str">
        <f>IF($A524="","",EDATE(_Engine!$B$2,$A524-1))</f>
        <v/>
      </c>
      <c r="C524" s="10" t="str">
        <f>IF($A524="","",IF($A524&lt;=_Engine!$B$23,_Engine!$E561,""))</f>
        <v/>
      </c>
      <c r="D524" s="10" t="str">
        <f>IF($A524="","",IF($A524&lt;=_Engine!$B$23,_Engine!$F561,""))</f>
        <v/>
      </c>
      <c r="E524" s="10" t="str">
        <f>IF($A524="","",IF($A524&lt;=_Engine!$B$24,_Engine!$G561,""))</f>
        <v/>
      </c>
      <c r="F524" s="10" t="str">
        <f>IF($A524="","",IF($A524&lt;=_Engine!$B$24,_Engine!$H561,""))</f>
        <v/>
      </c>
    </row>
    <row r="525" spans="1:6" x14ac:dyDescent="0.25">
      <c r="A525" s="8" t="str">
        <f>IF(522&lt;=MAX(_Engine!$B$23,_Engine!$B$24),522,"")</f>
        <v/>
      </c>
      <c r="B525" s="9" t="str">
        <f>IF($A525="","",EDATE(_Engine!$B$2,$A525-1))</f>
        <v/>
      </c>
      <c r="C525" s="10" t="str">
        <f>IF($A525="","",IF($A525&lt;=_Engine!$B$23,_Engine!$E562,""))</f>
        <v/>
      </c>
      <c r="D525" s="10" t="str">
        <f>IF($A525="","",IF($A525&lt;=_Engine!$B$23,_Engine!$F562,""))</f>
        <v/>
      </c>
      <c r="E525" s="10" t="str">
        <f>IF($A525="","",IF($A525&lt;=_Engine!$B$24,_Engine!$G562,""))</f>
        <v/>
      </c>
      <c r="F525" s="10" t="str">
        <f>IF($A525="","",IF($A525&lt;=_Engine!$B$24,_Engine!$H562,""))</f>
        <v/>
      </c>
    </row>
    <row r="526" spans="1:6" x14ac:dyDescent="0.25">
      <c r="A526" s="8" t="str">
        <f>IF(523&lt;=MAX(_Engine!$B$23,_Engine!$B$24),523,"")</f>
        <v/>
      </c>
      <c r="B526" s="9" t="str">
        <f>IF($A526="","",EDATE(_Engine!$B$2,$A526-1))</f>
        <v/>
      </c>
      <c r="C526" s="10" t="str">
        <f>IF($A526="","",IF($A526&lt;=_Engine!$B$23,_Engine!$E563,""))</f>
        <v/>
      </c>
      <c r="D526" s="10" t="str">
        <f>IF($A526="","",IF($A526&lt;=_Engine!$B$23,_Engine!$F563,""))</f>
        <v/>
      </c>
      <c r="E526" s="10" t="str">
        <f>IF($A526="","",IF($A526&lt;=_Engine!$B$24,_Engine!$G563,""))</f>
        <v/>
      </c>
      <c r="F526" s="10" t="str">
        <f>IF($A526="","",IF($A526&lt;=_Engine!$B$24,_Engine!$H563,""))</f>
        <v/>
      </c>
    </row>
    <row r="527" spans="1:6" x14ac:dyDescent="0.25">
      <c r="A527" s="8" t="str">
        <f>IF(524&lt;=MAX(_Engine!$B$23,_Engine!$B$24),524,"")</f>
        <v/>
      </c>
      <c r="B527" s="9" t="str">
        <f>IF($A527="","",EDATE(_Engine!$B$2,$A527-1))</f>
        <v/>
      </c>
      <c r="C527" s="10" t="str">
        <f>IF($A527="","",IF($A527&lt;=_Engine!$B$23,_Engine!$E564,""))</f>
        <v/>
      </c>
      <c r="D527" s="10" t="str">
        <f>IF($A527="","",IF($A527&lt;=_Engine!$B$23,_Engine!$F564,""))</f>
        <v/>
      </c>
      <c r="E527" s="10" t="str">
        <f>IF($A527="","",IF($A527&lt;=_Engine!$B$24,_Engine!$G564,""))</f>
        <v/>
      </c>
      <c r="F527" s="10" t="str">
        <f>IF($A527="","",IF($A527&lt;=_Engine!$B$24,_Engine!$H564,""))</f>
        <v/>
      </c>
    </row>
    <row r="528" spans="1:6" x14ac:dyDescent="0.25">
      <c r="A528" s="8" t="str">
        <f>IF(525&lt;=MAX(_Engine!$B$23,_Engine!$B$24),525,"")</f>
        <v/>
      </c>
      <c r="B528" s="9" t="str">
        <f>IF($A528="","",EDATE(_Engine!$B$2,$A528-1))</f>
        <v/>
      </c>
      <c r="C528" s="10" t="str">
        <f>IF($A528="","",IF($A528&lt;=_Engine!$B$23,_Engine!$E565,""))</f>
        <v/>
      </c>
      <c r="D528" s="10" t="str">
        <f>IF($A528="","",IF($A528&lt;=_Engine!$B$23,_Engine!$F565,""))</f>
        <v/>
      </c>
      <c r="E528" s="10" t="str">
        <f>IF($A528="","",IF($A528&lt;=_Engine!$B$24,_Engine!$G565,""))</f>
        <v/>
      </c>
      <c r="F528" s="10" t="str">
        <f>IF($A528="","",IF($A528&lt;=_Engine!$B$24,_Engine!$H565,""))</f>
        <v/>
      </c>
    </row>
    <row r="529" spans="1:6" x14ac:dyDescent="0.25">
      <c r="A529" s="8" t="str">
        <f>IF(526&lt;=MAX(_Engine!$B$23,_Engine!$B$24),526,"")</f>
        <v/>
      </c>
      <c r="B529" s="9" t="str">
        <f>IF($A529="","",EDATE(_Engine!$B$2,$A529-1))</f>
        <v/>
      </c>
      <c r="C529" s="10" t="str">
        <f>IF($A529="","",IF($A529&lt;=_Engine!$B$23,_Engine!$E566,""))</f>
        <v/>
      </c>
      <c r="D529" s="10" t="str">
        <f>IF($A529="","",IF($A529&lt;=_Engine!$B$23,_Engine!$F566,""))</f>
        <v/>
      </c>
      <c r="E529" s="10" t="str">
        <f>IF($A529="","",IF($A529&lt;=_Engine!$B$24,_Engine!$G566,""))</f>
        <v/>
      </c>
      <c r="F529" s="10" t="str">
        <f>IF($A529="","",IF($A529&lt;=_Engine!$B$24,_Engine!$H566,""))</f>
        <v/>
      </c>
    </row>
    <row r="530" spans="1:6" x14ac:dyDescent="0.25">
      <c r="A530" s="8" t="str">
        <f>IF(527&lt;=MAX(_Engine!$B$23,_Engine!$B$24),527,"")</f>
        <v/>
      </c>
      <c r="B530" s="9" t="str">
        <f>IF($A530="","",EDATE(_Engine!$B$2,$A530-1))</f>
        <v/>
      </c>
      <c r="C530" s="10" t="str">
        <f>IF($A530="","",IF($A530&lt;=_Engine!$B$23,_Engine!$E567,""))</f>
        <v/>
      </c>
      <c r="D530" s="10" t="str">
        <f>IF($A530="","",IF($A530&lt;=_Engine!$B$23,_Engine!$F567,""))</f>
        <v/>
      </c>
      <c r="E530" s="10" t="str">
        <f>IF($A530="","",IF($A530&lt;=_Engine!$B$24,_Engine!$G567,""))</f>
        <v/>
      </c>
      <c r="F530" s="10" t="str">
        <f>IF($A530="","",IF($A530&lt;=_Engine!$B$24,_Engine!$H567,""))</f>
        <v/>
      </c>
    </row>
    <row r="531" spans="1:6" x14ac:dyDescent="0.25">
      <c r="A531" s="8" t="str">
        <f>IF(528&lt;=MAX(_Engine!$B$23,_Engine!$B$24),528,"")</f>
        <v/>
      </c>
      <c r="B531" s="9" t="str">
        <f>IF($A531="","",EDATE(_Engine!$B$2,$A531-1))</f>
        <v/>
      </c>
      <c r="C531" s="10" t="str">
        <f>IF($A531="","",IF($A531&lt;=_Engine!$B$23,_Engine!$E568,""))</f>
        <v/>
      </c>
      <c r="D531" s="10" t="str">
        <f>IF($A531="","",IF($A531&lt;=_Engine!$B$23,_Engine!$F568,""))</f>
        <v/>
      </c>
      <c r="E531" s="10" t="str">
        <f>IF($A531="","",IF($A531&lt;=_Engine!$B$24,_Engine!$G568,""))</f>
        <v/>
      </c>
      <c r="F531" s="10" t="str">
        <f>IF($A531="","",IF($A531&lt;=_Engine!$B$24,_Engine!$H568,""))</f>
        <v/>
      </c>
    </row>
    <row r="532" spans="1:6" x14ac:dyDescent="0.25">
      <c r="A532" s="8" t="str">
        <f>IF(529&lt;=MAX(_Engine!$B$23,_Engine!$B$24),529,"")</f>
        <v/>
      </c>
      <c r="B532" s="9" t="str">
        <f>IF($A532="","",EDATE(_Engine!$B$2,$A532-1))</f>
        <v/>
      </c>
      <c r="C532" s="10" t="str">
        <f>IF($A532="","",IF($A532&lt;=_Engine!$B$23,_Engine!$E569,""))</f>
        <v/>
      </c>
      <c r="D532" s="10" t="str">
        <f>IF($A532="","",IF($A532&lt;=_Engine!$B$23,_Engine!$F569,""))</f>
        <v/>
      </c>
      <c r="E532" s="10" t="str">
        <f>IF($A532="","",IF($A532&lt;=_Engine!$B$24,_Engine!$G569,""))</f>
        <v/>
      </c>
      <c r="F532" s="10" t="str">
        <f>IF($A532="","",IF($A532&lt;=_Engine!$B$24,_Engine!$H569,""))</f>
        <v/>
      </c>
    </row>
    <row r="533" spans="1:6" x14ac:dyDescent="0.25">
      <c r="A533" s="8" t="str">
        <f>IF(530&lt;=MAX(_Engine!$B$23,_Engine!$B$24),530,"")</f>
        <v/>
      </c>
      <c r="B533" s="9" t="str">
        <f>IF($A533="","",EDATE(_Engine!$B$2,$A533-1))</f>
        <v/>
      </c>
      <c r="C533" s="10" t="str">
        <f>IF($A533="","",IF($A533&lt;=_Engine!$B$23,_Engine!$E570,""))</f>
        <v/>
      </c>
      <c r="D533" s="10" t="str">
        <f>IF($A533="","",IF($A533&lt;=_Engine!$B$23,_Engine!$F570,""))</f>
        <v/>
      </c>
      <c r="E533" s="10" t="str">
        <f>IF($A533="","",IF($A533&lt;=_Engine!$B$24,_Engine!$G570,""))</f>
        <v/>
      </c>
      <c r="F533" s="10" t="str">
        <f>IF($A533="","",IF($A533&lt;=_Engine!$B$24,_Engine!$H570,""))</f>
        <v/>
      </c>
    </row>
    <row r="534" spans="1:6" x14ac:dyDescent="0.25">
      <c r="A534" s="8" t="str">
        <f>IF(531&lt;=MAX(_Engine!$B$23,_Engine!$B$24),531,"")</f>
        <v/>
      </c>
      <c r="B534" s="9" t="str">
        <f>IF($A534="","",EDATE(_Engine!$B$2,$A534-1))</f>
        <v/>
      </c>
      <c r="C534" s="10" t="str">
        <f>IF($A534="","",IF($A534&lt;=_Engine!$B$23,_Engine!$E571,""))</f>
        <v/>
      </c>
      <c r="D534" s="10" t="str">
        <f>IF($A534="","",IF($A534&lt;=_Engine!$B$23,_Engine!$F571,""))</f>
        <v/>
      </c>
      <c r="E534" s="10" t="str">
        <f>IF($A534="","",IF($A534&lt;=_Engine!$B$24,_Engine!$G571,""))</f>
        <v/>
      </c>
      <c r="F534" s="10" t="str">
        <f>IF($A534="","",IF($A534&lt;=_Engine!$B$24,_Engine!$H571,""))</f>
        <v/>
      </c>
    </row>
    <row r="535" spans="1:6" x14ac:dyDescent="0.25">
      <c r="A535" s="8" t="str">
        <f>IF(532&lt;=MAX(_Engine!$B$23,_Engine!$B$24),532,"")</f>
        <v/>
      </c>
      <c r="B535" s="9" t="str">
        <f>IF($A535="","",EDATE(_Engine!$B$2,$A535-1))</f>
        <v/>
      </c>
      <c r="C535" s="10" t="str">
        <f>IF($A535="","",IF($A535&lt;=_Engine!$B$23,_Engine!$E572,""))</f>
        <v/>
      </c>
      <c r="D535" s="10" t="str">
        <f>IF($A535="","",IF($A535&lt;=_Engine!$B$23,_Engine!$F572,""))</f>
        <v/>
      </c>
      <c r="E535" s="10" t="str">
        <f>IF($A535="","",IF($A535&lt;=_Engine!$B$24,_Engine!$G572,""))</f>
        <v/>
      </c>
      <c r="F535" s="10" t="str">
        <f>IF($A535="","",IF($A535&lt;=_Engine!$B$24,_Engine!$H572,""))</f>
        <v/>
      </c>
    </row>
    <row r="536" spans="1:6" x14ac:dyDescent="0.25">
      <c r="A536" s="8" t="str">
        <f>IF(533&lt;=MAX(_Engine!$B$23,_Engine!$B$24),533,"")</f>
        <v/>
      </c>
      <c r="B536" s="9" t="str">
        <f>IF($A536="","",EDATE(_Engine!$B$2,$A536-1))</f>
        <v/>
      </c>
      <c r="C536" s="10" t="str">
        <f>IF($A536="","",IF($A536&lt;=_Engine!$B$23,_Engine!$E573,""))</f>
        <v/>
      </c>
      <c r="D536" s="10" t="str">
        <f>IF($A536="","",IF($A536&lt;=_Engine!$B$23,_Engine!$F573,""))</f>
        <v/>
      </c>
      <c r="E536" s="10" t="str">
        <f>IF($A536="","",IF($A536&lt;=_Engine!$B$24,_Engine!$G573,""))</f>
        <v/>
      </c>
      <c r="F536" s="10" t="str">
        <f>IF($A536="","",IF($A536&lt;=_Engine!$B$24,_Engine!$H573,""))</f>
        <v/>
      </c>
    </row>
    <row r="537" spans="1:6" x14ac:dyDescent="0.25">
      <c r="A537" s="8" t="str">
        <f>IF(534&lt;=MAX(_Engine!$B$23,_Engine!$B$24),534,"")</f>
        <v/>
      </c>
      <c r="B537" s="9" t="str">
        <f>IF($A537="","",EDATE(_Engine!$B$2,$A537-1))</f>
        <v/>
      </c>
      <c r="C537" s="10" t="str">
        <f>IF($A537="","",IF($A537&lt;=_Engine!$B$23,_Engine!$E574,""))</f>
        <v/>
      </c>
      <c r="D537" s="10" t="str">
        <f>IF($A537="","",IF($A537&lt;=_Engine!$B$23,_Engine!$F574,""))</f>
        <v/>
      </c>
      <c r="E537" s="10" t="str">
        <f>IF($A537="","",IF($A537&lt;=_Engine!$B$24,_Engine!$G574,""))</f>
        <v/>
      </c>
      <c r="F537" s="10" t="str">
        <f>IF($A537="","",IF($A537&lt;=_Engine!$B$24,_Engine!$H574,""))</f>
        <v/>
      </c>
    </row>
    <row r="538" spans="1:6" x14ac:dyDescent="0.25">
      <c r="A538" s="8" t="str">
        <f>IF(535&lt;=MAX(_Engine!$B$23,_Engine!$B$24),535,"")</f>
        <v/>
      </c>
      <c r="B538" s="9" t="str">
        <f>IF($A538="","",EDATE(_Engine!$B$2,$A538-1))</f>
        <v/>
      </c>
      <c r="C538" s="10" t="str">
        <f>IF($A538="","",IF($A538&lt;=_Engine!$B$23,_Engine!$E575,""))</f>
        <v/>
      </c>
      <c r="D538" s="10" t="str">
        <f>IF($A538="","",IF($A538&lt;=_Engine!$B$23,_Engine!$F575,""))</f>
        <v/>
      </c>
      <c r="E538" s="10" t="str">
        <f>IF($A538="","",IF($A538&lt;=_Engine!$B$24,_Engine!$G575,""))</f>
        <v/>
      </c>
      <c r="F538" s="10" t="str">
        <f>IF($A538="","",IF($A538&lt;=_Engine!$B$24,_Engine!$H575,""))</f>
        <v/>
      </c>
    </row>
    <row r="539" spans="1:6" x14ac:dyDescent="0.25">
      <c r="A539" s="8" t="str">
        <f>IF(536&lt;=MAX(_Engine!$B$23,_Engine!$B$24),536,"")</f>
        <v/>
      </c>
      <c r="B539" s="9" t="str">
        <f>IF($A539="","",EDATE(_Engine!$B$2,$A539-1))</f>
        <v/>
      </c>
      <c r="C539" s="10" t="str">
        <f>IF($A539="","",IF($A539&lt;=_Engine!$B$23,_Engine!$E576,""))</f>
        <v/>
      </c>
      <c r="D539" s="10" t="str">
        <f>IF($A539="","",IF($A539&lt;=_Engine!$B$23,_Engine!$F576,""))</f>
        <v/>
      </c>
      <c r="E539" s="10" t="str">
        <f>IF($A539="","",IF($A539&lt;=_Engine!$B$24,_Engine!$G576,""))</f>
        <v/>
      </c>
      <c r="F539" s="10" t="str">
        <f>IF($A539="","",IF($A539&lt;=_Engine!$B$24,_Engine!$H576,""))</f>
        <v/>
      </c>
    </row>
    <row r="540" spans="1:6" x14ac:dyDescent="0.25">
      <c r="A540" s="8" t="str">
        <f>IF(537&lt;=MAX(_Engine!$B$23,_Engine!$B$24),537,"")</f>
        <v/>
      </c>
      <c r="B540" s="9" t="str">
        <f>IF($A540="","",EDATE(_Engine!$B$2,$A540-1))</f>
        <v/>
      </c>
      <c r="C540" s="10" t="str">
        <f>IF($A540="","",IF($A540&lt;=_Engine!$B$23,_Engine!$E577,""))</f>
        <v/>
      </c>
      <c r="D540" s="10" t="str">
        <f>IF($A540="","",IF($A540&lt;=_Engine!$B$23,_Engine!$F577,""))</f>
        <v/>
      </c>
      <c r="E540" s="10" t="str">
        <f>IF($A540="","",IF($A540&lt;=_Engine!$B$24,_Engine!$G577,""))</f>
        <v/>
      </c>
      <c r="F540" s="10" t="str">
        <f>IF($A540="","",IF($A540&lt;=_Engine!$B$24,_Engine!$H577,""))</f>
        <v/>
      </c>
    </row>
    <row r="541" spans="1:6" x14ac:dyDescent="0.25">
      <c r="A541" s="8" t="str">
        <f>IF(538&lt;=MAX(_Engine!$B$23,_Engine!$B$24),538,"")</f>
        <v/>
      </c>
      <c r="B541" s="9" t="str">
        <f>IF($A541="","",EDATE(_Engine!$B$2,$A541-1))</f>
        <v/>
      </c>
      <c r="C541" s="10" t="str">
        <f>IF($A541="","",IF($A541&lt;=_Engine!$B$23,_Engine!$E578,""))</f>
        <v/>
      </c>
      <c r="D541" s="10" t="str">
        <f>IF($A541="","",IF($A541&lt;=_Engine!$B$23,_Engine!$F578,""))</f>
        <v/>
      </c>
      <c r="E541" s="10" t="str">
        <f>IF($A541="","",IF($A541&lt;=_Engine!$B$24,_Engine!$G578,""))</f>
        <v/>
      </c>
      <c r="F541" s="10" t="str">
        <f>IF($A541="","",IF($A541&lt;=_Engine!$B$24,_Engine!$H578,""))</f>
        <v/>
      </c>
    </row>
    <row r="542" spans="1:6" x14ac:dyDescent="0.25">
      <c r="A542" s="8" t="str">
        <f>IF(539&lt;=MAX(_Engine!$B$23,_Engine!$B$24),539,"")</f>
        <v/>
      </c>
      <c r="B542" s="9" t="str">
        <f>IF($A542="","",EDATE(_Engine!$B$2,$A542-1))</f>
        <v/>
      </c>
      <c r="C542" s="10" t="str">
        <f>IF($A542="","",IF($A542&lt;=_Engine!$B$23,_Engine!$E579,""))</f>
        <v/>
      </c>
      <c r="D542" s="10" t="str">
        <f>IF($A542="","",IF($A542&lt;=_Engine!$B$23,_Engine!$F579,""))</f>
        <v/>
      </c>
      <c r="E542" s="10" t="str">
        <f>IF($A542="","",IF($A542&lt;=_Engine!$B$24,_Engine!$G579,""))</f>
        <v/>
      </c>
      <c r="F542" s="10" t="str">
        <f>IF($A542="","",IF($A542&lt;=_Engine!$B$24,_Engine!$H579,""))</f>
        <v/>
      </c>
    </row>
    <row r="543" spans="1:6" x14ac:dyDescent="0.25">
      <c r="A543" s="8" t="str">
        <f>IF(540&lt;=MAX(_Engine!$B$23,_Engine!$B$24),540,"")</f>
        <v/>
      </c>
      <c r="B543" s="9" t="str">
        <f>IF($A543="","",EDATE(_Engine!$B$2,$A543-1))</f>
        <v/>
      </c>
      <c r="C543" s="10" t="str">
        <f>IF($A543="","",IF($A543&lt;=_Engine!$B$23,_Engine!$E580,""))</f>
        <v/>
      </c>
      <c r="D543" s="10" t="str">
        <f>IF($A543="","",IF($A543&lt;=_Engine!$B$23,_Engine!$F580,""))</f>
        <v/>
      </c>
      <c r="E543" s="10" t="str">
        <f>IF($A543="","",IF($A543&lt;=_Engine!$B$24,_Engine!$G580,""))</f>
        <v/>
      </c>
      <c r="F543" s="10" t="str">
        <f>IF($A543="","",IF($A543&lt;=_Engine!$B$24,_Engine!$H580,""))</f>
        <v/>
      </c>
    </row>
    <row r="544" spans="1:6" x14ac:dyDescent="0.25">
      <c r="A544" s="8" t="str">
        <f>IF(541&lt;=MAX(_Engine!$B$23,_Engine!$B$24),541,"")</f>
        <v/>
      </c>
      <c r="B544" s="9" t="str">
        <f>IF($A544="","",EDATE(_Engine!$B$2,$A544-1))</f>
        <v/>
      </c>
      <c r="C544" s="10" t="str">
        <f>IF($A544="","",IF($A544&lt;=_Engine!$B$23,_Engine!$E581,""))</f>
        <v/>
      </c>
      <c r="D544" s="10" t="str">
        <f>IF($A544="","",IF($A544&lt;=_Engine!$B$23,_Engine!$F581,""))</f>
        <v/>
      </c>
      <c r="E544" s="10" t="str">
        <f>IF($A544="","",IF($A544&lt;=_Engine!$B$24,_Engine!$G581,""))</f>
        <v/>
      </c>
      <c r="F544" s="10" t="str">
        <f>IF($A544="","",IF($A544&lt;=_Engine!$B$24,_Engine!$H581,""))</f>
        <v/>
      </c>
    </row>
    <row r="545" spans="1:6" x14ac:dyDescent="0.25">
      <c r="A545" s="8" t="str">
        <f>IF(542&lt;=MAX(_Engine!$B$23,_Engine!$B$24),542,"")</f>
        <v/>
      </c>
      <c r="B545" s="9" t="str">
        <f>IF($A545="","",EDATE(_Engine!$B$2,$A545-1))</f>
        <v/>
      </c>
      <c r="C545" s="10" t="str">
        <f>IF($A545="","",IF($A545&lt;=_Engine!$B$23,_Engine!$E582,""))</f>
        <v/>
      </c>
      <c r="D545" s="10" t="str">
        <f>IF($A545="","",IF($A545&lt;=_Engine!$B$23,_Engine!$F582,""))</f>
        <v/>
      </c>
      <c r="E545" s="10" t="str">
        <f>IF($A545="","",IF($A545&lt;=_Engine!$B$24,_Engine!$G582,""))</f>
        <v/>
      </c>
      <c r="F545" s="10" t="str">
        <f>IF($A545="","",IF($A545&lt;=_Engine!$B$24,_Engine!$H582,""))</f>
        <v/>
      </c>
    </row>
    <row r="546" spans="1:6" x14ac:dyDescent="0.25">
      <c r="A546" s="8" t="str">
        <f>IF(543&lt;=MAX(_Engine!$B$23,_Engine!$B$24),543,"")</f>
        <v/>
      </c>
      <c r="B546" s="9" t="str">
        <f>IF($A546="","",EDATE(_Engine!$B$2,$A546-1))</f>
        <v/>
      </c>
      <c r="C546" s="10" t="str">
        <f>IF($A546="","",IF($A546&lt;=_Engine!$B$23,_Engine!$E583,""))</f>
        <v/>
      </c>
      <c r="D546" s="10" t="str">
        <f>IF($A546="","",IF($A546&lt;=_Engine!$B$23,_Engine!$F583,""))</f>
        <v/>
      </c>
      <c r="E546" s="10" t="str">
        <f>IF($A546="","",IF($A546&lt;=_Engine!$B$24,_Engine!$G583,""))</f>
        <v/>
      </c>
      <c r="F546" s="10" t="str">
        <f>IF($A546="","",IF($A546&lt;=_Engine!$B$24,_Engine!$H583,""))</f>
        <v/>
      </c>
    </row>
    <row r="547" spans="1:6" x14ac:dyDescent="0.25">
      <c r="A547" s="8" t="str">
        <f>IF(544&lt;=MAX(_Engine!$B$23,_Engine!$B$24),544,"")</f>
        <v/>
      </c>
      <c r="B547" s="9" t="str">
        <f>IF($A547="","",EDATE(_Engine!$B$2,$A547-1))</f>
        <v/>
      </c>
      <c r="C547" s="10" t="str">
        <f>IF($A547="","",IF($A547&lt;=_Engine!$B$23,_Engine!$E584,""))</f>
        <v/>
      </c>
      <c r="D547" s="10" t="str">
        <f>IF($A547="","",IF($A547&lt;=_Engine!$B$23,_Engine!$F584,""))</f>
        <v/>
      </c>
      <c r="E547" s="10" t="str">
        <f>IF($A547="","",IF($A547&lt;=_Engine!$B$24,_Engine!$G584,""))</f>
        <v/>
      </c>
      <c r="F547" s="10" t="str">
        <f>IF($A547="","",IF($A547&lt;=_Engine!$B$24,_Engine!$H584,""))</f>
        <v/>
      </c>
    </row>
    <row r="548" spans="1:6" x14ac:dyDescent="0.25">
      <c r="A548" s="8" t="str">
        <f>IF(545&lt;=MAX(_Engine!$B$23,_Engine!$B$24),545,"")</f>
        <v/>
      </c>
      <c r="B548" s="9" t="str">
        <f>IF($A548="","",EDATE(_Engine!$B$2,$A548-1))</f>
        <v/>
      </c>
      <c r="C548" s="10" t="str">
        <f>IF($A548="","",IF($A548&lt;=_Engine!$B$23,_Engine!$E585,""))</f>
        <v/>
      </c>
      <c r="D548" s="10" t="str">
        <f>IF($A548="","",IF($A548&lt;=_Engine!$B$23,_Engine!$F585,""))</f>
        <v/>
      </c>
      <c r="E548" s="10" t="str">
        <f>IF($A548="","",IF($A548&lt;=_Engine!$B$24,_Engine!$G585,""))</f>
        <v/>
      </c>
      <c r="F548" s="10" t="str">
        <f>IF($A548="","",IF($A548&lt;=_Engine!$B$24,_Engine!$H585,""))</f>
        <v/>
      </c>
    </row>
    <row r="549" spans="1:6" x14ac:dyDescent="0.25">
      <c r="A549" s="8" t="str">
        <f>IF(546&lt;=MAX(_Engine!$B$23,_Engine!$B$24),546,"")</f>
        <v/>
      </c>
      <c r="B549" s="9" t="str">
        <f>IF($A549="","",EDATE(_Engine!$B$2,$A549-1))</f>
        <v/>
      </c>
      <c r="C549" s="10" t="str">
        <f>IF($A549="","",IF($A549&lt;=_Engine!$B$23,_Engine!$E586,""))</f>
        <v/>
      </c>
      <c r="D549" s="10" t="str">
        <f>IF($A549="","",IF($A549&lt;=_Engine!$B$23,_Engine!$F586,""))</f>
        <v/>
      </c>
      <c r="E549" s="10" t="str">
        <f>IF($A549="","",IF($A549&lt;=_Engine!$B$24,_Engine!$G586,""))</f>
        <v/>
      </c>
      <c r="F549" s="10" t="str">
        <f>IF($A549="","",IF($A549&lt;=_Engine!$B$24,_Engine!$H586,""))</f>
        <v/>
      </c>
    </row>
    <row r="550" spans="1:6" x14ac:dyDescent="0.25">
      <c r="A550" s="8" t="str">
        <f>IF(547&lt;=MAX(_Engine!$B$23,_Engine!$B$24),547,"")</f>
        <v/>
      </c>
      <c r="B550" s="9" t="str">
        <f>IF($A550="","",EDATE(_Engine!$B$2,$A550-1))</f>
        <v/>
      </c>
      <c r="C550" s="10" t="str">
        <f>IF($A550="","",IF($A550&lt;=_Engine!$B$23,_Engine!$E587,""))</f>
        <v/>
      </c>
      <c r="D550" s="10" t="str">
        <f>IF($A550="","",IF($A550&lt;=_Engine!$B$23,_Engine!$F587,""))</f>
        <v/>
      </c>
      <c r="E550" s="10" t="str">
        <f>IF($A550="","",IF($A550&lt;=_Engine!$B$24,_Engine!$G587,""))</f>
        <v/>
      </c>
      <c r="F550" s="10" t="str">
        <f>IF($A550="","",IF($A550&lt;=_Engine!$B$24,_Engine!$H587,""))</f>
        <v/>
      </c>
    </row>
    <row r="551" spans="1:6" x14ac:dyDescent="0.25">
      <c r="A551" s="8" t="str">
        <f>IF(548&lt;=MAX(_Engine!$B$23,_Engine!$B$24),548,"")</f>
        <v/>
      </c>
      <c r="B551" s="9" t="str">
        <f>IF($A551="","",EDATE(_Engine!$B$2,$A551-1))</f>
        <v/>
      </c>
      <c r="C551" s="10" t="str">
        <f>IF($A551="","",IF($A551&lt;=_Engine!$B$23,_Engine!$E588,""))</f>
        <v/>
      </c>
      <c r="D551" s="10" t="str">
        <f>IF($A551="","",IF($A551&lt;=_Engine!$B$23,_Engine!$F588,""))</f>
        <v/>
      </c>
      <c r="E551" s="10" t="str">
        <f>IF($A551="","",IF($A551&lt;=_Engine!$B$24,_Engine!$G588,""))</f>
        <v/>
      </c>
      <c r="F551" s="10" t="str">
        <f>IF($A551="","",IF($A551&lt;=_Engine!$B$24,_Engine!$H588,""))</f>
        <v/>
      </c>
    </row>
    <row r="552" spans="1:6" x14ac:dyDescent="0.25">
      <c r="A552" s="8" t="str">
        <f>IF(549&lt;=MAX(_Engine!$B$23,_Engine!$B$24),549,"")</f>
        <v/>
      </c>
      <c r="B552" s="9" t="str">
        <f>IF($A552="","",EDATE(_Engine!$B$2,$A552-1))</f>
        <v/>
      </c>
      <c r="C552" s="10" t="str">
        <f>IF($A552="","",IF($A552&lt;=_Engine!$B$23,_Engine!$E589,""))</f>
        <v/>
      </c>
      <c r="D552" s="10" t="str">
        <f>IF($A552="","",IF($A552&lt;=_Engine!$B$23,_Engine!$F589,""))</f>
        <v/>
      </c>
      <c r="E552" s="10" t="str">
        <f>IF($A552="","",IF($A552&lt;=_Engine!$B$24,_Engine!$G589,""))</f>
        <v/>
      </c>
      <c r="F552" s="10" t="str">
        <f>IF($A552="","",IF($A552&lt;=_Engine!$B$24,_Engine!$H589,""))</f>
        <v/>
      </c>
    </row>
    <row r="553" spans="1:6" x14ac:dyDescent="0.25">
      <c r="A553" s="8" t="str">
        <f>IF(550&lt;=MAX(_Engine!$B$23,_Engine!$B$24),550,"")</f>
        <v/>
      </c>
      <c r="B553" s="9" t="str">
        <f>IF($A553="","",EDATE(_Engine!$B$2,$A553-1))</f>
        <v/>
      </c>
      <c r="C553" s="10" t="str">
        <f>IF($A553="","",IF($A553&lt;=_Engine!$B$23,_Engine!$E590,""))</f>
        <v/>
      </c>
      <c r="D553" s="10" t="str">
        <f>IF($A553="","",IF($A553&lt;=_Engine!$B$23,_Engine!$F590,""))</f>
        <v/>
      </c>
      <c r="E553" s="10" t="str">
        <f>IF($A553="","",IF($A553&lt;=_Engine!$B$24,_Engine!$G590,""))</f>
        <v/>
      </c>
      <c r="F553" s="10" t="str">
        <f>IF($A553="","",IF($A553&lt;=_Engine!$B$24,_Engine!$H590,""))</f>
        <v/>
      </c>
    </row>
    <row r="554" spans="1:6" x14ac:dyDescent="0.25">
      <c r="A554" s="8" t="str">
        <f>IF(551&lt;=MAX(_Engine!$B$23,_Engine!$B$24),551,"")</f>
        <v/>
      </c>
      <c r="B554" s="9" t="str">
        <f>IF($A554="","",EDATE(_Engine!$B$2,$A554-1))</f>
        <v/>
      </c>
      <c r="C554" s="10" t="str">
        <f>IF($A554="","",IF($A554&lt;=_Engine!$B$23,_Engine!$E591,""))</f>
        <v/>
      </c>
      <c r="D554" s="10" t="str">
        <f>IF($A554="","",IF($A554&lt;=_Engine!$B$23,_Engine!$F591,""))</f>
        <v/>
      </c>
      <c r="E554" s="10" t="str">
        <f>IF($A554="","",IF($A554&lt;=_Engine!$B$24,_Engine!$G591,""))</f>
        <v/>
      </c>
      <c r="F554" s="10" t="str">
        <f>IF($A554="","",IF($A554&lt;=_Engine!$B$24,_Engine!$H591,""))</f>
        <v/>
      </c>
    </row>
    <row r="555" spans="1:6" x14ac:dyDescent="0.25">
      <c r="A555" s="8" t="str">
        <f>IF(552&lt;=MAX(_Engine!$B$23,_Engine!$B$24),552,"")</f>
        <v/>
      </c>
      <c r="B555" s="9" t="str">
        <f>IF($A555="","",EDATE(_Engine!$B$2,$A555-1))</f>
        <v/>
      </c>
      <c r="C555" s="10" t="str">
        <f>IF($A555="","",IF($A555&lt;=_Engine!$B$23,_Engine!$E592,""))</f>
        <v/>
      </c>
      <c r="D555" s="10" t="str">
        <f>IF($A555="","",IF($A555&lt;=_Engine!$B$23,_Engine!$F592,""))</f>
        <v/>
      </c>
      <c r="E555" s="10" t="str">
        <f>IF($A555="","",IF($A555&lt;=_Engine!$B$24,_Engine!$G592,""))</f>
        <v/>
      </c>
      <c r="F555" s="10" t="str">
        <f>IF($A555="","",IF($A555&lt;=_Engine!$B$24,_Engine!$H592,""))</f>
        <v/>
      </c>
    </row>
    <row r="556" spans="1:6" x14ac:dyDescent="0.25">
      <c r="A556" s="8" t="str">
        <f>IF(553&lt;=MAX(_Engine!$B$23,_Engine!$B$24),553,"")</f>
        <v/>
      </c>
      <c r="B556" s="9" t="str">
        <f>IF($A556="","",EDATE(_Engine!$B$2,$A556-1))</f>
        <v/>
      </c>
      <c r="C556" s="10" t="str">
        <f>IF($A556="","",IF($A556&lt;=_Engine!$B$23,_Engine!$E593,""))</f>
        <v/>
      </c>
      <c r="D556" s="10" t="str">
        <f>IF($A556="","",IF($A556&lt;=_Engine!$B$23,_Engine!$F593,""))</f>
        <v/>
      </c>
      <c r="E556" s="10" t="str">
        <f>IF($A556="","",IF($A556&lt;=_Engine!$B$24,_Engine!$G593,""))</f>
        <v/>
      </c>
      <c r="F556" s="10" t="str">
        <f>IF($A556="","",IF($A556&lt;=_Engine!$B$24,_Engine!$H593,""))</f>
        <v/>
      </c>
    </row>
    <row r="557" spans="1:6" x14ac:dyDescent="0.25">
      <c r="A557" s="8" t="str">
        <f>IF(554&lt;=MAX(_Engine!$B$23,_Engine!$B$24),554,"")</f>
        <v/>
      </c>
      <c r="B557" s="9" t="str">
        <f>IF($A557="","",EDATE(_Engine!$B$2,$A557-1))</f>
        <v/>
      </c>
      <c r="C557" s="10" t="str">
        <f>IF($A557="","",IF($A557&lt;=_Engine!$B$23,_Engine!$E594,""))</f>
        <v/>
      </c>
      <c r="D557" s="10" t="str">
        <f>IF($A557="","",IF($A557&lt;=_Engine!$B$23,_Engine!$F594,""))</f>
        <v/>
      </c>
      <c r="E557" s="10" t="str">
        <f>IF($A557="","",IF($A557&lt;=_Engine!$B$24,_Engine!$G594,""))</f>
        <v/>
      </c>
      <c r="F557" s="10" t="str">
        <f>IF($A557="","",IF($A557&lt;=_Engine!$B$24,_Engine!$H594,""))</f>
        <v/>
      </c>
    </row>
    <row r="558" spans="1:6" x14ac:dyDescent="0.25">
      <c r="A558" s="8" t="str">
        <f>IF(555&lt;=MAX(_Engine!$B$23,_Engine!$B$24),555,"")</f>
        <v/>
      </c>
      <c r="B558" s="9" t="str">
        <f>IF($A558="","",EDATE(_Engine!$B$2,$A558-1))</f>
        <v/>
      </c>
      <c r="C558" s="10" t="str">
        <f>IF($A558="","",IF($A558&lt;=_Engine!$B$23,_Engine!$E595,""))</f>
        <v/>
      </c>
      <c r="D558" s="10" t="str">
        <f>IF($A558="","",IF($A558&lt;=_Engine!$B$23,_Engine!$F595,""))</f>
        <v/>
      </c>
      <c r="E558" s="10" t="str">
        <f>IF($A558="","",IF($A558&lt;=_Engine!$B$24,_Engine!$G595,""))</f>
        <v/>
      </c>
      <c r="F558" s="10" t="str">
        <f>IF($A558="","",IF($A558&lt;=_Engine!$B$24,_Engine!$H595,""))</f>
        <v/>
      </c>
    </row>
    <row r="559" spans="1:6" x14ac:dyDescent="0.25">
      <c r="A559" s="8" t="str">
        <f>IF(556&lt;=MAX(_Engine!$B$23,_Engine!$B$24),556,"")</f>
        <v/>
      </c>
      <c r="B559" s="9" t="str">
        <f>IF($A559="","",EDATE(_Engine!$B$2,$A559-1))</f>
        <v/>
      </c>
      <c r="C559" s="10" t="str">
        <f>IF($A559="","",IF($A559&lt;=_Engine!$B$23,_Engine!$E596,""))</f>
        <v/>
      </c>
      <c r="D559" s="10" t="str">
        <f>IF($A559="","",IF($A559&lt;=_Engine!$B$23,_Engine!$F596,""))</f>
        <v/>
      </c>
      <c r="E559" s="10" t="str">
        <f>IF($A559="","",IF($A559&lt;=_Engine!$B$24,_Engine!$G596,""))</f>
        <v/>
      </c>
      <c r="F559" s="10" t="str">
        <f>IF($A559="","",IF($A559&lt;=_Engine!$B$24,_Engine!$H596,""))</f>
        <v/>
      </c>
    </row>
    <row r="560" spans="1:6" x14ac:dyDescent="0.25">
      <c r="A560" s="8" t="str">
        <f>IF(557&lt;=MAX(_Engine!$B$23,_Engine!$B$24),557,"")</f>
        <v/>
      </c>
      <c r="B560" s="9" t="str">
        <f>IF($A560="","",EDATE(_Engine!$B$2,$A560-1))</f>
        <v/>
      </c>
      <c r="C560" s="10" t="str">
        <f>IF($A560="","",IF($A560&lt;=_Engine!$B$23,_Engine!$E597,""))</f>
        <v/>
      </c>
      <c r="D560" s="10" t="str">
        <f>IF($A560="","",IF($A560&lt;=_Engine!$B$23,_Engine!$F597,""))</f>
        <v/>
      </c>
      <c r="E560" s="10" t="str">
        <f>IF($A560="","",IF($A560&lt;=_Engine!$B$24,_Engine!$G597,""))</f>
        <v/>
      </c>
      <c r="F560" s="10" t="str">
        <f>IF($A560="","",IF($A560&lt;=_Engine!$B$24,_Engine!$H597,""))</f>
        <v/>
      </c>
    </row>
    <row r="561" spans="1:6" x14ac:dyDescent="0.25">
      <c r="A561" s="8" t="str">
        <f>IF(558&lt;=MAX(_Engine!$B$23,_Engine!$B$24),558,"")</f>
        <v/>
      </c>
      <c r="B561" s="9" t="str">
        <f>IF($A561="","",EDATE(_Engine!$B$2,$A561-1))</f>
        <v/>
      </c>
      <c r="C561" s="10" t="str">
        <f>IF($A561="","",IF($A561&lt;=_Engine!$B$23,_Engine!$E598,""))</f>
        <v/>
      </c>
      <c r="D561" s="10" t="str">
        <f>IF($A561="","",IF($A561&lt;=_Engine!$B$23,_Engine!$F598,""))</f>
        <v/>
      </c>
      <c r="E561" s="10" t="str">
        <f>IF($A561="","",IF($A561&lt;=_Engine!$B$24,_Engine!$G598,""))</f>
        <v/>
      </c>
      <c r="F561" s="10" t="str">
        <f>IF($A561="","",IF($A561&lt;=_Engine!$B$24,_Engine!$H598,""))</f>
        <v/>
      </c>
    </row>
    <row r="562" spans="1:6" x14ac:dyDescent="0.25">
      <c r="A562" s="8" t="str">
        <f>IF(559&lt;=MAX(_Engine!$B$23,_Engine!$B$24),559,"")</f>
        <v/>
      </c>
      <c r="B562" s="9" t="str">
        <f>IF($A562="","",EDATE(_Engine!$B$2,$A562-1))</f>
        <v/>
      </c>
      <c r="C562" s="10" t="str">
        <f>IF($A562="","",IF($A562&lt;=_Engine!$B$23,_Engine!$E599,""))</f>
        <v/>
      </c>
      <c r="D562" s="10" t="str">
        <f>IF($A562="","",IF($A562&lt;=_Engine!$B$23,_Engine!$F599,""))</f>
        <v/>
      </c>
      <c r="E562" s="10" t="str">
        <f>IF($A562="","",IF($A562&lt;=_Engine!$B$24,_Engine!$G599,""))</f>
        <v/>
      </c>
      <c r="F562" s="10" t="str">
        <f>IF($A562="","",IF($A562&lt;=_Engine!$B$24,_Engine!$H599,""))</f>
        <v/>
      </c>
    </row>
    <row r="563" spans="1:6" x14ac:dyDescent="0.25">
      <c r="A563" s="8" t="str">
        <f>IF(560&lt;=MAX(_Engine!$B$23,_Engine!$B$24),560,"")</f>
        <v/>
      </c>
      <c r="B563" s="9" t="str">
        <f>IF($A563="","",EDATE(_Engine!$B$2,$A563-1))</f>
        <v/>
      </c>
      <c r="C563" s="10" t="str">
        <f>IF($A563="","",IF($A563&lt;=_Engine!$B$23,_Engine!$E600,""))</f>
        <v/>
      </c>
      <c r="D563" s="10" t="str">
        <f>IF($A563="","",IF($A563&lt;=_Engine!$B$23,_Engine!$F600,""))</f>
        <v/>
      </c>
      <c r="E563" s="10" t="str">
        <f>IF($A563="","",IF($A563&lt;=_Engine!$B$24,_Engine!$G600,""))</f>
        <v/>
      </c>
      <c r="F563" s="10" t="str">
        <f>IF($A563="","",IF($A563&lt;=_Engine!$B$24,_Engine!$H600,""))</f>
        <v/>
      </c>
    </row>
    <row r="564" spans="1:6" x14ac:dyDescent="0.25">
      <c r="A564" s="8" t="str">
        <f>IF(561&lt;=MAX(_Engine!$B$23,_Engine!$B$24),561,"")</f>
        <v/>
      </c>
      <c r="B564" s="9" t="str">
        <f>IF($A564="","",EDATE(_Engine!$B$2,$A564-1))</f>
        <v/>
      </c>
      <c r="C564" s="10" t="str">
        <f>IF($A564="","",IF($A564&lt;=_Engine!$B$23,_Engine!$E601,""))</f>
        <v/>
      </c>
      <c r="D564" s="10" t="str">
        <f>IF($A564="","",IF($A564&lt;=_Engine!$B$23,_Engine!$F601,""))</f>
        <v/>
      </c>
      <c r="E564" s="10" t="str">
        <f>IF($A564="","",IF($A564&lt;=_Engine!$B$24,_Engine!$G601,""))</f>
        <v/>
      </c>
      <c r="F564" s="10" t="str">
        <f>IF($A564="","",IF($A564&lt;=_Engine!$B$24,_Engine!$H601,""))</f>
        <v/>
      </c>
    </row>
    <row r="565" spans="1:6" x14ac:dyDescent="0.25">
      <c r="A565" s="8" t="str">
        <f>IF(562&lt;=MAX(_Engine!$B$23,_Engine!$B$24),562,"")</f>
        <v/>
      </c>
      <c r="B565" s="9" t="str">
        <f>IF($A565="","",EDATE(_Engine!$B$2,$A565-1))</f>
        <v/>
      </c>
      <c r="C565" s="10" t="str">
        <f>IF($A565="","",IF($A565&lt;=_Engine!$B$23,_Engine!$E602,""))</f>
        <v/>
      </c>
      <c r="D565" s="10" t="str">
        <f>IF($A565="","",IF($A565&lt;=_Engine!$B$23,_Engine!$F602,""))</f>
        <v/>
      </c>
      <c r="E565" s="10" t="str">
        <f>IF($A565="","",IF($A565&lt;=_Engine!$B$24,_Engine!$G602,""))</f>
        <v/>
      </c>
      <c r="F565" s="10" t="str">
        <f>IF($A565="","",IF($A565&lt;=_Engine!$B$24,_Engine!$H602,""))</f>
        <v/>
      </c>
    </row>
    <row r="566" spans="1:6" x14ac:dyDescent="0.25">
      <c r="A566" s="8" t="str">
        <f>IF(563&lt;=MAX(_Engine!$B$23,_Engine!$B$24),563,"")</f>
        <v/>
      </c>
      <c r="B566" s="9" t="str">
        <f>IF($A566="","",EDATE(_Engine!$B$2,$A566-1))</f>
        <v/>
      </c>
      <c r="C566" s="10" t="str">
        <f>IF($A566="","",IF($A566&lt;=_Engine!$B$23,_Engine!$E603,""))</f>
        <v/>
      </c>
      <c r="D566" s="10" t="str">
        <f>IF($A566="","",IF($A566&lt;=_Engine!$B$23,_Engine!$F603,""))</f>
        <v/>
      </c>
      <c r="E566" s="10" t="str">
        <f>IF($A566="","",IF($A566&lt;=_Engine!$B$24,_Engine!$G603,""))</f>
        <v/>
      </c>
      <c r="F566" s="10" t="str">
        <f>IF($A566="","",IF($A566&lt;=_Engine!$B$24,_Engine!$H603,""))</f>
        <v/>
      </c>
    </row>
    <row r="567" spans="1:6" x14ac:dyDescent="0.25">
      <c r="A567" s="8" t="str">
        <f>IF(564&lt;=MAX(_Engine!$B$23,_Engine!$B$24),564,"")</f>
        <v/>
      </c>
      <c r="B567" s="9" t="str">
        <f>IF($A567="","",EDATE(_Engine!$B$2,$A567-1))</f>
        <v/>
      </c>
      <c r="C567" s="10" t="str">
        <f>IF($A567="","",IF($A567&lt;=_Engine!$B$23,_Engine!$E604,""))</f>
        <v/>
      </c>
      <c r="D567" s="10" t="str">
        <f>IF($A567="","",IF($A567&lt;=_Engine!$B$23,_Engine!$F604,""))</f>
        <v/>
      </c>
      <c r="E567" s="10" t="str">
        <f>IF($A567="","",IF($A567&lt;=_Engine!$B$24,_Engine!$G604,""))</f>
        <v/>
      </c>
      <c r="F567" s="10" t="str">
        <f>IF($A567="","",IF($A567&lt;=_Engine!$B$24,_Engine!$H604,""))</f>
        <v/>
      </c>
    </row>
    <row r="568" spans="1:6" x14ac:dyDescent="0.25">
      <c r="A568" s="8" t="str">
        <f>IF(565&lt;=MAX(_Engine!$B$23,_Engine!$B$24),565,"")</f>
        <v/>
      </c>
      <c r="B568" s="9" t="str">
        <f>IF($A568="","",EDATE(_Engine!$B$2,$A568-1))</f>
        <v/>
      </c>
      <c r="C568" s="10" t="str">
        <f>IF($A568="","",IF($A568&lt;=_Engine!$B$23,_Engine!$E605,""))</f>
        <v/>
      </c>
      <c r="D568" s="10" t="str">
        <f>IF($A568="","",IF($A568&lt;=_Engine!$B$23,_Engine!$F605,""))</f>
        <v/>
      </c>
      <c r="E568" s="10" t="str">
        <f>IF($A568="","",IF($A568&lt;=_Engine!$B$24,_Engine!$G605,""))</f>
        <v/>
      </c>
      <c r="F568" s="10" t="str">
        <f>IF($A568="","",IF($A568&lt;=_Engine!$B$24,_Engine!$H605,""))</f>
        <v/>
      </c>
    </row>
    <row r="569" spans="1:6" x14ac:dyDescent="0.25">
      <c r="A569" s="8" t="str">
        <f>IF(566&lt;=MAX(_Engine!$B$23,_Engine!$B$24),566,"")</f>
        <v/>
      </c>
      <c r="B569" s="9" t="str">
        <f>IF($A569="","",EDATE(_Engine!$B$2,$A569-1))</f>
        <v/>
      </c>
      <c r="C569" s="10" t="str">
        <f>IF($A569="","",IF($A569&lt;=_Engine!$B$23,_Engine!$E606,""))</f>
        <v/>
      </c>
      <c r="D569" s="10" t="str">
        <f>IF($A569="","",IF($A569&lt;=_Engine!$B$23,_Engine!$F606,""))</f>
        <v/>
      </c>
      <c r="E569" s="10" t="str">
        <f>IF($A569="","",IF($A569&lt;=_Engine!$B$24,_Engine!$G606,""))</f>
        <v/>
      </c>
      <c r="F569" s="10" t="str">
        <f>IF($A569="","",IF($A569&lt;=_Engine!$B$24,_Engine!$H606,""))</f>
        <v/>
      </c>
    </row>
    <row r="570" spans="1:6" x14ac:dyDescent="0.25">
      <c r="A570" s="8" t="str">
        <f>IF(567&lt;=MAX(_Engine!$B$23,_Engine!$B$24),567,"")</f>
        <v/>
      </c>
      <c r="B570" s="9" t="str">
        <f>IF($A570="","",EDATE(_Engine!$B$2,$A570-1))</f>
        <v/>
      </c>
      <c r="C570" s="10" t="str">
        <f>IF($A570="","",IF($A570&lt;=_Engine!$B$23,_Engine!$E607,""))</f>
        <v/>
      </c>
      <c r="D570" s="10" t="str">
        <f>IF($A570="","",IF($A570&lt;=_Engine!$B$23,_Engine!$F607,""))</f>
        <v/>
      </c>
      <c r="E570" s="10" t="str">
        <f>IF($A570="","",IF($A570&lt;=_Engine!$B$24,_Engine!$G607,""))</f>
        <v/>
      </c>
      <c r="F570" s="10" t="str">
        <f>IF($A570="","",IF($A570&lt;=_Engine!$B$24,_Engine!$H607,""))</f>
        <v/>
      </c>
    </row>
    <row r="571" spans="1:6" x14ac:dyDescent="0.25">
      <c r="A571" s="8" t="str">
        <f>IF(568&lt;=MAX(_Engine!$B$23,_Engine!$B$24),568,"")</f>
        <v/>
      </c>
      <c r="B571" s="9" t="str">
        <f>IF($A571="","",EDATE(_Engine!$B$2,$A571-1))</f>
        <v/>
      </c>
      <c r="C571" s="10" t="str">
        <f>IF($A571="","",IF($A571&lt;=_Engine!$B$23,_Engine!$E608,""))</f>
        <v/>
      </c>
      <c r="D571" s="10" t="str">
        <f>IF($A571="","",IF($A571&lt;=_Engine!$B$23,_Engine!$F608,""))</f>
        <v/>
      </c>
      <c r="E571" s="10" t="str">
        <f>IF($A571="","",IF($A571&lt;=_Engine!$B$24,_Engine!$G608,""))</f>
        <v/>
      </c>
      <c r="F571" s="10" t="str">
        <f>IF($A571="","",IF($A571&lt;=_Engine!$B$24,_Engine!$H608,""))</f>
        <v/>
      </c>
    </row>
    <row r="572" spans="1:6" x14ac:dyDescent="0.25">
      <c r="A572" s="8" t="str">
        <f>IF(569&lt;=MAX(_Engine!$B$23,_Engine!$B$24),569,"")</f>
        <v/>
      </c>
      <c r="B572" s="9" t="str">
        <f>IF($A572="","",EDATE(_Engine!$B$2,$A572-1))</f>
        <v/>
      </c>
      <c r="C572" s="10" t="str">
        <f>IF($A572="","",IF($A572&lt;=_Engine!$B$23,_Engine!$E609,""))</f>
        <v/>
      </c>
      <c r="D572" s="10" t="str">
        <f>IF($A572="","",IF($A572&lt;=_Engine!$B$23,_Engine!$F609,""))</f>
        <v/>
      </c>
      <c r="E572" s="10" t="str">
        <f>IF($A572="","",IF($A572&lt;=_Engine!$B$24,_Engine!$G609,""))</f>
        <v/>
      </c>
      <c r="F572" s="10" t="str">
        <f>IF($A572="","",IF($A572&lt;=_Engine!$B$24,_Engine!$H609,""))</f>
        <v/>
      </c>
    </row>
    <row r="573" spans="1:6" x14ac:dyDescent="0.25">
      <c r="A573" s="8" t="str">
        <f>IF(570&lt;=MAX(_Engine!$B$23,_Engine!$B$24),570,"")</f>
        <v/>
      </c>
      <c r="B573" s="9" t="str">
        <f>IF($A573="","",EDATE(_Engine!$B$2,$A573-1))</f>
        <v/>
      </c>
      <c r="C573" s="10" t="str">
        <f>IF($A573="","",IF($A573&lt;=_Engine!$B$23,_Engine!$E610,""))</f>
        <v/>
      </c>
      <c r="D573" s="10" t="str">
        <f>IF($A573="","",IF($A573&lt;=_Engine!$B$23,_Engine!$F610,""))</f>
        <v/>
      </c>
      <c r="E573" s="10" t="str">
        <f>IF($A573="","",IF($A573&lt;=_Engine!$B$24,_Engine!$G610,""))</f>
        <v/>
      </c>
      <c r="F573" s="10" t="str">
        <f>IF($A573="","",IF($A573&lt;=_Engine!$B$24,_Engine!$H610,""))</f>
        <v/>
      </c>
    </row>
    <row r="574" spans="1:6" x14ac:dyDescent="0.25">
      <c r="A574" s="8" t="str">
        <f>IF(571&lt;=MAX(_Engine!$B$23,_Engine!$B$24),571,"")</f>
        <v/>
      </c>
      <c r="B574" s="9" t="str">
        <f>IF($A574="","",EDATE(_Engine!$B$2,$A574-1))</f>
        <v/>
      </c>
      <c r="C574" s="10" t="str">
        <f>IF($A574="","",IF($A574&lt;=_Engine!$B$23,_Engine!$E611,""))</f>
        <v/>
      </c>
      <c r="D574" s="10" t="str">
        <f>IF($A574="","",IF($A574&lt;=_Engine!$B$23,_Engine!$F611,""))</f>
        <v/>
      </c>
      <c r="E574" s="10" t="str">
        <f>IF($A574="","",IF($A574&lt;=_Engine!$B$24,_Engine!$G611,""))</f>
        <v/>
      </c>
      <c r="F574" s="10" t="str">
        <f>IF($A574="","",IF($A574&lt;=_Engine!$B$24,_Engine!$H611,""))</f>
        <v/>
      </c>
    </row>
    <row r="575" spans="1:6" x14ac:dyDescent="0.25">
      <c r="A575" s="8" t="str">
        <f>IF(572&lt;=MAX(_Engine!$B$23,_Engine!$B$24),572,"")</f>
        <v/>
      </c>
      <c r="B575" s="9" t="str">
        <f>IF($A575="","",EDATE(_Engine!$B$2,$A575-1))</f>
        <v/>
      </c>
      <c r="C575" s="10" t="str">
        <f>IF($A575="","",IF($A575&lt;=_Engine!$B$23,_Engine!$E612,""))</f>
        <v/>
      </c>
      <c r="D575" s="10" t="str">
        <f>IF($A575="","",IF($A575&lt;=_Engine!$B$23,_Engine!$F612,""))</f>
        <v/>
      </c>
      <c r="E575" s="10" t="str">
        <f>IF($A575="","",IF($A575&lt;=_Engine!$B$24,_Engine!$G612,""))</f>
        <v/>
      </c>
      <c r="F575" s="10" t="str">
        <f>IF($A575="","",IF($A575&lt;=_Engine!$B$24,_Engine!$H612,""))</f>
        <v/>
      </c>
    </row>
    <row r="576" spans="1:6" x14ac:dyDescent="0.25">
      <c r="A576" s="8" t="str">
        <f>IF(573&lt;=MAX(_Engine!$B$23,_Engine!$B$24),573,"")</f>
        <v/>
      </c>
      <c r="B576" s="9" t="str">
        <f>IF($A576="","",EDATE(_Engine!$B$2,$A576-1))</f>
        <v/>
      </c>
      <c r="C576" s="10" t="str">
        <f>IF($A576="","",IF($A576&lt;=_Engine!$B$23,_Engine!$E613,""))</f>
        <v/>
      </c>
      <c r="D576" s="10" t="str">
        <f>IF($A576="","",IF($A576&lt;=_Engine!$B$23,_Engine!$F613,""))</f>
        <v/>
      </c>
      <c r="E576" s="10" t="str">
        <f>IF($A576="","",IF($A576&lt;=_Engine!$B$24,_Engine!$G613,""))</f>
        <v/>
      </c>
      <c r="F576" s="10" t="str">
        <f>IF($A576="","",IF($A576&lt;=_Engine!$B$24,_Engine!$H613,""))</f>
        <v/>
      </c>
    </row>
    <row r="577" spans="1:6" x14ac:dyDescent="0.25">
      <c r="A577" s="8" t="str">
        <f>IF(574&lt;=MAX(_Engine!$B$23,_Engine!$B$24),574,"")</f>
        <v/>
      </c>
      <c r="B577" s="9" t="str">
        <f>IF($A577="","",EDATE(_Engine!$B$2,$A577-1))</f>
        <v/>
      </c>
      <c r="C577" s="10" t="str">
        <f>IF($A577="","",IF($A577&lt;=_Engine!$B$23,_Engine!$E614,""))</f>
        <v/>
      </c>
      <c r="D577" s="10" t="str">
        <f>IF($A577="","",IF($A577&lt;=_Engine!$B$23,_Engine!$F614,""))</f>
        <v/>
      </c>
      <c r="E577" s="10" t="str">
        <f>IF($A577="","",IF($A577&lt;=_Engine!$B$24,_Engine!$G614,""))</f>
        <v/>
      </c>
      <c r="F577" s="10" t="str">
        <f>IF($A577="","",IF($A577&lt;=_Engine!$B$24,_Engine!$H614,""))</f>
        <v/>
      </c>
    </row>
    <row r="578" spans="1:6" x14ac:dyDescent="0.25">
      <c r="A578" s="8" t="str">
        <f>IF(575&lt;=MAX(_Engine!$B$23,_Engine!$B$24),575,"")</f>
        <v/>
      </c>
      <c r="B578" s="9" t="str">
        <f>IF($A578="","",EDATE(_Engine!$B$2,$A578-1))</f>
        <v/>
      </c>
      <c r="C578" s="10" t="str">
        <f>IF($A578="","",IF($A578&lt;=_Engine!$B$23,_Engine!$E615,""))</f>
        <v/>
      </c>
      <c r="D578" s="10" t="str">
        <f>IF($A578="","",IF($A578&lt;=_Engine!$B$23,_Engine!$F615,""))</f>
        <v/>
      </c>
      <c r="E578" s="10" t="str">
        <f>IF($A578="","",IF($A578&lt;=_Engine!$B$24,_Engine!$G615,""))</f>
        <v/>
      </c>
      <c r="F578" s="10" t="str">
        <f>IF($A578="","",IF($A578&lt;=_Engine!$B$24,_Engine!$H615,""))</f>
        <v/>
      </c>
    </row>
    <row r="579" spans="1:6" x14ac:dyDescent="0.25">
      <c r="A579" s="8" t="str">
        <f>IF(576&lt;=MAX(_Engine!$B$23,_Engine!$B$24),576,"")</f>
        <v/>
      </c>
      <c r="B579" s="9" t="str">
        <f>IF($A579="","",EDATE(_Engine!$B$2,$A579-1))</f>
        <v/>
      </c>
      <c r="C579" s="10" t="str">
        <f>IF($A579="","",IF($A579&lt;=_Engine!$B$23,_Engine!$E616,""))</f>
        <v/>
      </c>
      <c r="D579" s="10" t="str">
        <f>IF($A579="","",IF($A579&lt;=_Engine!$B$23,_Engine!$F616,""))</f>
        <v/>
      </c>
      <c r="E579" s="10" t="str">
        <f>IF($A579="","",IF($A579&lt;=_Engine!$B$24,_Engine!$G616,""))</f>
        <v/>
      </c>
      <c r="F579" s="10" t="str">
        <f>IF($A579="","",IF($A579&lt;=_Engine!$B$24,_Engine!$H616,""))</f>
        <v/>
      </c>
    </row>
    <row r="580" spans="1:6" x14ac:dyDescent="0.25">
      <c r="A580" s="8" t="str">
        <f>IF(577&lt;=MAX(_Engine!$B$23,_Engine!$B$24),577,"")</f>
        <v/>
      </c>
      <c r="B580" s="9" t="str">
        <f>IF($A580="","",EDATE(_Engine!$B$2,$A580-1))</f>
        <v/>
      </c>
      <c r="C580" s="10" t="str">
        <f>IF($A580="","",IF($A580&lt;=_Engine!$B$23,_Engine!$E617,""))</f>
        <v/>
      </c>
      <c r="D580" s="10" t="str">
        <f>IF($A580="","",IF($A580&lt;=_Engine!$B$23,_Engine!$F617,""))</f>
        <v/>
      </c>
      <c r="E580" s="10" t="str">
        <f>IF($A580="","",IF($A580&lt;=_Engine!$B$24,_Engine!$G617,""))</f>
        <v/>
      </c>
      <c r="F580" s="10" t="str">
        <f>IF($A580="","",IF($A580&lt;=_Engine!$B$24,_Engine!$H617,""))</f>
        <v/>
      </c>
    </row>
    <row r="581" spans="1:6" x14ac:dyDescent="0.25">
      <c r="A581" s="8" t="str">
        <f>IF(578&lt;=MAX(_Engine!$B$23,_Engine!$B$24),578,"")</f>
        <v/>
      </c>
      <c r="B581" s="9" t="str">
        <f>IF($A581="","",EDATE(_Engine!$B$2,$A581-1))</f>
        <v/>
      </c>
      <c r="C581" s="10" t="str">
        <f>IF($A581="","",IF($A581&lt;=_Engine!$B$23,_Engine!$E618,""))</f>
        <v/>
      </c>
      <c r="D581" s="10" t="str">
        <f>IF($A581="","",IF($A581&lt;=_Engine!$B$23,_Engine!$F618,""))</f>
        <v/>
      </c>
      <c r="E581" s="10" t="str">
        <f>IF($A581="","",IF($A581&lt;=_Engine!$B$24,_Engine!$G618,""))</f>
        <v/>
      </c>
      <c r="F581" s="10" t="str">
        <f>IF($A581="","",IF($A581&lt;=_Engine!$B$24,_Engine!$H618,""))</f>
        <v/>
      </c>
    </row>
    <row r="582" spans="1:6" x14ac:dyDescent="0.25">
      <c r="A582" s="8" t="str">
        <f>IF(579&lt;=MAX(_Engine!$B$23,_Engine!$B$24),579,"")</f>
        <v/>
      </c>
      <c r="B582" s="9" t="str">
        <f>IF($A582="","",EDATE(_Engine!$B$2,$A582-1))</f>
        <v/>
      </c>
      <c r="C582" s="10" t="str">
        <f>IF($A582="","",IF($A582&lt;=_Engine!$B$23,_Engine!$E619,""))</f>
        <v/>
      </c>
      <c r="D582" s="10" t="str">
        <f>IF($A582="","",IF($A582&lt;=_Engine!$B$23,_Engine!$F619,""))</f>
        <v/>
      </c>
      <c r="E582" s="10" t="str">
        <f>IF($A582="","",IF($A582&lt;=_Engine!$B$24,_Engine!$G619,""))</f>
        <v/>
      </c>
      <c r="F582" s="10" t="str">
        <f>IF($A582="","",IF($A582&lt;=_Engine!$B$24,_Engine!$H619,""))</f>
        <v/>
      </c>
    </row>
    <row r="583" spans="1:6" x14ac:dyDescent="0.25">
      <c r="A583" s="8" t="str">
        <f>IF(580&lt;=MAX(_Engine!$B$23,_Engine!$B$24),580,"")</f>
        <v/>
      </c>
      <c r="B583" s="9" t="str">
        <f>IF($A583="","",EDATE(_Engine!$B$2,$A583-1))</f>
        <v/>
      </c>
      <c r="C583" s="10" t="str">
        <f>IF($A583="","",IF($A583&lt;=_Engine!$B$23,_Engine!$E620,""))</f>
        <v/>
      </c>
      <c r="D583" s="10" t="str">
        <f>IF($A583="","",IF($A583&lt;=_Engine!$B$23,_Engine!$F620,""))</f>
        <v/>
      </c>
      <c r="E583" s="10" t="str">
        <f>IF($A583="","",IF($A583&lt;=_Engine!$B$24,_Engine!$G620,""))</f>
        <v/>
      </c>
      <c r="F583" s="10" t="str">
        <f>IF($A583="","",IF($A583&lt;=_Engine!$B$24,_Engine!$H620,""))</f>
        <v/>
      </c>
    </row>
    <row r="584" spans="1:6" x14ac:dyDescent="0.25">
      <c r="A584" s="8" t="str">
        <f>IF(581&lt;=MAX(_Engine!$B$23,_Engine!$B$24),581,"")</f>
        <v/>
      </c>
      <c r="B584" s="9" t="str">
        <f>IF($A584="","",EDATE(_Engine!$B$2,$A584-1))</f>
        <v/>
      </c>
      <c r="C584" s="10" t="str">
        <f>IF($A584="","",IF($A584&lt;=_Engine!$B$23,_Engine!$E621,""))</f>
        <v/>
      </c>
      <c r="D584" s="10" t="str">
        <f>IF($A584="","",IF($A584&lt;=_Engine!$B$23,_Engine!$F621,""))</f>
        <v/>
      </c>
      <c r="E584" s="10" t="str">
        <f>IF($A584="","",IF($A584&lt;=_Engine!$B$24,_Engine!$G621,""))</f>
        <v/>
      </c>
      <c r="F584" s="10" t="str">
        <f>IF($A584="","",IF($A584&lt;=_Engine!$B$24,_Engine!$H621,""))</f>
        <v/>
      </c>
    </row>
    <row r="585" spans="1:6" x14ac:dyDescent="0.25">
      <c r="A585" s="8" t="str">
        <f>IF(582&lt;=MAX(_Engine!$B$23,_Engine!$B$24),582,"")</f>
        <v/>
      </c>
      <c r="B585" s="9" t="str">
        <f>IF($A585="","",EDATE(_Engine!$B$2,$A585-1))</f>
        <v/>
      </c>
      <c r="C585" s="10" t="str">
        <f>IF($A585="","",IF($A585&lt;=_Engine!$B$23,_Engine!$E622,""))</f>
        <v/>
      </c>
      <c r="D585" s="10" t="str">
        <f>IF($A585="","",IF($A585&lt;=_Engine!$B$23,_Engine!$F622,""))</f>
        <v/>
      </c>
      <c r="E585" s="10" t="str">
        <f>IF($A585="","",IF($A585&lt;=_Engine!$B$24,_Engine!$G622,""))</f>
        <v/>
      </c>
      <c r="F585" s="10" t="str">
        <f>IF($A585="","",IF($A585&lt;=_Engine!$B$24,_Engine!$H622,""))</f>
        <v/>
      </c>
    </row>
    <row r="586" spans="1:6" x14ac:dyDescent="0.25">
      <c r="A586" s="8" t="str">
        <f>IF(583&lt;=MAX(_Engine!$B$23,_Engine!$B$24),583,"")</f>
        <v/>
      </c>
      <c r="B586" s="9" t="str">
        <f>IF($A586="","",EDATE(_Engine!$B$2,$A586-1))</f>
        <v/>
      </c>
      <c r="C586" s="10" t="str">
        <f>IF($A586="","",IF($A586&lt;=_Engine!$B$23,_Engine!$E623,""))</f>
        <v/>
      </c>
      <c r="D586" s="10" t="str">
        <f>IF($A586="","",IF($A586&lt;=_Engine!$B$23,_Engine!$F623,""))</f>
        <v/>
      </c>
      <c r="E586" s="10" t="str">
        <f>IF($A586="","",IF($A586&lt;=_Engine!$B$24,_Engine!$G623,""))</f>
        <v/>
      </c>
      <c r="F586" s="10" t="str">
        <f>IF($A586="","",IF($A586&lt;=_Engine!$B$24,_Engine!$H623,""))</f>
        <v/>
      </c>
    </row>
    <row r="587" spans="1:6" x14ac:dyDescent="0.25">
      <c r="A587" s="8" t="str">
        <f>IF(584&lt;=MAX(_Engine!$B$23,_Engine!$B$24),584,"")</f>
        <v/>
      </c>
      <c r="B587" s="9" t="str">
        <f>IF($A587="","",EDATE(_Engine!$B$2,$A587-1))</f>
        <v/>
      </c>
      <c r="C587" s="10" t="str">
        <f>IF($A587="","",IF($A587&lt;=_Engine!$B$23,_Engine!$E624,""))</f>
        <v/>
      </c>
      <c r="D587" s="10" t="str">
        <f>IF($A587="","",IF($A587&lt;=_Engine!$B$23,_Engine!$F624,""))</f>
        <v/>
      </c>
      <c r="E587" s="10" t="str">
        <f>IF($A587="","",IF($A587&lt;=_Engine!$B$24,_Engine!$G624,""))</f>
        <v/>
      </c>
      <c r="F587" s="10" t="str">
        <f>IF($A587="","",IF($A587&lt;=_Engine!$B$24,_Engine!$H624,""))</f>
        <v/>
      </c>
    </row>
    <row r="588" spans="1:6" x14ac:dyDescent="0.25">
      <c r="A588" s="8" t="str">
        <f>IF(585&lt;=MAX(_Engine!$B$23,_Engine!$B$24),585,"")</f>
        <v/>
      </c>
      <c r="B588" s="9" t="str">
        <f>IF($A588="","",EDATE(_Engine!$B$2,$A588-1))</f>
        <v/>
      </c>
      <c r="C588" s="10" t="str">
        <f>IF($A588="","",IF($A588&lt;=_Engine!$B$23,_Engine!$E625,""))</f>
        <v/>
      </c>
      <c r="D588" s="10" t="str">
        <f>IF($A588="","",IF($A588&lt;=_Engine!$B$23,_Engine!$F625,""))</f>
        <v/>
      </c>
      <c r="E588" s="10" t="str">
        <f>IF($A588="","",IF($A588&lt;=_Engine!$B$24,_Engine!$G625,""))</f>
        <v/>
      </c>
      <c r="F588" s="10" t="str">
        <f>IF($A588="","",IF($A588&lt;=_Engine!$B$24,_Engine!$H625,""))</f>
        <v/>
      </c>
    </row>
    <row r="589" spans="1:6" x14ac:dyDescent="0.25">
      <c r="A589" s="8" t="str">
        <f>IF(586&lt;=MAX(_Engine!$B$23,_Engine!$B$24),586,"")</f>
        <v/>
      </c>
      <c r="B589" s="9" t="str">
        <f>IF($A589="","",EDATE(_Engine!$B$2,$A589-1))</f>
        <v/>
      </c>
      <c r="C589" s="10" t="str">
        <f>IF($A589="","",IF($A589&lt;=_Engine!$B$23,_Engine!$E626,""))</f>
        <v/>
      </c>
      <c r="D589" s="10" t="str">
        <f>IF($A589="","",IF($A589&lt;=_Engine!$B$23,_Engine!$F626,""))</f>
        <v/>
      </c>
      <c r="E589" s="10" t="str">
        <f>IF($A589="","",IF($A589&lt;=_Engine!$B$24,_Engine!$G626,""))</f>
        <v/>
      </c>
      <c r="F589" s="10" t="str">
        <f>IF($A589="","",IF($A589&lt;=_Engine!$B$24,_Engine!$H626,""))</f>
        <v/>
      </c>
    </row>
    <row r="590" spans="1:6" x14ac:dyDescent="0.25">
      <c r="A590" s="8" t="str">
        <f>IF(587&lt;=MAX(_Engine!$B$23,_Engine!$B$24),587,"")</f>
        <v/>
      </c>
      <c r="B590" s="9" t="str">
        <f>IF($A590="","",EDATE(_Engine!$B$2,$A590-1))</f>
        <v/>
      </c>
      <c r="C590" s="10" t="str">
        <f>IF($A590="","",IF($A590&lt;=_Engine!$B$23,_Engine!$E627,""))</f>
        <v/>
      </c>
      <c r="D590" s="10" t="str">
        <f>IF($A590="","",IF($A590&lt;=_Engine!$B$23,_Engine!$F627,""))</f>
        <v/>
      </c>
      <c r="E590" s="10" t="str">
        <f>IF($A590="","",IF($A590&lt;=_Engine!$B$24,_Engine!$G627,""))</f>
        <v/>
      </c>
      <c r="F590" s="10" t="str">
        <f>IF($A590="","",IF($A590&lt;=_Engine!$B$24,_Engine!$H627,""))</f>
        <v/>
      </c>
    </row>
    <row r="591" spans="1:6" x14ac:dyDescent="0.25">
      <c r="A591" s="8" t="str">
        <f>IF(588&lt;=MAX(_Engine!$B$23,_Engine!$B$24),588,"")</f>
        <v/>
      </c>
      <c r="B591" s="9" t="str">
        <f>IF($A591="","",EDATE(_Engine!$B$2,$A591-1))</f>
        <v/>
      </c>
      <c r="C591" s="10" t="str">
        <f>IF($A591="","",IF($A591&lt;=_Engine!$B$23,_Engine!$E628,""))</f>
        <v/>
      </c>
      <c r="D591" s="10" t="str">
        <f>IF($A591="","",IF($A591&lt;=_Engine!$B$23,_Engine!$F628,""))</f>
        <v/>
      </c>
      <c r="E591" s="10" t="str">
        <f>IF($A591="","",IF($A591&lt;=_Engine!$B$24,_Engine!$G628,""))</f>
        <v/>
      </c>
      <c r="F591" s="10" t="str">
        <f>IF($A591="","",IF($A591&lt;=_Engine!$B$24,_Engine!$H628,""))</f>
        <v/>
      </c>
    </row>
    <row r="592" spans="1:6" x14ac:dyDescent="0.25">
      <c r="A592" s="8" t="str">
        <f>IF(589&lt;=MAX(_Engine!$B$23,_Engine!$B$24),589,"")</f>
        <v/>
      </c>
      <c r="B592" s="9" t="str">
        <f>IF($A592="","",EDATE(_Engine!$B$2,$A592-1))</f>
        <v/>
      </c>
      <c r="C592" s="10" t="str">
        <f>IF($A592="","",IF($A592&lt;=_Engine!$B$23,_Engine!$E629,""))</f>
        <v/>
      </c>
      <c r="D592" s="10" t="str">
        <f>IF($A592="","",IF($A592&lt;=_Engine!$B$23,_Engine!$F629,""))</f>
        <v/>
      </c>
      <c r="E592" s="10" t="str">
        <f>IF($A592="","",IF($A592&lt;=_Engine!$B$24,_Engine!$G629,""))</f>
        <v/>
      </c>
      <c r="F592" s="10" t="str">
        <f>IF($A592="","",IF($A592&lt;=_Engine!$B$24,_Engine!$H629,""))</f>
        <v/>
      </c>
    </row>
    <row r="593" spans="1:6" x14ac:dyDescent="0.25">
      <c r="A593" s="8" t="str">
        <f>IF(590&lt;=MAX(_Engine!$B$23,_Engine!$B$24),590,"")</f>
        <v/>
      </c>
      <c r="B593" s="9" t="str">
        <f>IF($A593="","",EDATE(_Engine!$B$2,$A593-1))</f>
        <v/>
      </c>
      <c r="C593" s="10" t="str">
        <f>IF($A593="","",IF($A593&lt;=_Engine!$B$23,_Engine!$E630,""))</f>
        <v/>
      </c>
      <c r="D593" s="10" t="str">
        <f>IF($A593="","",IF($A593&lt;=_Engine!$B$23,_Engine!$F630,""))</f>
        <v/>
      </c>
      <c r="E593" s="10" t="str">
        <f>IF($A593="","",IF($A593&lt;=_Engine!$B$24,_Engine!$G630,""))</f>
        <v/>
      </c>
      <c r="F593" s="10" t="str">
        <f>IF($A593="","",IF($A593&lt;=_Engine!$B$24,_Engine!$H630,""))</f>
        <v/>
      </c>
    </row>
    <row r="594" spans="1:6" x14ac:dyDescent="0.25">
      <c r="A594" s="8" t="str">
        <f>IF(591&lt;=MAX(_Engine!$B$23,_Engine!$B$24),591,"")</f>
        <v/>
      </c>
      <c r="B594" s="9" t="str">
        <f>IF($A594="","",EDATE(_Engine!$B$2,$A594-1))</f>
        <v/>
      </c>
      <c r="C594" s="10" t="str">
        <f>IF($A594="","",IF($A594&lt;=_Engine!$B$23,_Engine!$E631,""))</f>
        <v/>
      </c>
      <c r="D594" s="10" t="str">
        <f>IF($A594="","",IF($A594&lt;=_Engine!$B$23,_Engine!$F631,""))</f>
        <v/>
      </c>
      <c r="E594" s="10" t="str">
        <f>IF($A594="","",IF($A594&lt;=_Engine!$B$24,_Engine!$G631,""))</f>
        <v/>
      </c>
      <c r="F594" s="10" t="str">
        <f>IF($A594="","",IF($A594&lt;=_Engine!$B$24,_Engine!$H631,""))</f>
        <v/>
      </c>
    </row>
    <row r="595" spans="1:6" x14ac:dyDescent="0.25">
      <c r="A595" s="8" t="str">
        <f>IF(592&lt;=MAX(_Engine!$B$23,_Engine!$B$24),592,"")</f>
        <v/>
      </c>
      <c r="B595" s="9" t="str">
        <f>IF($A595="","",EDATE(_Engine!$B$2,$A595-1))</f>
        <v/>
      </c>
      <c r="C595" s="10" t="str">
        <f>IF($A595="","",IF($A595&lt;=_Engine!$B$23,_Engine!$E632,""))</f>
        <v/>
      </c>
      <c r="D595" s="10" t="str">
        <f>IF($A595="","",IF($A595&lt;=_Engine!$B$23,_Engine!$F632,""))</f>
        <v/>
      </c>
      <c r="E595" s="10" t="str">
        <f>IF($A595="","",IF($A595&lt;=_Engine!$B$24,_Engine!$G632,""))</f>
        <v/>
      </c>
      <c r="F595" s="10" t="str">
        <f>IF($A595="","",IF($A595&lt;=_Engine!$B$24,_Engine!$H632,""))</f>
        <v/>
      </c>
    </row>
    <row r="596" spans="1:6" x14ac:dyDescent="0.25">
      <c r="A596" s="8" t="str">
        <f>IF(593&lt;=MAX(_Engine!$B$23,_Engine!$B$24),593,"")</f>
        <v/>
      </c>
      <c r="B596" s="9" t="str">
        <f>IF($A596="","",EDATE(_Engine!$B$2,$A596-1))</f>
        <v/>
      </c>
      <c r="C596" s="10" t="str">
        <f>IF($A596="","",IF($A596&lt;=_Engine!$B$23,_Engine!$E633,""))</f>
        <v/>
      </c>
      <c r="D596" s="10" t="str">
        <f>IF($A596="","",IF($A596&lt;=_Engine!$B$23,_Engine!$F633,""))</f>
        <v/>
      </c>
      <c r="E596" s="10" t="str">
        <f>IF($A596="","",IF($A596&lt;=_Engine!$B$24,_Engine!$G633,""))</f>
        <v/>
      </c>
      <c r="F596" s="10" t="str">
        <f>IF($A596="","",IF($A596&lt;=_Engine!$B$24,_Engine!$H633,""))</f>
        <v/>
      </c>
    </row>
    <row r="597" spans="1:6" x14ac:dyDescent="0.25">
      <c r="A597" s="8" t="str">
        <f>IF(594&lt;=MAX(_Engine!$B$23,_Engine!$B$24),594,"")</f>
        <v/>
      </c>
      <c r="B597" s="9" t="str">
        <f>IF($A597="","",EDATE(_Engine!$B$2,$A597-1))</f>
        <v/>
      </c>
      <c r="C597" s="10" t="str">
        <f>IF($A597="","",IF($A597&lt;=_Engine!$B$23,_Engine!$E634,""))</f>
        <v/>
      </c>
      <c r="D597" s="10" t="str">
        <f>IF($A597="","",IF($A597&lt;=_Engine!$B$23,_Engine!$F634,""))</f>
        <v/>
      </c>
      <c r="E597" s="10" t="str">
        <f>IF($A597="","",IF($A597&lt;=_Engine!$B$24,_Engine!$G634,""))</f>
        <v/>
      </c>
      <c r="F597" s="10" t="str">
        <f>IF($A597="","",IF($A597&lt;=_Engine!$B$24,_Engine!$H634,""))</f>
        <v/>
      </c>
    </row>
    <row r="598" spans="1:6" x14ac:dyDescent="0.25">
      <c r="A598" s="8" t="str">
        <f>IF(595&lt;=MAX(_Engine!$B$23,_Engine!$B$24),595,"")</f>
        <v/>
      </c>
      <c r="B598" s="9" t="str">
        <f>IF($A598="","",EDATE(_Engine!$B$2,$A598-1))</f>
        <v/>
      </c>
      <c r="C598" s="10" t="str">
        <f>IF($A598="","",IF($A598&lt;=_Engine!$B$23,_Engine!$E635,""))</f>
        <v/>
      </c>
      <c r="D598" s="10" t="str">
        <f>IF($A598="","",IF($A598&lt;=_Engine!$B$23,_Engine!$F635,""))</f>
        <v/>
      </c>
      <c r="E598" s="10" t="str">
        <f>IF($A598="","",IF($A598&lt;=_Engine!$B$24,_Engine!$G635,""))</f>
        <v/>
      </c>
      <c r="F598" s="10" t="str">
        <f>IF($A598="","",IF($A598&lt;=_Engine!$B$24,_Engine!$H635,""))</f>
        <v/>
      </c>
    </row>
    <row r="599" spans="1:6" x14ac:dyDescent="0.25">
      <c r="A599" s="8" t="str">
        <f>IF(596&lt;=MAX(_Engine!$B$23,_Engine!$B$24),596,"")</f>
        <v/>
      </c>
      <c r="B599" s="9" t="str">
        <f>IF($A599="","",EDATE(_Engine!$B$2,$A599-1))</f>
        <v/>
      </c>
      <c r="C599" s="10" t="str">
        <f>IF($A599="","",IF($A599&lt;=_Engine!$B$23,_Engine!$E636,""))</f>
        <v/>
      </c>
      <c r="D599" s="10" t="str">
        <f>IF($A599="","",IF($A599&lt;=_Engine!$B$23,_Engine!$F636,""))</f>
        <v/>
      </c>
      <c r="E599" s="10" t="str">
        <f>IF($A599="","",IF($A599&lt;=_Engine!$B$24,_Engine!$G636,""))</f>
        <v/>
      </c>
      <c r="F599" s="10" t="str">
        <f>IF($A599="","",IF($A599&lt;=_Engine!$B$24,_Engine!$H636,""))</f>
        <v/>
      </c>
    </row>
    <row r="600" spans="1:6" x14ac:dyDescent="0.25">
      <c r="A600" s="8" t="str">
        <f>IF(597&lt;=MAX(_Engine!$B$23,_Engine!$B$24),597,"")</f>
        <v/>
      </c>
      <c r="B600" s="9" t="str">
        <f>IF($A600="","",EDATE(_Engine!$B$2,$A600-1))</f>
        <v/>
      </c>
      <c r="C600" s="10" t="str">
        <f>IF($A600="","",IF($A600&lt;=_Engine!$B$23,_Engine!$E637,""))</f>
        <v/>
      </c>
      <c r="D600" s="10" t="str">
        <f>IF($A600="","",IF($A600&lt;=_Engine!$B$23,_Engine!$F637,""))</f>
        <v/>
      </c>
      <c r="E600" s="10" t="str">
        <f>IF($A600="","",IF($A600&lt;=_Engine!$B$24,_Engine!$G637,""))</f>
        <v/>
      </c>
      <c r="F600" s="10" t="str">
        <f>IF($A600="","",IF($A600&lt;=_Engine!$B$24,_Engine!$H637,""))</f>
        <v/>
      </c>
    </row>
    <row r="601" spans="1:6" x14ac:dyDescent="0.25">
      <c r="A601" s="8" t="str">
        <f>IF(598&lt;=MAX(_Engine!$B$23,_Engine!$B$24),598,"")</f>
        <v/>
      </c>
      <c r="B601" s="9" t="str">
        <f>IF($A601="","",EDATE(_Engine!$B$2,$A601-1))</f>
        <v/>
      </c>
      <c r="C601" s="10" t="str">
        <f>IF($A601="","",IF($A601&lt;=_Engine!$B$23,_Engine!$E638,""))</f>
        <v/>
      </c>
      <c r="D601" s="10" t="str">
        <f>IF($A601="","",IF($A601&lt;=_Engine!$B$23,_Engine!$F638,""))</f>
        <v/>
      </c>
      <c r="E601" s="10" t="str">
        <f>IF($A601="","",IF($A601&lt;=_Engine!$B$24,_Engine!$G638,""))</f>
        <v/>
      </c>
      <c r="F601" s="10" t="str">
        <f>IF($A601="","",IF($A601&lt;=_Engine!$B$24,_Engine!$H638,""))</f>
        <v/>
      </c>
    </row>
    <row r="602" spans="1:6" x14ac:dyDescent="0.25">
      <c r="A602" s="8" t="str">
        <f>IF(599&lt;=MAX(_Engine!$B$23,_Engine!$B$24),599,"")</f>
        <v/>
      </c>
      <c r="B602" s="9" t="str">
        <f>IF($A602="","",EDATE(_Engine!$B$2,$A602-1))</f>
        <v/>
      </c>
      <c r="C602" s="10" t="str">
        <f>IF($A602="","",IF($A602&lt;=_Engine!$B$23,_Engine!$E639,""))</f>
        <v/>
      </c>
      <c r="D602" s="10" t="str">
        <f>IF($A602="","",IF($A602&lt;=_Engine!$B$23,_Engine!$F639,""))</f>
        <v/>
      </c>
      <c r="E602" s="10" t="str">
        <f>IF($A602="","",IF($A602&lt;=_Engine!$B$24,_Engine!$G639,""))</f>
        <v/>
      </c>
      <c r="F602" s="10" t="str">
        <f>IF($A602="","",IF($A602&lt;=_Engine!$B$24,_Engine!$H639,""))</f>
        <v/>
      </c>
    </row>
    <row r="603" spans="1:6" x14ac:dyDescent="0.25">
      <c r="A603" s="8" t="str">
        <f>IF(600&lt;=MAX(_Engine!$B$23,_Engine!$B$24),600,"")</f>
        <v/>
      </c>
      <c r="B603" s="9" t="str">
        <f>IF($A603="","",EDATE(_Engine!$B$2,$A603-1))</f>
        <v/>
      </c>
      <c r="C603" s="10" t="str">
        <f>IF($A603="","",IF($A603&lt;=_Engine!$B$23,_Engine!$E640,""))</f>
        <v/>
      </c>
      <c r="D603" s="10" t="str">
        <f>IF($A603="","",IF($A603&lt;=_Engine!$B$23,_Engine!$F640,""))</f>
        <v/>
      </c>
      <c r="E603" s="10" t="str">
        <f>IF($A603="","",IF($A603&lt;=_Engine!$B$24,_Engine!$G640,""))</f>
        <v/>
      </c>
      <c r="F603" s="10" t="str">
        <f>IF($A603="","",IF($A603&lt;=_Engine!$B$24,_Engine!$H640,""))</f>
        <v/>
      </c>
    </row>
  </sheetData>
  <sheetProtection sheet="1" formatCells="0"/>
  <mergeCells count="2">
    <mergeCell ref="A2:F2"/>
    <mergeCell ref="A1:F1"/>
  </mergeCells>
  <conditionalFormatting sqref="A4:F603">
    <cfRule type="expression" dxfId="2" priority="3">
      <formula>AND($A4&lt;&gt;"",MOD(ROW(),2)=1)</formula>
    </cfRule>
    <cfRule type="expression" dxfId="1" priority="4">
      <formula>$A4&lt;&gt;""</formula>
    </cfRule>
  </conditionalFormatting>
  <pageMargins left="0.75" right="0.75" top="1" bottom="1" header="0.5" footer="0.5"/>
  <pageSetup fitToHeight="0" orientation="portrait"/>
  <headerFooter>
    <oddFooter>&amp;Lneedtheseapps.com&amp;CSavings Goal Calculator&amp;RPage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0000000-000E-0000-0100-000001000000}">
            <xm:f>AND($A4&lt;&gt;"",$A4=_Engine!$B$7)</xm:f>
            <x14:dxf>
              <font>
                <b/>
                <color rgb="FF12354E"/>
              </font>
              <fill>
                <patternFill patternType="solid">
                  <fgColor rgb="FFD9E8F5"/>
                </patternFill>
              </fill>
              <border>
                <bottom style="thin">
                  <color rgb="FFD6E1EA"/>
                </bottom>
              </border>
            </x14:dxf>
          </x14:cfRule>
          <xm:sqref>A4:D603</xm:sqref>
        </x14:conditionalFormatting>
        <x14:conditionalFormatting xmlns:xm="http://schemas.microsoft.com/office/excel/2006/main">
          <x14:cfRule type="expression" priority="2" stopIfTrue="1" id="{00000000-000E-0000-0100-000002000000}">
            <xm:f>AND($A4&lt;&gt;"",$A4=_Engine!$B$15)</xm:f>
            <x14:dxf>
              <font>
                <b/>
                <color rgb="FFA65F00"/>
              </font>
              <fill>
                <patternFill patternType="solid">
                  <fgColor rgb="FFFBEBD3"/>
                </patternFill>
              </fill>
              <border>
                <bottom style="thin">
                  <color rgb="FFD6E1EA"/>
                </bottom>
              </border>
            </x14:dxf>
          </x14:cfRule>
          <xm:sqref>E4:F603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0"/>
  <sheetViews>
    <sheetView showGridLines="0" workbookViewId="0"/>
  </sheetViews>
  <sheetFormatPr defaultRowHeight="15" x14ac:dyDescent="0.25"/>
  <cols>
    <col min="1" max="1" width="2.140625" customWidth="1"/>
    <col min="2" max="2" width="42" customWidth="1"/>
    <col min="3" max="3" width="62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26" t="s">
        <v>35</v>
      </c>
      <c r="C2" s="17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18" t="s">
        <v>36</v>
      </c>
      <c r="C4" s="17"/>
      <c r="D4" s="1"/>
    </row>
    <row r="5" spans="1:4" ht="36" customHeight="1" x14ac:dyDescent="0.25">
      <c r="A5" s="1"/>
      <c r="B5" s="33" t="s">
        <v>37</v>
      </c>
      <c r="C5" s="17"/>
      <c r="D5" s="1"/>
    </row>
    <row r="6" spans="1:4" ht="36" customHeight="1" x14ac:dyDescent="0.25">
      <c r="A6" s="1"/>
      <c r="B6" s="17"/>
      <c r="C6" s="17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18" t="s">
        <v>38</v>
      </c>
      <c r="C8" s="17"/>
      <c r="D8" s="1"/>
    </row>
    <row r="9" spans="1:4" ht="32.1" customHeight="1" x14ac:dyDescent="0.25">
      <c r="A9" s="1"/>
      <c r="B9" s="11" t="s">
        <v>39</v>
      </c>
      <c r="C9" s="12" t="s">
        <v>40</v>
      </c>
      <c r="D9" s="1"/>
    </row>
    <row r="10" spans="1:4" ht="21" customHeight="1" x14ac:dyDescent="0.25">
      <c r="A10" s="1"/>
      <c r="B10" s="11" t="s">
        <v>41</v>
      </c>
      <c r="C10" s="12" t="s">
        <v>42</v>
      </c>
      <c r="D10" s="1"/>
    </row>
    <row r="11" spans="1:4" ht="32.1" customHeight="1" x14ac:dyDescent="0.25">
      <c r="A11" s="1"/>
      <c r="B11" s="11" t="s">
        <v>43</v>
      </c>
      <c r="C11" s="12" t="s">
        <v>44</v>
      </c>
      <c r="D11" s="1"/>
    </row>
    <row r="12" spans="1:4" ht="21" customHeight="1" x14ac:dyDescent="0.25">
      <c r="A12" s="1"/>
      <c r="B12" s="11" t="s">
        <v>45</v>
      </c>
      <c r="C12" s="12" t="s">
        <v>46</v>
      </c>
      <c r="D12" s="1"/>
    </row>
    <row r="13" spans="1:4" ht="21" customHeight="1" x14ac:dyDescent="0.25">
      <c r="A13" s="1"/>
      <c r="B13" s="11" t="s">
        <v>47</v>
      </c>
      <c r="C13" s="12" t="s">
        <v>48</v>
      </c>
      <c r="D13" s="1"/>
    </row>
    <row r="14" spans="1:4" ht="21" customHeight="1" x14ac:dyDescent="0.25">
      <c r="A14" s="1"/>
      <c r="B14" s="11" t="s">
        <v>49</v>
      </c>
      <c r="C14" s="12" t="s">
        <v>50</v>
      </c>
      <c r="D14" s="1"/>
    </row>
    <row r="15" spans="1:4" ht="21" customHeight="1" x14ac:dyDescent="0.25">
      <c r="A15" s="1"/>
      <c r="B15" s="11" t="s">
        <v>51</v>
      </c>
      <c r="C15" s="12" t="s">
        <v>52</v>
      </c>
      <c r="D15" s="1"/>
    </row>
    <row r="16" spans="1:4" x14ac:dyDescent="0.25">
      <c r="A16" s="1"/>
      <c r="B16" s="1"/>
      <c r="C16" s="1"/>
      <c r="D16" s="1"/>
    </row>
    <row r="17" spans="1:4" ht="24" customHeight="1" x14ac:dyDescent="0.25">
      <c r="A17" s="1"/>
      <c r="B17" s="35" t="s">
        <v>3</v>
      </c>
      <c r="C17" s="17"/>
      <c r="D17" s="1"/>
    </row>
    <row r="18" spans="1:4" x14ac:dyDescent="0.25">
      <c r="A18" s="1"/>
      <c r="B18" s="1"/>
      <c r="C18" s="1"/>
      <c r="D18" s="1"/>
    </row>
    <row r="19" spans="1:4" ht="26.1" customHeight="1" x14ac:dyDescent="0.25">
      <c r="A19" s="1"/>
      <c r="B19" s="18" t="s">
        <v>53</v>
      </c>
      <c r="C19" s="17"/>
      <c r="D19" s="1"/>
    </row>
    <row r="20" spans="1:4" ht="32.1" customHeight="1" x14ac:dyDescent="0.25">
      <c r="A20" s="1"/>
      <c r="B20" s="11" t="s">
        <v>54</v>
      </c>
      <c r="C20" s="12" t="s">
        <v>55</v>
      </c>
      <c r="D20" s="1"/>
    </row>
    <row r="21" spans="1:4" ht="32.1" customHeight="1" x14ac:dyDescent="0.25">
      <c r="A21" s="1"/>
      <c r="B21" s="11" t="s">
        <v>56</v>
      </c>
      <c r="C21" s="12" t="s">
        <v>57</v>
      </c>
      <c r="D21" s="1"/>
    </row>
    <row r="22" spans="1:4" ht="32.1" customHeight="1" x14ac:dyDescent="0.25">
      <c r="A22" s="1"/>
      <c r="B22" s="11" t="s">
        <v>58</v>
      </c>
      <c r="C22" s="12" t="s">
        <v>59</v>
      </c>
      <c r="D22" s="1"/>
    </row>
    <row r="23" spans="1:4" ht="32.1" customHeight="1" x14ac:dyDescent="0.25">
      <c r="A23" s="1"/>
      <c r="B23" s="11" t="s">
        <v>60</v>
      </c>
      <c r="C23" s="12" t="s">
        <v>61</v>
      </c>
      <c r="D23" s="1"/>
    </row>
    <row r="24" spans="1:4" ht="32.1" customHeight="1" x14ac:dyDescent="0.25">
      <c r="A24" s="1"/>
      <c r="B24" s="11" t="s">
        <v>62</v>
      </c>
      <c r="C24" s="12" t="s">
        <v>63</v>
      </c>
      <c r="D24" s="1"/>
    </row>
    <row r="25" spans="1:4" ht="32.1" customHeight="1" x14ac:dyDescent="0.25">
      <c r="A25" s="1"/>
      <c r="B25" s="11" t="s">
        <v>64</v>
      </c>
      <c r="C25" s="12" t="s">
        <v>65</v>
      </c>
      <c r="D25" s="1"/>
    </row>
    <row r="26" spans="1:4" ht="32.1" customHeight="1" x14ac:dyDescent="0.25">
      <c r="A26" s="1"/>
      <c r="B26" s="11" t="s">
        <v>66</v>
      </c>
      <c r="C26" s="12" t="s">
        <v>67</v>
      </c>
      <c r="D26" s="1"/>
    </row>
    <row r="27" spans="1:4" ht="32.1" customHeight="1" x14ac:dyDescent="0.25">
      <c r="A27" s="1"/>
      <c r="B27" s="11" t="s">
        <v>68</v>
      </c>
      <c r="C27" s="12" t="s">
        <v>69</v>
      </c>
      <c r="D27" s="1"/>
    </row>
    <row r="28" spans="1:4" x14ac:dyDescent="0.25">
      <c r="A28" s="1"/>
      <c r="B28" s="1"/>
      <c r="C28" s="1"/>
      <c r="D28" s="1"/>
    </row>
    <row r="29" spans="1:4" ht="26.1" customHeight="1" x14ac:dyDescent="0.25">
      <c r="A29" s="1"/>
      <c r="B29" s="18" t="s">
        <v>70</v>
      </c>
      <c r="C29" s="17"/>
      <c r="D29" s="1"/>
    </row>
    <row r="30" spans="1:4" ht="21" customHeight="1" x14ac:dyDescent="0.25">
      <c r="A30" s="1"/>
      <c r="B30" s="11" t="s">
        <v>71</v>
      </c>
      <c r="C30" s="12" t="s">
        <v>72</v>
      </c>
      <c r="D30" s="1"/>
    </row>
    <row r="31" spans="1:4" ht="21" customHeight="1" x14ac:dyDescent="0.25">
      <c r="A31" s="1"/>
      <c r="B31" s="11" t="s">
        <v>73</v>
      </c>
      <c r="C31" s="12" t="s">
        <v>74</v>
      </c>
      <c r="D31" s="1"/>
    </row>
    <row r="32" spans="1:4" ht="21" customHeight="1" x14ac:dyDescent="0.25">
      <c r="A32" s="1"/>
      <c r="B32" s="11" t="s">
        <v>75</v>
      </c>
      <c r="C32" s="12" t="s">
        <v>76</v>
      </c>
      <c r="D32" s="1"/>
    </row>
    <row r="33" spans="1:4" ht="21" customHeight="1" x14ac:dyDescent="0.25">
      <c r="A33" s="1"/>
      <c r="B33" s="11" t="s">
        <v>77</v>
      </c>
      <c r="C33" s="12" t="s">
        <v>78</v>
      </c>
      <c r="D33" s="1"/>
    </row>
    <row r="34" spans="1:4" ht="21" customHeight="1" x14ac:dyDescent="0.25">
      <c r="A34" s="1"/>
      <c r="B34" s="11" t="s">
        <v>79</v>
      </c>
      <c r="C34" s="12" t="str">
        <f>"Shown in "&amp;Calculator!$C$8&amp;", which you set on the Calculator sheet."</f>
        <v>Shown in $, which you set on the Calculator sheet.</v>
      </c>
      <c r="D34" s="1"/>
    </row>
    <row r="35" spans="1:4" x14ac:dyDescent="0.25">
      <c r="A35" s="1"/>
      <c r="B35" s="1"/>
      <c r="C35" s="1"/>
      <c r="D35" s="1"/>
    </row>
    <row r="36" spans="1:4" ht="24" customHeight="1" x14ac:dyDescent="0.25">
      <c r="A36" s="1"/>
      <c r="B36" s="34" t="s">
        <v>80</v>
      </c>
      <c r="C36" s="17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</sheetData>
  <sheetProtection sheet="1" formatCells="0"/>
  <mergeCells count="8">
    <mergeCell ref="B2:C2"/>
    <mergeCell ref="B29:C29"/>
    <mergeCell ref="B19:C19"/>
    <mergeCell ref="B5:C6"/>
    <mergeCell ref="B36:C36"/>
    <mergeCell ref="B17:C17"/>
    <mergeCell ref="B8:C8"/>
    <mergeCell ref="B4:C4"/>
  </mergeCells>
  <hyperlinks>
    <hyperlink ref="B17" r:id="rId1" xr:uid="{00000000-0004-0000-0200-000000000000}"/>
  </hyperlinks>
  <pageMargins left="0.75" right="0.75" top="1" bottom="1" header="0.5" footer="0.5"/>
  <pageSetup fitToHeight="0" orientation="portrait"/>
  <headerFooter>
    <oddFooter>&amp;Lneedtheseapps.com&amp;CSavings Goal Calculator&amp;RPage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0"/>
  <sheetViews>
    <sheetView workbookViewId="0"/>
  </sheetViews>
  <sheetFormatPr defaultRowHeight="15" x14ac:dyDescent="0.25"/>
  <cols>
    <col min="1" max="1" width="52" customWidth="1"/>
    <col min="2" max="2" width="18" customWidth="1"/>
    <col min="4" max="14" width="16" customWidth="1"/>
  </cols>
  <sheetData>
    <row r="1" spans="1:2" ht="16.5" x14ac:dyDescent="0.25">
      <c r="A1" s="13" t="s">
        <v>81</v>
      </c>
    </row>
    <row r="2" spans="1:2" ht="16.5" x14ac:dyDescent="0.25">
      <c r="A2" s="14" t="s">
        <v>82</v>
      </c>
      <c r="B2" s="15">
        <f>DATE(YEAR(Calculator!$C$12),MONTH(Calculator!$C$12),1)</f>
        <v>46296</v>
      </c>
    </row>
    <row r="3" spans="1:2" ht="16.5" x14ac:dyDescent="0.25">
      <c r="A3" s="14" t="s">
        <v>83</v>
      </c>
      <c r="B3" s="15">
        <f>DATE(YEAR(Calculator!$C$18),MONTH(Calculator!$C$18),1)</f>
        <v>47027</v>
      </c>
    </row>
    <row r="4" spans="1:2" ht="16.5" x14ac:dyDescent="0.25">
      <c r="A4" s="14" t="s">
        <v>84</v>
      </c>
      <c r="B4" s="14">
        <f>POWER(1+Calculator!$C$11/100,1/12)-1</f>
        <v>2.4662697723036864E-3</v>
      </c>
    </row>
    <row r="5" spans="1:2" ht="16.5" x14ac:dyDescent="0.25">
      <c r="A5" s="14" t="s">
        <v>85</v>
      </c>
      <c r="B5" s="14">
        <f>IF(Calculator!$C$13="Yes",1,0)</f>
        <v>0</v>
      </c>
    </row>
    <row r="6" spans="1:2" ht="16.5" x14ac:dyDescent="0.25">
      <c r="A6" s="14" t="s">
        <v>86</v>
      </c>
      <c r="B6" s="14">
        <f>IF(Calculator!$C$10&gt;=Calculator!$C$9,1,0)</f>
        <v>0</v>
      </c>
    </row>
    <row r="7" spans="1:2" ht="16.5" x14ac:dyDescent="0.25">
      <c r="A7" s="14" t="s">
        <v>87</v>
      </c>
      <c r="B7" s="14">
        <f>(YEAR($B$3)-YEAR($B$2))*12+MONTH($B$3)-MONTH($B$2)</f>
        <v>24</v>
      </c>
    </row>
    <row r="8" spans="1:2" ht="16.5" x14ac:dyDescent="0.25">
      <c r="A8" s="14" t="s">
        <v>88</v>
      </c>
      <c r="B8" s="14">
        <f>IF(AND($B$6=0,$B$7&gt;=1),1,0)</f>
        <v>1</v>
      </c>
    </row>
    <row r="9" spans="1:2" ht="16.5" x14ac:dyDescent="0.25">
      <c r="A9" s="14" t="s">
        <v>89</v>
      </c>
      <c r="B9" s="14">
        <f>IF($B$7&lt;1,"",IF($B$5=1,Calculator!$C$9*POWER(1+Calculator!$C$14/100,$B$7/12),Calculator!$C$9))</f>
        <v>10000</v>
      </c>
    </row>
    <row r="10" spans="1:2" ht="16.5" x14ac:dyDescent="0.25">
      <c r="A10" s="14" t="s">
        <v>90</v>
      </c>
      <c r="B10" s="14">
        <f>IF($B$7&lt;1,"",IF($B$4=0,$B$7,(POWER(1+$B$4,$B$7)-1)/$B$4))</f>
        <v>24.693162396064775</v>
      </c>
    </row>
    <row r="11" spans="1:2" ht="16.5" x14ac:dyDescent="0.25">
      <c r="A11" s="14" t="s">
        <v>91</v>
      </c>
      <c r="B11" s="14">
        <f>IF($B$8=1,MAX(0,($B$9-Calculator!$C$10*POWER(1+$B$4,$B$7))/$B$10),"")</f>
        <v>404.97040596119228</v>
      </c>
    </row>
    <row r="12" spans="1:2" ht="16.5" x14ac:dyDescent="0.25">
      <c r="A12" s="14" t="s">
        <v>92</v>
      </c>
      <c r="B12" s="14">
        <f>IF($B$8=1,Calculator!$C$10+$B$11*$B$7,"")</f>
        <v>9719.2897430686153</v>
      </c>
    </row>
    <row r="13" spans="1:2" ht="16.5" x14ac:dyDescent="0.25">
      <c r="A13" s="14" t="s">
        <v>93</v>
      </c>
      <c r="B13" s="14">
        <f>IF($B$8=1,MAX(0,$B$9-$B$12),"")</f>
        <v>280.71025693138472</v>
      </c>
    </row>
    <row r="14" spans="1:2" ht="16.5" x14ac:dyDescent="0.25">
      <c r="A14" s="14" t="s">
        <v>94</v>
      </c>
      <c r="B14" s="14" t="str">
        <f>IF($B$8=1,IF($B$7&lt;1,"less than a month",IF(INT($B$7/12)&gt;0,INT($B$7/12)&amp;IF(INT($B$7/12)=1," year"," years"),"")&amp;IF(AND(INT($B$7/12)&gt;0,MOD($B$7,12)&gt;0)," and ","")&amp;IF(MOD($B$7,12)&gt;0,MOD($B$7,12)&amp;IF(MOD($B$7,12)=1," month"," months"),"")),"")</f>
        <v>2 years</v>
      </c>
    </row>
    <row r="15" spans="1:2" ht="16.5" x14ac:dyDescent="0.25">
      <c r="A15" s="14" t="s">
        <v>95</v>
      </c>
      <c r="B15" s="14">
        <f>IF($B$6=1,"",IFERROR(MATCH(1,$J$41:$J$640,0),""))</f>
        <v>33</v>
      </c>
    </row>
    <row r="16" spans="1:2" ht="16.5" x14ac:dyDescent="0.25">
      <c r="A16" s="14" t="s">
        <v>96</v>
      </c>
      <c r="B16" s="14">
        <f>IF(ISNUMBER($B$15),1,0)</f>
        <v>1</v>
      </c>
    </row>
    <row r="17" spans="1:2" ht="16.5" x14ac:dyDescent="0.25">
      <c r="A17" s="14" t="s">
        <v>97</v>
      </c>
      <c r="B17" s="14">
        <f>IF($B$16=1,INDEX($G$40:$G$640,$B$15+1),"")</f>
        <v>10300.799763706331</v>
      </c>
    </row>
    <row r="18" spans="1:2" ht="16.5" x14ac:dyDescent="0.25">
      <c r="A18" s="14" t="s">
        <v>98</v>
      </c>
      <c r="B18" s="14">
        <f>IF($B$16=1,INDEX($H$40:$H$640,$B$15+1),"")</f>
        <v>10000</v>
      </c>
    </row>
    <row r="19" spans="1:2" ht="16.5" x14ac:dyDescent="0.25">
      <c r="A19" s="14" t="s">
        <v>99</v>
      </c>
      <c r="B19" s="14">
        <f>IF($B$16=1,Calculator!$C$10+Calculator!$C$25*$B$15,"")</f>
        <v>9900</v>
      </c>
    </row>
    <row r="20" spans="1:2" ht="16.5" x14ac:dyDescent="0.25">
      <c r="A20" s="14" t="s">
        <v>100</v>
      </c>
      <c r="B20" s="14">
        <f>IF($B$16=1,MAX(0,$B$17-$B$19),"")</f>
        <v>400.79976370633085</v>
      </c>
    </row>
    <row r="21" spans="1:2" ht="16.5" x14ac:dyDescent="0.25">
      <c r="A21" s="14" t="s">
        <v>101</v>
      </c>
      <c r="B21" s="15">
        <f>IF($B$16=1,EDATE($B$2,$B$15-1),"")</f>
        <v>47270</v>
      </c>
    </row>
    <row r="22" spans="1:2" ht="16.5" x14ac:dyDescent="0.25">
      <c r="A22" s="14" t="s">
        <v>102</v>
      </c>
      <c r="B22" s="14" t="str">
        <f>IF($B$16=1,IF($B$15&lt;1,"less than a month",IF(INT($B$15/12)&gt;0,INT($B$15/12)&amp;IF(INT($B$15/12)=1," year"," years"),"")&amp;IF(AND(INT($B$15/12)&gt;0,MOD($B$15,12)&gt;0)," and ","")&amp;IF(MOD($B$15,12)&gt;0,MOD($B$15,12)&amp;IF(MOD($B$15,12)=1," month"," months"),"")),"")</f>
        <v>2 years and 9 months</v>
      </c>
    </row>
    <row r="23" spans="1:2" ht="16.5" x14ac:dyDescent="0.25">
      <c r="A23" s="14" t="s">
        <v>103</v>
      </c>
      <c r="B23" s="14">
        <f>IF($B$8=1,$B$7,-1)</f>
        <v>24</v>
      </c>
    </row>
    <row r="24" spans="1:2" ht="16.5" x14ac:dyDescent="0.25">
      <c r="A24" s="14" t="s">
        <v>104</v>
      </c>
      <c r="B24" s="14">
        <f>IF($B$6=1,-1,IF($B$16=1,$B$15,120))</f>
        <v>33</v>
      </c>
    </row>
    <row r="25" spans="1:2" ht="16.5" x14ac:dyDescent="0.25">
      <c r="A25" s="14" t="s">
        <v>105</v>
      </c>
      <c r="B25" s="14">
        <f>MAX($B$23,$B$24,0)+1</f>
        <v>34</v>
      </c>
    </row>
    <row r="26" spans="1:2" ht="16.5" x14ac:dyDescent="0.25">
      <c r="A26" s="14" t="s">
        <v>106</v>
      </c>
      <c r="B26" s="14">
        <f>INDEX($G$40:$G$640,601)</f>
        <v>411622.36873379262</v>
      </c>
    </row>
    <row r="39" spans="4:14" ht="16.5" x14ac:dyDescent="0.25">
      <c r="D39" s="13" t="s">
        <v>30</v>
      </c>
      <c r="E39" s="13" t="s">
        <v>107</v>
      </c>
      <c r="F39" s="13" t="s">
        <v>108</v>
      </c>
      <c r="G39" s="13" t="s">
        <v>109</v>
      </c>
      <c r="H39" s="13" t="s">
        <v>110</v>
      </c>
      <c r="I39" s="13" t="s">
        <v>111</v>
      </c>
      <c r="J39" s="13" t="s">
        <v>112</v>
      </c>
      <c r="K39" s="13" t="s">
        <v>113</v>
      </c>
      <c r="L39" s="13" t="s">
        <v>114</v>
      </c>
      <c r="M39" s="13" t="s">
        <v>115</v>
      </c>
      <c r="N39" s="13" t="s">
        <v>116</v>
      </c>
    </row>
    <row r="40" spans="4:14" ht="16.5" x14ac:dyDescent="0.25">
      <c r="D40" s="14">
        <v>0</v>
      </c>
      <c r="E40" s="14">
        <f>Calculator!$C$10</f>
        <v>0</v>
      </c>
      <c r="F40" s="14">
        <f>IF(AND($B$8=1,$D40&lt;=$B$7),IF($B$5=1,Calculator!$C$9*POWER(1+Calculator!$C$14/100,$D40/12),Calculator!$C$9),"")</f>
        <v>10000</v>
      </c>
      <c r="G40" s="14">
        <f>Calculator!$C$10</f>
        <v>0</v>
      </c>
      <c r="H40" s="14">
        <f>IF($B$5=1,Calculator!$C$9*POWER(1+Calculator!$C$14/100,$D40/12),Calculator!$C$9)</f>
        <v>10000</v>
      </c>
      <c r="J40" s="14">
        <v>0</v>
      </c>
      <c r="K40" s="14">
        <f t="shared" ref="K40:K103" si="0">IF($D40&lt;=$B$23,E40,NA())</f>
        <v>0</v>
      </c>
      <c r="L40" s="14">
        <f t="shared" ref="L40:L103" si="1">IF($D40&lt;=$B$23,F40,NA())</f>
        <v>10000</v>
      </c>
      <c r="M40" s="14">
        <f t="shared" ref="M40:M103" si="2">IF($D40&lt;=$B$24,G40,NA())</f>
        <v>0</v>
      </c>
      <c r="N40" s="14">
        <f t="shared" ref="N40:N103" si="3">IF($D40&lt;=$B$24,H40,NA())</f>
        <v>10000</v>
      </c>
    </row>
    <row r="41" spans="4:14" ht="16.5" x14ac:dyDescent="0.25">
      <c r="D41" s="14">
        <v>1</v>
      </c>
      <c r="E41" s="14">
        <f t="shared" ref="E41:E104" si="4">IF(AND($B$8=1,$D41&lt;=$B$7),E40*(1+$B$4)+$B$11,"")</f>
        <v>404.97040596119228</v>
      </c>
      <c r="F41" s="14">
        <f>IF(AND($B$8=1,$D41&lt;=$B$7),IF($B$5=1,Calculator!$C$9*POWER(1+Calculator!$C$14/100,$D41/12),Calculator!$C$9),"")</f>
        <v>10000</v>
      </c>
      <c r="G41" s="14">
        <f>G40*(1+$B$4)+Calculator!$C$25</f>
        <v>300</v>
      </c>
      <c r="H41" s="14">
        <f>IF($B$5=1,Calculator!$C$9*POWER(1+Calculator!$C$14/100,$D41/12),Calculator!$C$9)</f>
        <v>10000</v>
      </c>
      <c r="J41" s="14">
        <f t="shared" ref="J41:J104" si="5">IF(G41&gt;=H41,1,0)</f>
        <v>0</v>
      </c>
      <c r="K41" s="14">
        <f t="shared" si="0"/>
        <v>404.97040596119228</v>
      </c>
      <c r="L41" s="14">
        <f t="shared" si="1"/>
        <v>10000</v>
      </c>
      <c r="M41" s="14">
        <f t="shared" si="2"/>
        <v>300</v>
      </c>
      <c r="N41" s="14">
        <f t="shared" si="3"/>
        <v>10000</v>
      </c>
    </row>
    <row r="42" spans="4:14" ht="16.5" x14ac:dyDescent="0.25">
      <c r="D42" s="14">
        <v>2</v>
      </c>
      <c r="E42" s="14">
        <f t="shared" si="4"/>
        <v>810.93957819328421</v>
      </c>
      <c r="F42" s="14">
        <f>IF(AND($B$8=1,$D42&lt;=$B$7),IF($B$5=1,Calculator!$C$9*POWER(1+Calculator!$C$14/100,$D42/12),Calculator!$C$9),"")</f>
        <v>10000</v>
      </c>
      <c r="G42" s="14">
        <f>G41*(1+$B$4)+Calculator!$C$25</f>
        <v>600.73988093169112</v>
      </c>
      <c r="H42" s="14">
        <f>IF($B$5=1,Calculator!$C$9*POWER(1+Calculator!$C$14/100,$D42/12),Calculator!$C$9)</f>
        <v>10000</v>
      </c>
      <c r="J42" s="14">
        <f t="shared" si="5"/>
        <v>0</v>
      </c>
      <c r="K42" s="14">
        <f t="shared" si="0"/>
        <v>810.93957819328421</v>
      </c>
      <c r="L42" s="14">
        <f t="shared" si="1"/>
        <v>10000</v>
      </c>
      <c r="M42" s="14">
        <f t="shared" si="2"/>
        <v>600.73988093169112</v>
      </c>
      <c r="N42" s="14">
        <f t="shared" si="3"/>
        <v>10000</v>
      </c>
    </row>
    <row r="43" spans="4:14" ht="16.5" x14ac:dyDescent="0.25">
      <c r="D43" s="14">
        <v>3</v>
      </c>
      <c r="E43" s="14">
        <f t="shared" si="4"/>
        <v>1217.9099799233393</v>
      </c>
      <c r="F43" s="14">
        <f>IF(AND($B$8=1,$D43&lt;=$B$7),IF($B$5=1,Calculator!$C$9*POWER(1+Calculator!$C$14/100,$D43/12),Calculator!$C$9),"")</f>
        <v>10000</v>
      </c>
      <c r="G43" s="14">
        <f>G42*(1+$B$4)+Calculator!$C$25</f>
        <v>902.22146754105029</v>
      </c>
      <c r="H43" s="14">
        <f>IF($B$5=1,Calculator!$C$9*POWER(1+Calculator!$C$14/100,$D43/12),Calculator!$C$9)</f>
        <v>10000</v>
      </c>
      <c r="J43" s="14">
        <f t="shared" si="5"/>
        <v>0</v>
      </c>
      <c r="K43" s="14">
        <f t="shared" si="0"/>
        <v>1217.9099799233393</v>
      </c>
      <c r="L43" s="14">
        <f t="shared" si="1"/>
        <v>10000</v>
      </c>
      <c r="M43" s="14">
        <f t="shared" si="2"/>
        <v>902.22146754105029</v>
      </c>
      <c r="N43" s="14">
        <f t="shared" si="3"/>
        <v>10000</v>
      </c>
    </row>
    <row r="44" spans="4:14" ht="16.5" x14ac:dyDescent="0.25">
      <c r="D44" s="14">
        <v>4</v>
      </c>
      <c r="E44" s="14">
        <f t="shared" si="4"/>
        <v>1625.8840804534034</v>
      </c>
      <c r="F44" s="14">
        <f>IF(AND($B$8=1,$D44&lt;=$B$7),IF($B$5=1,Calculator!$C$9*POWER(1+Calculator!$C$14/100,$D44/12),Calculator!$C$9),"")</f>
        <v>10000</v>
      </c>
      <c r="G44" s="14">
        <f>G43*(1+$B$4)+Calculator!$C$25</f>
        <v>1204.4465890743702</v>
      </c>
      <c r="H44" s="14">
        <f>IF($B$5=1,Calculator!$C$9*POWER(1+Calculator!$C$14/100,$D44/12),Calculator!$C$9)</f>
        <v>10000</v>
      </c>
      <c r="J44" s="14">
        <f t="shared" si="5"/>
        <v>0</v>
      </c>
      <c r="K44" s="14">
        <f t="shared" si="0"/>
        <v>1625.8840804534034</v>
      </c>
      <c r="L44" s="14">
        <f t="shared" si="1"/>
        <v>10000</v>
      </c>
      <c r="M44" s="14">
        <f t="shared" si="2"/>
        <v>1204.4465890743702</v>
      </c>
      <c r="N44" s="14">
        <f t="shared" si="3"/>
        <v>10000</v>
      </c>
    </row>
    <row r="45" spans="4:14" ht="16.5" x14ac:dyDescent="0.25">
      <c r="D45" s="14">
        <v>5</v>
      </c>
      <c r="E45" s="14">
        <f t="shared" si="4"/>
        <v>2034.8643551754876</v>
      </c>
      <c r="F45" s="14">
        <f>IF(AND($B$8=1,$D45&lt;=$B$7),IF($B$5=1,Calculator!$C$9*POWER(1+Calculator!$C$14/100,$D45/12),Calculator!$C$9),"")</f>
        <v>10000</v>
      </c>
      <c r="G45" s="14">
        <f>G44*(1+$B$4)+Calculator!$C$25</f>
        <v>1507.4170792893585</v>
      </c>
      <c r="H45" s="14">
        <f>IF($B$5=1,Calculator!$C$9*POWER(1+Calculator!$C$14/100,$D45/12),Calculator!$C$9)</f>
        <v>10000</v>
      </c>
      <c r="J45" s="14">
        <f t="shared" si="5"/>
        <v>0</v>
      </c>
      <c r="K45" s="14">
        <f t="shared" si="0"/>
        <v>2034.8643551754876</v>
      </c>
      <c r="L45" s="14">
        <f t="shared" si="1"/>
        <v>10000</v>
      </c>
      <c r="M45" s="14">
        <f t="shared" si="2"/>
        <v>1507.4170792893585</v>
      </c>
      <c r="N45" s="14">
        <f t="shared" si="3"/>
        <v>10000</v>
      </c>
    </row>
    <row r="46" spans="4:14" ht="16.5" x14ac:dyDescent="0.25">
      <c r="D46" s="14">
        <v>6</v>
      </c>
      <c r="E46" s="14">
        <f t="shared" si="4"/>
        <v>2444.8532855865874</v>
      </c>
      <c r="F46" s="14">
        <f>IF(AND($B$8=1,$D46&lt;=$B$7),IF($B$5=1,Calculator!$C$9*POWER(1+Calculator!$C$14/100,$D46/12),Calculator!$C$9),"")</f>
        <v>10000</v>
      </c>
      <c r="G46" s="14">
        <f>G45*(1+$B$4)+Calculator!$C$25</f>
        <v>1811.1347764662642</v>
      </c>
      <c r="H46" s="14">
        <f>IF($B$5=1,Calculator!$C$9*POWER(1+Calculator!$C$14/100,$D46/12),Calculator!$C$9)</f>
        <v>10000</v>
      </c>
      <c r="J46" s="14">
        <f t="shared" si="5"/>
        <v>0</v>
      </c>
      <c r="K46" s="14">
        <f t="shared" si="0"/>
        <v>2444.8532855865874</v>
      </c>
      <c r="L46" s="14">
        <f t="shared" si="1"/>
        <v>10000</v>
      </c>
      <c r="M46" s="14">
        <f t="shared" si="2"/>
        <v>1811.1347764662642</v>
      </c>
      <c r="N46" s="14">
        <f t="shared" si="3"/>
        <v>10000</v>
      </c>
    </row>
    <row r="47" spans="4:14" ht="16.5" x14ac:dyDescent="0.25">
      <c r="D47" s="14">
        <v>7</v>
      </c>
      <c r="E47" s="14">
        <f t="shared" si="4"/>
        <v>2855.8533593037391</v>
      </c>
      <c r="F47" s="14">
        <f>IF(AND($B$8=1,$D47&lt;=$B$7),IF($B$5=1,Calculator!$C$9*POWER(1+Calculator!$C$14/100,$D47/12),Calculator!$C$9),"")</f>
        <v>10000</v>
      </c>
      <c r="G47" s="14">
        <f>G46*(1+$B$4)+Calculator!$C$25</f>
        <v>2115.6015234190309</v>
      </c>
      <c r="H47" s="14">
        <f>IF($B$5=1,Calculator!$C$9*POWER(1+Calculator!$C$14/100,$D47/12),Calculator!$C$9)</f>
        <v>10000</v>
      </c>
      <c r="J47" s="14">
        <f t="shared" si="5"/>
        <v>0</v>
      </c>
      <c r="K47" s="14">
        <f t="shared" si="0"/>
        <v>2855.8533593037391</v>
      </c>
      <c r="L47" s="14">
        <f t="shared" si="1"/>
        <v>10000</v>
      </c>
      <c r="M47" s="14">
        <f t="shared" si="2"/>
        <v>2115.6015234190309</v>
      </c>
      <c r="N47" s="14">
        <f t="shared" si="3"/>
        <v>10000</v>
      </c>
    </row>
    <row r="48" spans="4:14" ht="16.5" x14ac:dyDescent="0.25">
      <c r="D48" s="14">
        <v>8</v>
      </c>
      <c r="E48" s="14">
        <f t="shared" si="4"/>
        <v>3267.867070079114</v>
      </c>
      <c r="F48" s="14">
        <f>IF(AND($B$8=1,$D48&lt;=$B$7),IF($B$5=1,Calculator!$C$9*POWER(1+Calculator!$C$14/100,$D48/12),Calculator!$C$9),"")</f>
        <v>10000</v>
      </c>
      <c r="G48" s="14">
        <f>G47*(1+$B$4)+Calculator!$C$25</f>
        <v>2420.8191675064791</v>
      </c>
      <c r="H48" s="14">
        <f>IF($B$5=1,Calculator!$C$9*POWER(1+Calculator!$C$14/100,$D48/12),Calculator!$C$9)</f>
        <v>10000</v>
      </c>
      <c r="J48" s="14">
        <f t="shared" si="5"/>
        <v>0</v>
      </c>
      <c r="K48" s="14">
        <f t="shared" si="0"/>
        <v>3267.867070079114</v>
      </c>
      <c r="L48" s="14">
        <f t="shared" si="1"/>
        <v>10000</v>
      </c>
      <c r="M48" s="14">
        <f t="shared" si="2"/>
        <v>2420.8191675064791</v>
      </c>
      <c r="N48" s="14">
        <f t="shared" si="3"/>
        <v>10000</v>
      </c>
    </row>
    <row r="49" spans="4:14" ht="16.5" x14ac:dyDescent="0.25">
      <c r="D49" s="14">
        <v>9</v>
      </c>
      <c r="E49" s="14">
        <f t="shared" si="4"/>
        <v>3680.8969178151488</v>
      </c>
      <c r="F49" s="14">
        <f>IF(AND($B$8=1,$D49&lt;=$B$7),IF($B$5=1,Calculator!$C$9*POWER(1+Calculator!$C$14/100,$D49/12),Calculator!$C$9),"")</f>
        <v>10000</v>
      </c>
      <c r="G49" s="14">
        <f>G48*(1+$B$4)+Calculator!$C$25</f>
        <v>2726.7895606435136</v>
      </c>
      <c r="H49" s="14">
        <f>IF($B$5=1,Calculator!$C$9*POWER(1+Calculator!$C$14/100,$D49/12),Calculator!$C$9)</f>
        <v>10000</v>
      </c>
      <c r="J49" s="14">
        <f t="shared" si="5"/>
        <v>0</v>
      </c>
      <c r="K49" s="14">
        <f t="shared" si="0"/>
        <v>3680.8969178151488</v>
      </c>
      <c r="L49" s="14">
        <f t="shared" si="1"/>
        <v>10000</v>
      </c>
      <c r="M49" s="14">
        <f t="shared" si="2"/>
        <v>2726.7895606435136</v>
      </c>
      <c r="N49" s="14">
        <f t="shared" si="3"/>
        <v>10000</v>
      </c>
    </row>
    <row r="50" spans="4:14" ht="16.5" x14ac:dyDescent="0.25">
      <c r="D50" s="14">
        <v>10</v>
      </c>
      <c r="E50" s="14">
        <f t="shared" si="4"/>
        <v>4094.9454085797142</v>
      </c>
      <c r="F50" s="14">
        <f>IF(AND($B$8=1,$D50&lt;=$B$7),IF($B$5=1,Calculator!$C$9*POWER(1+Calculator!$C$14/100,$D50/12),Calculator!$C$9),"")</f>
        <v>10000</v>
      </c>
      <c r="G50" s="14">
        <f>G49*(1+$B$4)+Calculator!$C$25</f>
        <v>3033.5145593123621</v>
      </c>
      <c r="H50" s="14">
        <f>IF($B$5=1,Calculator!$C$9*POWER(1+Calculator!$C$14/100,$D50/12),Calculator!$C$9)</f>
        <v>10000</v>
      </c>
      <c r="J50" s="14">
        <f t="shared" si="5"/>
        <v>0</v>
      </c>
      <c r="K50" s="14">
        <f t="shared" si="0"/>
        <v>4094.9454085797142</v>
      </c>
      <c r="L50" s="14">
        <f t="shared" si="1"/>
        <v>10000</v>
      </c>
      <c r="M50" s="14">
        <f t="shared" si="2"/>
        <v>3033.5145593123621</v>
      </c>
      <c r="N50" s="14">
        <f t="shared" si="3"/>
        <v>10000</v>
      </c>
    </row>
    <row r="51" spans="4:14" ht="16.5" x14ac:dyDescent="0.25">
      <c r="D51" s="14">
        <v>11</v>
      </c>
      <c r="E51" s="14">
        <f t="shared" si="4"/>
        <v>4510.0150546213208</v>
      </c>
      <c r="F51" s="14">
        <f>IF(AND($B$8=1,$D51&lt;=$B$7),IF($B$5=1,Calculator!$C$9*POWER(1+Calculator!$C$14/100,$D51/12),Calculator!$C$9),"")</f>
        <v>10000</v>
      </c>
      <c r="G51" s="14">
        <f>G50*(1+$B$4)+Calculator!$C$25</f>
        <v>3340.9960245738371</v>
      </c>
      <c r="H51" s="14">
        <f>IF($B$5=1,Calculator!$C$9*POWER(1+Calculator!$C$14/100,$D51/12),Calculator!$C$9)</f>
        <v>10000</v>
      </c>
      <c r="J51" s="14">
        <f t="shared" si="5"/>
        <v>0</v>
      </c>
      <c r="K51" s="14">
        <f t="shared" si="0"/>
        <v>4510.0150546213208</v>
      </c>
      <c r="L51" s="14">
        <f t="shared" si="1"/>
        <v>10000</v>
      </c>
      <c r="M51" s="14">
        <f t="shared" si="2"/>
        <v>3340.9960245738371</v>
      </c>
      <c r="N51" s="14">
        <f t="shared" si="3"/>
        <v>10000</v>
      </c>
    </row>
    <row r="52" spans="4:14" ht="16.5" x14ac:dyDescent="0.25">
      <c r="D52" s="14">
        <v>12</v>
      </c>
      <c r="E52" s="14">
        <f t="shared" si="4"/>
        <v>4926.1083743843601</v>
      </c>
      <c r="F52" s="14">
        <f>IF(AND($B$8=1,$D52&lt;=$B$7),IF($B$5=1,Calculator!$C$9*POWER(1+Calculator!$C$14/100,$D52/12),Calculator!$C$9),"")</f>
        <v>10000</v>
      </c>
      <c r="G52" s="14">
        <f>G51*(1+$B$4)+Calculator!$C$25</f>
        <v>3649.2358220786305</v>
      </c>
      <c r="H52" s="14">
        <f>IF($B$5=1,Calculator!$C$9*POWER(1+Calculator!$C$14/100,$D52/12),Calculator!$C$9)</f>
        <v>10000</v>
      </c>
      <c r="J52" s="14">
        <f t="shared" si="5"/>
        <v>0</v>
      </c>
      <c r="K52" s="14">
        <f t="shared" si="0"/>
        <v>4926.1083743843601</v>
      </c>
      <c r="L52" s="14">
        <f t="shared" si="1"/>
        <v>10000</v>
      </c>
      <c r="M52" s="14">
        <f t="shared" si="2"/>
        <v>3649.2358220786305</v>
      </c>
      <c r="N52" s="14">
        <f t="shared" si="3"/>
        <v>10000</v>
      </c>
    </row>
    <row r="53" spans="4:14" ht="16.5" x14ac:dyDescent="0.25">
      <c r="D53" s="14">
        <v>13</v>
      </c>
      <c r="E53" s="14">
        <f t="shared" si="4"/>
        <v>5343.2278925243882</v>
      </c>
      <c r="F53" s="14">
        <f>IF(AND($B$8=1,$D53&lt;=$B$7),IF($B$5=1,Calculator!$C$9*POWER(1+Calculator!$C$14/100,$D53/12),Calculator!$C$9),"")</f>
        <v>10000</v>
      </c>
      <c r="G53" s="14">
        <f>G52*(1+$B$4)+Calculator!$C$25</f>
        <v>3958.2358220786309</v>
      </c>
      <c r="H53" s="14">
        <f>IF($B$5=1,Calculator!$C$9*POWER(1+Calculator!$C$14/100,$D53/12),Calculator!$C$9)</f>
        <v>10000</v>
      </c>
      <c r="J53" s="14">
        <f t="shared" si="5"/>
        <v>0</v>
      </c>
      <c r="K53" s="14">
        <f t="shared" si="0"/>
        <v>5343.2278925243882</v>
      </c>
      <c r="L53" s="14">
        <f t="shared" si="1"/>
        <v>10000</v>
      </c>
      <c r="M53" s="14">
        <f t="shared" si="2"/>
        <v>3958.2358220786309</v>
      </c>
      <c r="N53" s="14">
        <f t="shared" si="3"/>
        <v>10000</v>
      </c>
    </row>
    <row r="54" spans="4:14" ht="16.5" x14ac:dyDescent="0.25">
      <c r="D54" s="14">
        <v>14</v>
      </c>
      <c r="E54" s="14">
        <f t="shared" si="4"/>
        <v>5761.3761399234436</v>
      </c>
      <c r="F54" s="14">
        <f>IF(AND($B$8=1,$D54&lt;=$B$7),IF($B$5=1,Calculator!$C$9*POWER(1+Calculator!$C$14/100,$D54/12),Calculator!$C$9),"")</f>
        <v>10000</v>
      </c>
      <c r="G54" s="14">
        <f>G53*(1+$B$4)+Calculator!$C$25</f>
        <v>4267.9978994382727</v>
      </c>
      <c r="H54" s="14">
        <f>IF($B$5=1,Calculator!$C$9*POWER(1+Calculator!$C$14/100,$D54/12),Calculator!$C$9)</f>
        <v>10000</v>
      </c>
      <c r="J54" s="14">
        <f t="shared" si="5"/>
        <v>0</v>
      </c>
      <c r="K54" s="14">
        <f t="shared" si="0"/>
        <v>5761.3761399234436</v>
      </c>
      <c r="L54" s="14">
        <f t="shared" si="1"/>
        <v>10000</v>
      </c>
      <c r="M54" s="14">
        <f t="shared" si="2"/>
        <v>4267.9978994382727</v>
      </c>
      <c r="N54" s="14">
        <f t="shared" si="3"/>
        <v>10000</v>
      </c>
    </row>
    <row r="55" spans="4:14" ht="16.5" x14ac:dyDescent="0.25">
      <c r="D55" s="14">
        <v>15</v>
      </c>
      <c r="E55" s="14">
        <f t="shared" si="4"/>
        <v>6180.5556537054008</v>
      </c>
      <c r="F55" s="14">
        <f>IF(AND($B$8=1,$D55&lt;=$B$7),IF($B$5=1,Calculator!$C$9*POWER(1+Calculator!$C$14/100,$D55/12),Calculator!$C$9),"")</f>
        <v>10000</v>
      </c>
      <c r="G55" s="14">
        <f>G54*(1+$B$4)+Calculator!$C$25</f>
        <v>4578.5239336459126</v>
      </c>
      <c r="H55" s="14">
        <f>IF($B$5=1,Calculator!$C$9*POWER(1+Calculator!$C$14/100,$D55/12),Calculator!$C$9)</f>
        <v>10000</v>
      </c>
      <c r="J55" s="14">
        <f t="shared" si="5"/>
        <v>0</v>
      </c>
      <c r="K55" s="14">
        <f t="shared" si="0"/>
        <v>6180.5556537054008</v>
      </c>
      <c r="L55" s="14">
        <f t="shared" si="1"/>
        <v>10000</v>
      </c>
      <c r="M55" s="14">
        <f t="shared" si="2"/>
        <v>4578.5239336459126</v>
      </c>
      <c r="N55" s="14">
        <f t="shared" si="3"/>
        <v>10000</v>
      </c>
    </row>
    <row r="56" spans="4:14" ht="16.5" x14ac:dyDescent="0.25">
      <c r="D56" s="14">
        <v>16</v>
      </c>
      <c r="E56" s="14">
        <f t="shared" si="4"/>
        <v>6600.7689772513677</v>
      </c>
      <c r="F56" s="14">
        <f>IF(AND($B$8=1,$D56&lt;=$B$7),IF($B$5=1,Calculator!$C$9*POWER(1+Calculator!$C$14/100,$D56/12),Calculator!$C$9),"")</f>
        <v>10000</v>
      </c>
      <c r="G56" s="14">
        <f>G55*(1+$B$4)+Calculator!$C$25</f>
        <v>4889.8158088252321</v>
      </c>
      <c r="H56" s="14">
        <f>IF($B$5=1,Calculator!$C$9*POWER(1+Calculator!$C$14/100,$D56/12),Calculator!$C$9)</f>
        <v>10000</v>
      </c>
      <c r="J56" s="14">
        <f t="shared" si="5"/>
        <v>0</v>
      </c>
      <c r="K56" s="14">
        <f t="shared" si="0"/>
        <v>6600.7689772513677</v>
      </c>
      <c r="L56" s="14">
        <f t="shared" si="1"/>
        <v>10000</v>
      </c>
      <c r="M56" s="14">
        <f t="shared" si="2"/>
        <v>4889.8158088252321</v>
      </c>
      <c r="N56" s="14">
        <f t="shared" si="3"/>
        <v>10000</v>
      </c>
    </row>
    <row r="57" spans="4:14" ht="16.5" x14ac:dyDescent="0.25">
      <c r="D57" s="14">
        <v>17</v>
      </c>
      <c r="E57" s="14">
        <f t="shared" si="4"/>
        <v>7022.0186602151152</v>
      </c>
      <c r="F57" s="14">
        <f>IF(AND($B$8=1,$D57&lt;=$B$7),IF($B$5=1,Calculator!$C$9*POWER(1+Calculator!$C$14/100,$D57/12),Calculator!$C$9),"")</f>
        <v>10000</v>
      </c>
      <c r="G57" s="14">
        <f>G56*(1+$B$4)+Calculator!$C$25</f>
        <v>5201.8754137466703</v>
      </c>
      <c r="H57" s="14">
        <f>IF($B$5=1,Calculator!$C$9*POWER(1+Calculator!$C$14/100,$D57/12),Calculator!$C$9)</f>
        <v>10000</v>
      </c>
      <c r="J57" s="14">
        <f t="shared" si="5"/>
        <v>0</v>
      </c>
      <c r="K57" s="14">
        <f t="shared" si="0"/>
        <v>7022.0186602151152</v>
      </c>
      <c r="L57" s="14">
        <f t="shared" si="1"/>
        <v>10000</v>
      </c>
      <c r="M57" s="14">
        <f t="shared" si="2"/>
        <v>5201.8754137466703</v>
      </c>
      <c r="N57" s="14">
        <f t="shared" si="3"/>
        <v>10000</v>
      </c>
    </row>
    <row r="58" spans="4:14" ht="16.5" x14ac:dyDescent="0.25">
      <c r="D58" s="14">
        <v>18</v>
      </c>
      <c r="E58" s="14">
        <f t="shared" si="4"/>
        <v>7444.307258538548</v>
      </c>
      <c r="F58" s="14">
        <f>IF(AND($B$8=1,$D58&lt;=$B$7),IF($B$5=1,Calculator!$C$9*POWER(1+Calculator!$C$14/100,$D58/12),Calculator!$C$9),"")</f>
        <v>10000</v>
      </c>
      <c r="G58" s="14">
        <f>G57*(1+$B$4)+Calculator!$C$25</f>
        <v>5514.7046418388836</v>
      </c>
      <c r="H58" s="14">
        <f>IF($B$5=1,Calculator!$C$9*POWER(1+Calculator!$C$14/100,$D58/12),Calculator!$C$9)</f>
        <v>10000</v>
      </c>
      <c r="J58" s="14">
        <f t="shared" si="5"/>
        <v>0</v>
      </c>
      <c r="K58" s="14">
        <f t="shared" si="0"/>
        <v>7444.307258538548</v>
      </c>
      <c r="L58" s="14">
        <f t="shared" si="1"/>
        <v>10000</v>
      </c>
      <c r="M58" s="14">
        <f t="shared" si="2"/>
        <v>5514.7046418388836</v>
      </c>
      <c r="N58" s="14">
        <f t="shared" si="3"/>
        <v>10000</v>
      </c>
    </row>
    <row r="59" spans="4:14" ht="16.5" x14ac:dyDescent="0.25">
      <c r="D59" s="14">
        <v>19</v>
      </c>
      <c r="E59" s="14">
        <f t="shared" si="4"/>
        <v>7867.6373344672147</v>
      </c>
      <c r="F59" s="14">
        <f>IF(AND($B$8=1,$D59&lt;=$B$7),IF($B$5=1,Calculator!$C$9*POWER(1+Calculator!$C$14/100,$D59/12),Calculator!$C$9),"")</f>
        <v>10000</v>
      </c>
      <c r="G59" s="14">
        <f>G58*(1+$B$4)+Calculator!$C$25</f>
        <v>5828.3053912002333</v>
      </c>
      <c r="H59" s="14">
        <f>IF($B$5=1,Calculator!$C$9*POWER(1+Calculator!$C$14/100,$D59/12),Calculator!$C$9)</f>
        <v>10000</v>
      </c>
      <c r="J59" s="14">
        <f t="shared" si="5"/>
        <v>0</v>
      </c>
      <c r="K59" s="14">
        <f t="shared" si="0"/>
        <v>7867.6373344672147</v>
      </c>
      <c r="L59" s="14">
        <f t="shared" si="1"/>
        <v>10000</v>
      </c>
      <c r="M59" s="14">
        <f t="shared" si="2"/>
        <v>5828.3053912002333</v>
      </c>
      <c r="N59" s="14">
        <f t="shared" si="3"/>
        <v>10000</v>
      </c>
    </row>
    <row r="60" spans="4:14" ht="16.5" x14ac:dyDescent="0.25">
      <c r="D60" s="14">
        <v>20</v>
      </c>
      <c r="E60" s="14">
        <f t="shared" si="4"/>
        <v>8292.0114565658514</v>
      </c>
      <c r="F60" s="14">
        <f>IF(AND($B$8=1,$D60&lt;=$B$7),IF($B$5=1,Calculator!$C$9*POWER(1+Calculator!$C$14/100,$D60/12),Calculator!$C$9),"")</f>
        <v>10000</v>
      </c>
      <c r="G60" s="14">
        <f>G59*(1+$B$4)+Calculator!$C$25</f>
        <v>6142.6795646103046</v>
      </c>
      <c r="H60" s="14">
        <f>IF($B$5=1,Calculator!$C$9*POWER(1+Calculator!$C$14/100,$D60/12),Calculator!$C$9)</f>
        <v>10000</v>
      </c>
      <c r="J60" s="14">
        <f t="shared" si="5"/>
        <v>0</v>
      </c>
      <c r="K60" s="14">
        <f t="shared" si="0"/>
        <v>8292.0114565658514</v>
      </c>
      <c r="L60" s="14">
        <f t="shared" si="1"/>
        <v>10000</v>
      </c>
      <c r="M60" s="14">
        <f t="shared" si="2"/>
        <v>6142.6795646103046</v>
      </c>
      <c r="N60" s="14">
        <f t="shared" si="3"/>
        <v>10000</v>
      </c>
    </row>
    <row r="61" spans="4:14" ht="16.5" x14ac:dyDescent="0.25">
      <c r="D61" s="14">
        <v>21</v>
      </c>
      <c r="E61" s="14">
        <f t="shared" si="4"/>
        <v>8717.4321997339684</v>
      </c>
      <c r="F61" s="14">
        <f>IF(AND($B$8=1,$D61&lt;=$B$7),IF($B$5=1,Calculator!$C$9*POWER(1+Calculator!$C$14/100,$D61/12),Calculator!$C$9),"")</f>
        <v>10000</v>
      </c>
      <c r="G61" s="14">
        <f>G60*(1+$B$4)+Calculator!$C$25</f>
        <v>6457.8290695414507</v>
      </c>
      <c r="H61" s="14">
        <f>IF($B$5=1,Calculator!$C$9*POWER(1+Calculator!$C$14/100,$D61/12),Calculator!$C$9)</f>
        <v>10000</v>
      </c>
      <c r="J61" s="14">
        <f t="shared" si="5"/>
        <v>0</v>
      </c>
      <c r="K61" s="14">
        <f t="shared" si="0"/>
        <v>8717.4321997339684</v>
      </c>
      <c r="L61" s="14">
        <f t="shared" si="1"/>
        <v>10000</v>
      </c>
      <c r="M61" s="14">
        <f t="shared" si="2"/>
        <v>6457.8290695414507</v>
      </c>
      <c r="N61" s="14">
        <f t="shared" si="3"/>
        <v>10000</v>
      </c>
    </row>
    <row r="62" spans="4:14" ht="16.5" x14ac:dyDescent="0.25">
      <c r="D62" s="14">
        <v>22</v>
      </c>
      <c r="E62" s="14">
        <f t="shared" si="4"/>
        <v>9143.9021452214711</v>
      </c>
      <c r="F62" s="14">
        <f>IF(AND($B$8=1,$D62&lt;=$B$7),IF($B$5=1,Calculator!$C$9*POWER(1+Calculator!$C$14/100,$D62/12),Calculator!$C$9),"")</f>
        <v>10000</v>
      </c>
      <c r="G62" s="14">
        <f>G61*(1+$B$4)+Calculator!$C$25</f>
        <v>6773.7558181703653</v>
      </c>
      <c r="H62" s="14">
        <f>IF($B$5=1,Calculator!$C$9*POWER(1+Calculator!$C$14/100,$D62/12),Calculator!$C$9)</f>
        <v>10000</v>
      </c>
      <c r="J62" s="14">
        <f t="shared" si="5"/>
        <v>0</v>
      </c>
      <c r="K62" s="14">
        <f t="shared" si="0"/>
        <v>9143.9021452214711</v>
      </c>
      <c r="L62" s="14">
        <f t="shared" si="1"/>
        <v>10000</v>
      </c>
      <c r="M62" s="14">
        <f t="shared" si="2"/>
        <v>6773.7558181703653</v>
      </c>
      <c r="N62" s="14">
        <f t="shared" si="3"/>
        <v>10000</v>
      </c>
    </row>
    <row r="63" spans="4:14" ht="16.5" x14ac:dyDescent="0.25">
      <c r="D63" s="14">
        <v>23</v>
      </c>
      <c r="E63" s="14">
        <f t="shared" si="4"/>
        <v>9571.4238806443263</v>
      </c>
      <c r="F63" s="14">
        <f>IF(AND($B$8=1,$D63&lt;=$B$7),IF($B$5=1,Calculator!$C$9*POWER(1+Calculator!$C$14/100,$D63/12),Calculator!$C$9),"")</f>
        <v>10000</v>
      </c>
      <c r="G63" s="14">
        <f>G62*(1+$B$4)+Calculator!$C$25</f>
        <v>7090.4617273896847</v>
      </c>
      <c r="H63" s="14">
        <f>IF($B$5=1,Calculator!$C$9*POWER(1+Calculator!$C$14/100,$D63/12),Calculator!$C$9)</f>
        <v>10000</v>
      </c>
      <c r="J63" s="14">
        <f t="shared" si="5"/>
        <v>0</v>
      </c>
      <c r="K63" s="14">
        <f t="shared" si="0"/>
        <v>9571.4238806443263</v>
      </c>
      <c r="L63" s="14">
        <f t="shared" si="1"/>
        <v>10000</v>
      </c>
      <c r="M63" s="14">
        <f t="shared" si="2"/>
        <v>7090.4617273896847</v>
      </c>
      <c r="N63" s="14">
        <f t="shared" si="3"/>
        <v>10000</v>
      </c>
    </row>
    <row r="64" spans="4:14" ht="16.5" x14ac:dyDescent="0.25">
      <c r="D64" s="14">
        <v>24</v>
      </c>
      <c r="E64" s="14">
        <f t="shared" si="4"/>
        <v>10000.000000000256</v>
      </c>
      <c r="F64" s="14">
        <f>IF(AND($B$8=1,$D64&lt;=$B$7),IF($B$5=1,Calculator!$C$9*POWER(1+Calculator!$C$14/100,$D64/12),Calculator!$C$9),"")</f>
        <v>10000</v>
      </c>
      <c r="G64" s="14">
        <f>G63*(1+$B$4)+Calculator!$C$25</f>
        <v>7407.9487188196217</v>
      </c>
      <c r="H64" s="14">
        <f>IF($B$5=1,Calculator!$C$9*POWER(1+Calculator!$C$14/100,$D64/12),Calculator!$C$9)</f>
        <v>10000</v>
      </c>
      <c r="J64" s="14">
        <f t="shared" si="5"/>
        <v>0</v>
      </c>
      <c r="K64" s="14">
        <f t="shared" si="0"/>
        <v>10000.000000000256</v>
      </c>
      <c r="L64" s="14">
        <f t="shared" si="1"/>
        <v>10000</v>
      </c>
      <c r="M64" s="14">
        <f t="shared" si="2"/>
        <v>7407.9487188196217</v>
      </c>
      <c r="N64" s="14">
        <f t="shared" si="3"/>
        <v>10000</v>
      </c>
    </row>
    <row r="65" spans="4:14" ht="16.5" x14ac:dyDescent="0.25">
      <c r="D65" s="14">
        <v>25</v>
      </c>
      <c r="E65" s="14" t="str">
        <f t="shared" si="4"/>
        <v/>
      </c>
      <c r="F65" s="14" t="str">
        <f>IF(AND($B$8=1,$D65&lt;=$B$7),IF($B$5=1,Calculator!$C$9*POWER(1+Calculator!$C$14/100,$D65/12),Calculator!$C$9),"")</f>
        <v/>
      </c>
      <c r="G65" s="14">
        <f>G64*(1+$B$4)+Calculator!$C$25</f>
        <v>7726.2187188196222</v>
      </c>
      <c r="H65" s="14">
        <f>IF($B$5=1,Calculator!$C$9*POWER(1+Calculator!$C$14/100,$D65/12),Calculator!$C$9)</f>
        <v>10000</v>
      </c>
      <c r="J65" s="14">
        <f t="shared" si="5"/>
        <v>0</v>
      </c>
      <c r="K65" s="14" t="e">
        <f t="shared" si="0"/>
        <v>#N/A</v>
      </c>
      <c r="L65" s="14" t="e">
        <f t="shared" si="1"/>
        <v>#N/A</v>
      </c>
      <c r="M65" s="14">
        <f t="shared" si="2"/>
        <v>7726.2187188196222</v>
      </c>
      <c r="N65" s="14">
        <f t="shared" si="3"/>
        <v>10000</v>
      </c>
    </row>
    <row r="66" spans="4:14" ht="16.5" x14ac:dyDescent="0.25">
      <c r="D66" s="14">
        <v>26</v>
      </c>
      <c r="E66" s="14" t="str">
        <f t="shared" si="4"/>
        <v/>
      </c>
      <c r="F66" s="14" t="str">
        <f>IF(AND($B$8=1,$D66&lt;=$B$7),IF($B$5=1,Calculator!$C$9*POWER(1+Calculator!$C$14/100,$D66/12),Calculator!$C$9),"")</f>
        <v/>
      </c>
      <c r="G66" s="14">
        <f>G65*(1+$B$4)+Calculator!$C$25</f>
        <v>8045.2736585000539</v>
      </c>
      <c r="H66" s="14">
        <f>IF($B$5=1,Calculator!$C$9*POWER(1+Calculator!$C$14/100,$D66/12),Calculator!$C$9)</f>
        <v>10000</v>
      </c>
      <c r="J66" s="14">
        <f t="shared" si="5"/>
        <v>0</v>
      </c>
      <c r="K66" s="14" t="e">
        <f t="shared" si="0"/>
        <v>#N/A</v>
      </c>
      <c r="L66" s="14" t="e">
        <f t="shared" si="1"/>
        <v>#N/A</v>
      </c>
      <c r="M66" s="14">
        <f t="shared" si="2"/>
        <v>8045.2736585000539</v>
      </c>
      <c r="N66" s="14">
        <f t="shared" si="3"/>
        <v>10000</v>
      </c>
    </row>
    <row r="67" spans="4:14" ht="16.5" x14ac:dyDescent="0.25">
      <c r="D67" s="14">
        <v>27</v>
      </c>
      <c r="E67" s="14" t="str">
        <f t="shared" si="4"/>
        <v/>
      </c>
      <c r="F67" s="14" t="str">
        <f>IF(AND($B$8=1,$D67&lt;=$B$7),IF($B$5=1,Calculator!$C$9*POWER(1+Calculator!$C$14/100,$D67/12),Calculator!$C$9),"")</f>
        <v/>
      </c>
      <c r="G67" s="14">
        <f>G66*(1+$B$4)+Calculator!$C$25</f>
        <v>8365.1154737339239</v>
      </c>
      <c r="H67" s="14">
        <f>IF($B$5=1,Calculator!$C$9*POWER(1+Calculator!$C$14/100,$D67/12),Calculator!$C$9)</f>
        <v>10000</v>
      </c>
      <c r="J67" s="14">
        <f t="shared" si="5"/>
        <v>0</v>
      </c>
      <c r="K67" s="14" t="e">
        <f t="shared" si="0"/>
        <v>#N/A</v>
      </c>
      <c r="L67" s="14" t="e">
        <f t="shared" si="1"/>
        <v>#N/A</v>
      </c>
      <c r="M67" s="14">
        <f t="shared" si="2"/>
        <v>8365.1154737339239</v>
      </c>
      <c r="N67" s="14">
        <f t="shared" si="3"/>
        <v>10000</v>
      </c>
    </row>
    <row r="68" spans="4:14" ht="16.5" x14ac:dyDescent="0.25">
      <c r="D68" s="14">
        <v>28</v>
      </c>
      <c r="E68" s="14" t="str">
        <f t="shared" si="4"/>
        <v/>
      </c>
      <c r="F68" s="14" t="str">
        <f>IF(AND($B$8=1,$D68&lt;=$B$7),IF($B$5=1,Calculator!$C$9*POWER(1+Calculator!$C$14/100,$D68/12),Calculator!$C$9),"")</f>
        <v/>
      </c>
      <c r="G68" s="14">
        <f>G67*(1+$B$4)+Calculator!$C$25</f>
        <v>8685.7461051686241</v>
      </c>
      <c r="H68" s="14">
        <f>IF($B$5=1,Calculator!$C$9*POWER(1+Calculator!$C$14/100,$D68/12),Calculator!$C$9)</f>
        <v>10000</v>
      </c>
      <c r="J68" s="14">
        <f t="shared" si="5"/>
        <v>0</v>
      </c>
      <c r="K68" s="14" t="e">
        <f t="shared" si="0"/>
        <v>#N/A</v>
      </c>
      <c r="L68" s="14" t="e">
        <f t="shared" si="1"/>
        <v>#N/A</v>
      </c>
      <c r="M68" s="14">
        <f t="shared" si="2"/>
        <v>8685.7461051686241</v>
      </c>
      <c r="N68" s="14">
        <f t="shared" si="3"/>
        <v>10000</v>
      </c>
    </row>
    <row r="69" spans="4:14" ht="16.5" x14ac:dyDescent="0.25">
      <c r="D69" s="14">
        <v>29</v>
      </c>
      <c r="E69" s="14" t="str">
        <f t="shared" si="4"/>
        <v/>
      </c>
      <c r="F69" s="14" t="str">
        <f>IF(AND($B$8=1,$D69&lt;=$B$7),IF($B$5=1,Calculator!$C$9*POWER(1+Calculator!$C$14/100,$D69/12),Calculator!$C$9),"")</f>
        <v/>
      </c>
      <c r="G69" s="14">
        <f>G68*(1+$B$4)+Calculator!$C$25</f>
        <v>9007.1674982377062</v>
      </c>
      <c r="H69" s="14">
        <f>IF($B$5=1,Calculator!$C$9*POWER(1+Calculator!$C$14/100,$D69/12),Calculator!$C$9)</f>
        <v>10000</v>
      </c>
      <c r="J69" s="14">
        <f t="shared" si="5"/>
        <v>0</v>
      </c>
      <c r="K69" s="14" t="e">
        <f t="shared" si="0"/>
        <v>#N/A</v>
      </c>
      <c r="L69" s="14" t="e">
        <f t="shared" si="1"/>
        <v>#N/A</v>
      </c>
      <c r="M69" s="14">
        <f t="shared" si="2"/>
        <v>9007.1674982377062</v>
      </c>
      <c r="N69" s="14">
        <f t="shared" si="3"/>
        <v>10000</v>
      </c>
    </row>
    <row r="70" spans="4:14" ht="16.5" x14ac:dyDescent="0.25">
      <c r="D70" s="14">
        <v>30</v>
      </c>
      <c r="E70" s="14" t="str">
        <f t="shared" si="4"/>
        <v/>
      </c>
      <c r="F70" s="14" t="str">
        <f>IF(AND($B$8=1,$D70&lt;=$B$7),IF($B$5=1,Calculator!$C$9*POWER(1+Calculator!$C$14/100,$D70/12),Calculator!$C$9),"")</f>
        <v/>
      </c>
      <c r="G70" s="14">
        <f>G69*(1+$B$4)+Calculator!$C$25</f>
        <v>9329.3816031726856</v>
      </c>
      <c r="H70" s="14">
        <f>IF($B$5=1,Calculator!$C$9*POWER(1+Calculator!$C$14/100,$D70/12),Calculator!$C$9)</f>
        <v>10000</v>
      </c>
      <c r="J70" s="14">
        <f t="shared" si="5"/>
        <v>0</v>
      </c>
      <c r="K70" s="14" t="e">
        <f t="shared" si="0"/>
        <v>#N/A</v>
      </c>
      <c r="L70" s="14" t="e">
        <f t="shared" si="1"/>
        <v>#N/A</v>
      </c>
      <c r="M70" s="14">
        <f t="shared" si="2"/>
        <v>9329.3816031726856</v>
      </c>
      <c r="N70" s="14">
        <f t="shared" si="3"/>
        <v>10000</v>
      </c>
    </row>
    <row r="71" spans="4:14" ht="16.5" x14ac:dyDescent="0.25">
      <c r="D71" s="14">
        <v>31</v>
      </c>
      <c r="E71" s="14" t="str">
        <f t="shared" si="4"/>
        <v/>
      </c>
      <c r="F71" s="14" t="str">
        <f>IF(AND($B$8=1,$D71&lt;=$B$7),IF($B$5=1,Calculator!$C$9*POWER(1+Calculator!$C$14/100,$D71/12),Calculator!$C$9),"")</f>
        <v/>
      </c>
      <c r="G71" s="14">
        <f>G70*(1+$B$4)+Calculator!$C$25</f>
        <v>9652.3903750148766</v>
      </c>
      <c r="H71" s="14">
        <f>IF($B$5=1,Calculator!$C$9*POWER(1+Calculator!$C$14/100,$D71/12),Calculator!$C$9)</f>
        <v>10000</v>
      </c>
      <c r="J71" s="14">
        <f t="shared" si="5"/>
        <v>0</v>
      </c>
      <c r="K71" s="14" t="e">
        <f t="shared" si="0"/>
        <v>#N/A</v>
      </c>
      <c r="L71" s="14" t="e">
        <f t="shared" si="1"/>
        <v>#N/A</v>
      </c>
      <c r="M71" s="14">
        <f t="shared" si="2"/>
        <v>9652.3903750148766</v>
      </c>
      <c r="N71" s="14">
        <f t="shared" si="3"/>
        <v>10000</v>
      </c>
    </row>
    <row r="72" spans="4:14" ht="16.5" x14ac:dyDescent="0.25">
      <c r="D72" s="14">
        <v>32</v>
      </c>
      <c r="E72" s="14" t="str">
        <f t="shared" si="4"/>
        <v/>
      </c>
      <c r="F72" s="14" t="str">
        <f>IF(AND($B$8=1,$D72&lt;=$B$7),IF($B$5=1,Calculator!$C$9*POWER(1+Calculator!$C$14/100,$D72/12),Calculator!$C$9),"")</f>
        <v/>
      </c>
      <c r="G72" s="14">
        <f>G71*(1+$B$4)+Calculator!$C$25</f>
        <v>9976.1957736272507</v>
      </c>
      <c r="H72" s="14">
        <f>IF($B$5=1,Calculator!$C$9*POWER(1+Calculator!$C$14/100,$D72/12),Calculator!$C$9)</f>
        <v>10000</v>
      </c>
      <c r="J72" s="14">
        <f t="shared" si="5"/>
        <v>0</v>
      </c>
      <c r="K72" s="14" t="e">
        <f t="shared" si="0"/>
        <v>#N/A</v>
      </c>
      <c r="L72" s="14" t="e">
        <f t="shared" si="1"/>
        <v>#N/A</v>
      </c>
      <c r="M72" s="14">
        <f t="shared" si="2"/>
        <v>9976.1957736272507</v>
      </c>
      <c r="N72" s="14">
        <f t="shared" si="3"/>
        <v>10000</v>
      </c>
    </row>
    <row r="73" spans="4:14" ht="16.5" x14ac:dyDescent="0.25">
      <c r="D73" s="14">
        <v>33</v>
      </c>
      <c r="E73" s="14" t="str">
        <f t="shared" si="4"/>
        <v/>
      </c>
      <c r="F73" s="14" t="str">
        <f>IF(AND($B$8=1,$D73&lt;=$B$7),IF($B$5=1,Calculator!$C$9*POWER(1+Calculator!$C$14/100,$D73/12),Calculator!$C$9),"")</f>
        <v/>
      </c>
      <c r="G73" s="14">
        <f>G72*(1+$B$4)+Calculator!$C$25</f>
        <v>10300.799763706331</v>
      </c>
      <c r="H73" s="14">
        <f>IF($B$5=1,Calculator!$C$9*POWER(1+Calculator!$C$14/100,$D73/12),Calculator!$C$9)</f>
        <v>10000</v>
      </c>
      <c r="J73" s="14">
        <f t="shared" si="5"/>
        <v>1</v>
      </c>
      <c r="K73" s="14" t="e">
        <f t="shared" si="0"/>
        <v>#N/A</v>
      </c>
      <c r="L73" s="14" t="e">
        <f t="shared" si="1"/>
        <v>#N/A</v>
      </c>
      <c r="M73" s="14">
        <f t="shared" si="2"/>
        <v>10300.799763706331</v>
      </c>
      <c r="N73" s="14">
        <f t="shared" si="3"/>
        <v>10000</v>
      </c>
    </row>
    <row r="74" spans="4:14" ht="16.5" x14ac:dyDescent="0.25">
      <c r="D74" s="14">
        <v>34</v>
      </c>
      <c r="E74" s="14" t="str">
        <f t="shared" si="4"/>
        <v/>
      </c>
      <c r="F74" s="14" t="str">
        <f>IF(AND($B$8=1,$D74&lt;=$B$7),IF($B$5=1,Calculator!$C$9*POWER(1+Calculator!$C$14/100,$D74/12),Calculator!$C$9),"")</f>
        <v/>
      </c>
      <c r="G74" s="14">
        <f>G73*(1+$B$4)+Calculator!$C$25</f>
        <v>10626.204314794113</v>
      </c>
      <c r="H74" s="14">
        <f>IF($B$5=1,Calculator!$C$9*POWER(1+Calculator!$C$14/100,$D74/12),Calculator!$C$9)</f>
        <v>10000</v>
      </c>
      <c r="J74" s="14">
        <f t="shared" si="5"/>
        <v>1</v>
      </c>
      <c r="K74" s="14" t="e">
        <f t="shared" si="0"/>
        <v>#N/A</v>
      </c>
      <c r="L74" s="14" t="e">
        <f t="shared" si="1"/>
        <v>#N/A</v>
      </c>
      <c r="M74" s="14" t="e">
        <f t="shared" si="2"/>
        <v>#N/A</v>
      </c>
      <c r="N74" s="14" t="e">
        <f t="shared" si="3"/>
        <v>#N/A</v>
      </c>
    </row>
    <row r="75" spans="4:14" ht="16.5" x14ac:dyDescent="0.25">
      <c r="D75" s="14">
        <v>35</v>
      </c>
      <c r="E75" s="14" t="str">
        <f t="shared" si="4"/>
        <v/>
      </c>
      <c r="F75" s="14" t="str">
        <f>IF(AND($B$8=1,$D75&lt;=$B$7),IF($B$5=1,Calculator!$C$9*POWER(1+Calculator!$C$14/100,$D75/12),Calculator!$C$9),"")</f>
        <v/>
      </c>
      <c r="G75" s="14">
        <f>G74*(1+$B$4)+Calculator!$C$25</f>
        <v>10952.411401290014</v>
      </c>
      <c r="H75" s="14">
        <f>IF($B$5=1,Calculator!$C$9*POWER(1+Calculator!$C$14/100,$D75/12),Calculator!$C$9)</f>
        <v>10000</v>
      </c>
      <c r="J75" s="14">
        <f t="shared" si="5"/>
        <v>1</v>
      </c>
      <c r="K75" s="14" t="e">
        <f t="shared" si="0"/>
        <v>#N/A</v>
      </c>
      <c r="L75" s="14" t="e">
        <f t="shared" si="1"/>
        <v>#N/A</v>
      </c>
      <c r="M75" s="14" t="e">
        <f t="shared" si="2"/>
        <v>#N/A</v>
      </c>
      <c r="N75" s="14" t="e">
        <f t="shared" si="3"/>
        <v>#N/A</v>
      </c>
    </row>
    <row r="76" spans="4:14" ht="16.5" x14ac:dyDescent="0.25">
      <c r="D76" s="14">
        <v>36</v>
      </c>
      <c r="E76" s="14" t="str">
        <f t="shared" si="4"/>
        <v/>
      </c>
      <c r="F76" s="14" t="str">
        <f>IF(AND($B$8=1,$D76&lt;=$B$7),IF($B$5=1,Calculator!$C$9*POWER(1+Calculator!$C$14/100,$D76/12),Calculator!$C$9),"")</f>
        <v/>
      </c>
      <c r="G76" s="14">
        <f>G75*(1+$B$4)+Calculator!$C$25</f>
        <v>11279.423002462849</v>
      </c>
      <c r="H76" s="14">
        <f>IF($B$5=1,Calculator!$C$9*POWER(1+Calculator!$C$14/100,$D76/12),Calculator!$C$9)</f>
        <v>10000</v>
      </c>
      <c r="J76" s="14">
        <f t="shared" si="5"/>
        <v>1</v>
      </c>
      <c r="K76" s="14" t="e">
        <f t="shared" si="0"/>
        <v>#N/A</v>
      </c>
      <c r="L76" s="14" t="e">
        <f t="shared" si="1"/>
        <v>#N/A</v>
      </c>
      <c r="M76" s="14" t="e">
        <f t="shared" si="2"/>
        <v>#N/A</v>
      </c>
      <c r="N76" s="14" t="e">
        <f t="shared" si="3"/>
        <v>#N/A</v>
      </c>
    </row>
    <row r="77" spans="4:14" ht="16.5" x14ac:dyDescent="0.25">
      <c r="D77" s="14">
        <v>37</v>
      </c>
      <c r="E77" s="14" t="str">
        <f t="shared" si="4"/>
        <v/>
      </c>
      <c r="F77" s="14" t="str">
        <f>IF(AND($B$8=1,$D77&lt;=$B$7),IF($B$5=1,Calculator!$C$9*POWER(1+Calculator!$C$14/100,$D77/12),Calculator!$C$9),"")</f>
        <v/>
      </c>
      <c r="G77" s="14">
        <f>G76*(1+$B$4)+Calculator!$C$25</f>
        <v>11607.241102462849</v>
      </c>
      <c r="H77" s="14">
        <f>IF($B$5=1,Calculator!$C$9*POWER(1+Calculator!$C$14/100,$D77/12),Calculator!$C$9)</f>
        <v>10000</v>
      </c>
      <c r="J77" s="14">
        <f t="shared" si="5"/>
        <v>1</v>
      </c>
      <c r="K77" s="14" t="e">
        <f t="shared" si="0"/>
        <v>#N/A</v>
      </c>
      <c r="L77" s="14" t="e">
        <f t="shared" si="1"/>
        <v>#N/A</v>
      </c>
      <c r="M77" s="14" t="e">
        <f t="shared" si="2"/>
        <v>#N/A</v>
      </c>
      <c r="N77" s="14" t="e">
        <f t="shared" si="3"/>
        <v>#N/A</v>
      </c>
    </row>
    <row r="78" spans="4:14" ht="16.5" x14ac:dyDescent="0.25">
      <c r="D78" s="14">
        <v>38</v>
      </c>
      <c r="E78" s="14" t="str">
        <f t="shared" si="4"/>
        <v/>
      </c>
      <c r="F78" s="14" t="str">
        <f>IF(AND($B$8=1,$D78&lt;=$B$7),IF($B$5=1,Calculator!$C$9*POWER(1+Calculator!$C$14/100,$D78/12),Calculator!$C$9),"")</f>
        <v/>
      </c>
      <c r="G78" s="14">
        <f>G77*(1+$B$4)+Calculator!$C$25</f>
        <v>11935.867690333695</v>
      </c>
      <c r="H78" s="14">
        <f>IF($B$5=1,Calculator!$C$9*POWER(1+Calculator!$C$14/100,$D78/12),Calculator!$C$9)</f>
        <v>10000</v>
      </c>
      <c r="J78" s="14">
        <f t="shared" si="5"/>
        <v>1</v>
      </c>
      <c r="K78" s="14" t="e">
        <f t="shared" si="0"/>
        <v>#N/A</v>
      </c>
      <c r="L78" s="14" t="e">
        <f t="shared" si="1"/>
        <v>#N/A</v>
      </c>
      <c r="M78" s="14" t="e">
        <f t="shared" si="2"/>
        <v>#N/A</v>
      </c>
      <c r="N78" s="14" t="e">
        <f t="shared" si="3"/>
        <v>#N/A</v>
      </c>
    </row>
    <row r="79" spans="4:14" ht="16.5" x14ac:dyDescent="0.25">
      <c r="D79" s="14">
        <v>39</v>
      </c>
      <c r="E79" s="14" t="str">
        <f t="shared" si="4"/>
        <v/>
      </c>
      <c r="F79" s="14" t="str">
        <f>IF(AND($B$8=1,$D79&lt;=$B$7),IF($B$5=1,Calculator!$C$9*POWER(1+Calculator!$C$14/100,$D79/12),Calculator!$C$9),"")</f>
        <v/>
      </c>
      <c r="G79" s="14">
        <f>G78*(1+$B$4)+Calculator!$C$25</f>
        <v>12265.304760024581</v>
      </c>
      <c r="H79" s="14">
        <f>IF($B$5=1,Calculator!$C$9*POWER(1+Calculator!$C$14/100,$D79/12),Calculator!$C$9)</f>
        <v>10000</v>
      </c>
      <c r="J79" s="14">
        <f t="shared" si="5"/>
        <v>1</v>
      </c>
      <c r="K79" s="14" t="e">
        <f t="shared" si="0"/>
        <v>#N/A</v>
      </c>
      <c r="L79" s="14" t="e">
        <f t="shared" si="1"/>
        <v>#N/A</v>
      </c>
      <c r="M79" s="14" t="e">
        <f t="shared" si="2"/>
        <v>#N/A</v>
      </c>
      <c r="N79" s="14" t="e">
        <f t="shared" si="3"/>
        <v>#N/A</v>
      </c>
    </row>
    <row r="80" spans="4:14" ht="16.5" x14ac:dyDescent="0.25">
      <c r="D80" s="14">
        <v>40</v>
      </c>
      <c r="E80" s="14" t="str">
        <f t="shared" si="4"/>
        <v/>
      </c>
      <c r="F80" s="14" t="str">
        <f>IF(AND($B$8=1,$D80&lt;=$B$7),IF($B$5=1,Calculator!$C$9*POWER(1+Calculator!$C$14/100,$D80/12),Calculator!$C$9),"")</f>
        <v/>
      </c>
      <c r="G80" s="14">
        <f>G79*(1+$B$4)+Calculator!$C$25</f>
        <v>12595.554310402322</v>
      </c>
      <c r="H80" s="14">
        <f>IF($B$5=1,Calculator!$C$9*POWER(1+Calculator!$C$14/100,$D80/12),Calculator!$C$9)</f>
        <v>10000</v>
      </c>
      <c r="J80" s="14">
        <f t="shared" si="5"/>
        <v>1</v>
      </c>
      <c r="K80" s="14" t="e">
        <f t="shared" si="0"/>
        <v>#N/A</v>
      </c>
      <c r="L80" s="14" t="e">
        <f t="shared" si="1"/>
        <v>#N/A</v>
      </c>
      <c r="M80" s="14" t="e">
        <f t="shared" si="2"/>
        <v>#N/A</v>
      </c>
      <c r="N80" s="14" t="e">
        <f t="shared" si="3"/>
        <v>#N/A</v>
      </c>
    </row>
    <row r="81" spans="4:14" ht="16.5" x14ac:dyDescent="0.25">
      <c r="D81" s="14">
        <v>41</v>
      </c>
      <c r="E81" s="14" t="str">
        <f t="shared" si="4"/>
        <v/>
      </c>
      <c r="F81" s="14" t="str">
        <f>IF(AND($B$8=1,$D81&lt;=$B$7),IF($B$5=1,Calculator!$C$9*POWER(1+Calculator!$C$14/100,$D81/12),Calculator!$C$9),"")</f>
        <v/>
      </c>
      <c r="G81" s="14">
        <f>G80*(1+$B$4)+Calculator!$C$25</f>
        <v>12926.618345263476</v>
      </c>
      <c r="H81" s="14">
        <f>IF($B$5=1,Calculator!$C$9*POWER(1+Calculator!$C$14/100,$D81/12),Calculator!$C$9)</f>
        <v>10000</v>
      </c>
      <c r="J81" s="14">
        <f t="shared" si="5"/>
        <v>1</v>
      </c>
      <c r="K81" s="14" t="e">
        <f t="shared" si="0"/>
        <v>#N/A</v>
      </c>
      <c r="L81" s="14" t="e">
        <f t="shared" si="1"/>
        <v>#N/A</v>
      </c>
      <c r="M81" s="14" t="e">
        <f t="shared" si="2"/>
        <v>#N/A</v>
      </c>
      <c r="N81" s="14" t="e">
        <f t="shared" si="3"/>
        <v>#N/A</v>
      </c>
    </row>
    <row r="82" spans="4:14" ht="16.5" x14ac:dyDescent="0.25">
      <c r="D82" s="14">
        <v>42</v>
      </c>
      <c r="E82" s="14" t="str">
        <f t="shared" si="4"/>
        <v/>
      </c>
      <c r="F82" s="14" t="str">
        <f>IF(AND($B$8=1,$D82&lt;=$B$7),IF($B$5=1,Calculator!$C$9*POWER(1+Calculator!$C$14/100,$D82/12),Calculator!$C$9),"")</f>
        <v/>
      </c>
      <c r="G82" s="14">
        <f>G81*(1+$B$4)+Calculator!$C$25</f>
        <v>13258.498873346505</v>
      </c>
      <c r="H82" s="14">
        <f>IF($B$5=1,Calculator!$C$9*POWER(1+Calculator!$C$14/100,$D82/12),Calculator!$C$9)</f>
        <v>10000</v>
      </c>
      <c r="J82" s="14">
        <f t="shared" si="5"/>
        <v>1</v>
      </c>
      <c r="K82" s="14" t="e">
        <f t="shared" si="0"/>
        <v>#N/A</v>
      </c>
      <c r="L82" s="14" t="e">
        <f t="shared" si="1"/>
        <v>#N/A</v>
      </c>
      <c r="M82" s="14" t="e">
        <f t="shared" si="2"/>
        <v>#N/A</v>
      </c>
      <c r="N82" s="14" t="e">
        <f t="shared" si="3"/>
        <v>#N/A</v>
      </c>
    </row>
    <row r="83" spans="4:14" ht="16.5" x14ac:dyDescent="0.25">
      <c r="D83" s="14">
        <v>43</v>
      </c>
      <c r="E83" s="14" t="str">
        <f t="shared" si="4"/>
        <v/>
      </c>
      <c r="F83" s="14" t="str">
        <f>IF(AND($B$8=1,$D83&lt;=$B$7),IF($B$5=1,Calculator!$C$9*POWER(1+Calculator!$C$14/100,$D83/12),Calculator!$C$9),"")</f>
        <v/>
      </c>
      <c r="G83" s="14">
        <f>G82*(1+$B$4)+Calculator!$C$25</f>
        <v>13591.197908343962</v>
      </c>
      <c r="H83" s="14">
        <f>IF($B$5=1,Calculator!$C$9*POWER(1+Calculator!$C$14/100,$D83/12),Calculator!$C$9)</f>
        <v>10000</v>
      </c>
      <c r="J83" s="14">
        <f t="shared" si="5"/>
        <v>1</v>
      </c>
      <c r="K83" s="14" t="e">
        <f t="shared" si="0"/>
        <v>#N/A</v>
      </c>
      <c r="L83" s="14" t="e">
        <f t="shared" si="1"/>
        <v>#N/A</v>
      </c>
      <c r="M83" s="14" t="e">
        <f t="shared" si="2"/>
        <v>#N/A</v>
      </c>
      <c r="N83" s="14" t="e">
        <f t="shared" si="3"/>
        <v>#N/A</v>
      </c>
    </row>
    <row r="84" spans="4:14" ht="16.5" x14ac:dyDescent="0.25">
      <c r="D84" s="14">
        <v>44</v>
      </c>
      <c r="E84" s="14" t="str">
        <f t="shared" si="4"/>
        <v/>
      </c>
      <c r="F84" s="14" t="str">
        <f>IF(AND($B$8=1,$D84&lt;=$B$7),IF($B$5=1,Calculator!$C$9*POWER(1+Calculator!$C$14/100,$D84/12),Calculator!$C$9),"")</f>
        <v/>
      </c>
      <c r="G84" s="14">
        <f>G83*(1+$B$4)+Calculator!$C$25</f>
        <v>13924.717468914707</v>
      </c>
      <c r="H84" s="14">
        <f>IF($B$5=1,Calculator!$C$9*POWER(1+Calculator!$C$14/100,$D84/12),Calculator!$C$9)</f>
        <v>10000</v>
      </c>
      <c r="J84" s="14">
        <f t="shared" si="5"/>
        <v>1</v>
      </c>
      <c r="K84" s="14" t="e">
        <f t="shared" si="0"/>
        <v>#N/A</v>
      </c>
      <c r="L84" s="14" t="e">
        <f t="shared" si="1"/>
        <v>#N/A</v>
      </c>
      <c r="M84" s="14" t="e">
        <f t="shared" si="2"/>
        <v>#N/A</v>
      </c>
      <c r="N84" s="14" t="e">
        <f t="shared" si="3"/>
        <v>#N/A</v>
      </c>
    </row>
    <row r="85" spans="4:14" ht="16.5" x14ac:dyDescent="0.25">
      <c r="D85" s="14">
        <v>45</v>
      </c>
      <c r="E85" s="14" t="str">
        <f t="shared" si="4"/>
        <v/>
      </c>
      <c r="F85" s="14" t="str">
        <f>IF(AND($B$8=1,$D85&lt;=$B$7),IF($B$5=1,Calculator!$C$9*POWER(1+Calculator!$C$14/100,$D85/12),Calculator!$C$9),"")</f>
        <v/>
      </c>
      <c r="G85" s="14">
        <f>G84*(1+$B$4)+Calculator!$C$25</f>
        <v>14259.05957869616</v>
      </c>
      <c r="H85" s="14">
        <f>IF($B$5=1,Calculator!$C$9*POWER(1+Calculator!$C$14/100,$D85/12),Calculator!$C$9)</f>
        <v>10000</v>
      </c>
      <c r="J85" s="14">
        <f t="shared" si="5"/>
        <v>1</v>
      </c>
      <c r="K85" s="14" t="e">
        <f t="shared" si="0"/>
        <v>#N/A</v>
      </c>
      <c r="L85" s="14" t="e">
        <f t="shared" si="1"/>
        <v>#N/A</v>
      </c>
      <c r="M85" s="14" t="e">
        <f t="shared" si="2"/>
        <v>#N/A</v>
      </c>
      <c r="N85" s="14" t="e">
        <f t="shared" si="3"/>
        <v>#N/A</v>
      </c>
    </row>
    <row r="86" spans="4:14" ht="16.5" x14ac:dyDescent="0.25">
      <c r="D86" s="14">
        <v>46</v>
      </c>
      <c r="E86" s="14" t="str">
        <f t="shared" si="4"/>
        <v/>
      </c>
      <c r="F86" s="14" t="str">
        <f>IF(AND($B$8=1,$D86&lt;=$B$7),IF($B$5=1,Calculator!$C$9*POWER(1+Calculator!$C$14/100,$D86/12),Calculator!$C$9),"")</f>
        <v/>
      </c>
      <c r="G86" s="14">
        <f>G85*(1+$B$4)+Calculator!$C$25</f>
        <v>14594.226266316577</v>
      </c>
      <c r="H86" s="14">
        <f>IF($B$5=1,Calculator!$C$9*POWER(1+Calculator!$C$14/100,$D86/12),Calculator!$C$9)</f>
        <v>10000</v>
      </c>
      <c r="J86" s="14">
        <f t="shared" si="5"/>
        <v>1</v>
      </c>
      <c r="K86" s="14" t="e">
        <f t="shared" si="0"/>
        <v>#N/A</v>
      </c>
      <c r="L86" s="14" t="e">
        <f t="shared" si="1"/>
        <v>#N/A</v>
      </c>
      <c r="M86" s="14" t="e">
        <f t="shared" si="2"/>
        <v>#N/A</v>
      </c>
      <c r="N86" s="14" t="e">
        <f t="shared" si="3"/>
        <v>#N/A</v>
      </c>
    </row>
    <row r="87" spans="4:14" ht="16.5" x14ac:dyDescent="0.25">
      <c r="D87" s="14">
        <v>47</v>
      </c>
      <c r="E87" s="14" t="str">
        <f t="shared" si="4"/>
        <v/>
      </c>
      <c r="F87" s="14" t="str">
        <f>IF(AND($B$8=1,$D87&lt;=$B$7),IF($B$5=1,Calculator!$C$9*POWER(1+Calculator!$C$14/100,$D87/12),Calculator!$C$9),"")</f>
        <v/>
      </c>
      <c r="G87" s="14">
        <f>G86*(1+$B$4)+Calculator!$C$25</f>
        <v>14930.219565407353</v>
      </c>
      <c r="H87" s="14">
        <f>IF($B$5=1,Calculator!$C$9*POWER(1+Calculator!$C$14/100,$D87/12),Calculator!$C$9)</f>
        <v>10000</v>
      </c>
      <c r="J87" s="14">
        <f t="shared" si="5"/>
        <v>1</v>
      </c>
      <c r="K87" s="14" t="e">
        <f t="shared" si="0"/>
        <v>#N/A</v>
      </c>
      <c r="L87" s="14" t="e">
        <f t="shared" si="1"/>
        <v>#N/A</v>
      </c>
      <c r="M87" s="14" t="e">
        <f t="shared" si="2"/>
        <v>#N/A</v>
      </c>
      <c r="N87" s="14" t="e">
        <f t="shared" si="3"/>
        <v>#N/A</v>
      </c>
    </row>
    <row r="88" spans="4:14" ht="16.5" x14ac:dyDescent="0.25">
      <c r="D88" s="14">
        <v>48</v>
      </c>
      <c r="E88" s="14" t="str">
        <f t="shared" si="4"/>
        <v/>
      </c>
      <c r="F88" s="14" t="str">
        <f>IF(AND($B$8=1,$D88&lt;=$B$7),IF($B$5=1,Calculator!$C$9*POWER(1+Calculator!$C$14/100,$D88/12),Calculator!$C$9),"")</f>
        <v/>
      </c>
      <c r="G88" s="14">
        <f>G87*(1+$B$4)+Calculator!$C$25</f>
        <v>15267.041514615374</v>
      </c>
      <c r="H88" s="14">
        <f>IF($B$5=1,Calculator!$C$9*POWER(1+Calculator!$C$14/100,$D88/12),Calculator!$C$9)</f>
        <v>10000</v>
      </c>
      <c r="J88" s="14">
        <f t="shared" si="5"/>
        <v>1</v>
      </c>
      <c r="K88" s="14" t="e">
        <f t="shared" si="0"/>
        <v>#N/A</v>
      </c>
      <c r="L88" s="14" t="e">
        <f t="shared" si="1"/>
        <v>#N/A</v>
      </c>
      <c r="M88" s="14" t="e">
        <f t="shared" si="2"/>
        <v>#N/A</v>
      </c>
      <c r="N88" s="14" t="e">
        <f t="shared" si="3"/>
        <v>#N/A</v>
      </c>
    </row>
    <row r="89" spans="4:14" ht="16.5" x14ac:dyDescent="0.25">
      <c r="D89" s="14">
        <v>49</v>
      </c>
      <c r="E89" s="14" t="str">
        <f t="shared" si="4"/>
        <v/>
      </c>
      <c r="F89" s="14" t="str">
        <f>IF(AND($B$8=1,$D89&lt;=$B$7),IF($B$5=1,Calculator!$C$9*POWER(1+Calculator!$C$14/100,$D89/12),Calculator!$C$9),"")</f>
        <v/>
      </c>
      <c r="G89" s="14">
        <f>G88*(1+$B$4)+Calculator!$C$25</f>
        <v>15604.694157615375</v>
      </c>
      <c r="H89" s="14">
        <f>IF($B$5=1,Calculator!$C$9*POWER(1+Calculator!$C$14/100,$D89/12),Calculator!$C$9)</f>
        <v>10000</v>
      </c>
      <c r="J89" s="14">
        <f t="shared" si="5"/>
        <v>1</v>
      </c>
      <c r="K89" s="14" t="e">
        <f t="shared" si="0"/>
        <v>#N/A</v>
      </c>
      <c r="L89" s="14" t="e">
        <f t="shared" si="1"/>
        <v>#N/A</v>
      </c>
      <c r="M89" s="14" t="e">
        <f t="shared" si="2"/>
        <v>#N/A</v>
      </c>
      <c r="N89" s="14" t="e">
        <f t="shared" si="3"/>
        <v>#N/A</v>
      </c>
    </row>
    <row r="90" spans="4:14" ht="16.5" x14ac:dyDescent="0.25">
      <c r="D90" s="14">
        <v>50</v>
      </c>
      <c r="E90" s="14" t="str">
        <f t="shared" si="4"/>
        <v/>
      </c>
      <c r="F90" s="14" t="str">
        <f>IF(AND($B$8=1,$D90&lt;=$B$7),IF($B$5=1,Calculator!$C$9*POWER(1+Calculator!$C$14/100,$D90/12),Calculator!$C$9),"")</f>
        <v/>
      </c>
      <c r="G90" s="14">
        <f>G89*(1+$B$4)+Calculator!$C$25</f>
        <v>15943.179543122345</v>
      </c>
      <c r="H90" s="14">
        <f>IF($B$5=1,Calculator!$C$9*POWER(1+Calculator!$C$14/100,$D90/12),Calculator!$C$9)</f>
        <v>10000</v>
      </c>
      <c r="J90" s="14">
        <f t="shared" si="5"/>
        <v>1</v>
      </c>
      <c r="K90" s="14" t="e">
        <f t="shared" si="0"/>
        <v>#N/A</v>
      </c>
      <c r="L90" s="14" t="e">
        <f t="shared" si="1"/>
        <v>#N/A</v>
      </c>
      <c r="M90" s="14" t="e">
        <f t="shared" si="2"/>
        <v>#N/A</v>
      </c>
      <c r="N90" s="14" t="e">
        <f t="shared" si="3"/>
        <v>#N/A</v>
      </c>
    </row>
    <row r="91" spans="4:14" ht="16.5" x14ac:dyDescent="0.25">
      <c r="D91" s="14">
        <v>51</v>
      </c>
      <c r="E91" s="14" t="str">
        <f t="shared" si="4"/>
        <v/>
      </c>
      <c r="F91" s="14" t="str">
        <f>IF(AND($B$8=1,$D91&lt;=$B$7),IF($B$5=1,Calculator!$C$9*POWER(1+Calculator!$C$14/100,$D91/12),Calculator!$C$9),"")</f>
        <v/>
      </c>
      <c r="G91" s="14">
        <f>G90*(1+$B$4)+Calculator!$C$25</f>
        <v>16282.499724903959</v>
      </c>
      <c r="H91" s="14">
        <f>IF($B$5=1,Calculator!$C$9*POWER(1+Calculator!$C$14/100,$D91/12),Calculator!$C$9)</f>
        <v>10000</v>
      </c>
      <c r="J91" s="14">
        <f t="shared" si="5"/>
        <v>1</v>
      </c>
      <c r="K91" s="14" t="e">
        <f t="shared" si="0"/>
        <v>#N/A</v>
      </c>
      <c r="L91" s="14" t="e">
        <f t="shared" si="1"/>
        <v>#N/A</v>
      </c>
      <c r="M91" s="14" t="e">
        <f t="shared" si="2"/>
        <v>#N/A</v>
      </c>
      <c r="N91" s="14" t="e">
        <f t="shared" si="3"/>
        <v>#N/A</v>
      </c>
    </row>
    <row r="92" spans="4:14" ht="16.5" x14ac:dyDescent="0.25">
      <c r="D92" s="14">
        <v>52</v>
      </c>
      <c r="E92" s="14" t="str">
        <f t="shared" si="4"/>
        <v/>
      </c>
      <c r="F92" s="14" t="str">
        <f>IF(AND($B$8=1,$D92&lt;=$B$7),IF($B$5=1,Calculator!$C$9*POWER(1+Calculator!$C$14/100,$D92/12),Calculator!$C$9),"")</f>
        <v/>
      </c>
      <c r="G92" s="14">
        <f>G91*(1+$B$4)+Calculator!$C$25</f>
        <v>16622.656761793034</v>
      </c>
      <c r="H92" s="14">
        <f>IF($B$5=1,Calculator!$C$9*POWER(1+Calculator!$C$14/100,$D92/12),Calculator!$C$9)</f>
        <v>10000</v>
      </c>
      <c r="J92" s="14">
        <f t="shared" si="5"/>
        <v>1</v>
      </c>
      <c r="K92" s="14" t="e">
        <f t="shared" si="0"/>
        <v>#N/A</v>
      </c>
      <c r="L92" s="14" t="e">
        <f t="shared" si="1"/>
        <v>#N/A</v>
      </c>
      <c r="M92" s="14" t="e">
        <f t="shared" si="2"/>
        <v>#N/A</v>
      </c>
      <c r="N92" s="14" t="e">
        <f t="shared" si="3"/>
        <v>#N/A</v>
      </c>
    </row>
    <row r="93" spans="4:14" ht="16.5" x14ac:dyDescent="0.25">
      <c r="D93" s="14">
        <v>53</v>
      </c>
      <c r="E93" s="14" t="str">
        <f t="shared" si="4"/>
        <v/>
      </c>
      <c r="F93" s="14" t="str">
        <f>IF(AND($B$8=1,$D93&lt;=$B$7),IF($B$5=1,Calculator!$C$9*POWER(1+Calculator!$C$14/100,$D93/12),Calculator!$C$9),"")</f>
        <v/>
      </c>
      <c r="G93" s="14">
        <f>G92*(1+$B$4)+Calculator!$C$25</f>
        <v>16963.652717700024</v>
      </c>
      <c r="H93" s="14">
        <f>IF($B$5=1,Calculator!$C$9*POWER(1+Calculator!$C$14/100,$D93/12),Calculator!$C$9)</f>
        <v>10000</v>
      </c>
      <c r="J93" s="14">
        <f t="shared" si="5"/>
        <v>1</v>
      </c>
      <c r="K93" s="14" t="e">
        <f t="shared" si="0"/>
        <v>#N/A</v>
      </c>
      <c r="L93" s="14" t="e">
        <f t="shared" si="1"/>
        <v>#N/A</v>
      </c>
      <c r="M93" s="14" t="e">
        <f t="shared" si="2"/>
        <v>#N/A</v>
      </c>
      <c r="N93" s="14" t="e">
        <f t="shared" si="3"/>
        <v>#N/A</v>
      </c>
    </row>
    <row r="94" spans="4:14" ht="16.5" x14ac:dyDescent="0.25">
      <c r="D94" s="14">
        <v>54</v>
      </c>
      <c r="E94" s="14" t="str">
        <f t="shared" si="4"/>
        <v/>
      </c>
      <c r="F94" s="14" t="str">
        <f>IF(AND($B$8=1,$D94&lt;=$B$7),IF($B$5=1,Calculator!$C$9*POWER(1+Calculator!$C$14/100,$D94/12),Calculator!$C$9),"")</f>
        <v/>
      </c>
      <c r="G94" s="14">
        <f>G93*(1+$B$4)+Calculator!$C$25</f>
        <v>17305.489661625546</v>
      </c>
      <c r="H94" s="14">
        <f>IF($B$5=1,Calculator!$C$9*POWER(1+Calculator!$C$14/100,$D94/12),Calculator!$C$9)</f>
        <v>10000</v>
      </c>
      <c r="J94" s="14">
        <f t="shared" si="5"/>
        <v>1</v>
      </c>
      <c r="K94" s="14" t="e">
        <f t="shared" si="0"/>
        <v>#N/A</v>
      </c>
      <c r="L94" s="14" t="e">
        <f t="shared" si="1"/>
        <v>#N/A</v>
      </c>
      <c r="M94" s="14" t="e">
        <f t="shared" si="2"/>
        <v>#N/A</v>
      </c>
      <c r="N94" s="14" t="e">
        <f t="shared" si="3"/>
        <v>#N/A</v>
      </c>
    </row>
    <row r="95" spans="4:14" ht="16.5" x14ac:dyDescent="0.25">
      <c r="D95" s="14">
        <v>55</v>
      </c>
      <c r="E95" s="14" t="str">
        <f t="shared" si="4"/>
        <v/>
      </c>
      <c r="F95" s="14" t="str">
        <f>IF(AND($B$8=1,$D95&lt;=$B$7),IF($B$5=1,Calculator!$C$9*POWER(1+Calculator!$C$14/100,$D95/12),Calculator!$C$9),"")</f>
        <v/>
      </c>
      <c r="G95" s="14">
        <f>G94*(1+$B$4)+Calculator!$C$25</f>
        <v>17648.169667672926</v>
      </c>
      <c r="H95" s="14">
        <f>IF($B$5=1,Calculator!$C$9*POWER(1+Calculator!$C$14/100,$D95/12),Calculator!$C$9)</f>
        <v>10000</v>
      </c>
      <c r="J95" s="14">
        <f t="shared" si="5"/>
        <v>1</v>
      </c>
      <c r="K95" s="14" t="e">
        <f t="shared" si="0"/>
        <v>#N/A</v>
      </c>
      <c r="L95" s="14" t="e">
        <f t="shared" si="1"/>
        <v>#N/A</v>
      </c>
      <c r="M95" s="14" t="e">
        <f t="shared" si="2"/>
        <v>#N/A</v>
      </c>
      <c r="N95" s="14" t="e">
        <f t="shared" si="3"/>
        <v>#N/A</v>
      </c>
    </row>
    <row r="96" spans="4:14" ht="16.5" x14ac:dyDescent="0.25">
      <c r="D96" s="14">
        <v>56</v>
      </c>
      <c r="E96" s="14" t="str">
        <f t="shared" si="4"/>
        <v/>
      </c>
      <c r="F96" s="14" t="str">
        <f>IF(AND($B$8=1,$D96&lt;=$B$7),IF($B$5=1,Calculator!$C$9*POWER(1+Calculator!$C$14/100,$D96/12),Calculator!$C$9),"")</f>
        <v/>
      </c>
      <c r="G96" s="14">
        <f>G95*(1+$B$4)+Calculator!$C$25</f>
        <v>17991.694815060793</v>
      </c>
      <c r="H96" s="14">
        <f>IF($B$5=1,Calculator!$C$9*POWER(1+Calculator!$C$14/100,$D96/12),Calculator!$C$9)</f>
        <v>10000</v>
      </c>
      <c r="J96" s="14">
        <f t="shared" si="5"/>
        <v>1</v>
      </c>
      <c r="K96" s="14" t="e">
        <f t="shared" si="0"/>
        <v>#N/A</v>
      </c>
      <c r="L96" s="14" t="e">
        <f t="shared" si="1"/>
        <v>#N/A</v>
      </c>
      <c r="M96" s="14" t="e">
        <f t="shared" si="2"/>
        <v>#N/A</v>
      </c>
      <c r="N96" s="14" t="e">
        <f t="shared" si="3"/>
        <v>#N/A</v>
      </c>
    </row>
    <row r="97" spans="4:14" ht="16.5" x14ac:dyDescent="0.25">
      <c r="D97" s="14">
        <v>57</v>
      </c>
      <c r="E97" s="14" t="str">
        <f t="shared" si="4"/>
        <v/>
      </c>
      <c r="F97" s="14" t="str">
        <f>IF(AND($B$8=1,$D97&lt;=$B$7),IF($B$5=1,Calculator!$C$9*POWER(1+Calculator!$C$14/100,$D97/12),Calculator!$C$9),"")</f>
        <v/>
      </c>
      <c r="G97" s="14">
        <f>G96*(1+$B$4)+Calculator!$C$25</f>
        <v>18336.06718813569</v>
      </c>
      <c r="H97" s="14">
        <f>IF($B$5=1,Calculator!$C$9*POWER(1+Calculator!$C$14/100,$D97/12),Calculator!$C$9)</f>
        <v>10000</v>
      </c>
      <c r="J97" s="14">
        <f t="shared" si="5"/>
        <v>1</v>
      </c>
      <c r="K97" s="14" t="e">
        <f t="shared" si="0"/>
        <v>#N/A</v>
      </c>
      <c r="L97" s="14" t="e">
        <f t="shared" si="1"/>
        <v>#N/A</v>
      </c>
      <c r="M97" s="14" t="e">
        <f t="shared" si="2"/>
        <v>#N/A</v>
      </c>
      <c r="N97" s="14" t="e">
        <f t="shared" si="3"/>
        <v>#N/A</v>
      </c>
    </row>
    <row r="98" spans="4:14" ht="16.5" x14ac:dyDescent="0.25">
      <c r="D98" s="14">
        <v>58</v>
      </c>
      <c r="E98" s="14" t="str">
        <f t="shared" si="4"/>
        <v/>
      </c>
      <c r="F98" s="14" t="str">
        <f>IF(AND($B$8=1,$D98&lt;=$B$7),IF($B$5=1,Calculator!$C$9*POWER(1+Calculator!$C$14/100,$D98/12),Calculator!$C$9),"")</f>
        <v/>
      </c>
      <c r="G98" s="14">
        <f>G97*(1+$B$4)+Calculator!$C$25</f>
        <v>18681.288876384719</v>
      </c>
      <c r="H98" s="14">
        <f>IF($B$5=1,Calculator!$C$9*POWER(1+Calculator!$C$14/100,$D98/12),Calculator!$C$9)</f>
        <v>10000</v>
      </c>
      <c r="J98" s="14">
        <f t="shared" si="5"/>
        <v>1</v>
      </c>
      <c r="K98" s="14" t="e">
        <f t="shared" si="0"/>
        <v>#N/A</v>
      </c>
      <c r="L98" s="14" t="e">
        <f t="shared" si="1"/>
        <v>#N/A</v>
      </c>
      <c r="M98" s="14" t="e">
        <f t="shared" si="2"/>
        <v>#N/A</v>
      </c>
      <c r="N98" s="14" t="e">
        <f t="shared" si="3"/>
        <v>#N/A</v>
      </c>
    </row>
    <row r="99" spans="4:14" ht="16.5" x14ac:dyDescent="0.25">
      <c r="D99" s="14">
        <v>59</v>
      </c>
      <c r="E99" s="14" t="str">
        <f t="shared" si="4"/>
        <v/>
      </c>
      <c r="F99" s="14" t="str">
        <f>IF(AND($B$8=1,$D99&lt;=$B$7),IF($B$5=1,Calculator!$C$9*POWER(1+Calculator!$C$14/100,$D99/12),Calculator!$C$9),"")</f>
        <v/>
      </c>
      <c r="G99" s="14">
        <f>G98*(1+$B$4)+Calculator!$C$25</f>
        <v>19027.36197444822</v>
      </c>
      <c r="H99" s="14">
        <f>IF($B$5=1,Calculator!$C$9*POWER(1+Calculator!$C$14/100,$D99/12),Calculator!$C$9)</f>
        <v>10000</v>
      </c>
      <c r="J99" s="14">
        <f t="shared" si="5"/>
        <v>1</v>
      </c>
      <c r="K99" s="14" t="e">
        <f t="shared" si="0"/>
        <v>#N/A</v>
      </c>
      <c r="L99" s="14" t="e">
        <f t="shared" si="1"/>
        <v>#N/A</v>
      </c>
      <c r="M99" s="14" t="e">
        <f t="shared" si="2"/>
        <v>#N/A</v>
      </c>
      <c r="N99" s="14" t="e">
        <f t="shared" si="3"/>
        <v>#N/A</v>
      </c>
    </row>
    <row r="100" spans="4:14" ht="16.5" x14ac:dyDescent="0.25">
      <c r="D100" s="14">
        <v>60</v>
      </c>
      <c r="E100" s="14" t="str">
        <f t="shared" si="4"/>
        <v/>
      </c>
      <c r="F100" s="14" t="str">
        <f>IF(AND($B$8=1,$D100&lt;=$B$7),IF($B$5=1,Calculator!$C$9*POWER(1+Calculator!$C$14/100,$D100/12),Calculator!$C$9),"")</f>
        <v/>
      </c>
      <c r="G100" s="14">
        <f>G99*(1+$B$4)+Calculator!$C$25</f>
        <v>19374.288582132482</v>
      </c>
      <c r="H100" s="14">
        <f>IF($B$5=1,Calculator!$C$9*POWER(1+Calculator!$C$14/100,$D100/12),Calculator!$C$9)</f>
        <v>10000</v>
      </c>
      <c r="J100" s="14">
        <f t="shared" si="5"/>
        <v>1</v>
      </c>
      <c r="K100" s="14" t="e">
        <f t="shared" si="0"/>
        <v>#N/A</v>
      </c>
      <c r="L100" s="14" t="e">
        <f t="shared" si="1"/>
        <v>#N/A</v>
      </c>
      <c r="M100" s="14" t="e">
        <f t="shared" si="2"/>
        <v>#N/A</v>
      </c>
      <c r="N100" s="14" t="e">
        <f t="shared" si="3"/>
        <v>#N/A</v>
      </c>
    </row>
    <row r="101" spans="4:14" ht="16.5" x14ac:dyDescent="0.25">
      <c r="D101" s="14">
        <v>61</v>
      </c>
      <c r="E101" s="14" t="str">
        <f t="shared" si="4"/>
        <v/>
      </c>
      <c r="F101" s="14" t="str">
        <f>IF(AND($B$8=1,$D101&lt;=$B$7),IF($B$5=1,Calculator!$C$9*POWER(1+Calculator!$C$14/100,$D101/12),Calculator!$C$9),"")</f>
        <v/>
      </c>
      <c r="G101" s="14">
        <f>G100*(1+$B$4)+Calculator!$C$25</f>
        <v>19722.070804422485</v>
      </c>
      <c r="H101" s="14">
        <f>IF($B$5=1,Calculator!$C$9*POWER(1+Calculator!$C$14/100,$D101/12),Calculator!$C$9)</f>
        <v>10000</v>
      </c>
      <c r="J101" s="14">
        <f t="shared" si="5"/>
        <v>1</v>
      </c>
      <c r="K101" s="14" t="e">
        <f t="shared" si="0"/>
        <v>#N/A</v>
      </c>
      <c r="L101" s="14" t="e">
        <f t="shared" si="1"/>
        <v>#N/A</v>
      </c>
      <c r="M101" s="14" t="e">
        <f t="shared" si="2"/>
        <v>#N/A</v>
      </c>
      <c r="N101" s="14" t="e">
        <f t="shared" si="3"/>
        <v>#N/A</v>
      </c>
    </row>
    <row r="102" spans="4:14" ht="16.5" x14ac:dyDescent="0.25">
      <c r="D102" s="14">
        <v>62</v>
      </c>
      <c r="E102" s="14" t="str">
        <f t="shared" si="4"/>
        <v/>
      </c>
      <c r="F102" s="14" t="str">
        <f>IF(AND($B$8=1,$D102&lt;=$B$7),IF($B$5=1,Calculator!$C$9*POWER(1+Calculator!$C$14/100,$D102/12),Calculator!$C$9),"")</f>
        <v/>
      </c>
      <c r="G102" s="14">
        <f>G101*(1+$B$4)+Calculator!$C$25</f>
        <v>20070.710751494666</v>
      </c>
      <c r="H102" s="14">
        <f>IF($B$5=1,Calculator!$C$9*POWER(1+Calculator!$C$14/100,$D102/12),Calculator!$C$9)</f>
        <v>10000</v>
      </c>
      <c r="J102" s="14">
        <f t="shared" si="5"/>
        <v>1</v>
      </c>
      <c r="K102" s="14" t="e">
        <f t="shared" si="0"/>
        <v>#N/A</v>
      </c>
      <c r="L102" s="14" t="e">
        <f t="shared" si="1"/>
        <v>#N/A</v>
      </c>
      <c r="M102" s="14" t="e">
        <f t="shared" si="2"/>
        <v>#N/A</v>
      </c>
      <c r="N102" s="14" t="e">
        <f t="shared" si="3"/>
        <v>#N/A</v>
      </c>
    </row>
    <row r="103" spans="4:14" ht="16.5" x14ac:dyDescent="0.25">
      <c r="D103" s="14">
        <v>63</v>
      </c>
      <c r="E103" s="14" t="str">
        <f t="shared" si="4"/>
        <v/>
      </c>
      <c r="F103" s="14" t="str">
        <f>IF(AND($B$8=1,$D103&lt;=$B$7),IF($B$5=1,Calculator!$C$9*POWER(1+Calculator!$C$14/100,$D103/12),Calculator!$C$9),"")</f>
        <v/>
      </c>
      <c r="G103" s="14">
        <f>G102*(1+$B$4)+Calculator!$C$25</f>
        <v>20420.210538729727</v>
      </c>
      <c r="H103" s="14">
        <f>IF($B$5=1,Calculator!$C$9*POWER(1+Calculator!$C$14/100,$D103/12),Calculator!$C$9)</f>
        <v>10000</v>
      </c>
      <c r="J103" s="14">
        <f t="shared" si="5"/>
        <v>1</v>
      </c>
      <c r="K103" s="14" t="e">
        <f t="shared" si="0"/>
        <v>#N/A</v>
      </c>
      <c r="L103" s="14" t="e">
        <f t="shared" si="1"/>
        <v>#N/A</v>
      </c>
      <c r="M103" s="14" t="e">
        <f t="shared" si="2"/>
        <v>#N/A</v>
      </c>
      <c r="N103" s="14" t="e">
        <f t="shared" si="3"/>
        <v>#N/A</v>
      </c>
    </row>
    <row r="104" spans="4:14" ht="16.5" x14ac:dyDescent="0.25">
      <c r="D104" s="14">
        <v>64</v>
      </c>
      <c r="E104" s="14" t="str">
        <f t="shared" si="4"/>
        <v/>
      </c>
      <c r="F104" s="14" t="str">
        <f>IF(AND($B$8=1,$D104&lt;=$B$7),IF($B$5=1,Calculator!$C$9*POWER(1+Calculator!$C$14/100,$D104/12),Calculator!$C$9),"")</f>
        <v/>
      </c>
      <c r="G104" s="14">
        <f>G103*(1+$B$4)+Calculator!$C$25</f>
        <v>20770.572286725474</v>
      </c>
      <c r="H104" s="14">
        <f>IF($B$5=1,Calculator!$C$9*POWER(1+Calculator!$C$14/100,$D104/12),Calculator!$C$9)</f>
        <v>10000</v>
      </c>
      <c r="J104" s="14">
        <f t="shared" si="5"/>
        <v>1</v>
      </c>
      <c r="K104" s="14" t="e">
        <f t="shared" ref="K104:K167" si="6">IF($D104&lt;=$B$23,E104,NA())</f>
        <v>#N/A</v>
      </c>
      <c r="L104" s="14" t="e">
        <f t="shared" ref="L104:L167" si="7">IF($D104&lt;=$B$23,F104,NA())</f>
        <v>#N/A</v>
      </c>
      <c r="M104" s="14" t="e">
        <f t="shared" ref="M104:M167" si="8">IF($D104&lt;=$B$24,G104,NA())</f>
        <v>#N/A</v>
      </c>
      <c r="N104" s="14" t="e">
        <f t="shared" ref="N104:N167" si="9">IF($D104&lt;=$B$24,H104,NA())</f>
        <v>#N/A</v>
      </c>
    </row>
    <row r="105" spans="4:14" ht="16.5" x14ac:dyDescent="0.25">
      <c r="D105" s="14">
        <v>65</v>
      </c>
      <c r="E105" s="14" t="str">
        <f t="shared" ref="E105:E168" si="10">IF(AND($B$8=1,$D105&lt;=$B$7),E104*(1+$B$4)+$B$11,"")</f>
        <v/>
      </c>
      <c r="F105" s="14" t="str">
        <f>IF(AND($B$8=1,$D105&lt;=$B$7),IF($B$5=1,Calculator!$C$9*POWER(1+Calculator!$C$14/100,$D105/12),Calculator!$C$9),"")</f>
        <v/>
      </c>
      <c r="G105" s="14">
        <f>G104*(1+$B$4)+Calculator!$C$25</f>
        <v>21121.798121309672</v>
      </c>
      <c r="H105" s="14">
        <f>IF($B$5=1,Calculator!$C$9*POWER(1+Calculator!$C$14/100,$D105/12),Calculator!$C$9)</f>
        <v>10000</v>
      </c>
      <c r="J105" s="14">
        <f t="shared" ref="J105:J168" si="11">IF(G105&gt;=H105,1,0)</f>
        <v>1</v>
      </c>
      <c r="K105" s="14" t="e">
        <f t="shared" si="6"/>
        <v>#N/A</v>
      </c>
      <c r="L105" s="14" t="e">
        <f t="shared" si="7"/>
        <v>#N/A</v>
      </c>
      <c r="M105" s="14" t="e">
        <f t="shared" si="8"/>
        <v>#N/A</v>
      </c>
      <c r="N105" s="14" t="e">
        <f t="shared" si="9"/>
        <v>#N/A</v>
      </c>
    </row>
    <row r="106" spans="4:14" ht="16.5" x14ac:dyDescent="0.25">
      <c r="D106" s="14">
        <v>66</v>
      </c>
      <c r="E106" s="14" t="str">
        <f t="shared" si="10"/>
        <v/>
      </c>
      <c r="F106" s="14" t="str">
        <f>IF(AND($B$8=1,$D106&lt;=$B$7),IF($B$5=1,Calculator!$C$9*POWER(1+Calculator!$C$14/100,$D106/12),Calculator!$C$9),"")</f>
        <v/>
      </c>
      <c r="G106" s="14">
        <f>G105*(1+$B$4)+Calculator!$C$25</f>
        <v>21473.890173552958</v>
      </c>
      <c r="H106" s="14">
        <f>IF($B$5=1,Calculator!$C$9*POWER(1+Calculator!$C$14/100,$D106/12),Calculator!$C$9)</f>
        <v>10000</v>
      </c>
      <c r="J106" s="14">
        <f t="shared" si="11"/>
        <v>1</v>
      </c>
      <c r="K106" s="14" t="e">
        <f t="shared" si="6"/>
        <v>#N/A</v>
      </c>
      <c r="L106" s="14" t="e">
        <f t="shared" si="7"/>
        <v>#N/A</v>
      </c>
      <c r="M106" s="14" t="e">
        <f t="shared" si="8"/>
        <v>#N/A</v>
      </c>
      <c r="N106" s="14" t="e">
        <f t="shared" si="9"/>
        <v>#N/A</v>
      </c>
    </row>
    <row r="107" spans="4:14" ht="16.5" x14ac:dyDescent="0.25">
      <c r="D107" s="14">
        <v>67</v>
      </c>
      <c r="E107" s="14" t="str">
        <f t="shared" si="10"/>
        <v/>
      </c>
      <c r="F107" s="14" t="str">
        <f>IF(AND($B$8=1,$D107&lt;=$B$7),IF($B$5=1,Calculator!$C$9*POWER(1+Calculator!$C$14/100,$D107/12),Calculator!$C$9),"")</f>
        <v/>
      </c>
      <c r="G107" s="14">
        <f>G106*(1+$B$4)+Calculator!$C$25</f>
        <v>21826.85057978176</v>
      </c>
      <c r="H107" s="14">
        <f>IF($B$5=1,Calculator!$C$9*POWER(1+Calculator!$C$14/100,$D107/12),Calculator!$C$9)</f>
        <v>10000</v>
      </c>
      <c r="J107" s="14">
        <f t="shared" si="11"/>
        <v>1</v>
      </c>
      <c r="K107" s="14" t="e">
        <f t="shared" si="6"/>
        <v>#N/A</v>
      </c>
      <c r="L107" s="14" t="e">
        <f t="shared" si="7"/>
        <v>#N/A</v>
      </c>
      <c r="M107" s="14" t="e">
        <f t="shared" si="8"/>
        <v>#N/A</v>
      </c>
      <c r="N107" s="14" t="e">
        <f t="shared" si="9"/>
        <v>#N/A</v>
      </c>
    </row>
    <row r="108" spans="4:14" ht="16.5" x14ac:dyDescent="0.25">
      <c r="D108" s="14">
        <v>68</v>
      </c>
      <c r="E108" s="14" t="str">
        <f t="shared" si="10"/>
        <v/>
      </c>
      <c r="F108" s="14" t="str">
        <f>IF(AND($B$8=1,$D108&lt;=$B$7),IF($B$5=1,Calculator!$C$9*POWER(1+Calculator!$C$14/100,$D108/12),Calculator!$C$9),"")</f>
        <v/>
      </c>
      <c r="G108" s="14">
        <f>G107*(1+$B$4)+Calculator!$C$25</f>
        <v>22180.681481591266</v>
      </c>
      <c r="H108" s="14">
        <f>IF($B$5=1,Calculator!$C$9*POWER(1+Calculator!$C$14/100,$D108/12),Calculator!$C$9)</f>
        <v>10000</v>
      </c>
      <c r="J108" s="14">
        <f t="shared" si="11"/>
        <v>1</v>
      </c>
      <c r="K108" s="14" t="e">
        <f t="shared" si="6"/>
        <v>#N/A</v>
      </c>
      <c r="L108" s="14" t="e">
        <f t="shared" si="7"/>
        <v>#N/A</v>
      </c>
      <c r="M108" s="14" t="e">
        <f t="shared" si="8"/>
        <v>#N/A</v>
      </c>
      <c r="N108" s="14" t="e">
        <f t="shared" si="9"/>
        <v>#N/A</v>
      </c>
    </row>
    <row r="109" spans="4:14" ht="16.5" x14ac:dyDescent="0.25">
      <c r="D109" s="14">
        <v>69</v>
      </c>
      <c r="E109" s="14" t="str">
        <f t="shared" si="10"/>
        <v/>
      </c>
      <c r="F109" s="14" t="str">
        <f>IF(AND($B$8=1,$D109&lt;=$B$7),IF($B$5=1,Calculator!$C$9*POWER(1+Calculator!$C$14/100,$D109/12),Calculator!$C$9),"")</f>
        <v/>
      </c>
      <c r="G109" s="14">
        <f>G108*(1+$B$4)+Calculator!$C$25</f>
        <v>22535.38502585841</v>
      </c>
      <c r="H109" s="14">
        <f>IF($B$5=1,Calculator!$C$9*POWER(1+Calculator!$C$14/100,$D109/12),Calculator!$C$9)</f>
        <v>10000</v>
      </c>
      <c r="J109" s="14">
        <f t="shared" si="11"/>
        <v>1</v>
      </c>
      <c r="K109" s="14" t="e">
        <f t="shared" si="6"/>
        <v>#N/A</v>
      </c>
      <c r="L109" s="14" t="e">
        <f t="shared" si="7"/>
        <v>#N/A</v>
      </c>
      <c r="M109" s="14" t="e">
        <f t="shared" si="8"/>
        <v>#N/A</v>
      </c>
      <c r="N109" s="14" t="e">
        <f t="shared" si="9"/>
        <v>#N/A</v>
      </c>
    </row>
    <row r="110" spans="4:14" ht="16.5" x14ac:dyDescent="0.25">
      <c r="D110" s="14">
        <v>70</v>
      </c>
      <c r="E110" s="14" t="str">
        <f t="shared" si="10"/>
        <v/>
      </c>
      <c r="F110" s="14" t="str">
        <f>IF(AND($B$8=1,$D110&lt;=$B$7),IF($B$5=1,Calculator!$C$9*POWER(1+Calculator!$C$14/100,$D110/12),Calculator!$C$9),"")</f>
        <v/>
      </c>
      <c r="G110" s="14">
        <f>G109*(1+$B$4)+Calculator!$C$25</f>
        <v>22890.963364754909</v>
      </c>
      <c r="H110" s="14">
        <f>IF($B$5=1,Calculator!$C$9*POWER(1+Calculator!$C$14/100,$D110/12),Calculator!$C$9)</f>
        <v>10000</v>
      </c>
      <c r="J110" s="14">
        <f t="shared" si="11"/>
        <v>1</v>
      </c>
      <c r="K110" s="14" t="e">
        <f t="shared" si="6"/>
        <v>#N/A</v>
      </c>
      <c r="L110" s="14" t="e">
        <f t="shared" si="7"/>
        <v>#N/A</v>
      </c>
      <c r="M110" s="14" t="e">
        <f t="shared" si="8"/>
        <v>#N/A</v>
      </c>
      <c r="N110" s="14" t="e">
        <f t="shared" si="9"/>
        <v>#N/A</v>
      </c>
    </row>
    <row r="111" spans="4:14" ht="16.5" x14ac:dyDescent="0.25">
      <c r="D111" s="14">
        <v>71</v>
      </c>
      <c r="E111" s="14" t="str">
        <f t="shared" si="10"/>
        <v/>
      </c>
      <c r="F111" s="14" t="str">
        <f>IF(AND($B$8=1,$D111&lt;=$B$7),IF($B$5=1,Calculator!$C$9*POWER(1+Calculator!$C$14/100,$D111/12),Calculator!$C$9),"")</f>
        <v/>
      </c>
      <c r="G111" s="14">
        <f>G110*(1+$B$4)+Calculator!$C$25</f>
        <v>23247.418655760313</v>
      </c>
      <c r="H111" s="14">
        <f>IF($B$5=1,Calculator!$C$9*POWER(1+Calculator!$C$14/100,$D111/12),Calculator!$C$9)</f>
        <v>10000</v>
      </c>
      <c r="J111" s="14">
        <f t="shared" si="11"/>
        <v>1</v>
      </c>
      <c r="K111" s="14" t="e">
        <f t="shared" si="6"/>
        <v>#N/A</v>
      </c>
      <c r="L111" s="14" t="e">
        <f t="shared" si="7"/>
        <v>#N/A</v>
      </c>
      <c r="M111" s="14" t="e">
        <f t="shared" si="8"/>
        <v>#N/A</v>
      </c>
      <c r="N111" s="14" t="e">
        <f t="shared" si="9"/>
        <v>#N/A</v>
      </c>
    </row>
    <row r="112" spans="4:14" ht="16.5" x14ac:dyDescent="0.25">
      <c r="D112" s="14">
        <v>72</v>
      </c>
      <c r="E112" s="14" t="str">
        <f t="shared" si="10"/>
        <v/>
      </c>
      <c r="F112" s="14" t="str">
        <f>IF(AND($B$8=1,$D112&lt;=$B$7),IF($B$5=1,Calculator!$C$9*POWER(1+Calculator!$C$14/100,$D112/12),Calculator!$C$9),"")</f>
        <v/>
      </c>
      <c r="G112" s="14">
        <f>G111*(1+$B$4)+Calculator!$C$25</f>
        <v>23604.753061675103</v>
      </c>
      <c r="H112" s="14">
        <f>IF($B$5=1,Calculator!$C$9*POWER(1+Calculator!$C$14/100,$D112/12),Calculator!$C$9)</f>
        <v>10000</v>
      </c>
      <c r="J112" s="14">
        <f t="shared" si="11"/>
        <v>1</v>
      </c>
      <c r="K112" s="14" t="e">
        <f t="shared" si="6"/>
        <v>#N/A</v>
      </c>
      <c r="L112" s="14" t="e">
        <f t="shared" si="7"/>
        <v>#N/A</v>
      </c>
      <c r="M112" s="14" t="e">
        <f t="shared" si="8"/>
        <v>#N/A</v>
      </c>
      <c r="N112" s="14" t="e">
        <f t="shared" si="9"/>
        <v>#N/A</v>
      </c>
    </row>
    <row r="113" spans="4:14" ht="16.5" x14ac:dyDescent="0.25">
      <c r="D113" s="14">
        <v>73</v>
      </c>
      <c r="E113" s="14" t="str">
        <f t="shared" si="10"/>
        <v/>
      </c>
      <c r="F113" s="14" t="str">
        <f>IF(AND($B$8=1,$D113&lt;=$B$7),IF($B$5=1,Calculator!$C$9*POWER(1+Calculator!$C$14/100,$D113/12),Calculator!$C$9),"")</f>
        <v/>
      </c>
      <c r="G113" s="14">
        <f>G112*(1+$B$4)+Calculator!$C$25</f>
        <v>23962.968750633805</v>
      </c>
      <c r="H113" s="14">
        <f>IF($B$5=1,Calculator!$C$9*POWER(1+Calculator!$C$14/100,$D113/12),Calculator!$C$9)</f>
        <v>10000</v>
      </c>
      <c r="J113" s="14">
        <f t="shared" si="11"/>
        <v>1</v>
      </c>
      <c r="K113" s="14" t="e">
        <f t="shared" si="6"/>
        <v>#N/A</v>
      </c>
      <c r="L113" s="14" t="e">
        <f t="shared" si="7"/>
        <v>#N/A</v>
      </c>
      <c r="M113" s="14" t="e">
        <f t="shared" si="8"/>
        <v>#N/A</v>
      </c>
      <c r="N113" s="14" t="e">
        <f t="shared" si="9"/>
        <v>#N/A</v>
      </c>
    </row>
    <row r="114" spans="4:14" ht="16.5" x14ac:dyDescent="0.25">
      <c r="D114" s="14">
        <v>74</v>
      </c>
      <c r="E114" s="14" t="str">
        <f t="shared" si="10"/>
        <v/>
      </c>
      <c r="F114" s="14" t="str">
        <f>IF(AND($B$8=1,$D114&lt;=$B$7),IF($B$5=1,Calculator!$C$9*POWER(1+Calculator!$C$14/100,$D114/12),Calculator!$C$9),"")</f>
        <v/>
      </c>
      <c r="G114" s="14">
        <f>G113*(1+$B$4)+Calculator!$C$25</f>
        <v>24322.067896118151</v>
      </c>
      <c r="H114" s="14">
        <f>IF($B$5=1,Calculator!$C$9*POWER(1+Calculator!$C$14/100,$D114/12),Calculator!$C$9)</f>
        <v>10000</v>
      </c>
      <c r="J114" s="14">
        <f t="shared" si="11"/>
        <v>1</v>
      </c>
      <c r="K114" s="14" t="e">
        <f t="shared" si="6"/>
        <v>#N/A</v>
      </c>
      <c r="L114" s="14" t="e">
        <f t="shared" si="7"/>
        <v>#N/A</v>
      </c>
      <c r="M114" s="14" t="e">
        <f t="shared" si="8"/>
        <v>#N/A</v>
      </c>
      <c r="N114" s="14" t="e">
        <f t="shared" si="9"/>
        <v>#N/A</v>
      </c>
    </row>
    <row r="115" spans="4:14" ht="16.5" x14ac:dyDescent="0.25">
      <c r="D115" s="14">
        <v>75</v>
      </c>
      <c r="E115" s="14" t="str">
        <f t="shared" si="10"/>
        <v/>
      </c>
      <c r="F115" s="14" t="str">
        <f>IF(AND($B$8=1,$D115&lt;=$B$7),IF($B$5=1,Calculator!$C$9*POWER(1+Calculator!$C$14/100,$D115/12),Calculator!$C$9),"")</f>
        <v/>
      </c>
      <c r="G115" s="14">
        <f>G114*(1+$B$4)+Calculator!$C$25</f>
        <v>24682.052676970266</v>
      </c>
      <c r="H115" s="14">
        <f>IF($B$5=1,Calculator!$C$9*POWER(1+Calculator!$C$14/100,$D115/12),Calculator!$C$9)</f>
        <v>10000</v>
      </c>
      <c r="J115" s="14">
        <f t="shared" si="11"/>
        <v>1</v>
      </c>
      <c r="K115" s="14" t="e">
        <f t="shared" si="6"/>
        <v>#N/A</v>
      </c>
      <c r="L115" s="14" t="e">
        <f t="shared" si="7"/>
        <v>#N/A</v>
      </c>
      <c r="M115" s="14" t="e">
        <f t="shared" si="8"/>
        <v>#N/A</v>
      </c>
      <c r="N115" s="14" t="e">
        <f t="shared" si="9"/>
        <v>#N/A</v>
      </c>
    </row>
    <row r="116" spans="4:14" ht="16.5" x14ac:dyDescent="0.25">
      <c r="D116" s="14">
        <v>76</v>
      </c>
      <c r="E116" s="14" t="str">
        <f t="shared" si="10"/>
        <v/>
      </c>
      <c r="F116" s="14" t="str">
        <f>IF(AND($B$8=1,$D116&lt;=$B$7),IF($B$5=1,Calculator!$C$9*POWER(1+Calculator!$C$14/100,$D116/12),Calculator!$C$9),"")</f>
        <v/>
      </c>
      <c r="G116" s="14">
        <f>G115*(1+$B$4)+Calculator!$C$25</f>
        <v>25042.925277405884</v>
      </c>
      <c r="H116" s="14">
        <f>IF($B$5=1,Calculator!$C$9*POWER(1+Calculator!$C$14/100,$D116/12),Calculator!$C$9)</f>
        <v>10000</v>
      </c>
      <c r="J116" s="14">
        <f t="shared" si="11"/>
        <v>1</v>
      </c>
      <c r="K116" s="14" t="e">
        <f t="shared" si="6"/>
        <v>#N/A</v>
      </c>
      <c r="L116" s="14" t="e">
        <f t="shared" si="7"/>
        <v>#N/A</v>
      </c>
      <c r="M116" s="14" t="e">
        <f t="shared" si="8"/>
        <v>#N/A</v>
      </c>
      <c r="N116" s="14" t="e">
        <f t="shared" si="9"/>
        <v>#N/A</v>
      </c>
    </row>
    <row r="117" spans="4:14" ht="16.5" x14ac:dyDescent="0.25">
      <c r="D117" s="14">
        <v>77</v>
      </c>
      <c r="E117" s="14" t="str">
        <f t="shared" si="10"/>
        <v/>
      </c>
      <c r="F117" s="14" t="str">
        <f>IF(AND($B$8=1,$D117&lt;=$B$7),IF($B$5=1,Calculator!$C$9*POWER(1+Calculator!$C$14/100,$D117/12),Calculator!$C$9),"")</f>
        <v/>
      </c>
      <c r="G117" s="14">
        <f>G116*(1+$B$4)+Calculator!$C$25</f>
        <v>25404.687887027609</v>
      </c>
      <c r="H117" s="14">
        <f>IF($B$5=1,Calculator!$C$9*POWER(1+Calculator!$C$14/100,$D117/12),Calculator!$C$9)</f>
        <v>10000</v>
      </c>
      <c r="J117" s="14">
        <f t="shared" si="11"/>
        <v>1</v>
      </c>
      <c r="K117" s="14" t="e">
        <f t="shared" si="6"/>
        <v>#N/A</v>
      </c>
      <c r="L117" s="14" t="e">
        <f t="shared" si="7"/>
        <v>#N/A</v>
      </c>
      <c r="M117" s="14" t="e">
        <f t="shared" si="8"/>
        <v>#N/A</v>
      </c>
      <c r="N117" s="14" t="e">
        <f t="shared" si="9"/>
        <v>#N/A</v>
      </c>
    </row>
    <row r="118" spans="4:14" ht="16.5" x14ac:dyDescent="0.25">
      <c r="D118" s="14">
        <v>78</v>
      </c>
      <c r="E118" s="14" t="str">
        <f t="shared" si="10"/>
        <v/>
      </c>
      <c r="F118" s="14" t="str">
        <f>IF(AND($B$8=1,$D118&lt;=$B$7),IF($B$5=1,Calculator!$C$9*POWER(1+Calculator!$C$14/100,$D118/12),Calculator!$C$9),"")</f>
        <v/>
      </c>
      <c r="G118" s="14">
        <f>G117*(1+$B$4)+Calculator!$C$25</f>
        <v>25767.342700838195</v>
      </c>
      <c r="H118" s="14">
        <f>IF($B$5=1,Calculator!$C$9*POWER(1+Calculator!$C$14/100,$D118/12),Calculator!$C$9)</f>
        <v>10000</v>
      </c>
      <c r="J118" s="14">
        <f t="shared" si="11"/>
        <v>1</v>
      </c>
      <c r="K118" s="14" t="e">
        <f t="shared" si="6"/>
        <v>#N/A</v>
      </c>
      <c r="L118" s="14" t="e">
        <f t="shared" si="7"/>
        <v>#N/A</v>
      </c>
      <c r="M118" s="14" t="e">
        <f t="shared" si="8"/>
        <v>#N/A</v>
      </c>
      <c r="N118" s="14" t="e">
        <f t="shared" si="9"/>
        <v>#N/A</v>
      </c>
    </row>
    <row r="119" spans="4:14" ht="16.5" x14ac:dyDescent="0.25">
      <c r="D119" s="14">
        <v>79</v>
      </c>
      <c r="E119" s="14" t="str">
        <f t="shared" si="10"/>
        <v/>
      </c>
      <c r="F119" s="14" t="str">
        <f>IF(AND($B$8=1,$D119&lt;=$B$7),IF($B$5=1,Calculator!$C$9*POWER(1+Calculator!$C$14/100,$D119/12),Calculator!$C$9),"")</f>
        <v/>
      </c>
      <c r="G119" s="14">
        <f>G118*(1+$B$4)+Calculator!$C$25</f>
        <v>26130.891919253863</v>
      </c>
      <c r="H119" s="14">
        <f>IF($B$5=1,Calculator!$C$9*POWER(1+Calculator!$C$14/100,$D119/12),Calculator!$C$9)</f>
        <v>10000</v>
      </c>
      <c r="J119" s="14">
        <f t="shared" si="11"/>
        <v>1</v>
      </c>
      <c r="K119" s="14" t="e">
        <f t="shared" si="6"/>
        <v>#N/A</v>
      </c>
      <c r="L119" s="14" t="e">
        <f t="shared" si="7"/>
        <v>#N/A</v>
      </c>
      <c r="M119" s="14" t="e">
        <f t="shared" si="8"/>
        <v>#N/A</v>
      </c>
      <c r="N119" s="14" t="e">
        <f t="shared" si="9"/>
        <v>#N/A</v>
      </c>
    </row>
    <row r="120" spans="4:14" ht="16.5" x14ac:dyDescent="0.25">
      <c r="D120" s="14">
        <v>80</v>
      </c>
      <c r="E120" s="14" t="str">
        <f t="shared" si="10"/>
        <v/>
      </c>
      <c r="F120" s="14" t="str">
        <f>IF(AND($B$8=1,$D120&lt;=$B$7),IF($B$5=1,Calculator!$C$9*POWER(1+Calculator!$C$14/100,$D120/12),Calculator!$C$9),"")</f>
        <v/>
      </c>
      <c r="G120" s="14">
        <f>G119*(1+$B$4)+Calculator!$C$25</f>
        <v>26495.337748117654</v>
      </c>
      <c r="H120" s="14">
        <f>IF($B$5=1,Calculator!$C$9*POWER(1+Calculator!$C$14/100,$D120/12),Calculator!$C$9)</f>
        <v>10000</v>
      </c>
      <c r="J120" s="14">
        <f t="shared" si="11"/>
        <v>1</v>
      </c>
      <c r="K120" s="14" t="e">
        <f t="shared" si="6"/>
        <v>#N/A</v>
      </c>
      <c r="L120" s="14" t="e">
        <f t="shared" si="7"/>
        <v>#N/A</v>
      </c>
      <c r="M120" s="14" t="e">
        <f t="shared" si="8"/>
        <v>#N/A</v>
      </c>
      <c r="N120" s="14" t="e">
        <f t="shared" si="9"/>
        <v>#N/A</v>
      </c>
    </row>
    <row r="121" spans="4:14" ht="16.5" x14ac:dyDescent="0.25">
      <c r="D121" s="14">
        <v>81</v>
      </c>
      <c r="E121" s="14" t="str">
        <f t="shared" si="10"/>
        <v/>
      </c>
      <c r="F121" s="14" t="str">
        <f>IF(AND($B$8=1,$D121&lt;=$B$7),IF($B$5=1,Calculator!$C$9*POWER(1+Calculator!$C$14/100,$D121/12),Calculator!$C$9),"")</f>
        <v/>
      </c>
      <c r="G121" s="14">
        <f>G120*(1+$B$4)+Calculator!$C$25</f>
        <v>26860.682398712812</v>
      </c>
      <c r="H121" s="14">
        <f>IF($B$5=1,Calculator!$C$9*POWER(1+Calculator!$C$14/100,$D121/12),Calculator!$C$9)</f>
        <v>10000</v>
      </c>
      <c r="J121" s="14">
        <f t="shared" si="11"/>
        <v>1</v>
      </c>
      <c r="K121" s="14" t="e">
        <f t="shared" si="6"/>
        <v>#N/A</v>
      </c>
      <c r="L121" s="14" t="e">
        <f t="shared" si="7"/>
        <v>#N/A</v>
      </c>
      <c r="M121" s="14" t="e">
        <f t="shared" si="8"/>
        <v>#N/A</v>
      </c>
      <c r="N121" s="14" t="e">
        <f t="shared" si="9"/>
        <v>#N/A</v>
      </c>
    </row>
    <row r="122" spans="4:14" ht="16.5" x14ac:dyDescent="0.25">
      <c r="D122" s="14">
        <v>82</v>
      </c>
      <c r="E122" s="14" t="str">
        <f t="shared" si="10"/>
        <v/>
      </c>
      <c r="F122" s="14" t="str">
        <f>IF(AND($B$8=1,$D122&lt;=$B$7),IF($B$5=1,Calculator!$C$9*POWER(1+Calculator!$C$14/100,$D122/12),Calculator!$C$9),"")</f>
        <v/>
      </c>
      <c r="G122" s="14">
        <f>G121*(1+$B$4)+Calculator!$C$25</f>
        <v>27226.928087776207</v>
      </c>
      <c r="H122" s="14">
        <f>IF($B$5=1,Calculator!$C$9*POWER(1+Calculator!$C$14/100,$D122/12),Calculator!$C$9)</f>
        <v>10000</v>
      </c>
      <c r="J122" s="14">
        <f t="shared" si="11"/>
        <v>1</v>
      </c>
      <c r="K122" s="14" t="e">
        <f t="shared" si="6"/>
        <v>#N/A</v>
      </c>
      <c r="L122" s="14" t="e">
        <f t="shared" si="7"/>
        <v>#N/A</v>
      </c>
      <c r="M122" s="14" t="e">
        <f t="shared" si="8"/>
        <v>#N/A</v>
      </c>
      <c r="N122" s="14" t="e">
        <f t="shared" si="9"/>
        <v>#N/A</v>
      </c>
    </row>
    <row r="123" spans="4:14" ht="16.5" x14ac:dyDescent="0.25">
      <c r="D123" s="14">
        <v>83</v>
      </c>
      <c r="E123" s="14" t="str">
        <f t="shared" si="10"/>
        <v/>
      </c>
      <c r="F123" s="14" t="str">
        <f>IF(AND($B$8=1,$D123&lt;=$B$7),IF($B$5=1,Calculator!$C$9*POWER(1+Calculator!$C$14/100,$D123/12),Calculator!$C$9),"")</f>
        <v/>
      </c>
      <c r="G123" s="14">
        <f>G122*(1+$B$4)+Calculator!$C$25</f>
        <v>27594.077037511775</v>
      </c>
      <c r="H123" s="14">
        <f>IF($B$5=1,Calculator!$C$9*POWER(1+Calculator!$C$14/100,$D123/12),Calculator!$C$9)</f>
        <v>10000</v>
      </c>
      <c r="J123" s="14">
        <f t="shared" si="11"/>
        <v>1</v>
      </c>
      <c r="K123" s="14" t="e">
        <f t="shared" si="6"/>
        <v>#N/A</v>
      </c>
      <c r="L123" s="14" t="e">
        <f t="shared" si="7"/>
        <v>#N/A</v>
      </c>
      <c r="M123" s="14" t="e">
        <f t="shared" si="8"/>
        <v>#N/A</v>
      </c>
      <c r="N123" s="14" t="e">
        <f t="shared" si="9"/>
        <v>#N/A</v>
      </c>
    </row>
    <row r="124" spans="4:14" ht="16.5" x14ac:dyDescent="0.25">
      <c r="D124" s="14">
        <v>84</v>
      </c>
      <c r="E124" s="14" t="str">
        <f t="shared" si="10"/>
        <v/>
      </c>
      <c r="F124" s="14" t="str">
        <f>IF(AND($B$8=1,$D124&lt;=$B$7),IF($B$5=1,Calculator!$C$9*POWER(1+Calculator!$C$14/100,$D124/12),Calculator!$C$9),"")</f>
        <v/>
      </c>
      <c r="G124" s="14">
        <f>G123*(1+$B$4)+Calculator!$C$25</f>
        <v>27962.131475604008</v>
      </c>
      <c r="H124" s="14">
        <f>IF($B$5=1,Calculator!$C$9*POWER(1+Calculator!$C$14/100,$D124/12),Calculator!$C$9)</f>
        <v>10000</v>
      </c>
      <c r="J124" s="14">
        <f t="shared" si="11"/>
        <v>1</v>
      </c>
      <c r="K124" s="14" t="e">
        <f t="shared" si="6"/>
        <v>#N/A</v>
      </c>
      <c r="L124" s="14" t="e">
        <f t="shared" si="7"/>
        <v>#N/A</v>
      </c>
      <c r="M124" s="14" t="e">
        <f t="shared" si="8"/>
        <v>#N/A</v>
      </c>
      <c r="N124" s="14" t="e">
        <f t="shared" si="9"/>
        <v>#N/A</v>
      </c>
    </row>
    <row r="125" spans="4:14" ht="16.5" x14ac:dyDescent="0.25">
      <c r="D125" s="14">
        <v>85</v>
      </c>
      <c r="E125" s="14" t="str">
        <f t="shared" si="10"/>
        <v/>
      </c>
      <c r="F125" s="14" t="str">
        <f>IF(AND($B$8=1,$D125&lt;=$B$7),IF($B$5=1,Calculator!$C$9*POWER(1+Calculator!$C$14/100,$D125/12),Calculator!$C$9),"")</f>
        <v/>
      </c>
      <c r="G125" s="14">
        <f>G124*(1+$B$4)+Calculator!$C$25</f>
        <v>28331.093635231471</v>
      </c>
      <c r="H125" s="14">
        <f>IF($B$5=1,Calculator!$C$9*POWER(1+Calculator!$C$14/100,$D125/12),Calculator!$C$9)</f>
        <v>10000</v>
      </c>
      <c r="J125" s="14">
        <f t="shared" si="11"/>
        <v>1</v>
      </c>
      <c r="K125" s="14" t="e">
        <f t="shared" si="6"/>
        <v>#N/A</v>
      </c>
      <c r="L125" s="14" t="e">
        <f t="shared" si="7"/>
        <v>#N/A</v>
      </c>
      <c r="M125" s="14" t="e">
        <f t="shared" si="8"/>
        <v>#N/A</v>
      </c>
      <c r="N125" s="14" t="e">
        <f t="shared" si="9"/>
        <v>#N/A</v>
      </c>
    </row>
    <row r="126" spans="4:14" ht="16.5" x14ac:dyDescent="0.25">
      <c r="D126" s="14">
        <v>86</v>
      </c>
      <c r="E126" s="14" t="str">
        <f t="shared" si="10"/>
        <v/>
      </c>
      <c r="F126" s="14" t="str">
        <f>IF(AND($B$8=1,$D126&lt;=$B$7),IF($B$5=1,Calculator!$C$9*POWER(1+Calculator!$C$14/100,$D126/12),Calculator!$C$9),"")</f>
        <v/>
      </c>
      <c r="G126" s="14">
        <f>G125*(1+$B$4)+Calculator!$C$25</f>
        <v>28700.965755080349</v>
      </c>
      <c r="H126" s="14">
        <f>IF($B$5=1,Calculator!$C$9*POWER(1+Calculator!$C$14/100,$D126/12),Calculator!$C$9)</f>
        <v>10000</v>
      </c>
      <c r="J126" s="14">
        <f t="shared" si="11"/>
        <v>1</v>
      </c>
      <c r="K126" s="14" t="e">
        <f t="shared" si="6"/>
        <v>#N/A</v>
      </c>
      <c r="L126" s="14" t="e">
        <f t="shared" si="7"/>
        <v>#N/A</v>
      </c>
      <c r="M126" s="14" t="e">
        <f t="shared" si="8"/>
        <v>#N/A</v>
      </c>
      <c r="N126" s="14" t="e">
        <f t="shared" si="9"/>
        <v>#N/A</v>
      </c>
    </row>
    <row r="127" spans="4:14" ht="16.5" x14ac:dyDescent="0.25">
      <c r="D127" s="14">
        <v>87</v>
      </c>
      <c r="E127" s="14" t="str">
        <f t="shared" si="10"/>
        <v/>
      </c>
      <c r="F127" s="14" t="str">
        <f>IF(AND($B$8=1,$D127&lt;=$B$7),IF($B$5=1,Calculator!$C$9*POWER(1+Calculator!$C$14/100,$D127/12),Calculator!$C$9),"")</f>
        <v/>
      </c>
      <c r="G127" s="14">
        <f>G126*(1+$B$4)+Calculator!$C$25</f>
        <v>29071.750079358026</v>
      </c>
      <c r="H127" s="14">
        <f>IF($B$5=1,Calculator!$C$9*POWER(1+Calculator!$C$14/100,$D127/12),Calculator!$C$9)</f>
        <v>10000</v>
      </c>
      <c r="J127" s="14">
        <f t="shared" si="11"/>
        <v>1</v>
      </c>
      <c r="K127" s="14" t="e">
        <f t="shared" si="6"/>
        <v>#N/A</v>
      </c>
      <c r="L127" s="14" t="e">
        <f t="shared" si="7"/>
        <v>#N/A</v>
      </c>
      <c r="M127" s="14" t="e">
        <f t="shared" si="8"/>
        <v>#N/A</v>
      </c>
      <c r="N127" s="14" t="e">
        <f t="shared" si="9"/>
        <v>#N/A</v>
      </c>
    </row>
    <row r="128" spans="4:14" ht="16.5" x14ac:dyDescent="0.25">
      <c r="D128" s="14">
        <v>88</v>
      </c>
      <c r="E128" s="14" t="str">
        <f t="shared" si="10"/>
        <v/>
      </c>
      <c r="F128" s="14" t="str">
        <f>IF(AND($B$8=1,$D128&lt;=$B$7),IF($B$5=1,Calculator!$C$9*POWER(1+Calculator!$C$14/100,$D128/12),Calculator!$C$9),"")</f>
        <v/>
      </c>
      <c r="G128" s="14">
        <f>G127*(1+$B$4)+Calculator!$C$25</f>
        <v>29443.448857806714</v>
      </c>
      <c r="H128" s="14">
        <f>IF($B$5=1,Calculator!$C$9*POWER(1+Calculator!$C$14/100,$D128/12),Calculator!$C$9)</f>
        <v>10000</v>
      </c>
      <c r="J128" s="14">
        <f t="shared" si="11"/>
        <v>1</v>
      </c>
      <c r="K128" s="14" t="e">
        <f t="shared" si="6"/>
        <v>#N/A</v>
      </c>
      <c r="L128" s="14" t="e">
        <f t="shared" si="7"/>
        <v>#N/A</v>
      </c>
      <c r="M128" s="14" t="e">
        <f t="shared" si="8"/>
        <v>#N/A</v>
      </c>
      <c r="N128" s="14" t="e">
        <f t="shared" si="9"/>
        <v>#N/A</v>
      </c>
    </row>
    <row r="129" spans="4:14" ht="16.5" x14ac:dyDescent="0.25">
      <c r="D129" s="14">
        <v>89</v>
      </c>
      <c r="E129" s="14" t="str">
        <f t="shared" si="10"/>
        <v/>
      </c>
      <c r="F129" s="14" t="str">
        <f>IF(AND($B$8=1,$D129&lt;=$B$7),IF($B$5=1,Calculator!$C$9*POWER(1+Calculator!$C$14/100,$D129/12),Calculator!$C$9),"")</f>
        <v/>
      </c>
      <c r="G129" s="14">
        <f>G128*(1+$B$4)+Calculator!$C$25</f>
        <v>29816.064345717092</v>
      </c>
      <c r="H129" s="14">
        <f>IF($B$5=1,Calculator!$C$9*POWER(1+Calculator!$C$14/100,$D129/12),Calculator!$C$9)</f>
        <v>10000</v>
      </c>
      <c r="J129" s="14">
        <f t="shared" si="11"/>
        <v>1</v>
      </c>
      <c r="K129" s="14" t="e">
        <f t="shared" si="6"/>
        <v>#N/A</v>
      </c>
      <c r="L129" s="14" t="e">
        <f t="shared" si="7"/>
        <v>#N/A</v>
      </c>
      <c r="M129" s="14" t="e">
        <f t="shared" si="8"/>
        <v>#N/A</v>
      </c>
      <c r="N129" s="14" t="e">
        <f t="shared" si="9"/>
        <v>#N/A</v>
      </c>
    </row>
    <row r="130" spans="4:14" ht="16.5" x14ac:dyDescent="0.25">
      <c r="D130" s="14">
        <v>90</v>
      </c>
      <c r="E130" s="14" t="str">
        <f t="shared" si="10"/>
        <v/>
      </c>
      <c r="F130" s="14" t="str">
        <f>IF(AND($B$8=1,$D130&lt;=$B$7),IF($B$5=1,Calculator!$C$9*POWER(1+Calculator!$C$14/100,$D130/12),Calculator!$C$9),"")</f>
        <v/>
      </c>
      <c r="G130" s="14">
        <f>G129*(1+$B$4)+Calculator!$C$25</f>
        <v>30189.598803941997</v>
      </c>
      <c r="H130" s="14">
        <f>IF($B$5=1,Calculator!$C$9*POWER(1+Calculator!$C$14/100,$D130/12),Calculator!$C$9)</f>
        <v>10000</v>
      </c>
      <c r="J130" s="14">
        <f t="shared" si="11"/>
        <v>1</v>
      </c>
      <c r="K130" s="14" t="e">
        <f t="shared" si="6"/>
        <v>#N/A</v>
      </c>
      <c r="L130" s="14" t="e">
        <f t="shared" si="7"/>
        <v>#N/A</v>
      </c>
      <c r="M130" s="14" t="e">
        <f t="shared" si="8"/>
        <v>#N/A</v>
      </c>
      <c r="N130" s="14" t="e">
        <f t="shared" si="9"/>
        <v>#N/A</v>
      </c>
    </row>
    <row r="131" spans="4:14" ht="16.5" x14ac:dyDescent="0.25">
      <c r="D131" s="14">
        <v>91</v>
      </c>
      <c r="E131" s="14" t="str">
        <f t="shared" si="10"/>
        <v/>
      </c>
      <c r="F131" s="14" t="str">
        <f>IF(AND($B$8=1,$D131&lt;=$B$7),IF($B$5=1,Calculator!$C$9*POWER(1+Calculator!$C$14/100,$D131/12),Calculator!$C$9),"")</f>
        <v/>
      </c>
      <c r="G131" s="14">
        <f>G130*(1+$B$4)+Calculator!$C$25</f>
        <v>30564.054498910136</v>
      </c>
      <c r="H131" s="14">
        <f>IF($B$5=1,Calculator!$C$9*POWER(1+Calculator!$C$14/100,$D131/12),Calculator!$C$9)</f>
        <v>10000</v>
      </c>
      <c r="J131" s="14">
        <f t="shared" si="11"/>
        <v>1</v>
      </c>
      <c r="K131" s="14" t="e">
        <f t="shared" si="6"/>
        <v>#N/A</v>
      </c>
      <c r="L131" s="14" t="e">
        <f t="shared" si="7"/>
        <v>#N/A</v>
      </c>
      <c r="M131" s="14" t="e">
        <f t="shared" si="8"/>
        <v>#N/A</v>
      </c>
      <c r="N131" s="14" t="e">
        <f t="shared" si="9"/>
        <v>#N/A</v>
      </c>
    </row>
    <row r="132" spans="4:14" ht="16.5" x14ac:dyDescent="0.25">
      <c r="D132" s="14">
        <v>92</v>
      </c>
      <c r="E132" s="14" t="str">
        <f t="shared" si="10"/>
        <v/>
      </c>
      <c r="F132" s="14" t="str">
        <f>IF(AND($B$8=1,$D132&lt;=$B$7),IF($B$5=1,Calculator!$C$9*POWER(1+Calculator!$C$14/100,$D132/12),Calculator!$C$9),"")</f>
        <v/>
      </c>
      <c r="G132" s="14">
        <f>G131*(1+$B$4)+Calculator!$C$25</f>
        <v>30939.433702639843</v>
      </c>
      <c r="H132" s="14">
        <f>IF($B$5=1,Calculator!$C$9*POWER(1+Calculator!$C$14/100,$D132/12),Calculator!$C$9)</f>
        <v>10000</v>
      </c>
      <c r="J132" s="14">
        <f t="shared" si="11"/>
        <v>1</v>
      </c>
      <c r="K132" s="14" t="e">
        <f t="shared" si="6"/>
        <v>#N/A</v>
      </c>
      <c r="L132" s="14" t="e">
        <f t="shared" si="7"/>
        <v>#N/A</v>
      </c>
      <c r="M132" s="14" t="e">
        <f t="shared" si="8"/>
        <v>#N/A</v>
      </c>
      <c r="N132" s="14" t="e">
        <f t="shared" si="9"/>
        <v>#N/A</v>
      </c>
    </row>
    <row r="133" spans="4:14" ht="16.5" x14ac:dyDescent="0.25">
      <c r="D133" s="14">
        <v>93</v>
      </c>
      <c r="E133" s="14" t="str">
        <f t="shared" si="10"/>
        <v/>
      </c>
      <c r="F133" s="14" t="str">
        <f>IF(AND($B$8=1,$D133&lt;=$B$7),IF($B$5=1,Calculator!$C$9*POWER(1+Calculator!$C$14/100,$D133/12),Calculator!$C$9),"")</f>
        <v/>
      </c>
      <c r="G133" s="14">
        <f>G132*(1+$B$4)+Calculator!$C$25</f>
        <v>31315.738692752857</v>
      </c>
      <c r="H133" s="14">
        <f>IF($B$5=1,Calculator!$C$9*POWER(1+Calculator!$C$14/100,$D133/12),Calculator!$C$9)</f>
        <v>10000</v>
      </c>
      <c r="J133" s="14">
        <f t="shared" si="11"/>
        <v>1</v>
      </c>
      <c r="K133" s="14" t="e">
        <f t="shared" si="6"/>
        <v>#N/A</v>
      </c>
      <c r="L133" s="14" t="e">
        <f t="shared" si="7"/>
        <v>#N/A</v>
      </c>
      <c r="M133" s="14" t="e">
        <f t="shared" si="8"/>
        <v>#N/A</v>
      </c>
      <c r="N133" s="14" t="e">
        <f t="shared" si="9"/>
        <v>#N/A</v>
      </c>
    </row>
    <row r="134" spans="4:14" ht="16.5" x14ac:dyDescent="0.25">
      <c r="D134" s="14">
        <v>94</v>
      </c>
      <c r="E134" s="14" t="str">
        <f t="shared" si="10"/>
        <v/>
      </c>
      <c r="F134" s="14" t="str">
        <f>IF(AND($B$8=1,$D134&lt;=$B$7),IF($B$5=1,Calculator!$C$9*POWER(1+Calculator!$C$14/100,$D134/12),Calculator!$C$9),"")</f>
        <v/>
      </c>
      <c r="G134" s="14">
        <f>G133*(1+$B$4)+Calculator!$C$25</f>
        <v>31692.971752488153</v>
      </c>
      <c r="H134" s="14">
        <f>IF($B$5=1,Calculator!$C$9*POWER(1+Calculator!$C$14/100,$D134/12),Calculator!$C$9)</f>
        <v>10000</v>
      </c>
      <c r="J134" s="14">
        <f t="shared" si="11"/>
        <v>1</v>
      </c>
      <c r="K134" s="14" t="e">
        <f t="shared" si="6"/>
        <v>#N/A</v>
      </c>
      <c r="L134" s="14" t="e">
        <f t="shared" si="7"/>
        <v>#N/A</v>
      </c>
      <c r="M134" s="14" t="e">
        <f t="shared" si="8"/>
        <v>#N/A</v>
      </c>
      <c r="N134" s="14" t="e">
        <f t="shared" si="9"/>
        <v>#N/A</v>
      </c>
    </row>
    <row r="135" spans="4:14" ht="16.5" x14ac:dyDescent="0.25">
      <c r="D135" s="14">
        <v>95</v>
      </c>
      <c r="E135" s="14" t="str">
        <f t="shared" si="10"/>
        <v/>
      </c>
      <c r="F135" s="14" t="str">
        <f>IF(AND($B$8=1,$D135&lt;=$B$7),IF($B$5=1,Calculator!$C$9*POWER(1+Calculator!$C$14/100,$D135/12),Calculator!$C$9),"")</f>
        <v/>
      </c>
      <c r="G135" s="14">
        <f>G134*(1+$B$4)+Calculator!$C$25</f>
        <v>32071.135170715788</v>
      </c>
      <c r="H135" s="14">
        <f>IF($B$5=1,Calculator!$C$9*POWER(1+Calculator!$C$14/100,$D135/12),Calculator!$C$9)</f>
        <v>10000</v>
      </c>
      <c r="J135" s="14">
        <f t="shared" si="11"/>
        <v>1</v>
      </c>
      <c r="K135" s="14" t="e">
        <f t="shared" si="6"/>
        <v>#N/A</v>
      </c>
      <c r="L135" s="14" t="e">
        <f t="shared" si="7"/>
        <v>#N/A</v>
      </c>
      <c r="M135" s="14" t="e">
        <f t="shared" si="8"/>
        <v>#N/A</v>
      </c>
      <c r="N135" s="14" t="e">
        <f t="shared" si="9"/>
        <v>#N/A</v>
      </c>
    </row>
    <row r="136" spans="4:14" ht="16.5" x14ac:dyDescent="0.25">
      <c r="D136" s="14">
        <v>96</v>
      </c>
      <c r="E136" s="14" t="str">
        <f t="shared" si="10"/>
        <v/>
      </c>
      <c r="F136" s="14" t="str">
        <f>IF(AND($B$8=1,$D136&lt;=$B$7),IF($B$5=1,Calculator!$C$9*POWER(1+Calculator!$C$14/100,$D136/12),Calculator!$C$9),"")</f>
        <v/>
      </c>
      <c r="G136" s="14">
        <f>G135*(1+$B$4)+Calculator!$C$25</f>
        <v>32450.231241950791</v>
      </c>
      <c r="H136" s="14">
        <f>IF($B$5=1,Calculator!$C$9*POWER(1+Calculator!$C$14/100,$D136/12),Calculator!$C$9)</f>
        <v>10000</v>
      </c>
      <c r="J136" s="14">
        <f t="shared" si="11"/>
        <v>1</v>
      </c>
      <c r="K136" s="14" t="e">
        <f t="shared" si="6"/>
        <v>#N/A</v>
      </c>
      <c r="L136" s="14" t="e">
        <f t="shared" si="7"/>
        <v>#N/A</v>
      </c>
      <c r="M136" s="14" t="e">
        <f t="shared" si="8"/>
        <v>#N/A</v>
      </c>
      <c r="N136" s="14" t="e">
        <f t="shared" si="9"/>
        <v>#N/A</v>
      </c>
    </row>
    <row r="137" spans="4:14" ht="16.5" x14ac:dyDescent="0.25">
      <c r="D137" s="14">
        <v>97</v>
      </c>
      <c r="E137" s="14" t="str">
        <f t="shared" si="10"/>
        <v/>
      </c>
      <c r="F137" s="14" t="str">
        <f>IF(AND($B$8=1,$D137&lt;=$B$7),IF($B$5=1,Calculator!$C$9*POWER(1+Calculator!$C$14/100,$D137/12),Calculator!$C$9),"")</f>
        <v/>
      </c>
      <c r="G137" s="14">
        <f>G136*(1+$B$4)+Calculator!$C$25</f>
        <v>32830.262266367077</v>
      </c>
      <c r="H137" s="14">
        <f>IF($B$5=1,Calculator!$C$9*POWER(1+Calculator!$C$14/100,$D137/12),Calculator!$C$9)</f>
        <v>10000</v>
      </c>
      <c r="J137" s="14">
        <f t="shared" si="11"/>
        <v>1</v>
      </c>
      <c r="K137" s="14" t="e">
        <f t="shared" si="6"/>
        <v>#N/A</v>
      </c>
      <c r="L137" s="14" t="e">
        <f t="shared" si="7"/>
        <v>#N/A</v>
      </c>
      <c r="M137" s="14" t="e">
        <f t="shared" si="8"/>
        <v>#N/A</v>
      </c>
      <c r="N137" s="14" t="e">
        <f t="shared" si="9"/>
        <v>#N/A</v>
      </c>
    </row>
    <row r="138" spans="4:14" ht="16.5" x14ac:dyDescent="0.25">
      <c r="D138" s="14">
        <v>98</v>
      </c>
      <c r="E138" s="14" t="str">
        <f t="shared" si="10"/>
        <v/>
      </c>
      <c r="F138" s="14" t="str">
        <f>IF(AND($B$8=1,$D138&lt;=$B$7),IF($B$5=1,Calculator!$C$9*POWER(1+Calculator!$C$14/100,$D138/12),Calculator!$C$9),"")</f>
        <v/>
      </c>
      <c r="G138" s="14">
        <f>G137*(1+$B$4)+Calculator!$C$25</f>
        <v>33211.230549811422</v>
      </c>
      <c r="H138" s="14">
        <f>IF($B$5=1,Calculator!$C$9*POWER(1+Calculator!$C$14/100,$D138/12),Calculator!$C$9)</f>
        <v>10000</v>
      </c>
      <c r="J138" s="14">
        <f t="shared" si="11"/>
        <v>1</v>
      </c>
      <c r="K138" s="14" t="e">
        <f t="shared" si="6"/>
        <v>#N/A</v>
      </c>
      <c r="L138" s="14" t="e">
        <f t="shared" si="7"/>
        <v>#N/A</v>
      </c>
      <c r="M138" s="14" t="e">
        <f t="shared" si="8"/>
        <v>#N/A</v>
      </c>
      <c r="N138" s="14" t="e">
        <f t="shared" si="9"/>
        <v>#N/A</v>
      </c>
    </row>
    <row r="139" spans="4:14" ht="16.5" x14ac:dyDescent="0.25">
      <c r="D139" s="14">
        <v>99</v>
      </c>
      <c r="E139" s="14" t="str">
        <f t="shared" si="10"/>
        <v/>
      </c>
      <c r="F139" s="14" t="str">
        <f>IF(AND($B$8=1,$D139&lt;=$B$7),IF($B$5=1,Calculator!$C$9*POWER(1+Calculator!$C$14/100,$D139/12),Calculator!$C$9),"")</f>
        <v/>
      </c>
      <c r="G139" s="14">
        <f>G138*(1+$B$4)+Calculator!$C$25</f>
        <v>33593.138403817429</v>
      </c>
      <c r="H139" s="14">
        <f>IF($B$5=1,Calculator!$C$9*POWER(1+Calculator!$C$14/100,$D139/12),Calculator!$C$9)</f>
        <v>10000</v>
      </c>
      <c r="J139" s="14">
        <f t="shared" si="11"/>
        <v>1</v>
      </c>
      <c r="K139" s="14" t="e">
        <f t="shared" si="6"/>
        <v>#N/A</v>
      </c>
      <c r="L139" s="14" t="e">
        <f t="shared" si="7"/>
        <v>#N/A</v>
      </c>
      <c r="M139" s="14" t="e">
        <f t="shared" si="8"/>
        <v>#N/A</v>
      </c>
      <c r="N139" s="14" t="e">
        <f t="shared" si="9"/>
        <v>#N/A</v>
      </c>
    </row>
    <row r="140" spans="4:14" ht="16.5" x14ac:dyDescent="0.25">
      <c r="D140" s="14">
        <v>100</v>
      </c>
      <c r="E140" s="14" t="str">
        <f t="shared" si="10"/>
        <v/>
      </c>
      <c r="F140" s="14" t="str">
        <f>IF(AND($B$8=1,$D140&lt;=$B$7),IF($B$5=1,Calculator!$C$9*POWER(1+Calculator!$C$14/100,$D140/12),Calculator!$C$9),"")</f>
        <v/>
      </c>
      <c r="G140" s="14">
        <f>G139*(1+$B$4)+Calculator!$C$25</f>
        <v>33975.98814561958</v>
      </c>
      <c r="H140" s="14">
        <f>IF($B$5=1,Calculator!$C$9*POWER(1+Calculator!$C$14/100,$D140/12),Calculator!$C$9)</f>
        <v>10000</v>
      </c>
      <c r="J140" s="14">
        <f t="shared" si="11"/>
        <v>1</v>
      </c>
      <c r="K140" s="14" t="e">
        <f t="shared" si="6"/>
        <v>#N/A</v>
      </c>
      <c r="L140" s="14" t="e">
        <f t="shared" si="7"/>
        <v>#N/A</v>
      </c>
      <c r="M140" s="14" t="e">
        <f t="shared" si="8"/>
        <v>#N/A</v>
      </c>
      <c r="N140" s="14" t="e">
        <f t="shared" si="9"/>
        <v>#N/A</v>
      </c>
    </row>
    <row r="141" spans="4:14" ht="16.5" x14ac:dyDescent="0.25">
      <c r="D141" s="14">
        <v>101</v>
      </c>
      <c r="E141" s="14" t="str">
        <f t="shared" si="10"/>
        <v/>
      </c>
      <c r="F141" s="14" t="str">
        <f>IF(AND($B$8=1,$D141&lt;=$B$7),IF($B$5=1,Calculator!$C$9*POWER(1+Calculator!$C$14/100,$D141/12),Calculator!$C$9),"")</f>
        <v/>
      </c>
      <c r="G141" s="14">
        <f>G140*(1+$B$4)+Calculator!$C$25</f>
        <v>34359.78209816727</v>
      </c>
      <c r="H141" s="14">
        <f>IF($B$5=1,Calculator!$C$9*POWER(1+Calculator!$C$14/100,$D141/12),Calculator!$C$9)</f>
        <v>10000</v>
      </c>
      <c r="J141" s="14">
        <f t="shared" si="11"/>
        <v>1</v>
      </c>
      <c r="K141" s="14" t="e">
        <f t="shared" si="6"/>
        <v>#N/A</v>
      </c>
      <c r="L141" s="14" t="e">
        <f t="shared" si="7"/>
        <v>#N/A</v>
      </c>
      <c r="M141" s="14" t="e">
        <f t="shared" si="8"/>
        <v>#N/A</v>
      </c>
      <c r="N141" s="14" t="e">
        <f t="shared" si="9"/>
        <v>#N/A</v>
      </c>
    </row>
    <row r="142" spans="4:14" ht="16.5" x14ac:dyDescent="0.25">
      <c r="D142" s="14">
        <v>102</v>
      </c>
      <c r="E142" s="14" t="str">
        <f t="shared" si="10"/>
        <v/>
      </c>
      <c r="F142" s="14" t="str">
        <f>IF(AND($B$8=1,$D142&lt;=$B$7),IF($B$5=1,Calculator!$C$9*POWER(1+Calculator!$C$14/100,$D142/12),Calculator!$C$9),"")</f>
        <v/>
      </c>
      <c r="G142" s="14">
        <f>G141*(1+$B$4)+Calculator!$C$25</f>
        <v>34744.52259013892</v>
      </c>
      <c r="H142" s="14">
        <f>IF($B$5=1,Calculator!$C$9*POWER(1+Calculator!$C$14/100,$D142/12),Calculator!$C$9)</f>
        <v>10000</v>
      </c>
      <c r="J142" s="14">
        <f t="shared" si="11"/>
        <v>1</v>
      </c>
      <c r="K142" s="14" t="e">
        <f t="shared" si="6"/>
        <v>#N/A</v>
      </c>
      <c r="L142" s="14" t="e">
        <f t="shared" si="7"/>
        <v>#N/A</v>
      </c>
      <c r="M142" s="14" t="e">
        <f t="shared" si="8"/>
        <v>#N/A</v>
      </c>
      <c r="N142" s="14" t="e">
        <f t="shared" si="9"/>
        <v>#N/A</v>
      </c>
    </row>
    <row r="143" spans="4:14" ht="16.5" x14ac:dyDescent="0.25">
      <c r="D143" s="14">
        <v>103</v>
      </c>
      <c r="E143" s="14" t="str">
        <f t="shared" si="10"/>
        <v/>
      </c>
      <c r="F143" s="14" t="str">
        <f>IF(AND($B$8=1,$D143&lt;=$B$7),IF($B$5=1,Calculator!$C$9*POWER(1+Calculator!$C$14/100,$D143/12),Calculator!$C$9),"")</f>
        <v/>
      </c>
      <c r="G143" s="14">
        <f>G142*(1+$B$4)+Calculator!$C$25</f>
        <v>35130.211955956103</v>
      </c>
      <c r="H143" s="14">
        <f>IF($B$5=1,Calculator!$C$9*POWER(1+Calculator!$C$14/100,$D143/12),Calculator!$C$9)</f>
        <v>10000</v>
      </c>
      <c r="J143" s="14">
        <f t="shared" si="11"/>
        <v>1</v>
      </c>
      <c r="K143" s="14" t="e">
        <f t="shared" si="6"/>
        <v>#N/A</v>
      </c>
      <c r="L143" s="14" t="e">
        <f t="shared" si="7"/>
        <v>#N/A</v>
      </c>
      <c r="M143" s="14" t="e">
        <f t="shared" si="8"/>
        <v>#N/A</v>
      </c>
      <c r="N143" s="14" t="e">
        <f t="shared" si="9"/>
        <v>#N/A</v>
      </c>
    </row>
    <row r="144" spans="4:14" ht="16.5" x14ac:dyDescent="0.25">
      <c r="D144" s="14">
        <v>104</v>
      </c>
      <c r="E144" s="14" t="str">
        <f t="shared" si="10"/>
        <v/>
      </c>
      <c r="F144" s="14" t="str">
        <f>IF(AND($B$8=1,$D144&lt;=$B$7),IF($B$5=1,Calculator!$C$9*POWER(1+Calculator!$C$14/100,$D144/12),Calculator!$C$9),"")</f>
        <v/>
      </c>
      <c r="G144" s="14">
        <f>G143*(1+$B$4)+Calculator!$C$25</f>
        <v>35516.852535797698</v>
      </c>
      <c r="H144" s="14">
        <f>IF($B$5=1,Calculator!$C$9*POWER(1+Calculator!$C$14/100,$D144/12),Calculator!$C$9)</f>
        <v>10000</v>
      </c>
      <c r="J144" s="14">
        <f t="shared" si="11"/>
        <v>1</v>
      </c>
      <c r="K144" s="14" t="e">
        <f t="shared" si="6"/>
        <v>#N/A</v>
      </c>
      <c r="L144" s="14" t="e">
        <f t="shared" si="7"/>
        <v>#N/A</v>
      </c>
      <c r="M144" s="14" t="e">
        <f t="shared" si="8"/>
        <v>#N/A</v>
      </c>
      <c r="N144" s="14" t="e">
        <f t="shared" si="9"/>
        <v>#N/A</v>
      </c>
    </row>
    <row r="145" spans="4:14" ht="16.5" x14ac:dyDescent="0.25">
      <c r="D145" s="14">
        <v>105</v>
      </c>
      <c r="E145" s="14" t="str">
        <f t="shared" si="10"/>
        <v/>
      </c>
      <c r="F145" s="14" t="str">
        <f>IF(AND($B$8=1,$D145&lt;=$B$7),IF($B$5=1,Calculator!$C$9*POWER(1+Calculator!$C$14/100,$D145/12),Calculator!$C$9),"")</f>
        <v/>
      </c>
      <c r="G145" s="14">
        <f>G144*(1+$B$4)+Calculator!$C$25</f>
        <v>35904.446675614105</v>
      </c>
      <c r="H145" s="14">
        <f>IF($B$5=1,Calculator!$C$9*POWER(1+Calculator!$C$14/100,$D145/12),Calculator!$C$9)</f>
        <v>10000</v>
      </c>
      <c r="J145" s="14">
        <f t="shared" si="11"/>
        <v>1</v>
      </c>
      <c r="K145" s="14" t="e">
        <f t="shared" si="6"/>
        <v>#N/A</v>
      </c>
      <c r="L145" s="14" t="e">
        <f t="shared" si="7"/>
        <v>#N/A</v>
      </c>
      <c r="M145" s="14" t="e">
        <f t="shared" si="8"/>
        <v>#N/A</v>
      </c>
      <c r="N145" s="14" t="e">
        <f t="shared" si="9"/>
        <v>#N/A</v>
      </c>
    </row>
    <row r="146" spans="4:14" ht="16.5" x14ac:dyDescent="0.25">
      <c r="D146" s="14">
        <v>106</v>
      </c>
      <c r="E146" s="14" t="str">
        <f t="shared" si="10"/>
        <v/>
      </c>
      <c r="F146" s="14" t="str">
        <f>IF(AND($B$8=1,$D146&lt;=$B$7),IF($B$5=1,Calculator!$C$9*POWER(1+Calculator!$C$14/100,$D146/12),Calculator!$C$9),"")</f>
        <v/>
      </c>
      <c r="G146" s="14">
        <f>G145*(1+$B$4)+Calculator!$C$25</f>
        <v>36292.996727141464</v>
      </c>
      <c r="H146" s="14">
        <f>IF($B$5=1,Calculator!$C$9*POWER(1+Calculator!$C$14/100,$D146/12),Calculator!$C$9)</f>
        <v>10000</v>
      </c>
      <c r="J146" s="14">
        <f t="shared" si="11"/>
        <v>1</v>
      </c>
      <c r="K146" s="14" t="e">
        <f t="shared" si="6"/>
        <v>#N/A</v>
      </c>
      <c r="L146" s="14" t="e">
        <f t="shared" si="7"/>
        <v>#N/A</v>
      </c>
      <c r="M146" s="14" t="e">
        <f t="shared" si="8"/>
        <v>#N/A</v>
      </c>
      <c r="N146" s="14" t="e">
        <f t="shared" si="9"/>
        <v>#N/A</v>
      </c>
    </row>
    <row r="147" spans="4:14" ht="16.5" x14ac:dyDescent="0.25">
      <c r="D147" s="14">
        <v>107</v>
      </c>
      <c r="E147" s="14" t="str">
        <f t="shared" si="10"/>
        <v/>
      </c>
      <c r="F147" s="14" t="str">
        <f>IF(AND($B$8=1,$D147&lt;=$B$7),IF($B$5=1,Calculator!$C$9*POWER(1+Calculator!$C$14/100,$D147/12),Calculator!$C$9),"")</f>
        <v/>
      </c>
      <c r="G147" s="14">
        <f>G146*(1+$B$4)+Calculator!$C$25</f>
        <v>36682.505047915933</v>
      </c>
      <c r="H147" s="14">
        <f>IF($B$5=1,Calculator!$C$9*POWER(1+Calculator!$C$14/100,$D147/12),Calculator!$C$9)</f>
        <v>10000</v>
      </c>
      <c r="J147" s="14">
        <f t="shared" si="11"/>
        <v>1</v>
      </c>
      <c r="K147" s="14" t="e">
        <f t="shared" si="6"/>
        <v>#N/A</v>
      </c>
      <c r="L147" s="14" t="e">
        <f t="shared" si="7"/>
        <v>#N/A</v>
      </c>
      <c r="M147" s="14" t="e">
        <f t="shared" si="8"/>
        <v>#N/A</v>
      </c>
      <c r="N147" s="14" t="e">
        <f t="shared" si="9"/>
        <v>#N/A</v>
      </c>
    </row>
    <row r="148" spans="4:14" ht="16.5" x14ac:dyDescent="0.25">
      <c r="D148" s="14">
        <v>108</v>
      </c>
      <c r="E148" s="14" t="str">
        <f t="shared" si="10"/>
        <v/>
      </c>
      <c r="F148" s="14" t="str">
        <f>IF(AND($B$8=1,$D148&lt;=$B$7),IF($B$5=1,Calculator!$C$9*POWER(1+Calculator!$C$14/100,$D148/12),Calculator!$C$9),"")</f>
        <v/>
      </c>
      <c r="G148" s="14">
        <f>G147*(1+$B$4)+Calculator!$C$25</f>
        <v>37072.974001287985</v>
      </c>
      <c r="H148" s="14">
        <f>IF($B$5=1,Calculator!$C$9*POWER(1+Calculator!$C$14/100,$D148/12),Calculator!$C$9)</f>
        <v>10000</v>
      </c>
      <c r="J148" s="14">
        <f t="shared" si="11"/>
        <v>1</v>
      </c>
      <c r="K148" s="14" t="e">
        <f t="shared" si="6"/>
        <v>#N/A</v>
      </c>
      <c r="L148" s="14" t="e">
        <f t="shared" si="7"/>
        <v>#N/A</v>
      </c>
      <c r="M148" s="14" t="e">
        <f t="shared" si="8"/>
        <v>#N/A</v>
      </c>
      <c r="N148" s="14" t="e">
        <f t="shared" si="9"/>
        <v>#N/A</v>
      </c>
    </row>
    <row r="149" spans="4:14" ht="16.5" x14ac:dyDescent="0.25">
      <c r="D149" s="14">
        <v>109</v>
      </c>
      <c r="E149" s="14" t="str">
        <f t="shared" si="10"/>
        <v/>
      </c>
      <c r="F149" s="14" t="str">
        <f>IF(AND($B$8=1,$D149&lt;=$B$7),IF($B$5=1,Calculator!$C$9*POWER(1+Calculator!$C$14/100,$D149/12),Calculator!$C$9),"")</f>
        <v/>
      </c>
      <c r="G149" s="14">
        <f>G148*(1+$B$4)+Calculator!$C$25</f>
        <v>37464.405956436764</v>
      </c>
      <c r="H149" s="14">
        <f>IF($B$5=1,Calculator!$C$9*POWER(1+Calculator!$C$14/100,$D149/12),Calculator!$C$9)</f>
        <v>10000</v>
      </c>
      <c r="J149" s="14">
        <f t="shared" si="11"/>
        <v>1</v>
      </c>
      <c r="K149" s="14" t="e">
        <f t="shared" si="6"/>
        <v>#N/A</v>
      </c>
      <c r="L149" s="14" t="e">
        <f t="shared" si="7"/>
        <v>#N/A</v>
      </c>
      <c r="M149" s="14" t="e">
        <f t="shared" si="8"/>
        <v>#N/A</v>
      </c>
      <c r="N149" s="14" t="e">
        <f t="shared" si="9"/>
        <v>#N/A</v>
      </c>
    </row>
    <row r="150" spans="4:14" ht="16.5" x14ac:dyDescent="0.25">
      <c r="D150" s="14">
        <v>110</v>
      </c>
      <c r="E150" s="14" t="str">
        <f t="shared" si="10"/>
        <v/>
      </c>
      <c r="F150" s="14" t="str">
        <f>IF(AND($B$8=1,$D150&lt;=$B$7),IF($B$5=1,Calculator!$C$9*POWER(1+Calculator!$C$14/100,$D150/12),Calculator!$C$9),"")</f>
        <v/>
      </c>
      <c r="G150" s="14">
        <f>G149*(1+$B$4)+Calculator!$C$25</f>
        <v>37856.803288384435</v>
      </c>
      <c r="H150" s="14">
        <f>IF($B$5=1,Calculator!$C$9*POWER(1+Calculator!$C$14/100,$D150/12),Calculator!$C$9)</f>
        <v>10000</v>
      </c>
      <c r="J150" s="14">
        <f t="shared" si="11"/>
        <v>1</v>
      </c>
      <c r="K150" s="14" t="e">
        <f t="shared" si="6"/>
        <v>#N/A</v>
      </c>
      <c r="L150" s="14" t="e">
        <f t="shared" si="7"/>
        <v>#N/A</v>
      </c>
      <c r="M150" s="14" t="e">
        <f t="shared" si="8"/>
        <v>#N/A</v>
      </c>
      <c r="N150" s="14" t="e">
        <f t="shared" si="9"/>
        <v>#N/A</v>
      </c>
    </row>
    <row r="151" spans="4:14" ht="16.5" x14ac:dyDescent="0.25">
      <c r="D151" s="14">
        <v>111</v>
      </c>
      <c r="E151" s="14" t="str">
        <f t="shared" si="10"/>
        <v/>
      </c>
      <c r="F151" s="14" t="str">
        <f>IF(AND($B$8=1,$D151&lt;=$B$7),IF($B$5=1,Calculator!$C$9*POWER(1+Calculator!$C$14/100,$D151/12),Calculator!$C$9),"")</f>
        <v/>
      </c>
      <c r="G151" s="14">
        <f>G150*(1+$B$4)+Calculator!$C$25</f>
        <v>38250.168378010625</v>
      </c>
      <c r="H151" s="14">
        <f>IF($B$5=1,Calculator!$C$9*POWER(1+Calculator!$C$14/100,$D151/12),Calculator!$C$9)</f>
        <v>10000</v>
      </c>
      <c r="J151" s="14">
        <f t="shared" si="11"/>
        <v>1</v>
      </c>
      <c r="K151" s="14" t="e">
        <f t="shared" si="6"/>
        <v>#N/A</v>
      </c>
      <c r="L151" s="14" t="e">
        <f t="shared" si="7"/>
        <v>#N/A</v>
      </c>
      <c r="M151" s="14" t="e">
        <f t="shared" si="8"/>
        <v>#N/A</v>
      </c>
      <c r="N151" s="14" t="e">
        <f t="shared" si="9"/>
        <v>#N/A</v>
      </c>
    </row>
    <row r="152" spans="4:14" ht="16.5" x14ac:dyDescent="0.25">
      <c r="D152" s="14">
        <v>112</v>
      </c>
      <c r="E152" s="14" t="str">
        <f t="shared" si="10"/>
        <v/>
      </c>
      <c r="F152" s="14" t="str">
        <f>IF(AND($B$8=1,$D152&lt;=$B$7),IF($B$5=1,Calculator!$C$9*POWER(1+Calculator!$C$14/100,$D152/12),Calculator!$C$9),"")</f>
        <v/>
      </c>
      <c r="G152" s="14">
        <f>G151*(1+$B$4)+Calculator!$C$25</f>
        <v>38644.503612066837</v>
      </c>
      <c r="H152" s="14">
        <f>IF($B$5=1,Calculator!$C$9*POWER(1+Calculator!$C$14/100,$D152/12),Calculator!$C$9)</f>
        <v>10000</v>
      </c>
      <c r="J152" s="14">
        <f t="shared" si="11"/>
        <v>1</v>
      </c>
      <c r="K152" s="14" t="e">
        <f t="shared" si="6"/>
        <v>#N/A</v>
      </c>
      <c r="L152" s="14" t="e">
        <f t="shared" si="7"/>
        <v>#N/A</v>
      </c>
      <c r="M152" s="14" t="e">
        <f t="shared" si="8"/>
        <v>#N/A</v>
      </c>
      <c r="N152" s="14" t="e">
        <f t="shared" si="9"/>
        <v>#N/A</v>
      </c>
    </row>
    <row r="153" spans="4:14" ht="16.5" x14ac:dyDescent="0.25">
      <c r="D153" s="14">
        <v>113</v>
      </c>
      <c r="E153" s="14" t="str">
        <f t="shared" si="10"/>
        <v/>
      </c>
      <c r="F153" s="14" t="str">
        <f>IF(AND($B$8=1,$D153&lt;=$B$7),IF($B$5=1,Calculator!$C$9*POWER(1+Calculator!$C$14/100,$D153/12),Calculator!$C$9),"")</f>
        <v/>
      </c>
      <c r="G153" s="14">
        <f>G152*(1+$B$4)+Calculator!$C$25</f>
        <v>39039.811383190958</v>
      </c>
      <c r="H153" s="14">
        <f>IF($B$5=1,Calculator!$C$9*POWER(1+Calculator!$C$14/100,$D153/12),Calculator!$C$9)</f>
        <v>10000</v>
      </c>
      <c r="J153" s="14">
        <f t="shared" si="11"/>
        <v>1</v>
      </c>
      <c r="K153" s="14" t="e">
        <f t="shared" si="6"/>
        <v>#N/A</v>
      </c>
      <c r="L153" s="14" t="e">
        <f t="shared" si="7"/>
        <v>#N/A</v>
      </c>
      <c r="M153" s="14" t="e">
        <f t="shared" si="8"/>
        <v>#N/A</v>
      </c>
      <c r="N153" s="14" t="e">
        <f t="shared" si="9"/>
        <v>#N/A</v>
      </c>
    </row>
    <row r="154" spans="4:14" ht="16.5" x14ac:dyDescent="0.25">
      <c r="D154" s="14">
        <v>114</v>
      </c>
      <c r="E154" s="14" t="str">
        <f t="shared" si="10"/>
        <v/>
      </c>
      <c r="F154" s="14" t="str">
        <f>IF(AND($B$8=1,$D154&lt;=$B$7),IF($B$5=1,Calculator!$C$9*POWER(1+Calculator!$C$14/100,$D154/12),Calculator!$C$9),"")</f>
        <v/>
      </c>
      <c r="G154" s="14">
        <f>G153*(1+$B$4)+Calculator!$C$25</f>
        <v>39436.09408992176</v>
      </c>
      <c r="H154" s="14">
        <f>IF($B$5=1,Calculator!$C$9*POWER(1+Calculator!$C$14/100,$D154/12),Calculator!$C$9)</f>
        <v>10000</v>
      </c>
      <c r="J154" s="14">
        <f t="shared" si="11"/>
        <v>1</v>
      </c>
      <c r="K154" s="14" t="e">
        <f t="shared" si="6"/>
        <v>#N/A</v>
      </c>
      <c r="L154" s="14" t="e">
        <f t="shared" si="7"/>
        <v>#N/A</v>
      </c>
      <c r="M154" s="14" t="e">
        <f t="shared" si="8"/>
        <v>#N/A</v>
      </c>
      <c r="N154" s="14" t="e">
        <f t="shared" si="9"/>
        <v>#N/A</v>
      </c>
    </row>
    <row r="155" spans="4:14" ht="16.5" x14ac:dyDescent="0.25">
      <c r="D155" s="14">
        <v>115</v>
      </c>
      <c r="E155" s="14" t="str">
        <f t="shared" si="10"/>
        <v/>
      </c>
      <c r="F155" s="14" t="str">
        <f>IF(AND($B$8=1,$D155&lt;=$B$7),IF($B$5=1,Calculator!$C$9*POWER(1+Calculator!$C$14/100,$D155/12),Calculator!$C$9),"")</f>
        <v/>
      </c>
      <c r="G155" s="14">
        <f>G154*(1+$B$4)+Calculator!$C$25</f>
        <v>39833.35413671346</v>
      </c>
      <c r="H155" s="14">
        <f>IF($B$5=1,Calculator!$C$9*POWER(1+Calculator!$C$14/100,$D155/12),Calculator!$C$9)</f>
        <v>10000</v>
      </c>
      <c r="J155" s="14">
        <f t="shared" si="11"/>
        <v>1</v>
      </c>
      <c r="K155" s="14" t="e">
        <f t="shared" si="6"/>
        <v>#N/A</v>
      </c>
      <c r="L155" s="14" t="e">
        <f t="shared" si="7"/>
        <v>#N/A</v>
      </c>
      <c r="M155" s="14" t="e">
        <f t="shared" si="8"/>
        <v>#N/A</v>
      </c>
      <c r="N155" s="14" t="e">
        <f t="shared" si="9"/>
        <v>#N/A</v>
      </c>
    </row>
    <row r="156" spans="4:14" ht="16.5" x14ac:dyDescent="0.25">
      <c r="D156" s="14">
        <v>116</v>
      </c>
      <c r="E156" s="14" t="str">
        <f t="shared" si="10"/>
        <v/>
      </c>
      <c r="F156" s="14" t="str">
        <f>IF(AND($B$8=1,$D156&lt;=$B$7),IF($B$5=1,Calculator!$C$9*POWER(1+Calculator!$C$14/100,$D156/12),Calculator!$C$9),"")</f>
        <v/>
      </c>
      <c r="G156" s="14">
        <f>G155*(1+$B$4)+Calculator!$C$25</f>
        <v>40231.593933950302</v>
      </c>
      <c r="H156" s="14">
        <f>IF($B$5=1,Calculator!$C$9*POWER(1+Calculator!$C$14/100,$D156/12),Calculator!$C$9)</f>
        <v>10000</v>
      </c>
      <c r="J156" s="14">
        <f t="shared" si="11"/>
        <v>1</v>
      </c>
      <c r="K156" s="14" t="e">
        <f t="shared" si="6"/>
        <v>#N/A</v>
      </c>
      <c r="L156" s="14" t="e">
        <f t="shared" si="7"/>
        <v>#N/A</v>
      </c>
      <c r="M156" s="14" t="e">
        <f t="shared" si="8"/>
        <v>#N/A</v>
      </c>
      <c r="N156" s="14" t="e">
        <f t="shared" si="9"/>
        <v>#N/A</v>
      </c>
    </row>
    <row r="157" spans="4:14" ht="16.5" x14ac:dyDescent="0.25">
      <c r="D157" s="14">
        <v>117</v>
      </c>
      <c r="E157" s="14" t="str">
        <f t="shared" si="10"/>
        <v/>
      </c>
      <c r="F157" s="14" t="str">
        <f>IF(AND($B$8=1,$D157&lt;=$B$7),IF($B$5=1,Calculator!$C$9*POWER(1+Calculator!$C$14/100,$D157/12),Calculator!$C$9),"")</f>
        <v/>
      </c>
      <c r="G157" s="14">
        <f>G156*(1+$B$4)+Calculator!$C$25</f>
        <v>40630.815897961198</v>
      </c>
      <c r="H157" s="14">
        <f>IF($B$5=1,Calculator!$C$9*POWER(1+Calculator!$C$14/100,$D157/12),Calculator!$C$9)</f>
        <v>10000</v>
      </c>
      <c r="J157" s="14">
        <f t="shared" si="11"/>
        <v>1</v>
      </c>
      <c r="K157" s="14" t="e">
        <f t="shared" si="6"/>
        <v>#N/A</v>
      </c>
      <c r="L157" s="14" t="e">
        <f t="shared" si="7"/>
        <v>#N/A</v>
      </c>
      <c r="M157" s="14" t="e">
        <f t="shared" si="8"/>
        <v>#N/A</v>
      </c>
      <c r="N157" s="14" t="e">
        <f t="shared" si="9"/>
        <v>#N/A</v>
      </c>
    </row>
    <row r="158" spans="4:14" ht="16.5" x14ac:dyDescent="0.25">
      <c r="D158" s="14">
        <v>118</v>
      </c>
      <c r="E158" s="14" t="str">
        <f t="shared" si="10"/>
        <v/>
      </c>
      <c r="F158" s="14" t="str">
        <f>IF(AND($B$8=1,$D158&lt;=$B$7),IF($B$5=1,Calculator!$C$9*POWER(1+Calculator!$C$14/100,$D158/12),Calculator!$C$9),"")</f>
        <v/>
      </c>
      <c r="G158" s="14">
        <f>G157*(1+$B$4)+Calculator!$C$25</f>
        <v>41031.022451034376</v>
      </c>
      <c r="H158" s="14">
        <f>IF($B$5=1,Calculator!$C$9*POWER(1+Calculator!$C$14/100,$D158/12),Calculator!$C$9)</f>
        <v>10000</v>
      </c>
      <c r="J158" s="14">
        <f t="shared" si="11"/>
        <v>1</v>
      </c>
      <c r="K158" s="14" t="e">
        <f t="shared" si="6"/>
        <v>#N/A</v>
      </c>
      <c r="L158" s="14" t="e">
        <f t="shared" si="7"/>
        <v>#N/A</v>
      </c>
      <c r="M158" s="14" t="e">
        <f t="shared" si="8"/>
        <v>#N/A</v>
      </c>
      <c r="N158" s="14" t="e">
        <f t="shared" si="9"/>
        <v>#N/A</v>
      </c>
    </row>
    <row r="159" spans="4:14" ht="16.5" x14ac:dyDescent="0.25">
      <c r="D159" s="14">
        <v>119</v>
      </c>
      <c r="E159" s="14" t="str">
        <f t="shared" si="10"/>
        <v/>
      </c>
      <c r="F159" s="14" t="str">
        <f>IF(AND($B$8=1,$D159&lt;=$B$7),IF($B$5=1,Calculator!$C$9*POWER(1+Calculator!$C$14/100,$D159/12),Calculator!$C$9),"")</f>
        <v/>
      </c>
      <c r="G159" s="14">
        <f>G158*(1+$B$4)+Calculator!$C$25</f>
        <v>41432.216021432076</v>
      </c>
      <c r="H159" s="14">
        <f>IF($B$5=1,Calculator!$C$9*POWER(1+Calculator!$C$14/100,$D159/12),Calculator!$C$9)</f>
        <v>10000</v>
      </c>
      <c r="J159" s="14">
        <f t="shared" si="11"/>
        <v>1</v>
      </c>
      <c r="K159" s="14" t="e">
        <f t="shared" si="6"/>
        <v>#N/A</v>
      </c>
      <c r="L159" s="14" t="e">
        <f t="shared" si="7"/>
        <v>#N/A</v>
      </c>
      <c r="M159" s="14" t="e">
        <f t="shared" si="8"/>
        <v>#N/A</v>
      </c>
      <c r="N159" s="14" t="e">
        <f t="shared" si="9"/>
        <v>#N/A</v>
      </c>
    </row>
    <row r="160" spans="4:14" ht="16.5" x14ac:dyDescent="0.25">
      <c r="D160" s="14">
        <v>120</v>
      </c>
      <c r="E160" s="14" t="str">
        <f t="shared" si="10"/>
        <v/>
      </c>
      <c r="F160" s="14" t="str">
        <f>IF(AND($B$8=1,$D160&lt;=$B$7),IF($B$5=1,Calculator!$C$9*POWER(1+Calculator!$C$14/100,$D160/12),Calculator!$C$9),"")</f>
        <v/>
      </c>
      <c r="G160" s="14">
        <f>G159*(1+$B$4)+Calculator!$C$25</f>
        <v>41834.39904340529</v>
      </c>
      <c r="H160" s="14">
        <f>IF($B$5=1,Calculator!$C$9*POWER(1+Calculator!$C$14/100,$D160/12),Calculator!$C$9)</f>
        <v>10000</v>
      </c>
      <c r="J160" s="14">
        <f t="shared" si="11"/>
        <v>1</v>
      </c>
      <c r="K160" s="14" t="e">
        <f t="shared" si="6"/>
        <v>#N/A</v>
      </c>
      <c r="L160" s="14" t="e">
        <f t="shared" si="7"/>
        <v>#N/A</v>
      </c>
      <c r="M160" s="14" t="e">
        <f t="shared" si="8"/>
        <v>#N/A</v>
      </c>
      <c r="N160" s="14" t="e">
        <f t="shared" si="9"/>
        <v>#N/A</v>
      </c>
    </row>
    <row r="161" spans="4:14" ht="16.5" x14ac:dyDescent="0.25">
      <c r="D161" s="14">
        <v>121</v>
      </c>
      <c r="E161" s="14" t="str">
        <f t="shared" si="10"/>
        <v/>
      </c>
      <c r="F161" s="14" t="str">
        <f>IF(AND($B$8=1,$D161&lt;=$B$7),IF($B$5=1,Calculator!$C$9*POWER(1+Calculator!$C$14/100,$D161/12),Calculator!$C$9),"")</f>
        <v/>
      </c>
      <c r="G161" s="14">
        <f>G160*(1+$B$4)+Calculator!$C$25</f>
        <v>42237.573957208529</v>
      </c>
      <c r="H161" s="14">
        <f>IF($B$5=1,Calculator!$C$9*POWER(1+Calculator!$C$14/100,$D161/12),Calculator!$C$9)</f>
        <v>10000</v>
      </c>
      <c r="J161" s="14">
        <f t="shared" si="11"/>
        <v>1</v>
      </c>
      <c r="K161" s="14" t="e">
        <f t="shared" si="6"/>
        <v>#N/A</v>
      </c>
      <c r="L161" s="14" t="e">
        <f t="shared" si="7"/>
        <v>#N/A</v>
      </c>
      <c r="M161" s="14" t="e">
        <f t="shared" si="8"/>
        <v>#N/A</v>
      </c>
      <c r="N161" s="14" t="e">
        <f t="shared" si="9"/>
        <v>#N/A</v>
      </c>
    </row>
    <row r="162" spans="4:14" ht="16.5" x14ac:dyDescent="0.25">
      <c r="D162" s="14">
        <v>122</v>
      </c>
      <c r="E162" s="14" t="str">
        <f t="shared" si="10"/>
        <v/>
      </c>
      <c r="F162" s="14" t="str">
        <f>IF(AND($B$8=1,$D162&lt;=$B$7),IF($B$5=1,Calculator!$C$9*POWER(1+Calculator!$C$14/100,$D162/12),Calculator!$C$9),"")</f>
        <v/>
      </c>
      <c r="G162" s="14">
        <f>G161*(1+$B$4)+Calculator!$C$25</f>
        <v>42641.743209114633</v>
      </c>
      <c r="H162" s="14">
        <f>IF($B$5=1,Calculator!$C$9*POWER(1+Calculator!$C$14/100,$D162/12),Calculator!$C$9)</f>
        <v>10000</v>
      </c>
      <c r="J162" s="14">
        <f t="shared" si="11"/>
        <v>1</v>
      </c>
      <c r="K162" s="14" t="e">
        <f t="shared" si="6"/>
        <v>#N/A</v>
      </c>
      <c r="L162" s="14" t="e">
        <f t="shared" si="7"/>
        <v>#N/A</v>
      </c>
      <c r="M162" s="14" t="e">
        <f t="shared" si="8"/>
        <v>#N/A</v>
      </c>
      <c r="N162" s="14" t="e">
        <f t="shared" si="9"/>
        <v>#N/A</v>
      </c>
    </row>
    <row r="163" spans="4:14" ht="16.5" x14ac:dyDescent="0.25">
      <c r="D163" s="14">
        <v>123</v>
      </c>
      <c r="E163" s="14" t="str">
        <f t="shared" si="10"/>
        <v/>
      </c>
      <c r="F163" s="14" t="str">
        <f>IF(AND($B$8=1,$D163&lt;=$B$7),IF($B$5=1,Calculator!$C$9*POWER(1+Calculator!$C$14/100,$D163/12),Calculator!$C$9),"")</f>
        <v/>
      </c>
      <c r="G163" s="14">
        <f>G162*(1+$B$4)+Calculator!$C$25</f>
        <v>43046.909251429606</v>
      </c>
      <c r="H163" s="14">
        <f>IF($B$5=1,Calculator!$C$9*POWER(1+Calculator!$C$14/100,$D163/12),Calculator!$C$9)</f>
        <v>10000</v>
      </c>
      <c r="J163" s="14">
        <f t="shared" si="11"/>
        <v>1</v>
      </c>
      <c r="K163" s="14" t="e">
        <f t="shared" si="6"/>
        <v>#N/A</v>
      </c>
      <c r="L163" s="14" t="e">
        <f t="shared" si="7"/>
        <v>#N/A</v>
      </c>
      <c r="M163" s="14" t="e">
        <f t="shared" si="8"/>
        <v>#N/A</v>
      </c>
      <c r="N163" s="14" t="e">
        <f t="shared" si="9"/>
        <v>#N/A</v>
      </c>
    </row>
    <row r="164" spans="4:14" ht="16.5" x14ac:dyDescent="0.25">
      <c r="D164" s="14">
        <v>124</v>
      </c>
      <c r="E164" s="14" t="str">
        <f t="shared" si="10"/>
        <v/>
      </c>
      <c r="F164" s="14" t="str">
        <f>IF(AND($B$8=1,$D164&lt;=$B$7),IF($B$5=1,Calculator!$C$9*POWER(1+Calculator!$C$14/100,$D164/12),Calculator!$C$9),"")</f>
        <v/>
      </c>
      <c r="G164" s="14">
        <f>G163*(1+$B$4)+Calculator!$C$25</f>
        <v>43453.074542507507</v>
      </c>
      <c r="H164" s="14">
        <f>IF($B$5=1,Calculator!$C$9*POWER(1+Calculator!$C$14/100,$D164/12),Calculator!$C$9)</f>
        <v>10000</v>
      </c>
      <c r="J164" s="14">
        <f t="shared" si="11"/>
        <v>1</v>
      </c>
      <c r="K164" s="14" t="e">
        <f t="shared" si="6"/>
        <v>#N/A</v>
      </c>
      <c r="L164" s="14" t="e">
        <f t="shared" si="7"/>
        <v>#N/A</v>
      </c>
      <c r="M164" s="14" t="e">
        <f t="shared" si="8"/>
        <v>#N/A</v>
      </c>
      <c r="N164" s="14" t="e">
        <f t="shared" si="9"/>
        <v>#N/A</v>
      </c>
    </row>
    <row r="165" spans="4:14" ht="16.5" x14ac:dyDescent="0.25">
      <c r="D165" s="14">
        <v>125</v>
      </c>
      <c r="E165" s="14" t="str">
        <f t="shared" si="10"/>
        <v/>
      </c>
      <c r="F165" s="14" t="str">
        <f>IF(AND($B$8=1,$D165&lt;=$B$7),IF($B$5=1,Calculator!$C$9*POWER(1+Calculator!$C$14/100,$D165/12),Calculator!$C$9),"")</f>
        <v/>
      </c>
      <c r="G165" s="14">
        <f>G164*(1+$B$4)+Calculator!$C$25</f>
        <v>43860.241546765355</v>
      </c>
      <c r="H165" s="14">
        <f>IF($B$5=1,Calculator!$C$9*POWER(1+Calculator!$C$14/100,$D165/12),Calculator!$C$9)</f>
        <v>10000</v>
      </c>
      <c r="J165" s="14">
        <f t="shared" si="11"/>
        <v>1</v>
      </c>
      <c r="K165" s="14" t="e">
        <f t="shared" si="6"/>
        <v>#N/A</v>
      </c>
      <c r="L165" s="14" t="e">
        <f t="shared" si="7"/>
        <v>#N/A</v>
      </c>
      <c r="M165" s="14" t="e">
        <f t="shared" si="8"/>
        <v>#N/A</v>
      </c>
      <c r="N165" s="14" t="e">
        <f t="shared" si="9"/>
        <v>#N/A</v>
      </c>
    </row>
    <row r="166" spans="4:14" ht="16.5" x14ac:dyDescent="0.25">
      <c r="D166" s="14">
        <v>126</v>
      </c>
      <c r="E166" s="14" t="str">
        <f t="shared" si="10"/>
        <v/>
      </c>
      <c r="F166" s="14" t="str">
        <f>IF(AND($B$8=1,$D166&lt;=$B$7),IF($B$5=1,Calculator!$C$9*POWER(1+Calculator!$C$14/100,$D166/12),Calculator!$C$9),"")</f>
        <v/>
      </c>
      <c r="G166" s="14">
        <f>G165*(1+$B$4)+Calculator!$C$25</f>
        <v>44268.412734698082</v>
      </c>
      <c r="H166" s="14">
        <f>IF($B$5=1,Calculator!$C$9*POWER(1+Calculator!$C$14/100,$D166/12),Calculator!$C$9)</f>
        <v>10000</v>
      </c>
      <c r="J166" s="14">
        <f t="shared" si="11"/>
        <v>1</v>
      </c>
      <c r="K166" s="14" t="e">
        <f t="shared" si="6"/>
        <v>#N/A</v>
      </c>
      <c r="L166" s="14" t="e">
        <f t="shared" si="7"/>
        <v>#N/A</v>
      </c>
      <c r="M166" s="14" t="e">
        <f t="shared" si="8"/>
        <v>#N/A</v>
      </c>
      <c r="N166" s="14" t="e">
        <f t="shared" si="9"/>
        <v>#N/A</v>
      </c>
    </row>
    <row r="167" spans="4:14" ht="16.5" x14ac:dyDescent="0.25">
      <c r="D167" s="14">
        <v>127</v>
      </c>
      <c r="E167" s="14" t="str">
        <f t="shared" si="10"/>
        <v/>
      </c>
      <c r="F167" s="14" t="str">
        <f>IF(AND($B$8=1,$D167&lt;=$B$7),IF($B$5=1,Calculator!$C$9*POWER(1+Calculator!$C$14/100,$D167/12),Calculator!$C$9),"")</f>
        <v/>
      </c>
      <c r="G167" s="14">
        <f>G166*(1+$B$4)+Calculator!$C$25</f>
        <v>44677.590582893528</v>
      </c>
      <c r="H167" s="14">
        <f>IF($B$5=1,Calculator!$C$9*POWER(1+Calculator!$C$14/100,$D167/12),Calculator!$C$9)</f>
        <v>10000</v>
      </c>
      <c r="J167" s="14">
        <f t="shared" si="11"/>
        <v>1</v>
      </c>
      <c r="K167" s="14" t="e">
        <f t="shared" si="6"/>
        <v>#N/A</v>
      </c>
      <c r="L167" s="14" t="e">
        <f t="shared" si="7"/>
        <v>#N/A</v>
      </c>
      <c r="M167" s="14" t="e">
        <f t="shared" si="8"/>
        <v>#N/A</v>
      </c>
      <c r="N167" s="14" t="e">
        <f t="shared" si="9"/>
        <v>#N/A</v>
      </c>
    </row>
    <row r="168" spans="4:14" ht="16.5" x14ac:dyDescent="0.25">
      <c r="D168" s="14">
        <v>128</v>
      </c>
      <c r="E168" s="14" t="str">
        <f t="shared" si="10"/>
        <v/>
      </c>
      <c r="F168" s="14" t="str">
        <f>IF(AND($B$8=1,$D168&lt;=$B$7),IF($B$5=1,Calculator!$C$9*POWER(1+Calculator!$C$14/100,$D168/12),Calculator!$C$9),"")</f>
        <v/>
      </c>
      <c r="G168" s="14">
        <f>G167*(1+$B$4)+Calculator!$C$25</f>
        <v>45087.777574047475</v>
      </c>
      <c r="H168" s="14">
        <f>IF($B$5=1,Calculator!$C$9*POWER(1+Calculator!$C$14/100,$D168/12),Calculator!$C$9)</f>
        <v>10000</v>
      </c>
      <c r="J168" s="14">
        <f t="shared" si="11"/>
        <v>1</v>
      </c>
      <c r="K168" s="14" t="e">
        <f t="shared" ref="K168:K231" si="12">IF($D168&lt;=$B$23,E168,NA())</f>
        <v>#N/A</v>
      </c>
      <c r="L168" s="14" t="e">
        <f t="shared" ref="L168:L231" si="13">IF($D168&lt;=$B$23,F168,NA())</f>
        <v>#N/A</v>
      </c>
      <c r="M168" s="14" t="e">
        <f t="shared" ref="M168:M231" si="14">IF($D168&lt;=$B$24,G168,NA())</f>
        <v>#N/A</v>
      </c>
      <c r="N168" s="14" t="e">
        <f t="shared" ref="N168:N231" si="15">IF($D168&lt;=$B$24,H168,NA())</f>
        <v>#N/A</v>
      </c>
    </row>
    <row r="169" spans="4:14" ht="16.5" x14ac:dyDescent="0.25">
      <c r="D169" s="14">
        <v>129</v>
      </c>
      <c r="E169" s="14" t="str">
        <f t="shared" ref="E169:E232" si="16">IF(AND($B$8=1,$D169&lt;=$B$7),E168*(1+$B$4)+$B$11,"")</f>
        <v/>
      </c>
      <c r="F169" s="14" t="str">
        <f>IF(AND($B$8=1,$D169&lt;=$B$7),IF($B$5=1,Calculator!$C$9*POWER(1+Calculator!$C$14/100,$D169/12),Calculator!$C$9),"")</f>
        <v/>
      </c>
      <c r="G169" s="14">
        <f>G168*(1+$B$4)+Calculator!$C$25</f>
        <v>45498.9761969787</v>
      </c>
      <c r="H169" s="14">
        <f>IF($B$5=1,Calculator!$C$9*POWER(1+Calculator!$C$14/100,$D169/12),Calculator!$C$9)</f>
        <v>10000</v>
      </c>
      <c r="J169" s="14">
        <f t="shared" ref="J169:J232" si="17">IF(G169&gt;=H169,1,0)</f>
        <v>1</v>
      </c>
      <c r="K169" s="14" t="e">
        <f t="shared" si="12"/>
        <v>#N/A</v>
      </c>
      <c r="L169" s="14" t="e">
        <f t="shared" si="13"/>
        <v>#N/A</v>
      </c>
      <c r="M169" s="14" t="e">
        <f t="shared" si="14"/>
        <v>#N/A</v>
      </c>
      <c r="N169" s="14" t="e">
        <f t="shared" si="15"/>
        <v>#N/A</v>
      </c>
    </row>
    <row r="170" spans="4:14" ht="16.5" x14ac:dyDescent="0.25">
      <c r="D170" s="14">
        <v>130</v>
      </c>
      <c r="E170" s="14" t="str">
        <f t="shared" si="16"/>
        <v/>
      </c>
      <c r="F170" s="14" t="str">
        <f>IF(AND($B$8=1,$D170&lt;=$B$7),IF($B$5=1,Calculator!$C$9*POWER(1+Calculator!$C$14/100,$D170/12),Calculator!$C$9),"")</f>
        <v/>
      </c>
      <c r="G170" s="14">
        <f>G169*(1+$B$4)+Calculator!$C$25</f>
        <v>45911.18894664407</v>
      </c>
      <c r="H170" s="14">
        <f>IF($B$5=1,Calculator!$C$9*POWER(1+Calculator!$C$14/100,$D170/12),Calculator!$C$9)</f>
        <v>10000</v>
      </c>
      <c r="J170" s="14">
        <f t="shared" si="17"/>
        <v>1</v>
      </c>
      <c r="K170" s="14" t="e">
        <f t="shared" si="12"/>
        <v>#N/A</v>
      </c>
      <c r="L170" s="14" t="e">
        <f t="shared" si="13"/>
        <v>#N/A</v>
      </c>
      <c r="M170" s="14" t="e">
        <f t="shared" si="14"/>
        <v>#N/A</v>
      </c>
      <c r="N170" s="14" t="e">
        <f t="shared" si="15"/>
        <v>#N/A</v>
      </c>
    </row>
    <row r="171" spans="4:14" ht="16.5" x14ac:dyDescent="0.25">
      <c r="D171" s="14">
        <v>131</v>
      </c>
      <c r="E171" s="14" t="str">
        <f t="shared" si="16"/>
        <v/>
      </c>
      <c r="F171" s="14" t="str">
        <f>IF(AND($B$8=1,$D171&lt;=$B$7),IF($B$5=1,Calculator!$C$9*POWER(1+Calculator!$C$14/100,$D171/12),Calculator!$C$9),"")</f>
        <v/>
      </c>
      <c r="G171" s="14">
        <f>G170*(1+$B$4)+Calculator!$C$25</f>
        <v>46324.418324153703</v>
      </c>
      <c r="H171" s="14">
        <f>IF($B$5=1,Calculator!$C$9*POWER(1+Calculator!$C$14/100,$D171/12),Calculator!$C$9)</f>
        <v>10000</v>
      </c>
      <c r="J171" s="14">
        <f t="shared" si="17"/>
        <v>1</v>
      </c>
      <c r="K171" s="14" t="e">
        <f t="shared" si="12"/>
        <v>#N/A</v>
      </c>
      <c r="L171" s="14" t="e">
        <f t="shared" si="13"/>
        <v>#N/A</v>
      </c>
      <c r="M171" s="14" t="e">
        <f t="shared" si="14"/>
        <v>#N/A</v>
      </c>
      <c r="N171" s="14" t="e">
        <f t="shared" si="15"/>
        <v>#N/A</v>
      </c>
    </row>
    <row r="172" spans="4:14" ht="16.5" x14ac:dyDescent="0.25">
      <c r="D172" s="14">
        <v>132</v>
      </c>
      <c r="E172" s="14" t="str">
        <f t="shared" si="16"/>
        <v/>
      </c>
      <c r="F172" s="14" t="str">
        <f>IF(AND($B$8=1,$D172&lt;=$B$7),IF($B$5=1,Calculator!$C$9*POWER(1+Calculator!$C$14/100,$D172/12),Calculator!$C$9),"")</f>
        <v/>
      </c>
      <c r="G172" s="14">
        <f>G171*(1+$B$4)+Calculator!$C$25</f>
        <v>46738.666836786113</v>
      </c>
      <c r="H172" s="14">
        <f>IF($B$5=1,Calculator!$C$9*POWER(1+Calculator!$C$14/100,$D172/12),Calculator!$C$9)</f>
        <v>10000</v>
      </c>
      <c r="J172" s="14">
        <f t="shared" si="17"/>
        <v>1</v>
      </c>
      <c r="K172" s="14" t="e">
        <f t="shared" si="12"/>
        <v>#N/A</v>
      </c>
      <c r="L172" s="14" t="e">
        <f t="shared" si="13"/>
        <v>#N/A</v>
      </c>
      <c r="M172" s="14" t="e">
        <f t="shared" si="14"/>
        <v>#N/A</v>
      </c>
      <c r="N172" s="14" t="e">
        <f t="shared" si="15"/>
        <v>#N/A</v>
      </c>
    </row>
    <row r="173" spans="4:14" ht="16.5" x14ac:dyDescent="0.25">
      <c r="D173" s="14">
        <v>133</v>
      </c>
      <c r="E173" s="14" t="str">
        <f t="shared" si="16"/>
        <v/>
      </c>
      <c r="F173" s="14" t="str">
        <f>IF(AND($B$8=1,$D173&lt;=$B$7),IF($B$5=1,Calculator!$C$9*POWER(1+Calculator!$C$14/100,$D173/12),Calculator!$C$9),"")</f>
        <v/>
      </c>
      <c r="G173" s="14">
        <f>G172*(1+$B$4)+Calculator!$C$25</f>
        <v>47153.936998003453</v>
      </c>
      <c r="H173" s="14">
        <f>IF($B$5=1,Calculator!$C$9*POWER(1+Calculator!$C$14/100,$D173/12),Calculator!$C$9)</f>
        <v>10000</v>
      </c>
      <c r="J173" s="14">
        <f t="shared" si="17"/>
        <v>1</v>
      </c>
      <c r="K173" s="14" t="e">
        <f t="shared" si="12"/>
        <v>#N/A</v>
      </c>
      <c r="L173" s="14" t="e">
        <f t="shared" si="13"/>
        <v>#N/A</v>
      </c>
      <c r="M173" s="14" t="e">
        <f t="shared" si="14"/>
        <v>#N/A</v>
      </c>
      <c r="N173" s="14" t="e">
        <f t="shared" si="15"/>
        <v>#N/A</v>
      </c>
    </row>
    <row r="174" spans="4:14" ht="16.5" x14ac:dyDescent="0.25">
      <c r="D174" s="14">
        <v>134</v>
      </c>
      <c r="E174" s="14" t="str">
        <f t="shared" si="16"/>
        <v/>
      </c>
      <c r="F174" s="14" t="str">
        <f>IF(AND($B$8=1,$D174&lt;=$B$7),IF($B$5=1,Calculator!$C$9*POWER(1+Calculator!$C$14/100,$D174/12),Calculator!$C$9),"")</f>
        <v/>
      </c>
      <c r="G174" s="14">
        <f>G173*(1+$B$4)+Calculator!$C$25</f>
        <v>47570.231327466739</v>
      </c>
      <c r="H174" s="14">
        <f>IF($B$5=1,Calculator!$C$9*POWER(1+Calculator!$C$14/100,$D174/12),Calculator!$C$9)</f>
        <v>10000</v>
      </c>
      <c r="J174" s="14">
        <f t="shared" si="17"/>
        <v>1</v>
      </c>
      <c r="K174" s="14" t="e">
        <f t="shared" si="12"/>
        <v>#N/A</v>
      </c>
      <c r="L174" s="14" t="e">
        <f t="shared" si="13"/>
        <v>#N/A</v>
      </c>
      <c r="M174" s="14" t="e">
        <f t="shared" si="14"/>
        <v>#N/A</v>
      </c>
      <c r="N174" s="14" t="e">
        <f t="shared" si="15"/>
        <v>#N/A</v>
      </c>
    </row>
    <row r="175" spans="4:14" ht="16.5" x14ac:dyDescent="0.25">
      <c r="D175" s="14">
        <v>135</v>
      </c>
      <c r="E175" s="14" t="str">
        <f t="shared" si="16"/>
        <v/>
      </c>
      <c r="F175" s="14" t="str">
        <f>IF(AND($B$8=1,$D175&lt;=$B$7),IF($B$5=1,Calculator!$C$9*POWER(1+Calculator!$C$14/100,$D175/12),Calculator!$C$9),"")</f>
        <v/>
      </c>
      <c r="G175" s="14">
        <f>G174*(1+$B$4)+Calculator!$C$25</f>
        <v>47987.552351051163</v>
      </c>
      <c r="H175" s="14">
        <f>IF($B$5=1,Calculator!$C$9*POWER(1+Calculator!$C$14/100,$D175/12),Calculator!$C$9)</f>
        <v>10000</v>
      </c>
      <c r="J175" s="14">
        <f t="shared" si="17"/>
        <v>1</v>
      </c>
      <c r="K175" s="14" t="e">
        <f t="shared" si="12"/>
        <v>#N/A</v>
      </c>
      <c r="L175" s="14" t="e">
        <f t="shared" si="13"/>
        <v>#N/A</v>
      </c>
      <c r="M175" s="14" t="e">
        <f t="shared" si="14"/>
        <v>#N/A</v>
      </c>
      <c r="N175" s="14" t="e">
        <f t="shared" si="15"/>
        <v>#N/A</v>
      </c>
    </row>
    <row r="176" spans="4:14" ht="16.5" x14ac:dyDescent="0.25">
      <c r="D176" s="14">
        <v>136</v>
      </c>
      <c r="E176" s="14" t="str">
        <f t="shared" si="16"/>
        <v/>
      </c>
      <c r="F176" s="14" t="str">
        <f>IF(AND($B$8=1,$D176&lt;=$B$7),IF($B$5=1,Calculator!$C$9*POWER(1+Calculator!$C$14/100,$D176/12),Calculator!$C$9),"")</f>
        <v/>
      </c>
      <c r="G176" s="14">
        <f>G175*(1+$B$4)+Calculator!$C$25</f>
        <v>48405.902600861402</v>
      </c>
      <c r="H176" s="14">
        <f>IF($B$5=1,Calculator!$C$9*POWER(1+Calculator!$C$14/100,$D176/12),Calculator!$C$9)</f>
        <v>10000</v>
      </c>
      <c r="J176" s="14">
        <f t="shared" si="17"/>
        <v>1</v>
      </c>
      <c r="K176" s="14" t="e">
        <f t="shared" si="12"/>
        <v>#N/A</v>
      </c>
      <c r="L176" s="14" t="e">
        <f t="shared" si="13"/>
        <v>#N/A</v>
      </c>
      <c r="M176" s="14" t="e">
        <f t="shared" si="14"/>
        <v>#N/A</v>
      </c>
      <c r="N176" s="14" t="e">
        <f t="shared" si="15"/>
        <v>#N/A</v>
      </c>
    </row>
    <row r="177" spans="4:14" ht="16.5" x14ac:dyDescent="0.25">
      <c r="D177" s="14">
        <v>137</v>
      </c>
      <c r="E177" s="14" t="str">
        <f t="shared" si="16"/>
        <v/>
      </c>
      <c r="F177" s="14" t="str">
        <f>IF(AND($B$8=1,$D177&lt;=$B$7),IF($B$5=1,Calculator!$C$9*POWER(1+Calculator!$C$14/100,$D177/12),Calculator!$C$9),"")</f>
        <v/>
      </c>
      <c r="G177" s="14">
        <f>G176*(1+$B$4)+Calculator!$C$25</f>
        <v>48825.284615246979</v>
      </c>
      <c r="H177" s="14">
        <f>IF($B$5=1,Calculator!$C$9*POWER(1+Calculator!$C$14/100,$D177/12),Calculator!$C$9)</f>
        <v>10000</v>
      </c>
      <c r="J177" s="14">
        <f t="shared" si="17"/>
        <v>1</v>
      </c>
      <c r="K177" s="14" t="e">
        <f t="shared" si="12"/>
        <v>#N/A</v>
      </c>
      <c r="L177" s="14" t="e">
        <f t="shared" si="13"/>
        <v>#N/A</v>
      </c>
      <c r="M177" s="14" t="e">
        <f t="shared" si="14"/>
        <v>#N/A</v>
      </c>
      <c r="N177" s="14" t="e">
        <f t="shared" si="15"/>
        <v>#N/A</v>
      </c>
    </row>
    <row r="178" spans="4:14" ht="16.5" x14ac:dyDescent="0.25">
      <c r="D178" s="14">
        <v>138</v>
      </c>
      <c r="E178" s="14" t="str">
        <f t="shared" si="16"/>
        <v/>
      </c>
      <c r="F178" s="14" t="str">
        <f>IF(AND($B$8=1,$D178&lt;=$B$7),IF($B$5=1,Calculator!$C$9*POWER(1+Calculator!$C$14/100,$D178/12),Calculator!$C$9),"")</f>
        <v/>
      </c>
      <c r="G178" s="14">
        <f>G177*(1+$B$4)+Calculator!$C$25</f>
        <v>49245.700938817688</v>
      </c>
      <c r="H178" s="14">
        <f>IF($B$5=1,Calculator!$C$9*POWER(1+Calculator!$C$14/100,$D178/12),Calculator!$C$9)</f>
        <v>10000</v>
      </c>
      <c r="J178" s="14">
        <f t="shared" si="17"/>
        <v>1</v>
      </c>
      <c r="K178" s="14" t="e">
        <f t="shared" si="12"/>
        <v>#N/A</v>
      </c>
      <c r="L178" s="14" t="e">
        <f t="shared" si="13"/>
        <v>#N/A</v>
      </c>
      <c r="M178" s="14" t="e">
        <f t="shared" si="14"/>
        <v>#N/A</v>
      </c>
      <c r="N178" s="14" t="e">
        <f t="shared" si="15"/>
        <v>#N/A</v>
      </c>
    </row>
    <row r="179" spans="4:14" ht="16.5" x14ac:dyDescent="0.25">
      <c r="D179" s="14">
        <v>139</v>
      </c>
      <c r="E179" s="14" t="str">
        <f t="shared" si="16"/>
        <v/>
      </c>
      <c r="F179" s="14" t="str">
        <f>IF(AND($B$8=1,$D179&lt;=$B$7),IF($B$5=1,Calculator!$C$9*POWER(1+Calculator!$C$14/100,$D179/12),Calculator!$C$9),"")</f>
        <v/>
      </c>
      <c r="G179" s="14">
        <f>G178*(1+$B$4)+Calculator!$C$25</f>
        <v>49667.154122459004</v>
      </c>
      <c r="H179" s="14">
        <f>IF($B$5=1,Calculator!$C$9*POWER(1+Calculator!$C$14/100,$D179/12),Calculator!$C$9)</f>
        <v>10000</v>
      </c>
      <c r="J179" s="14">
        <f t="shared" si="17"/>
        <v>1</v>
      </c>
      <c r="K179" s="14" t="e">
        <f t="shared" si="12"/>
        <v>#N/A</v>
      </c>
      <c r="L179" s="14" t="e">
        <f t="shared" si="13"/>
        <v>#N/A</v>
      </c>
      <c r="M179" s="14" t="e">
        <f t="shared" si="14"/>
        <v>#N/A</v>
      </c>
      <c r="N179" s="14" t="e">
        <f t="shared" si="15"/>
        <v>#N/A</v>
      </c>
    </row>
    <row r="180" spans="4:14" ht="16.5" x14ac:dyDescent="0.25">
      <c r="D180" s="14">
        <v>140</v>
      </c>
      <c r="E180" s="14" t="str">
        <f t="shared" si="16"/>
        <v/>
      </c>
      <c r="F180" s="14" t="str">
        <f>IF(AND($B$8=1,$D180&lt;=$B$7),IF($B$5=1,Calculator!$C$9*POWER(1+Calculator!$C$14/100,$D180/12),Calculator!$C$9),"")</f>
        <v/>
      </c>
      <c r="G180" s="14">
        <f>G179*(1+$B$4)+Calculator!$C$25</f>
        <v>50089.646723347571</v>
      </c>
      <c r="H180" s="14">
        <f>IF($B$5=1,Calculator!$C$9*POWER(1+Calculator!$C$14/100,$D180/12),Calculator!$C$9)</f>
        <v>10000</v>
      </c>
      <c r="J180" s="14">
        <f t="shared" si="17"/>
        <v>1</v>
      </c>
      <c r="K180" s="14" t="e">
        <f t="shared" si="12"/>
        <v>#N/A</v>
      </c>
      <c r="L180" s="14" t="e">
        <f t="shared" si="13"/>
        <v>#N/A</v>
      </c>
      <c r="M180" s="14" t="e">
        <f t="shared" si="14"/>
        <v>#N/A</v>
      </c>
      <c r="N180" s="14" t="e">
        <f t="shared" si="15"/>
        <v>#N/A</v>
      </c>
    </row>
    <row r="181" spans="4:14" ht="16.5" x14ac:dyDescent="0.25">
      <c r="D181" s="14">
        <v>141</v>
      </c>
      <c r="E181" s="14" t="str">
        <f t="shared" si="16"/>
        <v/>
      </c>
      <c r="F181" s="14" t="str">
        <f>IF(AND($B$8=1,$D181&lt;=$B$7),IF($B$5=1,Calculator!$C$9*POWER(1+Calculator!$C$14/100,$D181/12),Calculator!$C$9),"")</f>
        <v/>
      </c>
      <c r="G181" s="14">
        <f>G180*(1+$B$4)+Calculator!$C$25</f>
        <v>50513.181304966733</v>
      </c>
      <c r="H181" s="14">
        <f>IF($B$5=1,Calculator!$C$9*POWER(1+Calculator!$C$14/100,$D181/12),Calculator!$C$9)</f>
        <v>10000</v>
      </c>
      <c r="J181" s="14">
        <f t="shared" si="17"/>
        <v>1</v>
      </c>
      <c r="K181" s="14" t="e">
        <f t="shared" si="12"/>
        <v>#N/A</v>
      </c>
      <c r="L181" s="14" t="e">
        <f t="shared" si="13"/>
        <v>#N/A</v>
      </c>
      <c r="M181" s="14" t="e">
        <f t="shared" si="14"/>
        <v>#N/A</v>
      </c>
      <c r="N181" s="14" t="e">
        <f t="shared" si="15"/>
        <v>#N/A</v>
      </c>
    </row>
    <row r="182" spans="4:14" ht="16.5" x14ac:dyDescent="0.25">
      <c r="D182" s="14">
        <v>142</v>
      </c>
      <c r="E182" s="14" t="str">
        <f t="shared" si="16"/>
        <v/>
      </c>
      <c r="F182" s="14" t="str">
        <f>IF(AND($B$8=1,$D182&lt;=$B$7),IF($B$5=1,Calculator!$C$9*POWER(1+Calculator!$C$14/100,$D182/12),Calculator!$C$9),"")</f>
        <v/>
      </c>
      <c r="G182" s="14">
        <f>G181*(1+$B$4)+Calculator!$C$25</f>
        <v>50937.760437122066</v>
      </c>
      <c r="H182" s="14">
        <f>IF($B$5=1,Calculator!$C$9*POWER(1+Calculator!$C$14/100,$D182/12),Calculator!$C$9)</f>
        <v>10000</v>
      </c>
      <c r="J182" s="14">
        <f t="shared" si="17"/>
        <v>1</v>
      </c>
      <c r="K182" s="14" t="e">
        <f t="shared" si="12"/>
        <v>#N/A</v>
      </c>
      <c r="L182" s="14" t="e">
        <f t="shared" si="13"/>
        <v>#N/A</v>
      </c>
      <c r="M182" s="14" t="e">
        <f t="shared" si="14"/>
        <v>#N/A</v>
      </c>
      <c r="N182" s="14" t="e">
        <f t="shared" si="15"/>
        <v>#N/A</v>
      </c>
    </row>
    <row r="183" spans="4:14" ht="16.5" x14ac:dyDescent="0.25">
      <c r="D183" s="14">
        <v>143</v>
      </c>
      <c r="E183" s="14" t="str">
        <f t="shared" si="16"/>
        <v/>
      </c>
      <c r="F183" s="14" t="str">
        <f>IF(AND($B$8=1,$D183&lt;=$B$7),IF($B$5=1,Calculator!$C$9*POWER(1+Calculator!$C$14/100,$D183/12),Calculator!$C$9),"")</f>
        <v/>
      </c>
      <c r="G183" s="14">
        <f>G182*(1+$B$4)+Calculator!$C$25</f>
        <v>51363.386695956986</v>
      </c>
      <c r="H183" s="14">
        <f>IF($B$5=1,Calculator!$C$9*POWER(1+Calculator!$C$14/100,$D183/12),Calculator!$C$9)</f>
        <v>10000</v>
      </c>
      <c r="J183" s="14">
        <f t="shared" si="17"/>
        <v>1</v>
      </c>
      <c r="K183" s="14" t="e">
        <f t="shared" si="12"/>
        <v>#N/A</v>
      </c>
      <c r="L183" s="14" t="e">
        <f t="shared" si="13"/>
        <v>#N/A</v>
      </c>
      <c r="M183" s="14" t="e">
        <f t="shared" si="14"/>
        <v>#N/A</v>
      </c>
      <c r="N183" s="14" t="e">
        <f t="shared" si="15"/>
        <v>#N/A</v>
      </c>
    </row>
    <row r="184" spans="4:14" ht="16.5" x14ac:dyDescent="0.25">
      <c r="D184" s="14">
        <v>144</v>
      </c>
      <c r="E184" s="14" t="str">
        <f t="shared" si="16"/>
        <v/>
      </c>
      <c r="F184" s="14" t="str">
        <f>IF(AND($B$8=1,$D184&lt;=$B$7),IF($B$5=1,Calculator!$C$9*POWER(1+Calculator!$C$14/100,$D184/12),Calculator!$C$9),"")</f>
        <v/>
      </c>
      <c r="G184" s="14">
        <f>G183*(1+$B$4)+Calculator!$C$25</f>
        <v>51790.062663968369</v>
      </c>
      <c r="H184" s="14">
        <f>IF($B$5=1,Calculator!$C$9*POWER(1+Calculator!$C$14/100,$D184/12),Calculator!$C$9)</f>
        <v>10000</v>
      </c>
      <c r="J184" s="14">
        <f t="shared" si="17"/>
        <v>1</v>
      </c>
      <c r="K184" s="14" t="e">
        <f t="shared" si="12"/>
        <v>#N/A</v>
      </c>
      <c r="L184" s="14" t="e">
        <f t="shared" si="13"/>
        <v>#N/A</v>
      </c>
      <c r="M184" s="14" t="e">
        <f t="shared" si="14"/>
        <v>#N/A</v>
      </c>
      <c r="N184" s="14" t="e">
        <f t="shared" si="15"/>
        <v>#N/A</v>
      </c>
    </row>
    <row r="185" spans="4:14" ht="16.5" x14ac:dyDescent="0.25">
      <c r="D185" s="14">
        <v>145</v>
      </c>
      <c r="E185" s="14" t="str">
        <f t="shared" si="16"/>
        <v/>
      </c>
      <c r="F185" s="14" t="str">
        <f>IF(AND($B$8=1,$D185&lt;=$B$7),IF($B$5=1,Calculator!$C$9*POWER(1+Calculator!$C$14/100,$D185/12),Calculator!$C$9),"")</f>
        <v/>
      </c>
      <c r="G185" s="14">
        <f>G184*(1+$B$4)+Calculator!$C$25</f>
        <v>52217.790930022231</v>
      </c>
      <c r="H185" s="14">
        <f>IF($B$5=1,Calculator!$C$9*POWER(1+Calculator!$C$14/100,$D185/12),Calculator!$C$9)</f>
        <v>10000</v>
      </c>
      <c r="J185" s="14">
        <f t="shared" si="17"/>
        <v>1</v>
      </c>
      <c r="K185" s="14" t="e">
        <f t="shared" si="12"/>
        <v>#N/A</v>
      </c>
      <c r="L185" s="14" t="e">
        <f t="shared" si="13"/>
        <v>#N/A</v>
      </c>
      <c r="M185" s="14" t="e">
        <f t="shared" si="14"/>
        <v>#N/A</v>
      </c>
      <c r="N185" s="14" t="e">
        <f t="shared" si="15"/>
        <v>#N/A</v>
      </c>
    </row>
    <row r="186" spans="4:14" ht="16.5" x14ac:dyDescent="0.25">
      <c r="D186" s="14">
        <v>146</v>
      </c>
      <c r="E186" s="14" t="str">
        <f t="shared" si="16"/>
        <v/>
      </c>
      <c r="F186" s="14" t="str">
        <f>IF(AND($B$8=1,$D186&lt;=$B$7),IF($B$5=1,Calculator!$C$9*POWER(1+Calculator!$C$14/100,$D186/12),Calculator!$C$9),"")</f>
        <v/>
      </c>
      <c r="G186" s="14">
        <f>G185*(1+$B$4)+Calculator!$C$25</f>
        <v>52646.574089369416</v>
      </c>
      <c r="H186" s="14">
        <f>IF($B$5=1,Calculator!$C$9*POWER(1+Calculator!$C$14/100,$D186/12),Calculator!$C$9)</f>
        <v>10000</v>
      </c>
      <c r="J186" s="14">
        <f t="shared" si="17"/>
        <v>1</v>
      </c>
      <c r="K186" s="14" t="e">
        <f t="shared" si="12"/>
        <v>#N/A</v>
      </c>
      <c r="L186" s="14" t="e">
        <f t="shared" si="13"/>
        <v>#N/A</v>
      </c>
      <c r="M186" s="14" t="e">
        <f t="shared" si="14"/>
        <v>#N/A</v>
      </c>
      <c r="N186" s="14" t="e">
        <f t="shared" si="15"/>
        <v>#N/A</v>
      </c>
    </row>
    <row r="187" spans="4:14" ht="16.5" x14ac:dyDescent="0.25">
      <c r="D187" s="14">
        <v>147</v>
      </c>
      <c r="E187" s="14" t="str">
        <f t="shared" si="16"/>
        <v/>
      </c>
      <c r="F187" s="14" t="str">
        <f>IF(AND($B$8=1,$D187&lt;=$B$7),IF($B$5=1,Calculator!$C$9*POWER(1+Calculator!$C$14/100,$D187/12),Calculator!$C$9),"")</f>
        <v/>
      </c>
      <c r="G187" s="14">
        <f>G186*(1+$B$4)+Calculator!$C$25</f>
        <v>53076.414743661371</v>
      </c>
      <c r="H187" s="14">
        <f>IF($B$5=1,Calculator!$C$9*POWER(1+Calculator!$C$14/100,$D187/12),Calculator!$C$9)</f>
        <v>10000</v>
      </c>
      <c r="J187" s="14">
        <f t="shared" si="17"/>
        <v>1</v>
      </c>
      <c r="K187" s="14" t="e">
        <f t="shared" si="12"/>
        <v>#N/A</v>
      </c>
      <c r="L187" s="14" t="e">
        <f t="shared" si="13"/>
        <v>#N/A</v>
      </c>
      <c r="M187" s="14" t="e">
        <f t="shared" si="14"/>
        <v>#N/A</v>
      </c>
      <c r="N187" s="14" t="e">
        <f t="shared" si="15"/>
        <v>#N/A</v>
      </c>
    </row>
    <row r="188" spans="4:14" ht="16.5" x14ac:dyDescent="0.25">
      <c r="D188" s="14">
        <v>148</v>
      </c>
      <c r="E188" s="14" t="str">
        <f t="shared" si="16"/>
        <v/>
      </c>
      <c r="F188" s="14" t="str">
        <f>IF(AND($B$8=1,$D188&lt;=$B$7),IF($B$5=1,Calculator!$C$9*POWER(1+Calculator!$C$14/100,$D188/12),Calculator!$C$9),"")</f>
        <v/>
      </c>
      <c r="G188" s="14">
        <f>G187*(1+$B$4)+Calculator!$C$25</f>
        <v>53507.315500965917</v>
      </c>
      <c r="H188" s="14">
        <f>IF($B$5=1,Calculator!$C$9*POWER(1+Calculator!$C$14/100,$D188/12),Calculator!$C$9)</f>
        <v>10000</v>
      </c>
      <c r="J188" s="14">
        <f t="shared" si="17"/>
        <v>1</v>
      </c>
      <c r="K188" s="14" t="e">
        <f t="shared" si="12"/>
        <v>#N/A</v>
      </c>
      <c r="L188" s="14" t="e">
        <f t="shared" si="13"/>
        <v>#N/A</v>
      </c>
      <c r="M188" s="14" t="e">
        <f t="shared" si="14"/>
        <v>#N/A</v>
      </c>
      <c r="N188" s="14" t="e">
        <f t="shared" si="15"/>
        <v>#N/A</v>
      </c>
    </row>
    <row r="189" spans="4:14" ht="16.5" x14ac:dyDescent="0.25">
      <c r="D189" s="14">
        <v>149</v>
      </c>
      <c r="E189" s="14" t="str">
        <f t="shared" si="16"/>
        <v/>
      </c>
      <c r="F189" s="14" t="str">
        <f>IF(AND($B$8=1,$D189&lt;=$B$7),IF($B$5=1,Calculator!$C$9*POWER(1+Calculator!$C$14/100,$D189/12),Calculator!$C$9),"")</f>
        <v/>
      </c>
      <c r="G189" s="14">
        <f>G188*(1+$B$4)+Calculator!$C$25</f>
        <v>53939.278975783069</v>
      </c>
      <c r="H189" s="14">
        <f>IF($B$5=1,Calculator!$C$9*POWER(1+Calculator!$C$14/100,$D189/12),Calculator!$C$9)</f>
        <v>10000</v>
      </c>
      <c r="J189" s="14">
        <f t="shared" si="17"/>
        <v>1</v>
      </c>
      <c r="K189" s="14" t="e">
        <f t="shared" si="12"/>
        <v>#N/A</v>
      </c>
      <c r="L189" s="14" t="e">
        <f t="shared" si="13"/>
        <v>#N/A</v>
      </c>
      <c r="M189" s="14" t="e">
        <f t="shared" si="14"/>
        <v>#N/A</v>
      </c>
      <c r="N189" s="14" t="e">
        <f t="shared" si="15"/>
        <v>#N/A</v>
      </c>
    </row>
    <row r="190" spans="4:14" ht="16.5" x14ac:dyDescent="0.25">
      <c r="D190" s="14">
        <v>150</v>
      </c>
      <c r="E190" s="14" t="str">
        <f t="shared" si="16"/>
        <v/>
      </c>
      <c r="F190" s="14" t="str">
        <f>IF(AND($B$8=1,$D190&lt;=$B$7),IF($B$5=1,Calculator!$C$9*POWER(1+Calculator!$C$14/100,$D190/12),Calculator!$C$9),"")</f>
        <v/>
      </c>
      <c r="G190" s="14">
        <f>G189*(1+$B$4)+Calculator!$C$25</f>
        <v>54372.307789060898</v>
      </c>
      <c r="H190" s="14">
        <f>IF($B$5=1,Calculator!$C$9*POWER(1+Calculator!$C$14/100,$D190/12),Calculator!$C$9)</f>
        <v>10000</v>
      </c>
      <c r="J190" s="14">
        <f t="shared" si="17"/>
        <v>1</v>
      </c>
      <c r="K190" s="14" t="e">
        <f t="shared" si="12"/>
        <v>#N/A</v>
      </c>
      <c r="L190" s="14" t="e">
        <f t="shared" si="13"/>
        <v>#N/A</v>
      </c>
      <c r="M190" s="14" t="e">
        <f t="shared" si="14"/>
        <v>#N/A</v>
      </c>
      <c r="N190" s="14" t="e">
        <f t="shared" si="15"/>
        <v>#N/A</v>
      </c>
    </row>
    <row r="191" spans="4:14" ht="16.5" x14ac:dyDescent="0.25">
      <c r="D191" s="14">
        <v>151</v>
      </c>
      <c r="E191" s="14" t="str">
        <f t="shared" si="16"/>
        <v/>
      </c>
      <c r="F191" s="14" t="str">
        <f>IF(AND($B$8=1,$D191&lt;=$B$7),IF($B$5=1,Calculator!$C$9*POWER(1+Calculator!$C$14/100,$D191/12),Calculator!$C$9),"")</f>
        <v/>
      </c>
      <c r="G191" s="14">
        <f>G190*(1+$B$4)+Calculator!$C$25</f>
        <v>54806.404568211452</v>
      </c>
      <c r="H191" s="14">
        <f>IF($B$5=1,Calculator!$C$9*POWER(1+Calculator!$C$14/100,$D191/12),Calculator!$C$9)</f>
        <v>10000</v>
      </c>
      <c r="J191" s="14">
        <f t="shared" si="17"/>
        <v>1</v>
      </c>
      <c r="K191" s="14" t="e">
        <f t="shared" si="12"/>
        <v>#N/A</v>
      </c>
      <c r="L191" s="14" t="e">
        <f t="shared" si="13"/>
        <v>#N/A</v>
      </c>
      <c r="M191" s="14" t="e">
        <f t="shared" si="14"/>
        <v>#N/A</v>
      </c>
      <c r="N191" s="14" t="e">
        <f t="shared" si="15"/>
        <v>#N/A</v>
      </c>
    </row>
    <row r="192" spans="4:14" ht="16.5" x14ac:dyDescent="0.25">
      <c r="D192" s="14">
        <v>152</v>
      </c>
      <c r="E192" s="14" t="str">
        <f t="shared" si="16"/>
        <v/>
      </c>
      <c r="F192" s="14" t="str">
        <f>IF(AND($B$8=1,$D192&lt;=$B$7),IF($B$5=1,Calculator!$C$9*POWER(1+Calculator!$C$14/100,$D192/12),Calculator!$C$9),"")</f>
        <v/>
      </c>
      <c r="G192" s="14">
        <f>G191*(1+$B$4)+Calculator!$C$25</f>
        <v>55241.571947126678</v>
      </c>
      <c r="H192" s="14">
        <f>IF($B$5=1,Calculator!$C$9*POWER(1+Calculator!$C$14/100,$D192/12),Calculator!$C$9)</f>
        <v>10000</v>
      </c>
      <c r="J192" s="14">
        <f t="shared" si="17"/>
        <v>1</v>
      </c>
      <c r="K192" s="14" t="e">
        <f t="shared" si="12"/>
        <v>#N/A</v>
      </c>
      <c r="L192" s="14" t="e">
        <f t="shared" si="13"/>
        <v>#N/A</v>
      </c>
      <c r="M192" s="14" t="e">
        <f t="shared" si="14"/>
        <v>#N/A</v>
      </c>
      <c r="N192" s="14" t="e">
        <f t="shared" si="15"/>
        <v>#N/A</v>
      </c>
    </row>
    <row r="193" spans="4:14" ht="16.5" x14ac:dyDescent="0.25">
      <c r="D193" s="14">
        <v>153</v>
      </c>
      <c r="E193" s="14" t="str">
        <f t="shared" si="16"/>
        <v/>
      </c>
      <c r="F193" s="14" t="str">
        <f>IF(AND($B$8=1,$D193&lt;=$B$7),IF($B$5=1,Calculator!$C$9*POWER(1+Calculator!$C$14/100,$D193/12),Calculator!$C$9),"")</f>
        <v/>
      </c>
      <c r="G193" s="14">
        <f>G192*(1+$B$4)+Calculator!$C$25</f>
        <v>55677.812566194414</v>
      </c>
      <c r="H193" s="14">
        <f>IF($B$5=1,Calculator!$C$9*POWER(1+Calculator!$C$14/100,$D193/12),Calculator!$C$9)</f>
        <v>10000</v>
      </c>
      <c r="J193" s="14">
        <f t="shared" si="17"/>
        <v>1</v>
      </c>
      <c r="K193" s="14" t="e">
        <f t="shared" si="12"/>
        <v>#N/A</v>
      </c>
      <c r="L193" s="14" t="e">
        <f t="shared" si="13"/>
        <v>#N/A</v>
      </c>
      <c r="M193" s="14" t="e">
        <f t="shared" si="14"/>
        <v>#N/A</v>
      </c>
      <c r="N193" s="14" t="e">
        <f t="shared" si="15"/>
        <v>#N/A</v>
      </c>
    </row>
    <row r="194" spans="4:14" ht="16.5" x14ac:dyDescent="0.25">
      <c r="D194" s="14">
        <v>154</v>
      </c>
      <c r="E194" s="14" t="str">
        <f t="shared" si="16"/>
        <v/>
      </c>
      <c r="F194" s="14" t="str">
        <f>IF(AND($B$8=1,$D194&lt;=$B$7),IF($B$5=1,Calculator!$C$9*POWER(1+Calculator!$C$14/100,$D194/12),Calculator!$C$9),"")</f>
        <v/>
      </c>
      <c r="G194" s="14">
        <f>G193*(1+$B$4)+Calculator!$C$25</f>
        <v>56115.129072314412</v>
      </c>
      <c r="H194" s="14">
        <f>IF($B$5=1,Calculator!$C$9*POWER(1+Calculator!$C$14/100,$D194/12),Calculator!$C$9)</f>
        <v>10000</v>
      </c>
      <c r="J194" s="14">
        <f t="shared" si="17"/>
        <v>1</v>
      </c>
      <c r="K194" s="14" t="e">
        <f t="shared" si="12"/>
        <v>#N/A</v>
      </c>
      <c r="L194" s="14" t="e">
        <f t="shared" si="13"/>
        <v>#N/A</v>
      </c>
      <c r="M194" s="14" t="e">
        <f t="shared" si="14"/>
        <v>#N/A</v>
      </c>
      <c r="N194" s="14" t="e">
        <f t="shared" si="15"/>
        <v>#N/A</v>
      </c>
    </row>
    <row r="195" spans="4:14" ht="16.5" x14ac:dyDescent="0.25">
      <c r="D195" s="14">
        <v>155</v>
      </c>
      <c r="E195" s="14" t="str">
        <f t="shared" si="16"/>
        <v/>
      </c>
      <c r="F195" s="14" t="str">
        <f>IF(AND($B$8=1,$D195&lt;=$B$7),IF($B$5=1,Calculator!$C$9*POWER(1+Calculator!$C$14/100,$D195/12),Calculator!$C$9),"")</f>
        <v/>
      </c>
      <c r="G195" s="14">
        <f>G194*(1+$B$4)+Calculator!$C$25</f>
        <v>56553.524118914378</v>
      </c>
      <c r="H195" s="14">
        <f>IF($B$5=1,Calculator!$C$9*POWER(1+Calculator!$C$14/100,$D195/12),Calculator!$C$9)</f>
        <v>10000</v>
      </c>
      <c r="J195" s="14">
        <f t="shared" si="17"/>
        <v>1</v>
      </c>
      <c r="K195" s="14" t="e">
        <f t="shared" si="12"/>
        <v>#N/A</v>
      </c>
      <c r="L195" s="14" t="e">
        <f t="shared" si="13"/>
        <v>#N/A</v>
      </c>
      <c r="M195" s="14" t="e">
        <f t="shared" si="14"/>
        <v>#N/A</v>
      </c>
      <c r="N195" s="14" t="e">
        <f t="shared" si="15"/>
        <v>#N/A</v>
      </c>
    </row>
    <row r="196" spans="4:14" ht="16.5" x14ac:dyDescent="0.25">
      <c r="D196" s="14">
        <v>156</v>
      </c>
      <c r="E196" s="14" t="str">
        <f t="shared" si="16"/>
        <v/>
      </c>
      <c r="F196" s="14" t="str">
        <f>IF(AND($B$8=1,$D196&lt;=$B$7),IF($B$5=1,Calculator!$C$9*POWER(1+Calculator!$C$14/100,$D196/12),Calculator!$C$9),"")</f>
        <v/>
      </c>
      <c r="G196" s="14">
        <f>G195*(1+$B$4)+Calculator!$C$25</f>
        <v>56993.000365966102</v>
      </c>
      <c r="H196" s="14">
        <f>IF($B$5=1,Calculator!$C$9*POWER(1+Calculator!$C$14/100,$D196/12),Calculator!$C$9)</f>
        <v>10000</v>
      </c>
      <c r="J196" s="14">
        <f t="shared" si="17"/>
        <v>1</v>
      </c>
      <c r="K196" s="14" t="e">
        <f t="shared" si="12"/>
        <v>#N/A</v>
      </c>
      <c r="L196" s="14" t="e">
        <f t="shared" si="13"/>
        <v>#N/A</v>
      </c>
      <c r="M196" s="14" t="e">
        <f t="shared" si="14"/>
        <v>#N/A</v>
      </c>
      <c r="N196" s="14" t="e">
        <f t="shared" si="15"/>
        <v>#N/A</v>
      </c>
    </row>
    <row r="197" spans="4:14" ht="16.5" x14ac:dyDescent="0.25">
      <c r="D197" s="14">
        <v>157</v>
      </c>
      <c r="E197" s="14" t="str">
        <f t="shared" si="16"/>
        <v/>
      </c>
      <c r="F197" s="14" t="str">
        <f>IF(AND($B$8=1,$D197&lt;=$B$7),IF($B$5=1,Calculator!$C$9*POWER(1+Calculator!$C$14/100,$D197/12),Calculator!$C$9),"")</f>
        <v/>
      </c>
      <c r="G197" s="14">
        <f>G196*(1+$B$4)+Calculator!$C$25</f>
        <v>57433.560480001579</v>
      </c>
      <c r="H197" s="14">
        <f>IF($B$5=1,Calculator!$C$9*POWER(1+Calculator!$C$14/100,$D197/12),Calculator!$C$9)</f>
        <v>10000</v>
      </c>
      <c r="J197" s="14">
        <f t="shared" si="17"/>
        <v>1</v>
      </c>
      <c r="K197" s="14" t="e">
        <f t="shared" si="12"/>
        <v>#N/A</v>
      </c>
      <c r="L197" s="14" t="e">
        <f t="shared" si="13"/>
        <v>#N/A</v>
      </c>
      <c r="M197" s="14" t="e">
        <f t="shared" si="14"/>
        <v>#N/A</v>
      </c>
      <c r="N197" s="14" t="e">
        <f t="shared" si="15"/>
        <v>#N/A</v>
      </c>
    </row>
    <row r="198" spans="4:14" ht="16.5" x14ac:dyDescent="0.25">
      <c r="D198" s="14">
        <v>158</v>
      </c>
      <c r="E198" s="14" t="str">
        <f t="shared" si="16"/>
        <v/>
      </c>
      <c r="F198" s="14" t="str">
        <f>IF(AND($B$8=1,$D198&lt;=$B$7),IF($B$5=1,Calculator!$C$9*POWER(1+Calculator!$C$14/100,$D198/12),Calculator!$C$9),"")</f>
        <v/>
      </c>
      <c r="G198" s="14">
        <f>G197*(1+$B$4)+Calculator!$C$25</f>
        <v>57875.207134129181</v>
      </c>
      <c r="H198" s="14">
        <f>IF($B$5=1,Calculator!$C$9*POWER(1+Calculator!$C$14/100,$D198/12),Calculator!$C$9)</f>
        <v>10000</v>
      </c>
      <c r="J198" s="14">
        <f t="shared" si="17"/>
        <v>1</v>
      </c>
      <c r="K198" s="14" t="e">
        <f t="shared" si="12"/>
        <v>#N/A</v>
      </c>
      <c r="L198" s="14" t="e">
        <f t="shared" si="13"/>
        <v>#N/A</v>
      </c>
      <c r="M198" s="14" t="e">
        <f t="shared" si="14"/>
        <v>#N/A</v>
      </c>
      <c r="N198" s="14" t="e">
        <f t="shared" si="15"/>
        <v>#N/A</v>
      </c>
    </row>
    <row r="199" spans="4:14" ht="16.5" x14ac:dyDescent="0.25">
      <c r="D199" s="14">
        <v>159</v>
      </c>
      <c r="E199" s="14" t="str">
        <f t="shared" si="16"/>
        <v/>
      </c>
      <c r="F199" s="14" t="str">
        <f>IF(AND($B$8=1,$D199&lt;=$B$7),IF($B$5=1,Calculator!$C$9*POWER(1+Calculator!$C$14/100,$D199/12),Calculator!$C$9),"")</f>
        <v/>
      </c>
      <c r="G199" s="14">
        <f>G198*(1+$B$4)+Calculator!$C$25</f>
        <v>58317.943008049901</v>
      </c>
      <c r="H199" s="14">
        <f>IF($B$5=1,Calculator!$C$9*POWER(1+Calculator!$C$14/100,$D199/12),Calculator!$C$9)</f>
        <v>10000</v>
      </c>
      <c r="J199" s="14">
        <f t="shared" si="17"/>
        <v>1</v>
      </c>
      <c r="K199" s="14" t="e">
        <f t="shared" si="12"/>
        <v>#N/A</v>
      </c>
      <c r="L199" s="14" t="e">
        <f t="shared" si="13"/>
        <v>#N/A</v>
      </c>
      <c r="M199" s="14" t="e">
        <f t="shared" si="14"/>
        <v>#N/A</v>
      </c>
      <c r="N199" s="14" t="e">
        <f t="shared" si="15"/>
        <v>#N/A</v>
      </c>
    </row>
    <row r="200" spans="4:14" ht="16.5" x14ac:dyDescent="0.25">
      <c r="D200" s="14">
        <v>160</v>
      </c>
      <c r="E200" s="14" t="str">
        <f t="shared" si="16"/>
        <v/>
      </c>
      <c r="F200" s="14" t="str">
        <f>IF(AND($B$8=1,$D200&lt;=$B$7),IF($B$5=1,Calculator!$C$9*POWER(1+Calculator!$C$14/100,$D200/12),Calculator!$C$9),"")</f>
        <v/>
      </c>
      <c r="G200" s="14">
        <f>G199*(1+$B$4)+Calculator!$C$25</f>
        <v>58761.770788073583</v>
      </c>
      <c r="H200" s="14">
        <f>IF($B$5=1,Calculator!$C$9*POWER(1+Calculator!$C$14/100,$D200/12),Calculator!$C$9)</f>
        <v>10000</v>
      </c>
      <c r="J200" s="14">
        <f t="shared" si="17"/>
        <v>1</v>
      </c>
      <c r="K200" s="14" t="e">
        <f t="shared" si="12"/>
        <v>#N/A</v>
      </c>
      <c r="L200" s="14" t="e">
        <f t="shared" si="13"/>
        <v>#N/A</v>
      </c>
      <c r="M200" s="14" t="e">
        <f t="shared" si="14"/>
        <v>#N/A</v>
      </c>
      <c r="N200" s="14" t="e">
        <f t="shared" si="15"/>
        <v>#N/A</v>
      </c>
    </row>
    <row r="201" spans="4:14" ht="16.5" x14ac:dyDescent="0.25">
      <c r="D201" s="14">
        <v>161</v>
      </c>
      <c r="E201" s="14" t="str">
        <f t="shared" si="16"/>
        <v/>
      </c>
      <c r="F201" s="14" t="str">
        <f>IF(AND($B$8=1,$D201&lt;=$B$7),IF($B$5=1,Calculator!$C$9*POWER(1+Calculator!$C$14/100,$D201/12),Calculator!$C$9),"")</f>
        <v/>
      </c>
      <c r="G201" s="14">
        <f>G200*(1+$B$4)+Calculator!$C$25</f>
        <v>59206.69316713525</v>
      </c>
      <c r="H201" s="14">
        <f>IF($B$5=1,Calculator!$C$9*POWER(1+Calculator!$C$14/100,$D201/12),Calculator!$C$9)</f>
        <v>10000</v>
      </c>
      <c r="J201" s="14">
        <f t="shared" si="17"/>
        <v>1</v>
      </c>
      <c r="K201" s="14" t="e">
        <f t="shared" si="12"/>
        <v>#N/A</v>
      </c>
      <c r="L201" s="14" t="e">
        <f t="shared" si="13"/>
        <v>#N/A</v>
      </c>
      <c r="M201" s="14" t="e">
        <f t="shared" si="14"/>
        <v>#N/A</v>
      </c>
      <c r="N201" s="14" t="e">
        <f t="shared" si="15"/>
        <v>#N/A</v>
      </c>
    </row>
    <row r="202" spans="4:14" ht="16.5" x14ac:dyDescent="0.25">
      <c r="D202" s="14">
        <v>162</v>
      </c>
      <c r="E202" s="14" t="str">
        <f t="shared" si="16"/>
        <v/>
      </c>
      <c r="F202" s="14" t="str">
        <f>IF(AND($B$8=1,$D202&lt;=$B$7),IF($B$5=1,Calculator!$C$9*POWER(1+Calculator!$C$14/100,$D202/12),Calculator!$C$9),"")</f>
        <v/>
      </c>
      <c r="G202" s="14">
        <f>G201*(1+$B$4)+Calculator!$C$25</f>
        <v>59652.712844811416</v>
      </c>
      <c r="H202" s="14">
        <f>IF($B$5=1,Calculator!$C$9*POWER(1+Calculator!$C$14/100,$D202/12),Calculator!$C$9)</f>
        <v>10000</v>
      </c>
      <c r="J202" s="14">
        <f t="shared" si="17"/>
        <v>1</v>
      </c>
      <c r="K202" s="14" t="e">
        <f t="shared" si="12"/>
        <v>#N/A</v>
      </c>
      <c r="L202" s="14" t="e">
        <f t="shared" si="13"/>
        <v>#N/A</v>
      </c>
      <c r="M202" s="14" t="e">
        <f t="shared" si="14"/>
        <v>#N/A</v>
      </c>
      <c r="N202" s="14" t="e">
        <f t="shared" si="15"/>
        <v>#N/A</v>
      </c>
    </row>
    <row r="203" spans="4:14" ht="16.5" x14ac:dyDescent="0.25">
      <c r="D203" s="14">
        <v>163</v>
      </c>
      <c r="E203" s="14" t="str">
        <f t="shared" si="16"/>
        <v/>
      </c>
      <c r="F203" s="14" t="str">
        <f>IF(AND($B$8=1,$D203&lt;=$B$7),IF($B$5=1,Calculator!$C$9*POWER(1+Calculator!$C$14/100,$D203/12),Calculator!$C$9),"")</f>
        <v/>
      </c>
      <c r="G203" s="14">
        <f>G202*(1+$B$4)+Calculator!$C$25</f>
        <v>60099.83252733649</v>
      </c>
      <c r="H203" s="14">
        <f>IF($B$5=1,Calculator!$C$9*POWER(1+Calculator!$C$14/100,$D203/12),Calculator!$C$9)</f>
        <v>10000</v>
      </c>
      <c r="J203" s="14">
        <f t="shared" si="17"/>
        <v>1</v>
      </c>
      <c r="K203" s="14" t="e">
        <f t="shared" si="12"/>
        <v>#N/A</v>
      </c>
      <c r="L203" s="14" t="e">
        <f t="shared" si="13"/>
        <v>#N/A</v>
      </c>
      <c r="M203" s="14" t="e">
        <f t="shared" si="14"/>
        <v>#N/A</v>
      </c>
      <c r="N203" s="14" t="e">
        <f t="shared" si="15"/>
        <v>#N/A</v>
      </c>
    </row>
    <row r="204" spans="4:14" ht="16.5" x14ac:dyDescent="0.25">
      <c r="D204" s="14">
        <v>164</v>
      </c>
      <c r="E204" s="14" t="str">
        <f t="shared" si="16"/>
        <v/>
      </c>
      <c r="F204" s="14" t="str">
        <f>IF(AND($B$8=1,$D204&lt;=$B$7),IF($B$5=1,Calculator!$C$9*POWER(1+Calculator!$C$14/100,$D204/12),Calculator!$C$9),"")</f>
        <v/>
      </c>
      <c r="G204" s="14">
        <f>G203*(1+$B$4)+Calculator!$C$25</f>
        <v>60548.054927619174</v>
      </c>
      <c r="H204" s="14">
        <f>IF($B$5=1,Calculator!$C$9*POWER(1+Calculator!$C$14/100,$D204/12),Calculator!$C$9)</f>
        <v>10000</v>
      </c>
      <c r="J204" s="14">
        <f t="shared" si="17"/>
        <v>1</v>
      </c>
      <c r="K204" s="14" t="e">
        <f t="shared" si="12"/>
        <v>#N/A</v>
      </c>
      <c r="L204" s="14" t="e">
        <f t="shared" si="13"/>
        <v>#N/A</v>
      </c>
      <c r="M204" s="14" t="e">
        <f t="shared" si="14"/>
        <v>#N/A</v>
      </c>
      <c r="N204" s="14" t="e">
        <f t="shared" si="15"/>
        <v>#N/A</v>
      </c>
    </row>
    <row r="205" spans="4:14" ht="16.5" x14ac:dyDescent="0.25">
      <c r="D205" s="14">
        <v>165</v>
      </c>
      <c r="E205" s="14" t="str">
        <f t="shared" si="16"/>
        <v/>
      </c>
      <c r="F205" s="14" t="str">
        <f>IF(AND($B$8=1,$D205&lt;=$B$7),IF($B$5=1,Calculator!$C$9*POWER(1+Calculator!$C$14/100,$D205/12),Calculator!$C$9),"")</f>
        <v/>
      </c>
      <c r="G205" s="14">
        <f>G204*(1+$B$4)+Calculator!$C$25</f>
        <v>60997.382765258946</v>
      </c>
      <c r="H205" s="14">
        <f>IF($B$5=1,Calculator!$C$9*POWER(1+Calculator!$C$14/100,$D205/12),Calculator!$C$9)</f>
        <v>10000</v>
      </c>
      <c r="J205" s="14">
        <f t="shared" si="17"/>
        <v>1</v>
      </c>
      <c r="K205" s="14" t="e">
        <f t="shared" si="12"/>
        <v>#N/A</v>
      </c>
      <c r="L205" s="14" t="e">
        <f t="shared" si="13"/>
        <v>#N/A</v>
      </c>
      <c r="M205" s="14" t="e">
        <f t="shared" si="14"/>
        <v>#N/A</v>
      </c>
      <c r="N205" s="14" t="e">
        <f t="shared" si="15"/>
        <v>#N/A</v>
      </c>
    </row>
    <row r="206" spans="4:14" ht="16.5" x14ac:dyDescent="0.25">
      <c r="D206" s="14">
        <v>166</v>
      </c>
      <c r="E206" s="14" t="str">
        <f t="shared" si="16"/>
        <v/>
      </c>
      <c r="F206" s="14" t="str">
        <f>IF(AND($B$8=1,$D206&lt;=$B$7),IF($B$5=1,Calculator!$C$9*POWER(1+Calculator!$C$14/100,$D206/12),Calculator!$C$9),"")</f>
        <v/>
      </c>
      <c r="G206" s="14">
        <f>G205*(1+$B$4)+Calculator!$C$25</f>
        <v>61447.818766562545</v>
      </c>
      <c r="H206" s="14">
        <f>IF($B$5=1,Calculator!$C$9*POWER(1+Calculator!$C$14/100,$D206/12),Calculator!$C$9)</f>
        <v>10000</v>
      </c>
      <c r="J206" s="14">
        <f t="shared" si="17"/>
        <v>1</v>
      </c>
      <c r="K206" s="14" t="e">
        <f t="shared" si="12"/>
        <v>#N/A</v>
      </c>
      <c r="L206" s="14" t="e">
        <f t="shared" si="13"/>
        <v>#N/A</v>
      </c>
      <c r="M206" s="14" t="e">
        <f t="shared" si="14"/>
        <v>#N/A</v>
      </c>
      <c r="N206" s="14" t="e">
        <f t="shared" si="15"/>
        <v>#N/A</v>
      </c>
    </row>
    <row r="207" spans="4:14" ht="16.5" x14ac:dyDescent="0.25">
      <c r="D207" s="14">
        <v>167</v>
      </c>
      <c r="E207" s="14" t="str">
        <f t="shared" si="16"/>
        <v/>
      </c>
      <c r="F207" s="14" t="str">
        <f>IF(AND($B$8=1,$D207&lt;=$B$7),IF($B$5=1,Calculator!$C$9*POWER(1+Calculator!$C$14/100,$D207/12),Calculator!$C$9),"")</f>
        <v/>
      </c>
      <c r="G207" s="14">
        <f>G206*(1+$B$4)+Calculator!$C$25</f>
        <v>61899.365664560515</v>
      </c>
      <c r="H207" s="14">
        <f>IF($B$5=1,Calculator!$C$9*POWER(1+Calculator!$C$14/100,$D207/12),Calculator!$C$9)</f>
        <v>10000</v>
      </c>
      <c r="J207" s="14">
        <f t="shared" si="17"/>
        <v>1</v>
      </c>
      <c r="K207" s="14" t="e">
        <f t="shared" si="12"/>
        <v>#N/A</v>
      </c>
      <c r="L207" s="14" t="e">
        <f t="shared" si="13"/>
        <v>#N/A</v>
      </c>
      <c r="M207" s="14" t="e">
        <f t="shared" si="14"/>
        <v>#N/A</v>
      </c>
      <c r="N207" s="14" t="e">
        <f t="shared" si="15"/>
        <v>#N/A</v>
      </c>
    </row>
    <row r="208" spans="4:14" ht="16.5" x14ac:dyDescent="0.25">
      <c r="D208" s="14">
        <v>168</v>
      </c>
      <c r="E208" s="14" t="str">
        <f t="shared" si="16"/>
        <v/>
      </c>
      <c r="F208" s="14" t="str">
        <f>IF(AND($B$8=1,$D208&lt;=$B$7),IF($B$5=1,Calculator!$C$9*POWER(1+Calculator!$C$14/100,$D208/12),Calculator!$C$9),"")</f>
        <v/>
      </c>
      <c r="G208" s="14">
        <f>G207*(1+$B$4)+Calculator!$C$25</f>
        <v>62352.026199023792</v>
      </c>
      <c r="H208" s="14">
        <f>IF($B$5=1,Calculator!$C$9*POWER(1+Calculator!$C$14/100,$D208/12),Calculator!$C$9)</f>
        <v>10000</v>
      </c>
      <c r="J208" s="14">
        <f t="shared" si="17"/>
        <v>1</v>
      </c>
      <c r="K208" s="14" t="e">
        <f t="shared" si="12"/>
        <v>#N/A</v>
      </c>
      <c r="L208" s="14" t="e">
        <f t="shared" si="13"/>
        <v>#N/A</v>
      </c>
      <c r="M208" s="14" t="e">
        <f t="shared" si="14"/>
        <v>#N/A</v>
      </c>
      <c r="N208" s="14" t="e">
        <f t="shared" si="15"/>
        <v>#N/A</v>
      </c>
    </row>
    <row r="209" spans="4:14" ht="16.5" x14ac:dyDescent="0.25">
      <c r="D209" s="14">
        <v>169</v>
      </c>
      <c r="E209" s="14" t="str">
        <f t="shared" si="16"/>
        <v/>
      </c>
      <c r="F209" s="14" t="str">
        <f>IF(AND($B$8=1,$D209&lt;=$B$7),IF($B$5=1,Calculator!$C$9*POWER(1+Calculator!$C$14/100,$D209/12),Calculator!$C$9),"")</f>
        <v/>
      </c>
      <c r="G209" s="14">
        <f>G208*(1+$B$4)+Calculator!$C$25</f>
        <v>62805.803116480332</v>
      </c>
      <c r="H209" s="14">
        <f>IF($B$5=1,Calculator!$C$9*POWER(1+Calculator!$C$14/100,$D209/12),Calculator!$C$9)</f>
        <v>10000</v>
      </c>
      <c r="J209" s="14">
        <f t="shared" si="17"/>
        <v>1</v>
      </c>
      <c r="K209" s="14" t="e">
        <f t="shared" si="12"/>
        <v>#N/A</v>
      </c>
      <c r="L209" s="14" t="e">
        <f t="shared" si="13"/>
        <v>#N/A</v>
      </c>
      <c r="M209" s="14" t="e">
        <f t="shared" si="14"/>
        <v>#N/A</v>
      </c>
      <c r="N209" s="14" t="e">
        <f t="shared" si="15"/>
        <v>#N/A</v>
      </c>
    </row>
    <row r="210" spans="4:14" ht="16.5" x14ac:dyDescent="0.25">
      <c r="D210" s="14">
        <v>170</v>
      </c>
      <c r="E210" s="14" t="str">
        <f t="shared" si="16"/>
        <v/>
      </c>
      <c r="F210" s="14" t="str">
        <f>IF(AND($B$8=1,$D210&lt;=$B$7),IF($B$5=1,Calculator!$C$9*POWER(1+Calculator!$C$14/100,$D210/12),Calculator!$C$9),"")</f>
        <v/>
      </c>
      <c r="G210" s="14">
        <f>G209*(1+$B$4)+Calculator!$C$25</f>
        <v>63260.699170231761</v>
      </c>
      <c r="H210" s="14">
        <f>IF($B$5=1,Calculator!$C$9*POWER(1+Calculator!$C$14/100,$D210/12),Calculator!$C$9)</f>
        <v>10000</v>
      </c>
      <c r="J210" s="14">
        <f t="shared" si="17"/>
        <v>1</v>
      </c>
      <c r="K210" s="14" t="e">
        <f t="shared" si="12"/>
        <v>#N/A</v>
      </c>
      <c r="L210" s="14" t="e">
        <f t="shared" si="13"/>
        <v>#N/A</v>
      </c>
      <c r="M210" s="14" t="e">
        <f t="shared" si="14"/>
        <v>#N/A</v>
      </c>
      <c r="N210" s="14" t="e">
        <f t="shared" si="15"/>
        <v>#N/A</v>
      </c>
    </row>
    <row r="211" spans="4:14" ht="16.5" x14ac:dyDescent="0.25">
      <c r="D211" s="14">
        <v>171</v>
      </c>
      <c r="E211" s="14" t="str">
        <f t="shared" si="16"/>
        <v/>
      </c>
      <c r="F211" s="14" t="str">
        <f>IF(AND($B$8=1,$D211&lt;=$B$7),IF($B$5=1,Calculator!$C$9*POWER(1+Calculator!$C$14/100,$D211/12),Calculator!$C$9),"")</f>
        <v/>
      </c>
      <c r="G211" s="14">
        <f>G210*(1+$B$4)+Calculator!$C$25</f>
        <v>63716.7171203701</v>
      </c>
      <c r="H211" s="14">
        <f>IF($B$5=1,Calculator!$C$9*POWER(1+Calculator!$C$14/100,$D211/12),Calculator!$C$9)</f>
        <v>10000</v>
      </c>
      <c r="J211" s="14">
        <f t="shared" si="17"/>
        <v>1</v>
      </c>
      <c r="K211" s="14" t="e">
        <f t="shared" si="12"/>
        <v>#N/A</v>
      </c>
      <c r="L211" s="14" t="e">
        <f t="shared" si="13"/>
        <v>#N/A</v>
      </c>
      <c r="M211" s="14" t="e">
        <f t="shared" si="14"/>
        <v>#N/A</v>
      </c>
      <c r="N211" s="14" t="e">
        <f t="shared" si="15"/>
        <v>#N/A</v>
      </c>
    </row>
    <row r="212" spans="4:14" ht="16.5" x14ac:dyDescent="0.25">
      <c r="D212" s="14">
        <v>172</v>
      </c>
      <c r="E212" s="14" t="str">
        <f t="shared" si="16"/>
        <v/>
      </c>
      <c r="F212" s="14" t="str">
        <f>IF(AND($B$8=1,$D212&lt;=$B$7),IF($B$5=1,Calculator!$C$9*POWER(1+Calculator!$C$14/100,$D212/12),Calculator!$C$9),"")</f>
        <v/>
      </c>
      <c r="G212" s="14">
        <f>G211*(1+$B$4)+Calculator!$C$25</f>
        <v>64173.859733794496</v>
      </c>
      <c r="H212" s="14">
        <f>IF($B$5=1,Calculator!$C$9*POWER(1+Calculator!$C$14/100,$D212/12),Calculator!$C$9)</f>
        <v>10000</v>
      </c>
      <c r="J212" s="14">
        <f t="shared" si="17"/>
        <v>1</v>
      </c>
      <c r="K212" s="14" t="e">
        <f t="shared" si="12"/>
        <v>#N/A</v>
      </c>
      <c r="L212" s="14" t="e">
        <f t="shared" si="13"/>
        <v>#N/A</v>
      </c>
      <c r="M212" s="14" t="e">
        <f t="shared" si="14"/>
        <v>#N/A</v>
      </c>
      <c r="N212" s="14" t="e">
        <f t="shared" si="15"/>
        <v>#N/A</v>
      </c>
    </row>
    <row r="213" spans="4:14" ht="16.5" x14ac:dyDescent="0.25">
      <c r="D213" s="14">
        <v>173</v>
      </c>
      <c r="E213" s="14" t="str">
        <f t="shared" si="16"/>
        <v/>
      </c>
      <c r="F213" s="14" t="str">
        <f>IF(AND($B$8=1,$D213&lt;=$B$7),IF($B$5=1,Calculator!$C$9*POWER(1+Calculator!$C$14/100,$D213/12),Calculator!$C$9),"")</f>
        <v/>
      </c>
      <c r="G213" s="14">
        <f>G212*(1+$B$4)+Calculator!$C$25</f>
        <v>64632.129784228011</v>
      </c>
      <c r="H213" s="14">
        <f>IF($B$5=1,Calculator!$C$9*POWER(1+Calculator!$C$14/100,$D213/12),Calculator!$C$9)</f>
        <v>10000</v>
      </c>
      <c r="J213" s="14">
        <f t="shared" si="17"/>
        <v>1</v>
      </c>
      <c r="K213" s="14" t="e">
        <f t="shared" si="12"/>
        <v>#N/A</v>
      </c>
      <c r="L213" s="14" t="e">
        <f t="shared" si="13"/>
        <v>#N/A</v>
      </c>
      <c r="M213" s="14" t="e">
        <f t="shared" si="14"/>
        <v>#N/A</v>
      </c>
      <c r="N213" s="14" t="e">
        <f t="shared" si="15"/>
        <v>#N/A</v>
      </c>
    </row>
    <row r="214" spans="4:14" ht="16.5" x14ac:dyDescent="0.25">
      <c r="D214" s="14">
        <v>174</v>
      </c>
      <c r="E214" s="14" t="str">
        <f t="shared" si="16"/>
        <v/>
      </c>
      <c r="F214" s="14" t="str">
        <f>IF(AND($B$8=1,$D214&lt;=$B$7),IF($B$5=1,Calculator!$C$9*POWER(1+Calculator!$C$14/100,$D214/12),Calculator!$C$9),"")</f>
        <v/>
      </c>
      <c r="G214" s="14">
        <f>G213*(1+$B$4)+Calculator!$C$25</f>
        <v>65091.530052234462</v>
      </c>
      <c r="H214" s="14">
        <f>IF($B$5=1,Calculator!$C$9*POWER(1+Calculator!$C$14/100,$D214/12),Calculator!$C$9)</f>
        <v>10000</v>
      </c>
      <c r="J214" s="14">
        <f t="shared" si="17"/>
        <v>1</v>
      </c>
      <c r="K214" s="14" t="e">
        <f t="shared" si="12"/>
        <v>#N/A</v>
      </c>
      <c r="L214" s="14" t="e">
        <f t="shared" si="13"/>
        <v>#N/A</v>
      </c>
      <c r="M214" s="14" t="e">
        <f t="shared" si="14"/>
        <v>#N/A</v>
      </c>
      <c r="N214" s="14" t="e">
        <f t="shared" si="15"/>
        <v>#N/A</v>
      </c>
    </row>
    <row r="215" spans="4:14" ht="16.5" x14ac:dyDescent="0.25">
      <c r="D215" s="14">
        <v>175</v>
      </c>
      <c r="E215" s="14" t="str">
        <f t="shared" si="16"/>
        <v/>
      </c>
      <c r="F215" s="14" t="str">
        <f>IF(AND($B$8=1,$D215&lt;=$B$7),IF($B$5=1,Calculator!$C$9*POWER(1+Calculator!$C$14/100,$D215/12),Calculator!$C$9),"")</f>
        <v/>
      </c>
      <c r="G215" s="14">
        <f>G214*(1+$B$4)+Calculator!$C$25</f>
        <v>65552.063325235285</v>
      </c>
      <c r="H215" s="14">
        <f>IF($B$5=1,Calculator!$C$9*POWER(1+Calculator!$C$14/100,$D215/12),Calculator!$C$9)</f>
        <v>10000</v>
      </c>
      <c r="J215" s="14">
        <f t="shared" si="17"/>
        <v>1</v>
      </c>
      <c r="K215" s="14" t="e">
        <f t="shared" si="12"/>
        <v>#N/A</v>
      </c>
      <c r="L215" s="14" t="e">
        <f t="shared" si="13"/>
        <v>#N/A</v>
      </c>
      <c r="M215" s="14" t="e">
        <f t="shared" si="14"/>
        <v>#N/A</v>
      </c>
      <c r="N215" s="14" t="e">
        <f t="shared" si="15"/>
        <v>#N/A</v>
      </c>
    </row>
    <row r="216" spans="4:14" ht="16.5" x14ac:dyDescent="0.25">
      <c r="D216" s="14">
        <v>176</v>
      </c>
      <c r="E216" s="14" t="str">
        <f t="shared" si="16"/>
        <v/>
      </c>
      <c r="F216" s="14" t="str">
        <f>IF(AND($B$8=1,$D216&lt;=$B$7),IF($B$5=1,Calculator!$C$9*POWER(1+Calculator!$C$14/100,$D216/12),Calculator!$C$9),"")</f>
        <v/>
      </c>
      <c r="G216" s="14">
        <f>G215*(1+$B$4)+Calculator!$C$25</f>
        <v>66013.732397526444</v>
      </c>
      <c r="H216" s="14">
        <f>IF($B$5=1,Calculator!$C$9*POWER(1+Calculator!$C$14/100,$D216/12),Calculator!$C$9)</f>
        <v>10000</v>
      </c>
      <c r="J216" s="14">
        <f t="shared" si="17"/>
        <v>1</v>
      </c>
      <c r="K216" s="14" t="e">
        <f t="shared" si="12"/>
        <v>#N/A</v>
      </c>
      <c r="L216" s="14" t="e">
        <f t="shared" si="13"/>
        <v>#N/A</v>
      </c>
      <c r="M216" s="14" t="e">
        <f t="shared" si="14"/>
        <v>#N/A</v>
      </c>
      <c r="N216" s="14" t="e">
        <f t="shared" si="15"/>
        <v>#N/A</v>
      </c>
    </row>
    <row r="217" spans="4:14" ht="16.5" x14ac:dyDescent="0.25">
      <c r="D217" s="14">
        <v>177</v>
      </c>
      <c r="E217" s="14" t="str">
        <f t="shared" si="16"/>
        <v/>
      </c>
      <c r="F217" s="14" t="str">
        <f>IF(AND($B$8=1,$D217&lt;=$B$7),IF($B$5=1,Calculator!$C$9*POWER(1+Calculator!$C$14/100,$D217/12),Calculator!$C$9),"")</f>
        <v/>
      </c>
      <c r="G217" s="14">
        <f>G216*(1+$B$4)+Calculator!$C$25</f>
        <v>66476.540070295407</v>
      </c>
      <c r="H217" s="14">
        <f>IF($B$5=1,Calculator!$C$9*POWER(1+Calculator!$C$14/100,$D217/12),Calculator!$C$9)</f>
        <v>10000</v>
      </c>
      <c r="J217" s="14">
        <f t="shared" si="17"/>
        <v>1</v>
      </c>
      <c r="K217" s="14" t="e">
        <f t="shared" si="12"/>
        <v>#N/A</v>
      </c>
      <c r="L217" s="14" t="e">
        <f t="shared" si="13"/>
        <v>#N/A</v>
      </c>
      <c r="M217" s="14" t="e">
        <f t="shared" si="14"/>
        <v>#N/A</v>
      </c>
      <c r="N217" s="14" t="e">
        <f t="shared" si="15"/>
        <v>#N/A</v>
      </c>
    </row>
    <row r="218" spans="4:14" ht="16.5" x14ac:dyDescent="0.25">
      <c r="D218" s="14">
        <v>178</v>
      </c>
      <c r="E218" s="14" t="str">
        <f t="shared" si="16"/>
        <v/>
      </c>
      <c r="F218" s="14" t="str">
        <f>IF(AND($B$8=1,$D218&lt;=$B$7),IF($B$5=1,Calculator!$C$9*POWER(1+Calculator!$C$14/100,$D218/12),Calculator!$C$9),"")</f>
        <v/>
      </c>
      <c r="G218" s="14">
        <f>G217*(1+$B$4)+Calculator!$C$25</f>
        <v>66940.489151638118</v>
      </c>
      <c r="H218" s="14">
        <f>IF($B$5=1,Calculator!$C$9*POWER(1+Calculator!$C$14/100,$D218/12),Calculator!$C$9)</f>
        <v>10000</v>
      </c>
      <c r="J218" s="14">
        <f t="shared" si="17"/>
        <v>1</v>
      </c>
      <c r="K218" s="14" t="e">
        <f t="shared" si="12"/>
        <v>#N/A</v>
      </c>
      <c r="L218" s="14" t="e">
        <f t="shared" si="13"/>
        <v>#N/A</v>
      </c>
      <c r="M218" s="14" t="e">
        <f t="shared" si="14"/>
        <v>#N/A</v>
      </c>
      <c r="N218" s="14" t="e">
        <f t="shared" si="15"/>
        <v>#N/A</v>
      </c>
    </row>
    <row r="219" spans="4:14" ht="16.5" x14ac:dyDescent="0.25">
      <c r="D219" s="14">
        <v>179</v>
      </c>
      <c r="E219" s="14" t="str">
        <f t="shared" si="16"/>
        <v/>
      </c>
      <c r="F219" s="14" t="str">
        <f>IF(AND($B$8=1,$D219&lt;=$B$7),IF($B$5=1,Calculator!$C$9*POWER(1+Calculator!$C$14/100,$D219/12),Calculator!$C$9),"")</f>
        <v/>
      </c>
      <c r="G219" s="14">
        <f>G218*(1+$B$4)+Calculator!$C$25</f>
        <v>67405.582456576027</v>
      </c>
      <c r="H219" s="14">
        <f>IF($B$5=1,Calculator!$C$9*POWER(1+Calculator!$C$14/100,$D219/12),Calculator!$C$9)</f>
        <v>10000</v>
      </c>
      <c r="J219" s="14">
        <f t="shared" si="17"/>
        <v>1</v>
      </c>
      <c r="K219" s="14" t="e">
        <f t="shared" si="12"/>
        <v>#N/A</v>
      </c>
      <c r="L219" s="14" t="e">
        <f t="shared" si="13"/>
        <v>#N/A</v>
      </c>
      <c r="M219" s="14" t="e">
        <f t="shared" si="14"/>
        <v>#N/A</v>
      </c>
      <c r="N219" s="14" t="e">
        <f t="shared" si="15"/>
        <v>#N/A</v>
      </c>
    </row>
    <row r="220" spans="4:14" ht="16.5" x14ac:dyDescent="0.25">
      <c r="D220" s="14">
        <v>180</v>
      </c>
      <c r="E220" s="14" t="str">
        <f t="shared" si="16"/>
        <v/>
      </c>
      <c r="F220" s="14" t="str">
        <f>IF(AND($B$8=1,$D220&lt;=$B$7),IF($B$5=1,Calculator!$C$9*POWER(1+Calculator!$C$14/100,$D220/12),Calculator!$C$9),"")</f>
        <v/>
      </c>
      <c r="G220" s="14">
        <f>G219*(1+$B$4)+Calculator!$C$25</f>
        <v>67871.8228070732</v>
      </c>
      <c r="H220" s="14">
        <f>IF($B$5=1,Calculator!$C$9*POWER(1+Calculator!$C$14/100,$D220/12),Calculator!$C$9)</f>
        <v>10000</v>
      </c>
      <c r="J220" s="14">
        <f t="shared" si="17"/>
        <v>1</v>
      </c>
      <c r="K220" s="14" t="e">
        <f t="shared" si="12"/>
        <v>#N/A</v>
      </c>
      <c r="L220" s="14" t="e">
        <f t="shared" si="13"/>
        <v>#N/A</v>
      </c>
      <c r="M220" s="14" t="e">
        <f t="shared" si="14"/>
        <v>#N/A</v>
      </c>
      <c r="N220" s="14" t="e">
        <f t="shared" si="15"/>
        <v>#N/A</v>
      </c>
    </row>
    <row r="221" spans="4:14" ht="16.5" x14ac:dyDescent="0.25">
      <c r="D221" s="14">
        <v>181</v>
      </c>
      <c r="E221" s="14" t="str">
        <f t="shared" si="16"/>
        <v/>
      </c>
      <c r="F221" s="14" t="str">
        <f>IF(AND($B$8=1,$D221&lt;=$B$7),IF($B$5=1,Calculator!$C$9*POWER(1+Calculator!$C$14/100,$D221/12),Calculator!$C$9),"")</f>
        <v/>
      </c>
      <c r="G221" s="14">
        <f>G220*(1+$B$4)+Calculator!$C$25</f>
        <v>68339.213032053434</v>
      </c>
      <c r="H221" s="14">
        <f>IF($B$5=1,Calculator!$C$9*POWER(1+Calculator!$C$14/100,$D221/12),Calculator!$C$9)</f>
        <v>10000</v>
      </c>
      <c r="J221" s="14">
        <f t="shared" si="17"/>
        <v>1</v>
      </c>
      <c r="K221" s="14" t="e">
        <f t="shared" si="12"/>
        <v>#N/A</v>
      </c>
      <c r="L221" s="14" t="e">
        <f t="shared" si="13"/>
        <v>#N/A</v>
      </c>
      <c r="M221" s="14" t="e">
        <f t="shared" si="14"/>
        <v>#N/A</v>
      </c>
      <c r="N221" s="14" t="e">
        <f t="shared" si="15"/>
        <v>#N/A</v>
      </c>
    </row>
    <row r="222" spans="4:14" ht="16.5" x14ac:dyDescent="0.25">
      <c r="D222" s="14">
        <v>182</v>
      </c>
      <c r="E222" s="14" t="str">
        <f t="shared" si="16"/>
        <v/>
      </c>
      <c r="F222" s="14" t="str">
        <f>IF(AND($B$8=1,$D222&lt;=$B$7),IF($B$5=1,Calculator!$C$9*POWER(1+Calculator!$C$14/100,$D222/12),Calculator!$C$9),"")</f>
        <v/>
      </c>
      <c r="G222" s="14">
        <f>G221*(1+$B$4)+Calculator!$C$25</f>
        <v>68807.755967417412</v>
      </c>
      <c r="H222" s="14">
        <f>IF($B$5=1,Calculator!$C$9*POWER(1+Calculator!$C$14/100,$D222/12),Calculator!$C$9)</f>
        <v>10000</v>
      </c>
      <c r="J222" s="14">
        <f t="shared" si="17"/>
        <v>1</v>
      </c>
      <c r="K222" s="14" t="e">
        <f t="shared" si="12"/>
        <v>#N/A</v>
      </c>
      <c r="L222" s="14" t="e">
        <f t="shared" si="13"/>
        <v>#N/A</v>
      </c>
      <c r="M222" s="14" t="e">
        <f t="shared" si="14"/>
        <v>#N/A</v>
      </c>
      <c r="N222" s="14" t="e">
        <f t="shared" si="15"/>
        <v>#N/A</v>
      </c>
    </row>
    <row r="223" spans="4:14" ht="16.5" x14ac:dyDescent="0.25">
      <c r="D223" s="14">
        <v>183</v>
      </c>
      <c r="E223" s="14" t="str">
        <f t="shared" si="16"/>
        <v/>
      </c>
      <c r="F223" s="14" t="str">
        <f>IF(AND($B$8=1,$D223&lt;=$B$7),IF($B$5=1,Calculator!$C$9*POWER(1+Calculator!$C$14/100,$D223/12),Calculator!$C$9),"")</f>
        <v/>
      </c>
      <c r="G223" s="14">
        <f>G222*(1+$B$4)+Calculator!$C$25</f>
        <v>69277.454456059902</v>
      </c>
      <c r="H223" s="14">
        <f>IF($B$5=1,Calculator!$C$9*POWER(1+Calculator!$C$14/100,$D223/12),Calculator!$C$9)</f>
        <v>10000</v>
      </c>
      <c r="J223" s="14">
        <f t="shared" si="17"/>
        <v>1</v>
      </c>
      <c r="K223" s="14" t="e">
        <f t="shared" si="12"/>
        <v>#N/A</v>
      </c>
      <c r="L223" s="14" t="e">
        <f t="shared" si="13"/>
        <v>#N/A</v>
      </c>
      <c r="M223" s="14" t="e">
        <f t="shared" si="14"/>
        <v>#N/A</v>
      </c>
      <c r="N223" s="14" t="e">
        <f t="shared" si="15"/>
        <v>#N/A</v>
      </c>
    </row>
    <row r="224" spans="4:14" ht="16.5" x14ac:dyDescent="0.25">
      <c r="D224" s="14">
        <v>184</v>
      </c>
      <c r="E224" s="14" t="str">
        <f t="shared" si="16"/>
        <v/>
      </c>
      <c r="F224" s="14" t="str">
        <f>IF(AND($B$8=1,$D224&lt;=$B$7),IF($B$5=1,Calculator!$C$9*POWER(1+Calculator!$C$14/100,$D224/12),Calculator!$C$9),"")</f>
        <v/>
      </c>
      <c r="G224" s="14">
        <f>G223*(1+$B$4)+Calculator!$C$25</f>
        <v>69748.311347887022</v>
      </c>
      <c r="H224" s="14">
        <f>IF($B$5=1,Calculator!$C$9*POWER(1+Calculator!$C$14/100,$D224/12),Calculator!$C$9)</f>
        <v>10000</v>
      </c>
      <c r="J224" s="14">
        <f t="shared" si="17"/>
        <v>1</v>
      </c>
      <c r="K224" s="14" t="e">
        <f t="shared" si="12"/>
        <v>#N/A</v>
      </c>
      <c r="L224" s="14" t="e">
        <f t="shared" si="13"/>
        <v>#N/A</v>
      </c>
      <c r="M224" s="14" t="e">
        <f t="shared" si="14"/>
        <v>#N/A</v>
      </c>
      <c r="N224" s="14" t="e">
        <f t="shared" si="15"/>
        <v>#N/A</v>
      </c>
    </row>
    <row r="225" spans="4:14" ht="16.5" x14ac:dyDescent="0.25">
      <c r="D225" s="14">
        <v>185</v>
      </c>
      <c r="E225" s="14" t="str">
        <f t="shared" si="16"/>
        <v/>
      </c>
      <c r="F225" s="14" t="str">
        <f>IF(AND($B$8=1,$D225&lt;=$B$7),IF($B$5=1,Calculator!$C$9*POWER(1+Calculator!$C$14/100,$D225/12),Calculator!$C$9),"")</f>
        <v/>
      </c>
      <c r="G225" s="14">
        <f>G224*(1+$B$4)+Calculator!$C$25</f>
        <v>70220.329499833548</v>
      </c>
      <c r="H225" s="14">
        <f>IF($B$5=1,Calculator!$C$9*POWER(1+Calculator!$C$14/100,$D225/12),Calculator!$C$9)</f>
        <v>10000</v>
      </c>
      <c r="J225" s="14">
        <f t="shared" si="17"/>
        <v>1</v>
      </c>
      <c r="K225" s="14" t="e">
        <f t="shared" si="12"/>
        <v>#N/A</v>
      </c>
      <c r="L225" s="14" t="e">
        <f t="shared" si="13"/>
        <v>#N/A</v>
      </c>
      <c r="M225" s="14" t="e">
        <f t="shared" si="14"/>
        <v>#N/A</v>
      </c>
      <c r="N225" s="14" t="e">
        <f t="shared" si="15"/>
        <v>#N/A</v>
      </c>
    </row>
    <row r="226" spans="4:14" ht="16.5" x14ac:dyDescent="0.25">
      <c r="D226" s="14">
        <v>186</v>
      </c>
      <c r="E226" s="14" t="str">
        <f t="shared" si="16"/>
        <v/>
      </c>
      <c r="F226" s="14" t="str">
        <f>IF(AND($B$8=1,$D226&lt;=$B$7),IF($B$5=1,Calculator!$C$9*POWER(1+Calculator!$C$14/100,$D226/12),Calculator!$C$9),"")</f>
        <v/>
      </c>
      <c r="G226" s="14">
        <f>G225*(1+$B$4)+Calculator!$C$25</f>
        <v>70693.511775880193</v>
      </c>
      <c r="H226" s="14">
        <f>IF($B$5=1,Calculator!$C$9*POWER(1+Calculator!$C$14/100,$D226/12),Calculator!$C$9)</f>
        <v>10000</v>
      </c>
      <c r="J226" s="14">
        <f t="shared" si="17"/>
        <v>1</v>
      </c>
      <c r="K226" s="14" t="e">
        <f t="shared" si="12"/>
        <v>#N/A</v>
      </c>
      <c r="L226" s="14" t="e">
        <f t="shared" si="13"/>
        <v>#N/A</v>
      </c>
      <c r="M226" s="14" t="e">
        <f t="shared" si="14"/>
        <v>#N/A</v>
      </c>
      <c r="N226" s="14" t="e">
        <f t="shared" si="15"/>
        <v>#N/A</v>
      </c>
    </row>
    <row r="227" spans="4:14" ht="16.5" x14ac:dyDescent="0.25">
      <c r="D227" s="14">
        <v>187</v>
      </c>
      <c r="E227" s="14" t="str">
        <f t="shared" si="16"/>
        <v/>
      </c>
      <c r="F227" s="14" t="str">
        <f>IF(AND($B$8=1,$D227&lt;=$B$7),IF($B$5=1,Calculator!$C$9*POWER(1+Calculator!$C$14/100,$D227/12),Calculator!$C$9),"")</f>
        <v/>
      </c>
      <c r="G227" s="14">
        <f>G226*(1+$B$4)+Calculator!$C$25</f>
        <v>71167.861047071041</v>
      </c>
      <c r="H227" s="14">
        <f>IF($B$5=1,Calculator!$C$9*POWER(1+Calculator!$C$14/100,$D227/12),Calculator!$C$9)</f>
        <v>10000</v>
      </c>
      <c r="J227" s="14">
        <f t="shared" si="17"/>
        <v>1</v>
      </c>
      <c r="K227" s="14" t="e">
        <f t="shared" si="12"/>
        <v>#N/A</v>
      </c>
      <c r="L227" s="14" t="e">
        <f t="shared" si="13"/>
        <v>#N/A</v>
      </c>
      <c r="M227" s="14" t="e">
        <f t="shared" si="14"/>
        <v>#N/A</v>
      </c>
      <c r="N227" s="14" t="e">
        <f t="shared" si="15"/>
        <v>#N/A</v>
      </c>
    </row>
    <row r="228" spans="4:14" ht="16.5" x14ac:dyDescent="0.25">
      <c r="D228" s="14">
        <v>188</v>
      </c>
      <c r="E228" s="14" t="str">
        <f t="shared" si="16"/>
        <v/>
      </c>
      <c r="F228" s="14" t="str">
        <f>IF(AND($B$8=1,$D228&lt;=$B$7),IF($B$5=1,Calculator!$C$9*POWER(1+Calculator!$C$14/100,$D228/12),Calculator!$C$9),"")</f>
        <v/>
      </c>
      <c r="G228" s="14">
        <f>G227*(1+$B$4)+Calculator!$C$25</f>
        <v>71643.380191530945</v>
      </c>
      <c r="H228" s="14">
        <f>IF($B$5=1,Calculator!$C$9*POWER(1+Calculator!$C$14/100,$D228/12),Calculator!$C$9)</f>
        <v>10000</v>
      </c>
      <c r="J228" s="14">
        <f t="shared" si="17"/>
        <v>1</v>
      </c>
      <c r="K228" s="14" t="e">
        <f t="shared" si="12"/>
        <v>#N/A</v>
      </c>
      <c r="L228" s="14" t="e">
        <f t="shared" si="13"/>
        <v>#N/A</v>
      </c>
      <c r="M228" s="14" t="e">
        <f t="shared" si="14"/>
        <v>#N/A</v>
      </c>
      <c r="N228" s="14" t="e">
        <f t="shared" si="15"/>
        <v>#N/A</v>
      </c>
    </row>
    <row r="229" spans="4:14" ht="16.5" x14ac:dyDescent="0.25">
      <c r="D229" s="14">
        <v>189</v>
      </c>
      <c r="E229" s="14" t="str">
        <f t="shared" si="16"/>
        <v/>
      </c>
      <c r="F229" s="14" t="str">
        <f>IF(AND($B$8=1,$D229&lt;=$B$7),IF($B$5=1,Calculator!$C$9*POWER(1+Calculator!$C$14/100,$D229/12),Calculator!$C$9),"")</f>
        <v/>
      </c>
      <c r="G229" s="14">
        <f>G228*(1+$B$4)+Calculator!$C$25</f>
        <v>72120.072094482981</v>
      </c>
      <c r="H229" s="14">
        <f>IF($B$5=1,Calculator!$C$9*POWER(1+Calculator!$C$14/100,$D229/12),Calculator!$C$9)</f>
        <v>10000</v>
      </c>
      <c r="J229" s="14">
        <f t="shared" si="17"/>
        <v>1</v>
      </c>
      <c r="K229" s="14" t="e">
        <f t="shared" si="12"/>
        <v>#N/A</v>
      </c>
      <c r="L229" s="14" t="e">
        <f t="shared" si="13"/>
        <v>#N/A</v>
      </c>
      <c r="M229" s="14" t="e">
        <f t="shared" si="14"/>
        <v>#N/A</v>
      </c>
      <c r="N229" s="14" t="e">
        <f t="shared" si="15"/>
        <v>#N/A</v>
      </c>
    </row>
    <row r="230" spans="4:14" ht="16.5" x14ac:dyDescent="0.25">
      <c r="D230" s="14">
        <v>190</v>
      </c>
      <c r="E230" s="14" t="str">
        <f t="shared" si="16"/>
        <v/>
      </c>
      <c r="F230" s="14" t="str">
        <f>IF(AND($B$8=1,$D230&lt;=$B$7),IF($B$5=1,Calculator!$C$9*POWER(1+Calculator!$C$14/100,$D230/12),Calculator!$C$9),"")</f>
        <v/>
      </c>
      <c r="G230" s="14">
        <f>G229*(1+$B$4)+Calculator!$C$25</f>
        <v>72597.939648265965</v>
      </c>
      <c r="H230" s="14">
        <f>IF($B$5=1,Calculator!$C$9*POWER(1+Calculator!$C$14/100,$D230/12),Calculator!$C$9)</f>
        <v>10000</v>
      </c>
      <c r="J230" s="14">
        <f t="shared" si="17"/>
        <v>1</v>
      </c>
      <c r="K230" s="14" t="e">
        <f t="shared" si="12"/>
        <v>#N/A</v>
      </c>
      <c r="L230" s="14" t="e">
        <f t="shared" si="13"/>
        <v>#N/A</v>
      </c>
      <c r="M230" s="14" t="e">
        <f t="shared" si="14"/>
        <v>#N/A</v>
      </c>
      <c r="N230" s="14" t="e">
        <f t="shared" si="15"/>
        <v>#N/A</v>
      </c>
    </row>
    <row r="231" spans="4:14" ht="16.5" x14ac:dyDescent="0.25">
      <c r="D231" s="14">
        <v>191</v>
      </c>
      <c r="E231" s="14" t="str">
        <f t="shared" si="16"/>
        <v/>
      </c>
      <c r="F231" s="14" t="str">
        <f>IF(AND($B$8=1,$D231&lt;=$B$7),IF($B$5=1,Calculator!$C$9*POWER(1+Calculator!$C$14/100,$D231/12),Calculator!$C$9),"")</f>
        <v/>
      </c>
      <c r="G231" s="14">
        <f>G230*(1+$B$4)+Calculator!$C$25</f>
        <v>73076.985752352004</v>
      </c>
      <c r="H231" s="14">
        <f>IF($B$5=1,Calculator!$C$9*POWER(1+Calculator!$C$14/100,$D231/12),Calculator!$C$9)</f>
        <v>10000</v>
      </c>
      <c r="J231" s="14">
        <f t="shared" si="17"/>
        <v>1</v>
      </c>
      <c r="K231" s="14" t="e">
        <f t="shared" si="12"/>
        <v>#N/A</v>
      </c>
      <c r="L231" s="14" t="e">
        <f t="shared" si="13"/>
        <v>#N/A</v>
      </c>
      <c r="M231" s="14" t="e">
        <f t="shared" si="14"/>
        <v>#N/A</v>
      </c>
      <c r="N231" s="14" t="e">
        <f t="shared" si="15"/>
        <v>#N/A</v>
      </c>
    </row>
    <row r="232" spans="4:14" ht="16.5" x14ac:dyDescent="0.25">
      <c r="D232" s="14">
        <v>192</v>
      </c>
      <c r="E232" s="14" t="str">
        <f t="shared" si="16"/>
        <v/>
      </c>
      <c r="F232" s="14" t="str">
        <f>IF(AND($B$8=1,$D232&lt;=$B$7),IF($B$5=1,Calculator!$C$9*POWER(1+Calculator!$C$14/100,$D232/12),Calculator!$C$9),"")</f>
        <v/>
      </c>
      <c r="G232" s="14">
        <f>G231*(1+$B$4)+Calculator!$C$25</f>
        <v>73557.213313364104</v>
      </c>
      <c r="H232" s="14">
        <f>IF($B$5=1,Calculator!$C$9*POWER(1+Calculator!$C$14/100,$D232/12),Calculator!$C$9)</f>
        <v>10000</v>
      </c>
      <c r="J232" s="14">
        <f t="shared" si="17"/>
        <v>1</v>
      </c>
      <c r="K232" s="14" t="e">
        <f t="shared" ref="K232:K295" si="18">IF($D232&lt;=$B$23,E232,NA())</f>
        <v>#N/A</v>
      </c>
      <c r="L232" s="14" t="e">
        <f t="shared" ref="L232:L295" si="19">IF($D232&lt;=$B$23,F232,NA())</f>
        <v>#N/A</v>
      </c>
      <c r="M232" s="14" t="e">
        <f t="shared" ref="M232:M295" si="20">IF($D232&lt;=$B$24,G232,NA())</f>
        <v>#N/A</v>
      </c>
      <c r="N232" s="14" t="e">
        <f t="shared" ref="N232:N295" si="21">IF($D232&lt;=$B$24,H232,NA())</f>
        <v>#N/A</v>
      </c>
    </row>
    <row r="233" spans="4:14" ht="16.5" x14ac:dyDescent="0.25">
      <c r="D233" s="14">
        <v>193</v>
      </c>
      <c r="E233" s="14" t="str">
        <f t="shared" ref="E233:E296" si="22">IF(AND($B$8=1,$D233&lt;=$B$7),E232*(1+$B$4)+$B$11,"")</f>
        <v/>
      </c>
      <c r="F233" s="14" t="str">
        <f>IF(AND($B$8=1,$D233&lt;=$B$7),IF($B$5=1,Calculator!$C$9*POWER(1+Calculator!$C$14/100,$D233/12),Calculator!$C$9),"")</f>
        <v/>
      </c>
      <c r="G233" s="14">
        <f>G232*(1+$B$4)+Calculator!$C$25</f>
        <v>74038.625245093746</v>
      </c>
      <c r="H233" s="14">
        <f>IF($B$5=1,Calculator!$C$9*POWER(1+Calculator!$C$14/100,$D233/12),Calculator!$C$9)</f>
        <v>10000</v>
      </c>
      <c r="J233" s="14">
        <f t="shared" ref="J233:J296" si="23">IF(G233&gt;=H233,1,0)</f>
        <v>1</v>
      </c>
      <c r="K233" s="14" t="e">
        <f t="shared" si="18"/>
        <v>#N/A</v>
      </c>
      <c r="L233" s="14" t="e">
        <f t="shared" si="19"/>
        <v>#N/A</v>
      </c>
      <c r="M233" s="14" t="e">
        <f t="shared" si="20"/>
        <v>#N/A</v>
      </c>
      <c r="N233" s="14" t="e">
        <f t="shared" si="21"/>
        <v>#N/A</v>
      </c>
    </row>
    <row r="234" spans="4:14" ht="16.5" x14ac:dyDescent="0.25">
      <c r="D234" s="14">
        <v>194</v>
      </c>
      <c r="E234" s="14" t="str">
        <f t="shared" si="22"/>
        <v/>
      </c>
      <c r="F234" s="14" t="str">
        <f>IF(AND($B$8=1,$D234&lt;=$B$7),IF($B$5=1,Calculator!$C$9*POWER(1+Calculator!$C$14/100,$D234/12),Calculator!$C$9),"")</f>
        <v/>
      </c>
      <c r="G234" s="14">
        <f>G233*(1+$B$4)+Calculator!$C$25</f>
        <v>74521.224468518645</v>
      </c>
      <c r="H234" s="14">
        <f>IF($B$5=1,Calculator!$C$9*POWER(1+Calculator!$C$14/100,$D234/12),Calculator!$C$9)</f>
        <v>10000</v>
      </c>
      <c r="J234" s="14">
        <f t="shared" si="23"/>
        <v>1</v>
      </c>
      <c r="K234" s="14" t="e">
        <f t="shared" si="18"/>
        <v>#N/A</v>
      </c>
      <c r="L234" s="14" t="e">
        <f t="shared" si="19"/>
        <v>#N/A</v>
      </c>
      <c r="M234" s="14" t="e">
        <f t="shared" si="20"/>
        <v>#N/A</v>
      </c>
      <c r="N234" s="14" t="e">
        <f t="shared" si="21"/>
        <v>#N/A</v>
      </c>
    </row>
    <row r="235" spans="4:14" ht="16.5" x14ac:dyDescent="0.25">
      <c r="D235" s="14">
        <v>195</v>
      </c>
      <c r="E235" s="14" t="str">
        <f t="shared" si="22"/>
        <v/>
      </c>
      <c r="F235" s="14" t="str">
        <f>IF(AND($B$8=1,$D235&lt;=$B$7),IF($B$5=1,Calculator!$C$9*POWER(1+Calculator!$C$14/100,$D235/12),Calculator!$C$9),"")</f>
        <v/>
      </c>
      <c r="G235" s="14">
        <f>G234*(1+$B$4)+Calculator!$C$25</f>
        <v>75005.01391182041</v>
      </c>
      <c r="H235" s="14">
        <f>IF($B$5=1,Calculator!$C$9*POWER(1+Calculator!$C$14/100,$D235/12),Calculator!$C$9)</f>
        <v>10000</v>
      </c>
      <c r="J235" s="14">
        <f t="shared" si="23"/>
        <v>1</v>
      </c>
      <c r="K235" s="14" t="e">
        <f t="shared" si="18"/>
        <v>#N/A</v>
      </c>
      <c r="L235" s="14" t="e">
        <f t="shared" si="19"/>
        <v>#N/A</v>
      </c>
      <c r="M235" s="14" t="e">
        <f t="shared" si="20"/>
        <v>#N/A</v>
      </c>
      <c r="N235" s="14" t="e">
        <f t="shared" si="21"/>
        <v>#N/A</v>
      </c>
    </row>
    <row r="236" spans="4:14" ht="16.5" x14ac:dyDescent="0.25">
      <c r="D236" s="14">
        <v>196</v>
      </c>
      <c r="E236" s="14" t="str">
        <f t="shared" si="22"/>
        <v/>
      </c>
      <c r="F236" s="14" t="str">
        <f>IF(AND($B$8=1,$D236&lt;=$B$7),IF($B$5=1,Calculator!$C$9*POWER(1+Calculator!$C$14/100,$D236/12),Calculator!$C$9),"")</f>
        <v/>
      </c>
      <c r="G236" s="14">
        <f>G235*(1+$B$4)+Calculator!$C$25</f>
        <v>75489.996510402343</v>
      </c>
      <c r="H236" s="14">
        <f>IF($B$5=1,Calculator!$C$9*POWER(1+Calculator!$C$14/100,$D236/12),Calculator!$C$9)</f>
        <v>10000</v>
      </c>
      <c r="J236" s="14">
        <f t="shared" si="23"/>
        <v>1</v>
      </c>
      <c r="K236" s="14" t="e">
        <f t="shared" si="18"/>
        <v>#N/A</v>
      </c>
      <c r="L236" s="14" t="e">
        <f t="shared" si="19"/>
        <v>#N/A</v>
      </c>
      <c r="M236" s="14" t="e">
        <f t="shared" si="20"/>
        <v>#N/A</v>
      </c>
      <c r="N236" s="14" t="e">
        <f t="shared" si="21"/>
        <v>#N/A</v>
      </c>
    </row>
    <row r="237" spans="4:14" ht="16.5" x14ac:dyDescent="0.25">
      <c r="D237" s="14">
        <v>197</v>
      </c>
      <c r="E237" s="14" t="str">
        <f t="shared" si="22"/>
        <v/>
      </c>
      <c r="F237" s="14" t="str">
        <f>IF(AND($B$8=1,$D237&lt;=$B$7),IF($B$5=1,Calculator!$C$9*POWER(1+Calculator!$C$14/100,$D237/12),Calculator!$C$9),"")</f>
        <v/>
      </c>
      <c r="G237" s="14">
        <f>G236*(1+$B$4)+Calculator!$C$25</f>
        <v>75976.175206907254</v>
      </c>
      <c r="H237" s="14">
        <f>IF($B$5=1,Calculator!$C$9*POWER(1+Calculator!$C$14/100,$D237/12),Calculator!$C$9)</f>
        <v>10000</v>
      </c>
      <c r="J237" s="14">
        <f t="shared" si="23"/>
        <v>1</v>
      </c>
      <c r="K237" s="14" t="e">
        <f t="shared" si="18"/>
        <v>#N/A</v>
      </c>
      <c r="L237" s="14" t="e">
        <f t="shared" si="19"/>
        <v>#N/A</v>
      </c>
      <c r="M237" s="14" t="e">
        <f t="shared" si="20"/>
        <v>#N/A</v>
      </c>
      <c r="N237" s="14" t="e">
        <f t="shared" si="21"/>
        <v>#N/A</v>
      </c>
    </row>
    <row r="238" spans="4:14" ht="16.5" x14ac:dyDescent="0.25">
      <c r="D238" s="14">
        <v>198</v>
      </c>
      <c r="E238" s="14" t="str">
        <f t="shared" si="22"/>
        <v/>
      </c>
      <c r="F238" s="14" t="str">
        <f>IF(AND($B$8=1,$D238&lt;=$B$7),IF($B$5=1,Calculator!$C$9*POWER(1+Calculator!$C$14/100,$D238/12),Calculator!$C$9),"")</f>
        <v/>
      </c>
      <c r="G238" s="14">
        <f>G237*(1+$B$4)+Calculator!$C$25</f>
        <v>76463.552951235295</v>
      </c>
      <c r="H238" s="14">
        <f>IF($B$5=1,Calculator!$C$9*POWER(1+Calculator!$C$14/100,$D238/12),Calculator!$C$9)</f>
        <v>10000</v>
      </c>
      <c r="J238" s="14">
        <f t="shared" si="23"/>
        <v>1</v>
      </c>
      <c r="K238" s="14" t="e">
        <f t="shared" si="18"/>
        <v>#N/A</v>
      </c>
      <c r="L238" s="14" t="e">
        <f t="shared" si="19"/>
        <v>#N/A</v>
      </c>
      <c r="M238" s="14" t="e">
        <f t="shared" si="20"/>
        <v>#N/A</v>
      </c>
      <c r="N238" s="14" t="e">
        <f t="shared" si="21"/>
        <v>#N/A</v>
      </c>
    </row>
    <row r="239" spans="4:14" ht="16.5" x14ac:dyDescent="0.25">
      <c r="D239" s="14">
        <v>199</v>
      </c>
      <c r="E239" s="14" t="str">
        <f t="shared" si="22"/>
        <v/>
      </c>
      <c r="F239" s="14" t="str">
        <f>IF(AND($B$8=1,$D239&lt;=$B$7),IF($B$5=1,Calculator!$C$9*POWER(1+Calculator!$C$14/100,$D239/12),Calculator!$C$9),"")</f>
        <v/>
      </c>
      <c r="G239" s="14">
        <f>G238*(1+$B$4)+Calculator!$C$25</f>
        <v>76952.132700561866</v>
      </c>
      <c r="H239" s="14">
        <f>IF($B$5=1,Calculator!$C$9*POWER(1+Calculator!$C$14/100,$D239/12),Calculator!$C$9)</f>
        <v>10000</v>
      </c>
      <c r="J239" s="14">
        <f t="shared" si="23"/>
        <v>1</v>
      </c>
      <c r="K239" s="14" t="e">
        <f t="shared" si="18"/>
        <v>#N/A</v>
      </c>
      <c r="L239" s="14" t="e">
        <f t="shared" si="19"/>
        <v>#N/A</v>
      </c>
      <c r="M239" s="14" t="e">
        <f t="shared" si="20"/>
        <v>#N/A</v>
      </c>
      <c r="N239" s="14" t="e">
        <f t="shared" si="21"/>
        <v>#N/A</v>
      </c>
    </row>
    <row r="240" spans="4:14" ht="16.5" x14ac:dyDescent="0.25">
      <c r="D240" s="14">
        <v>200</v>
      </c>
      <c r="E240" s="14" t="str">
        <f t="shared" si="22"/>
        <v/>
      </c>
      <c r="F240" s="14" t="str">
        <f>IF(AND($B$8=1,$D240&lt;=$B$7),IF($B$5=1,Calculator!$C$9*POWER(1+Calculator!$C$14/100,$D240/12),Calculator!$C$9),"")</f>
        <v/>
      </c>
      <c r="G240" s="14">
        <f>G239*(1+$B$4)+Calculator!$C$25</f>
        <v>77441.917419355566</v>
      </c>
      <c r="H240" s="14">
        <f>IF($B$5=1,Calculator!$C$9*POWER(1+Calculator!$C$14/100,$D240/12),Calculator!$C$9)</f>
        <v>10000</v>
      </c>
      <c r="J240" s="14">
        <f t="shared" si="23"/>
        <v>1</v>
      </c>
      <c r="K240" s="14" t="e">
        <f t="shared" si="18"/>
        <v>#N/A</v>
      </c>
      <c r="L240" s="14" t="e">
        <f t="shared" si="19"/>
        <v>#N/A</v>
      </c>
      <c r="M240" s="14" t="e">
        <f t="shared" si="20"/>
        <v>#N/A</v>
      </c>
      <c r="N240" s="14" t="e">
        <f t="shared" si="21"/>
        <v>#N/A</v>
      </c>
    </row>
    <row r="241" spans="4:14" ht="16.5" x14ac:dyDescent="0.25">
      <c r="D241" s="14">
        <v>201</v>
      </c>
      <c r="E241" s="14" t="str">
        <f t="shared" si="22"/>
        <v/>
      </c>
      <c r="F241" s="14" t="str">
        <f>IF(AND($B$8=1,$D241&lt;=$B$7),IF($B$5=1,Calculator!$C$9*POWER(1+Calculator!$C$14/100,$D241/12),Calculator!$C$9),"")</f>
        <v/>
      </c>
      <c r="G241" s="14">
        <f>G240*(1+$B$4)+Calculator!$C$25</f>
        <v>77932.910079396155</v>
      </c>
      <c r="H241" s="14">
        <f>IF($B$5=1,Calculator!$C$9*POWER(1+Calculator!$C$14/100,$D241/12),Calculator!$C$9)</f>
        <v>10000</v>
      </c>
      <c r="J241" s="14">
        <f t="shared" si="23"/>
        <v>1</v>
      </c>
      <c r="K241" s="14" t="e">
        <f t="shared" si="18"/>
        <v>#N/A</v>
      </c>
      <c r="L241" s="14" t="e">
        <f t="shared" si="19"/>
        <v>#N/A</v>
      </c>
      <c r="M241" s="14" t="e">
        <f t="shared" si="20"/>
        <v>#N/A</v>
      </c>
      <c r="N241" s="14" t="e">
        <f t="shared" si="21"/>
        <v>#N/A</v>
      </c>
    </row>
    <row r="242" spans="4:14" ht="16.5" x14ac:dyDescent="0.25">
      <c r="D242" s="14">
        <v>202</v>
      </c>
      <c r="E242" s="14" t="str">
        <f t="shared" si="22"/>
        <v/>
      </c>
      <c r="F242" s="14" t="str">
        <f>IF(AND($B$8=1,$D242&lt;=$B$7),IF($B$5=1,Calculator!$C$9*POWER(1+Calculator!$C$14/100,$D242/12),Calculator!$C$9),"")</f>
        <v/>
      </c>
      <c r="G242" s="14">
        <f>G241*(1+$B$4)+Calculator!$C$25</f>
        <v>78425.113659792638</v>
      </c>
      <c r="H242" s="14">
        <f>IF($B$5=1,Calculator!$C$9*POWER(1+Calculator!$C$14/100,$D242/12),Calculator!$C$9)</f>
        <v>10000</v>
      </c>
      <c r="J242" s="14">
        <f t="shared" si="23"/>
        <v>1</v>
      </c>
      <c r="K242" s="14" t="e">
        <f t="shared" si="18"/>
        <v>#N/A</v>
      </c>
      <c r="L242" s="14" t="e">
        <f t="shared" si="19"/>
        <v>#N/A</v>
      </c>
      <c r="M242" s="14" t="e">
        <f t="shared" si="20"/>
        <v>#N/A</v>
      </c>
      <c r="N242" s="14" t="e">
        <f t="shared" si="21"/>
        <v>#N/A</v>
      </c>
    </row>
    <row r="243" spans="4:14" ht="16.5" x14ac:dyDescent="0.25">
      <c r="D243" s="14">
        <v>203</v>
      </c>
      <c r="E243" s="14" t="str">
        <f t="shared" si="22"/>
        <v/>
      </c>
      <c r="F243" s="14" t="str">
        <f>IF(AND($B$8=1,$D243&lt;=$B$7),IF($B$5=1,Calculator!$C$9*POWER(1+Calculator!$C$14/100,$D243/12),Calculator!$C$9),"")</f>
        <v/>
      </c>
      <c r="G243" s="14">
        <f>G242*(1+$B$4)+Calculator!$C$25</f>
        <v>78918.531147001268</v>
      </c>
      <c r="H243" s="14">
        <f>IF($B$5=1,Calculator!$C$9*POWER(1+Calculator!$C$14/100,$D243/12),Calculator!$C$9)</f>
        <v>10000</v>
      </c>
      <c r="J243" s="14">
        <f t="shared" si="23"/>
        <v>1</v>
      </c>
      <c r="K243" s="14" t="e">
        <f t="shared" si="18"/>
        <v>#N/A</v>
      </c>
      <c r="L243" s="14" t="e">
        <f t="shared" si="19"/>
        <v>#N/A</v>
      </c>
      <c r="M243" s="14" t="e">
        <f t="shared" si="20"/>
        <v>#N/A</v>
      </c>
      <c r="N243" s="14" t="e">
        <f t="shared" si="21"/>
        <v>#N/A</v>
      </c>
    </row>
    <row r="244" spans="4:14" ht="16.5" x14ac:dyDescent="0.25">
      <c r="D244" s="14">
        <v>204</v>
      </c>
      <c r="E244" s="14" t="str">
        <f t="shared" si="22"/>
        <v/>
      </c>
      <c r="F244" s="14" t="str">
        <f>IF(AND($B$8=1,$D244&lt;=$B$7),IF($B$5=1,Calculator!$C$9*POWER(1+Calculator!$C$14/100,$D244/12),Calculator!$C$9),"")</f>
        <v/>
      </c>
      <c r="G244" s="14">
        <f>G243*(1+$B$4)+Calculator!$C$25</f>
        <v>79413.16553484372</v>
      </c>
      <c r="H244" s="14">
        <f>IF($B$5=1,Calculator!$C$9*POWER(1+Calculator!$C$14/100,$D244/12),Calculator!$C$9)</f>
        <v>10000</v>
      </c>
      <c r="J244" s="14">
        <f t="shared" si="23"/>
        <v>1</v>
      </c>
      <c r="K244" s="14" t="e">
        <f t="shared" si="18"/>
        <v>#N/A</v>
      </c>
      <c r="L244" s="14" t="e">
        <f t="shared" si="19"/>
        <v>#N/A</v>
      </c>
      <c r="M244" s="14" t="e">
        <f t="shared" si="20"/>
        <v>#N/A</v>
      </c>
      <c r="N244" s="14" t="e">
        <f t="shared" si="21"/>
        <v>#N/A</v>
      </c>
    </row>
    <row r="245" spans="4:14" ht="16.5" x14ac:dyDescent="0.25">
      <c r="D245" s="14">
        <v>205</v>
      </c>
      <c r="E245" s="14" t="str">
        <f t="shared" si="22"/>
        <v/>
      </c>
      <c r="F245" s="14" t="str">
        <f>IF(AND($B$8=1,$D245&lt;=$B$7),IF($B$5=1,Calculator!$C$9*POWER(1+Calculator!$C$14/100,$D245/12),Calculator!$C$9),"")</f>
        <v/>
      </c>
      <c r="G245" s="14">
        <f>G244*(1+$B$4)+Calculator!$C$25</f>
        <v>79909.019824525254</v>
      </c>
      <c r="H245" s="14">
        <f>IF($B$5=1,Calculator!$C$9*POWER(1+Calculator!$C$14/100,$D245/12),Calculator!$C$9)</f>
        <v>10000</v>
      </c>
      <c r="J245" s="14">
        <f t="shared" si="23"/>
        <v>1</v>
      </c>
      <c r="K245" s="14" t="e">
        <f t="shared" si="18"/>
        <v>#N/A</v>
      </c>
      <c r="L245" s="14" t="e">
        <f t="shared" si="19"/>
        <v>#N/A</v>
      </c>
      <c r="M245" s="14" t="e">
        <f t="shared" si="20"/>
        <v>#N/A</v>
      </c>
      <c r="N245" s="14" t="e">
        <f t="shared" si="21"/>
        <v>#N/A</v>
      </c>
    </row>
    <row r="246" spans="4:14" ht="16.5" x14ac:dyDescent="0.25">
      <c r="D246" s="14">
        <v>206</v>
      </c>
      <c r="E246" s="14" t="str">
        <f t="shared" si="22"/>
        <v/>
      </c>
      <c r="F246" s="14" t="str">
        <f>IF(AND($B$8=1,$D246&lt;=$B$7),IF($B$5=1,Calculator!$C$9*POWER(1+Calculator!$C$14/100,$D246/12),Calculator!$C$9),"")</f>
        <v/>
      </c>
      <c r="G246" s="14">
        <f>G245*(1+$B$4)+Calculator!$C$25</f>
        <v>80406.097024652903</v>
      </c>
      <c r="H246" s="14">
        <f>IF($B$5=1,Calculator!$C$9*POWER(1+Calculator!$C$14/100,$D246/12),Calculator!$C$9)</f>
        <v>10000</v>
      </c>
      <c r="J246" s="14">
        <f t="shared" si="23"/>
        <v>1</v>
      </c>
      <c r="K246" s="14" t="e">
        <f t="shared" si="18"/>
        <v>#N/A</v>
      </c>
      <c r="L246" s="14" t="e">
        <f t="shared" si="19"/>
        <v>#N/A</v>
      </c>
      <c r="M246" s="14" t="e">
        <f t="shared" si="20"/>
        <v>#N/A</v>
      </c>
      <c r="N246" s="14" t="e">
        <f t="shared" si="21"/>
        <v>#N/A</v>
      </c>
    </row>
    <row r="247" spans="4:14" ht="16.5" x14ac:dyDescent="0.25">
      <c r="D247" s="14">
        <v>207</v>
      </c>
      <c r="E247" s="14" t="str">
        <f t="shared" si="22"/>
        <v/>
      </c>
      <c r="F247" s="14" t="str">
        <f>IF(AND($B$8=1,$D247&lt;=$B$7),IF($B$5=1,Calculator!$C$9*POWER(1+Calculator!$C$14/100,$D247/12),Calculator!$C$9),"")</f>
        <v/>
      </c>
      <c r="G247" s="14">
        <f>G246*(1+$B$4)+Calculator!$C$25</f>
        <v>80904.400151253722</v>
      </c>
      <c r="H247" s="14">
        <f>IF($B$5=1,Calculator!$C$9*POWER(1+Calculator!$C$14/100,$D247/12),Calculator!$C$9)</f>
        <v>10000</v>
      </c>
      <c r="J247" s="14">
        <f t="shared" si="23"/>
        <v>1</v>
      </c>
      <c r="K247" s="14" t="e">
        <f t="shared" si="18"/>
        <v>#N/A</v>
      </c>
      <c r="L247" s="14" t="e">
        <f t="shared" si="19"/>
        <v>#N/A</v>
      </c>
      <c r="M247" s="14" t="e">
        <f t="shared" si="20"/>
        <v>#N/A</v>
      </c>
      <c r="N247" s="14" t="e">
        <f t="shared" si="21"/>
        <v>#N/A</v>
      </c>
    </row>
    <row r="248" spans="4:14" ht="16.5" x14ac:dyDescent="0.25">
      <c r="D248" s="14">
        <v>208</v>
      </c>
      <c r="E248" s="14" t="str">
        <f t="shared" si="22"/>
        <v/>
      </c>
      <c r="F248" s="14" t="str">
        <f>IF(AND($B$8=1,$D248&lt;=$B$7),IF($B$5=1,Calculator!$C$9*POWER(1+Calculator!$C$14/100,$D248/12),Calculator!$C$9),"")</f>
        <v/>
      </c>
      <c r="G248" s="14">
        <f>G247*(1+$B$4)+Calculator!$C$25</f>
        <v>81403.932227793121</v>
      </c>
      <c r="H248" s="14">
        <f>IF($B$5=1,Calculator!$C$9*POWER(1+Calculator!$C$14/100,$D248/12),Calculator!$C$9)</f>
        <v>10000</v>
      </c>
      <c r="J248" s="14">
        <f t="shared" si="23"/>
        <v>1</v>
      </c>
      <c r="K248" s="14" t="e">
        <f t="shared" si="18"/>
        <v>#N/A</v>
      </c>
      <c r="L248" s="14" t="e">
        <f t="shared" si="19"/>
        <v>#N/A</v>
      </c>
      <c r="M248" s="14" t="e">
        <f t="shared" si="20"/>
        <v>#N/A</v>
      </c>
      <c r="N248" s="14" t="e">
        <f t="shared" si="21"/>
        <v>#N/A</v>
      </c>
    </row>
    <row r="249" spans="4:14" ht="16.5" x14ac:dyDescent="0.25">
      <c r="D249" s="14">
        <v>209</v>
      </c>
      <c r="E249" s="14" t="str">
        <f t="shared" si="22"/>
        <v/>
      </c>
      <c r="F249" s="14" t="str">
        <f>IF(AND($B$8=1,$D249&lt;=$B$7),IF($B$5=1,Calculator!$C$9*POWER(1+Calculator!$C$14/100,$D249/12),Calculator!$C$9),"")</f>
        <v/>
      </c>
      <c r="G249" s="14">
        <f>G248*(1+$B$4)+Calculator!$C$25</f>
        <v>81904.696285193189</v>
      </c>
      <c r="H249" s="14">
        <f>IF($B$5=1,Calculator!$C$9*POWER(1+Calculator!$C$14/100,$D249/12),Calculator!$C$9)</f>
        <v>10000</v>
      </c>
      <c r="J249" s="14">
        <f t="shared" si="23"/>
        <v>1</v>
      </c>
      <c r="K249" s="14" t="e">
        <f t="shared" si="18"/>
        <v>#N/A</v>
      </c>
      <c r="L249" s="14" t="e">
        <f t="shared" si="19"/>
        <v>#N/A</v>
      </c>
      <c r="M249" s="14" t="e">
        <f t="shared" si="20"/>
        <v>#N/A</v>
      </c>
      <c r="N249" s="14" t="e">
        <f t="shared" si="21"/>
        <v>#N/A</v>
      </c>
    </row>
    <row r="250" spans="4:14" ht="16.5" x14ac:dyDescent="0.25">
      <c r="D250" s="14">
        <v>210</v>
      </c>
      <c r="E250" s="14" t="str">
        <f t="shared" si="22"/>
        <v/>
      </c>
      <c r="F250" s="14" t="str">
        <f>IF(AND($B$8=1,$D250&lt;=$B$7),IF($B$5=1,Calculator!$C$9*POWER(1+Calculator!$C$14/100,$D250/12),Calculator!$C$9),"")</f>
        <v/>
      </c>
      <c r="G250" s="14">
        <f>G249*(1+$B$4)+Calculator!$C$25</f>
        <v>82406.695361851074</v>
      </c>
      <c r="H250" s="14">
        <f>IF($B$5=1,Calculator!$C$9*POWER(1+Calculator!$C$14/100,$D250/12),Calculator!$C$9)</f>
        <v>10000</v>
      </c>
      <c r="J250" s="14">
        <f t="shared" si="23"/>
        <v>1</v>
      </c>
      <c r="K250" s="14" t="e">
        <f t="shared" si="18"/>
        <v>#N/A</v>
      </c>
      <c r="L250" s="14" t="e">
        <f t="shared" si="19"/>
        <v>#N/A</v>
      </c>
      <c r="M250" s="14" t="e">
        <f t="shared" si="20"/>
        <v>#N/A</v>
      </c>
      <c r="N250" s="14" t="e">
        <f t="shared" si="21"/>
        <v>#N/A</v>
      </c>
    </row>
    <row r="251" spans="4:14" ht="16.5" x14ac:dyDescent="0.25">
      <c r="D251" s="14">
        <v>211</v>
      </c>
      <c r="E251" s="14" t="str">
        <f t="shared" si="22"/>
        <v/>
      </c>
      <c r="F251" s="14" t="str">
        <f>IF(AND($B$8=1,$D251&lt;=$B$7),IF($B$5=1,Calculator!$C$9*POWER(1+Calculator!$C$14/100,$D251/12),Calculator!$C$9),"")</f>
        <v/>
      </c>
      <c r="G251" s="14">
        <f>G250*(1+$B$4)+Calculator!$C$25</f>
        <v>82909.932503657445</v>
      </c>
      <c r="H251" s="14">
        <f>IF($B$5=1,Calculator!$C$9*POWER(1+Calculator!$C$14/100,$D251/12),Calculator!$C$9)</f>
        <v>10000</v>
      </c>
      <c r="J251" s="14">
        <f t="shared" si="23"/>
        <v>1</v>
      </c>
      <c r="K251" s="14" t="e">
        <f t="shared" si="18"/>
        <v>#N/A</v>
      </c>
      <c r="L251" s="14" t="e">
        <f t="shared" si="19"/>
        <v>#N/A</v>
      </c>
      <c r="M251" s="14" t="e">
        <f t="shared" si="20"/>
        <v>#N/A</v>
      </c>
      <c r="N251" s="14" t="e">
        <f t="shared" si="21"/>
        <v>#N/A</v>
      </c>
    </row>
    <row r="252" spans="4:14" ht="16.5" x14ac:dyDescent="0.25">
      <c r="D252" s="14">
        <v>212</v>
      </c>
      <c r="E252" s="14" t="str">
        <f t="shared" si="22"/>
        <v/>
      </c>
      <c r="F252" s="14" t="str">
        <f>IF(AND($B$8=1,$D252&lt;=$B$7),IF($B$5=1,Calculator!$C$9*POWER(1+Calculator!$C$14/100,$D252/12),Calculator!$C$9),"")</f>
        <v/>
      </c>
      <c r="G252" s="14">
        <f>G251*(1+$B$4)+Calculator!$C$25</f>
        <v>83414.41076401496</v>
      </c>
      <c r="H252" s="14">
        <f>IF($B$5=1,Calculator!$C$9*POWER(1+Calculator!$C$14/100,$D252/12),Calculator!$C$9)</f>
        <v>10000</v>
      </c>
      <c r="J252" s="14">
        <f t="shared" si="23"/>
        <v>1</v>
      </c>
      <c r="K252" s="14" t="e">
        <f t="shared" si="18"/>
        <v>#N/A</v>
      </c>
      <c r="L252" s="14" t="e">
        <f t="shared" si="19"/>
        <v>#N/A</v>
      </c>
      <c r="M252" s="14" t="e">
        <f t="shared" si="20"/>
        <v>#N/A</v>
      </c>
      <c r="N252" s="14" t="e">
        <f t="shared" si="21"/>
        <v>#N/A</v>
      </c>
    </row>
    <row r="253" spans="4:14" ht="16.5" x14ac:dyDescent="0.25">
      <c r="D253" s="14">
        <v>213</v>
      </c>
      <c r="E253" s="14" t="str">
        <f t="shared" si="22"/>
        <v/>
      </c>
      <c r="F253" s="14" t="str">
        <f>IF(AND($B$8=1,$D253&lt;=$B$7),IF($B$5=1,Calculator!$C$9*POWER(1+Calculator!$C$14/100,$D253/12),Calculator!$C$9),"")</f>
        <v/>
      </c>
      <c r="G253" s="14">
        <f>G252*(1+$B$4)+Calculator!$C$25</f>
        <v>83920.133203856778</v>
      </c>
      <c r="H253" s="14">
        <f>IF($B$5=1,Calculator!$C$9*POWER(1+Calculator!$C$14/100,$D253/12),Calculator!$C$9)</f>
        <v>10000</v>
      </c>
      <c r="J253" s="14">
        <f t="shared" si="23"/>
        <v>1</v>
      </c>
      <c r="K253" s="14" t="e">
        <f t="shared" si="18"/>
        <v>#N/A</v>
      </c>
      <c r="L253" s="14" t="e">
        <f t="shared" si="19"/>
        <v>#N/A</v>
      </c>
      <c r="M253" s="14" t="e">
        <f t="shared" si="20"/>
        <v>#N/A</v>
      </c>
      <c r="N253" s="14" t="e">
        <f t="shared" si="21"/>
        <v>#N/A</v>
      </c>
    </row>
    <row r="254" spans="4:14" ht="16.5" x14ac:dyDescent="0.25">
      <c r="D254" s="14">
        <v>214</v>
      </c>
      <c r="E254" s="14" t="str">
        <f t="shared" si="22"/>
        <v/>
      </c>
      <c r="F254" s="14" t="str">
        <f>IF(AND($B$8=1,$D254&lt;=$B$7),IF($B$5=1,Calculator!$C$9*POWER(1+Calculator!$C$14/100,$D254/12),Calculator!$C$9),"")</f>
        <v/>
      </c>
      <c r="G254" s="14">
        <f>G253*(1+$B$4)+Calculator!$C$25</f>
        <v>84427.102891665156</v>
      </c>
      <c r="H254" s="14">
        <f>IF($B$5=1,Calculator!$C$9*POWER(1+Calculator!$C$14/100,$D254/12),Calculator!$C$9)</f>
        <v>10000</v>
      </c>
      <c r="J254" s="14">
        <f t="shared" si="23"/>
        <v>1</v>
      </c>
      <c r="K254" s="14" t="e">
        <f t="shared" si="18"/>
        <v>#N/A</v>
      </c>
      <c r="L254" s="14" t="e">
        <f t="shared" si="19"/>
        <v>#N/A</v>
      </c>
      <c r="M254" s="14" t="e">
        <f t="shared" si="20"/>
        <v>#N/A</v>
      </c>
      <c r="N254" s="14" t="e">
        <f t="shared" si="21"/>
        <v>#N/A</v>
      </c>
    </row>
    <row r="255" spans="4:14" ht="16.5" x14ac:dyDescent="0.25">
      <c r="D255" s="14">
        <v>215</v>
      </c>
      <c r="E255" s="14" t="str">
        <f t="shared" si="22"/>
        <v/>
      </c>
      <c r="F255" s="14" t="str">
        <f>IF(AND($B$8=1,$D255&lt;=$B$7),IF($B$5=1,Calculator!$C$9*POWER(1+Calculator!$C$14/100,$D255/12),Calculator!$C$9),"")</f>
        <v/>
      </c>
      <c r="G255" s="14">
        <f>G254*(1+$B$4)+Calculator!$C$25</f>
        <v>84935.322903490043</v>
      </c>
      <c r="H255" s="14">
        <f>IF($B$5=1,Calculator!$C$9*POWER(1+Calculator!$C$14/100,$D255/12),Calculator!$C$9)</f>
        <v>10000</v>
      </c>
      <c r="J255" s="14">
        <f t="shared" si="23"/>
        <v>1</v>
      </c>
      <c r="K255" s="14" t="e">
        <f t="shared" si="18"/>
        <v>#N/A</v>
      </c>
      <c r="L255" s="14" t="e">
        <f t="shared" si="19"/>
        <v>#N/A</v>
      </c>
      <c r="M255" s="14" t="e">
        <f t="shared" si="20"/>
        <v>#N/A</v>
      </c>
      <c r="N255" s="14" t="e">
        <f t="shared" si="21"/>
        <v>#N/A</v>
      </c>
    </row>
    <row r="256" spans="4:14" ht="16.5" x14ac:dyDescent="0.25">
      <c r="D256" s="14">
        <v>216</v>
      </c>
      <c r="E256" s="14" t="str">
        <f t="shared" si="22"/>
        <v/>
      </c>
      <c r="F256" s="14" t="str">
        <f>IF(AND($B$8=1,$D256&lt;=$B$7),IF($B$5=1,Calculator!$C$9*POWER(1+Calculator!$C$14/100,$D256/12),Calculator!$C$9),"")</f>
        <v/>
      </c>
      <c r="G256" s="14">
        <f>G255*(1+$B$4)+Calculator!$C$25</f>
        <v>85444.79632296777</v>
      </c>
      <c r="H256" s="14">
        <f>IF($B$5=1,Calculator!$C$9*POWER(1+Calculator!$C$14/100,$D256/12),Calculator!$C$9)</f>
        <v>10000</v>
      </c>
      <c r="J256" s="14">
        <f t="shared" si="23"/>
        <v>1</v>
      </c>
      <c r="K256" s="14" t="e">
        <f t="shared" si="18"/>
        <v>#N/A</v>
      </c>
      <c r="L256" s="14" t="e">
        <f t="shared" si="19"/>
        <v>#N/A</v>
      </c>
      <c r="M256" s="14" t="e">
        <f t="shared" si="20"/>
        <v>#N/A</v>
      </c>
      <c r="N256" s="14" t="e">
        <f t="shared" si="21"/>
        <v>#N/A</v>
      </c>
    </row>
    <row r="257" spans="4:14" ht="16.5" x14ac:dyDescent="0.25">
      <c r="D257" s="14">
        <v>217</v>
      </c>
      <c r="E257" s="14" t="str">
        <f t="shared" si="22"/>
        <v/>
      </c>
      <c r="F257" s="14" t="str">
        <f>IF(AND($B$8=1,$D257&lt;=$B$7),IF($B$5=1,Calculator!$C$9*POWER(1+Calculator!$C$14/100,$D257/12),Calculator!$C$9),"")</f>
        <v/>
      </c>
      <c r="G257" s="14">
        <f>G256*(1+$B$4)+Calculator!$C$25</f>
        <v>85955.526241339743</v>
      </c>
      <c r="H257" s="14">
        <f>IF($B$5=1,Calculator!$C$9*POWER(1+Calculator!$C$14/100,$D257/12),Calculator!$C$9)</f>
        <v>10000</v>
      </c>
      <c r="J257" s="14">
        <f t="shared" si="23"/>
        <v>1</v>
      </c>
      <c r="K257" s="14" t="e">
        <f t="shared" si="18"/>
        <v>#N/A</v>
      </c>
      <c r="L257" s="14" t="e">
        <f t="shared" si="19"/>
        <v>#N/A</v>
      </c>
      <c r="M257" s="14" t="e">
        <f t="shared" si="20"/>
        <v>#N/A</v>
      </c>
      <c r="N257" s="14" t="e">
        <f t="shared" si="21"/>
        <v>#N/A</v>
      </c>
    </row>
    <row r="258" spans="4:14" ht="16.5" x14ac:dyDescent="0.25">
      <c r="D258" s="14">
        <v>218</v>
      </c>
      <c r="E258" s="14" t="str">
        <f t="shared" si="22"/>
        <v/>
      </c>
      <c r="F258" s="14" t="str">
        <f>IF(AND($B$8=1,$D258&lt;=$B$7),IF($B$5=1,Calculator!$C$9*POWER(1+Calculator!$C$14/100,$D258/12),Calculator!$C$9),"")</f>
        <v/>
      </c>
      <c r="G258" s="14">
        <f>G257*(1+$B$4)+Calculator!$C$25</f>
        <v>86467.515757471221</v>
      </c>
      <c r="H258" s="14">
        <f>IF($B$5=1,Calculator!$C$9*POWER(1+Calculator!$C$14/100,$D258/12),Calculator!$C$9)</f>
        <v>10000</v>
      </c>
      <c r="J258" s="14">
        <f t="shared" si="23"/>
        <v>1</v>
      </c>
      <c r="K258" s="14" t="e">
        <f t="shared" si="18"/>
        <v>#N/A</v>
      </c>
      <c r="L258" s="14" t="e">
        <f t="shared" si="19"/>
        <v>#N/A</v>
      </c>
      <c r="M258" s="14" t="e">
        <f t="shared" si="20"/>
        <v>#N/A</v>
      </c>
      <c r="N258" s="14" t="e">
        <f t="shared" si="21"/>
        <v>#N/A</v>
      </c>
    </row>
    <row r="259" spans="4:14" ht="16.5" x14ac:dyDescent="0.25">
      <c r="D259" s="14">
        <v>219</v>
      </c>
      <c r="E259" s="14" t="str">
        <f t="shared" si="22"/>
        <v/>
      </c>
      <c r="F259" s="14" t="str">
        <f>IF(AND($B$8=1,$D259&lt;=$B$7),IF($B$5=1,Calculator!$C$9*POWER(1+Calculator!$C$14/100,$D259/12),Calculator!$C$9),"")</f>
        <v/>
      </c>
      <c r="G259" s="14">
        <f>G258*(1+$B$4)+Calculator!$C$25</f>
        <v>86980.767977870069</v>
      </c>
      <c r="H259" s="14">
        <f>IF($B$5=1,Calculator!$C$9*POWER(1+Calculator!$C$14/100,$D259/12),Calculator!$C$9)</f>
        <v>10000</v>
      </c>
      <c r="J259" s="14">
        <f t="shared" si="23"/>
        <v>1</v>
      </c>
      <c r="K259" s="14" t="e">
        <f t="shared" si="18"/>
        <v>#N/A</v>
      </c>
      <c r="L259" s="14" t="e">
        <f t="shared" si="19"/>
        <v>#N/A</v>
      </c>
      <c r="M259" s="14" t="e">
        <f t="shared" si="20"/>
        <v>#N/A</v>
      </c>
      <c r="N259" s="14" t="e">
        <f t="shared" si="21"/>
        <v>#N/A</v>
      </c>
    </row>
    <row r="260" spans="4:14" ht="16.5" x14ac:dyDescent="0.25">
      <c r="D260" s="14">
        <v>220</v>
      </c>
      <c r="E260" s="14" t="str">
        <f t="shared" si="22"/>
        <v/>
      </c>
      <c r="F260" s="14" t="str">
        <f>IF(AND($B$8=1,$D260&lt;=$B$7),IF($B$5=1,Calculator!$C$9*POWER(1+Calculator!$C$14/100,$D260/12),Calculator!$C$9),"")</f>
        <v/>
      </c>
      <c r="G260" s="14">
        <f>G259*(1+$B$4)+Calculator!$C$25</f>
        <v>87495.28601670565</v>
      </c>
      <c r="H260" s="14">
        <f>IF($B$5=1,Calculator!$C$9*POWER(1+Calculator!$C$14/100,$D260/12),Calculator!$C$9)</f>
        <v>10000</v>
      </c>
      <c r="J260" s="14">
        <f t="shared" si="23"/>
        <v>1</v>
      </c>
      <c r="K260" s="14" t="e">
        <f t="shared" si="18"/>
        <v>#N/A</v>
      </c>
      <c r="L260" s="14" t="e">
        <f t="shared" si="19"/>
        <v>#N/A</v>
      </c>
      <c r="M260" s="14" t="e">
        <f t="shared" si="20"/>
        <v>#N/A</v>
      </c>
      <c r="N260" s="14" t="e">
        <f t="shared" si="21"/>
        <v>#N/A</v>
      </c>
    </row>
    <row r="261" spans="4:14" ht="16.5" x14ac:dyDescent="0.25">
      <c r="D261" s="14">
        <v>221</v>
      </c>
      <c r="E261" s="14" t="str">
        <f t="shared" si="22"/>
        <v/>
      </c>
      <c r="F261" s="14" t="str">
        <f>IF(AND($B$8=1,$D261&lt;=$B$7),IF($B$5=1,Calculator!$C$9*POWER(1+Calculator!$C$14/100,$D261/12),Calculator!$C$9),"")</f>
        <v/>
      </c>
      <c r="G261" s="14">
        <f>G260*(1+$B$4)+Calculator!$C$25</f>
        <v>88011.072995827722</v>
      </c>
      <c r="H261" s="14">
        <f>IF($B$5=1,Calculator!$C$9*POWER(1+Calculator!$C$14/100,$D261/12),Calculator!$C$9)</f>
        <v>10000</v>
      </c>
      <c r="J261" s="14">
        <f t="shared" si="23"/>
        <v>1</v>
      </c>
      <c r="K261" s="14" t="e">
        <f t="shared" si="18"/>
        <v>#N/A</v>
      </c>
      <c r="L261" s="14" t="e">
        <f t="shared" si="19"/>
        <v>#N/A</v>
      </c>
      <c r="M261" s="14" t="e">
        <f t="shared" si="20"/>
        <v>#N/A</v>
      </c>
      <c r="N261" s="14" t="e">
        <f t="shared" si="21"/>
        <v>#N/A</v>
      </c>
    </row>
    <row r="262" spans="4:14" ht="16.5" x14ac:dyDescent="0.25">
      <c r="D262" s="14">
        <v>222</v>
      </c>
      <c r="E262" s="14" t="str">
        <f t="shared" si="22"/>
        <v/>
      </c>
      <c r="F262" s="14" t="str">
        <f>IF(AND($B$8=1,$D262&lt;=$B$7),IF($B$5=1,Calculator!$C$9*POWER(1+Calculator!$C$14/100,$D262/12),Calculator!$C$9),"")</f>
        <v/>
      </c>
      <c r="G262" s="14">
        <f>G261*(1+$B$4)+Calculator!$C$25</f>
        <v>88528.13204478535</v>
      </c>
      <c r="H262" s="14">
        <f>IF($B$5=1,Calculator!$C$9*POWER(1+Calculator!$C$14/100,$D262/12),Calculator!$C$9)</f>
        <v>10000</v>
      </c>
      <c r="J262" s="14">
        <f t="shared" si="23"/>
        <v>1</v>
      </c>
      <c r="K262" s="14" t="e">
        <f t="shared" si="18"/>
        <v>#N/A</v>
      </c>
      <c r="L262" s="14" t="e">
        <f t="shared" si="19"/>
        <v>#N/A</v>
      </c>
      <c r="M262" s="14" t="e">
        <f t="shared" si="20"/>
        <v>#N/A</v>
      </c>
      <c r="N262" s="14" t="e">
        <f t="shared" si="21"/>
        <v>#N/A</v>
      </c>
    </row>
    <row r="263" spans="4:14" ht="16.5" x14ac:dyDescent="0.25">
      <c r="D263" s="14">
        <v>223</v>
      </c>
      <c r="E263" s="14" t="str">
        <f t="shared" si="22"/>
        <v/>
      </c>
      <c r="F263" s="14" t="str">
        <f>IF(AND($B$8=1,$D263&lt;=$B$7),IF($B$5=1,Calculator!$C$9*POWER(1+Calculator!$C$14/100,$D263/12),Calculator!$C$9),"")</f>
        <v/>
      </c>
      <c r="G263" s="14">
        <f>G262*(1+$B$4)+Calculator!$C$25</f>
        <v>89046.466300845917</v>
      </c>
      <c r="H263" s="14">
        <f>IF($B$5=1,Calculator!$C$9*POWER(1+Calculator!$C$14/100,$D263/12),Calculator!$C$9)</f>
        <v>10000</v>
      </c>
      <c r="J263" s="14">
        <f t="shared" si="23"/>
        <v>1</v>
      </c>
      <c r="K263" s="14" t="e">
        <f t="shared" si="18"/>
        <v>#N/A</v>
      </c>
      <c r="L263" s="14" t="e">
        <f t="shared" si="19"/>
        <v>#N/A</v>
      </c>
      <c r="M263" s="14" t="e">
        <f t="shared" si="20"/>
        <v>#N/A</v>
      </c>
      <c r="N263" s="14" t="e">
        <f t="shared" si="21"/>
        <v>#N/A</v>
      </c>
    </row>
    <row r="264" spans="4:14" ht="16.5" x14ac:dyDescent="0.25">
      <c r="D264" s="14">
        <v>224</v>
      </c>
      <c r="E264" s="14" t="str">
        <f t="shared" si="22"/>
        <v/>
      </c>
      <c r="F264" s="14" t="str">
        <f>IF(AND($B$8=1,$D264&lt;=$B$7),IF($B$5=1,Calculator!$C$9*POWER(1+Calculator!$C$14/100,$D264/12),Calculator!$C$9),"")</f>
        <v/>
      </c>
      <c r="G264" s="14">
        <f>G263*(1+$B$4)+Calculator!$C$25</f>
        <v>89566.078909014148</v>
      </c>
      <c r="H264" s="14">
        <f>IF($B$5=1,Calculator!$C$9*POWER(1+Calculator!$C$14/100,$D264/12),Calculator!$C$9)</f>
        <v>10000</v>
      </c>
      <c r="J264" s="14">
        <f t="shared" si="23"/>
        <v>1</v>
      </c>
      <c r="K264" s="14" t="e">
        <f t="shared" si="18"/>
        <v>#N/A</v>
      </c>
      <c r="L264" s="14" t="e">
        <f t="shared" si="19"/>
        <v>#N/A</v>
      </c>
      <c r="M264" s="14" t="e">
        <f t="shared" si="20"/>
        <v>#N/A</v>
      </c>
      <c r="N264" s="14" t="e">
        <f t="shared" si="21"/>
        <v>#N/A</v>
      </c>
    </row>
    <row r="265" spans="4:14" ht="16.5" x14ac:dyDescent="0.25">
      <c r="D265" s="14">
        <v>225</v>
      </c>
      <c r="E265" s="14" t="str">
        <f t="shared" si="22"/>
        <v/>
      </c>
      <c r="F265" s="14" t="str">
        <f>IF(AND($B$8=1,$D265&lt;=$B$7),IF($B$5=1,Calculator!$C$9*POWER(1+Calculator!$C$14/100,$D265/12),Calculator!$C$9),"")</f>
        <v/>
      </c>
      <c r="G265" s="14">
        <f>G264*(1+$B$4)+Calculator!$C$25</f>
        <v>90086.973022051214</v>
      </c>
      <c r="H265" s="14">
        <f>IF($B$5=1,Calculator!$C$9*POWER(1+Calculator!$C$14/100,$D265/12),Calculator!$C$9)</f>
        <v>10000</v>
      </c>
      <c r="J265" s="14">
        <f t="shared" si="23"/>
        <v>1</v>
      </c>
      <c r="K265" s="14" t="e">
        <f t="shared" si="18"/>
        <v>#N/A</v>
      </c>
      <c r="L265" s="14" t="e">
        <f t="shared" si="19"/>
        <v>#N/A</v>
      </c>
      <c r="M265" s="14" t="e">
        <f t="shared" si="20"/>
        <v>#N/A</v>
      </c>
      <c r="N265" s="14" t="e">
        <f t="shared" si="21"/>
        <v>#N/A</v>
      </c>
    </row>
    <row r="266" spans="4:14" ht="16.5" x14ac:dyDescent="0.25">
      <c r="D266" s="14">
        <v>226</v>
      </c>
      <c r="E266" s="14" t="str">
        <f t="shared" si="22"/>
        <v/>
      </c>
      <c r="F266" s="14" t="str">
        <f>IF(AND($B$8=1,$D266&lt;=$B$7),IF($B$5=1,Calculator!$C$9*POWER(1+Calculator!$C$14/100,$D266/12),Calculator!$C$9),"")</f>
        <v/>
      </c>
      <c r="G266" s="14">
        <f>G265*(1+$B$4)+Calculator!$C$25</f>
        <v>90609.151800493841</v>
      </c>
      <c r="H266" s="14">
        <f>IF($B$5=1,Calculator!$C$9*POWER(1+Calculator!$C$14/100,$D266/12),Calculator!$C$9)</f>
        <v>10000</v>
      </c>
      <c r="J266" s="14">
        <f t="shared" si="23"/>
        <v>1</v>
      </c>
      <c r="K266" s="14" t="e">
        <f t="shared" si="18"/>
        <v>#N/A</v>
      </c>
      <c r="L266" s="14" t="e">
        <f t="shared" si="19"/>
        <v>#N/A</v>
      </c>
      <c r="M266" s="14" t="e">
        <f t="shared" si="20"/>
        <v>#N/A</v>
      </c>
      <c r="N266" s="14" t="e">
        <f t="shared" si="21"/>
        <v>#N/A</v>
      </c>
    </row>
    <row r="267" spans="4:14" ht="16.5" x14ac:dyDescent="0.25">
      <c r="D267" s="14">
        <v>227</v>
      </c>
      <c r="E267" s="14" t="str">
        <f t="shared" si="22"/>
        <v/>
      </c>
      <c r="F267" s="14" t="str">
        <f>IF(AND($B$8=1,$D267&lt;=$B$7),IF($B$5=1,Calculator!$C$9*POWER(1+Calculator!$C$14/100,$D267/12),Calculator!$C$9),"")</f>
        <v/>
      </c>
      <c r="G267" s="14">
        <f>G266*(1+$B$4)+Calculator!$C$25</f>
        <v>91132.618412673473</v>
      </c>
      <c r="H267" s="14">
        <f>IF($B$5=1,Calculator!$C$9*POWER(1+Calculator!$C$14/100,$D267/12),Calculator!$C$9)</f>
        <v>10000</v>
      </c>
      <c r="J267" s="14">
        <f t="shared" si="23"/>
        <v>1</v>
      </c>
      <c r="K267" s="14" t="e">
        <f t="shared" si="18"/>
        <v>#N/A</v>
      </c>
      <c r="L267" s="14" t="e">
        <f t="shared" si="19"/>
        <v>#N/A</v>
      </c>
      <c r="M267" s="14" t="e">
        <f t="shared" si="20"/>
        <v>#N/A</v>
      </c>
      <c r="N267" s="14" t="e">
        <f t="shared" si="21"/>
        <v>#N/A</v>
      </c>
    </row>
    <row r="268" spans="4:14" ht="16.5" x14ac:dyDescent="0.25">
      <c r="D268" s="14">
        <v>228</v>
      </c>
      <c r="E268" s="14" t="str">
        <f t="shared" si="22"/>
        <v/>
      </c>
      <c r="F268" s="14" t="str">
        <f>IF(AND($B$8=1,$D268&lt;=$B$7),IF($B$5=1,Calculator!$C$9*POWER(1+Calculator!$C$14/100,$D268/12),Calculator!$C$9),"")</f>
        <v/>
      </c>
      <c r="G268" s="14">
        <f>G267*(1+$B$4)+Calculator!$C$25</f>
        <v>91657.376034735542</v>
      </c>
      <c r="H268" s="14">
        <f>IF($B$5=1,Calculator!$C$9*POWER(1+Calculator!$C$14/100,$D268/12),Calculator!$C$9)</f>
        <v>10000</v>
      </c>
      <c r="J268" s="14">
        <f t="shared" si="23"/>
        <v>1</v>
      </c>
      <c r="K268" s="14" t="e">
        <f t="shared" si="18"/>
        <v>#N/A</v>
      </c>
      <c r="L268" s="14" t="e">
        <f t="shared" si="19"/>
        <v>#N/A</v>
      </c>
      <c r="M268" s="14" t="e">
        <f t="shared" si="20"/>
        <v>#N/A</v>
      </c>
      <c r="N268" s="14" t="e">
        <f t="shared" si="21"/>
        <v>#N/A</v>
      </c>
    </row>
    <row r="269" spans="4:14" ht="16.5" x14ac:dyDescent="0.25">
      <c r="D269" s="14">
        <v>229</v>
      </c>
      <c r="E269" s="14" t="str">
        <f t="shared" si="22"/>
        <v/>
      </c>
      <c r="F269" s="14" t="str">
        <f>IF(AND($B$8=1,$D269&lt;=$B$7),IF($B$5=1,Calculator!$C$9*POWER(1+Calculator!$C$14/100,$D269/12),Calculator!$C$9),"")</f>
        <v/>
      </c>
      <c r="G269" s="14">
        <f>G268*(1+$B$4)+Calculator!$C$25</f>
        <v>92183.427850658685</v>
      </c>
      <c r="H269" s="14">
        <f>IF($B$5=1,Calculator!$C$9*POWER(1+Calculator!$C$14/100,$D269/12),Calculator!$C$9)</f>
        <v>10000</v>
      </c>
      <c r="J269" s="14">
        <f t="shared" si="23"/>
        <v>1</v>
      </c>
      <c r="K269" s="14" t="e">
        <f t="shared" si="18"/>
        <v>#N/A</v>
      </c>
      <c r="L269" s="14" t="e">
        <f t="shared" si="19"/>
        <v>#N/A</v>
      </c>
      <c r="M269" s="14" t="e">
        <f t="shared" si="20"/>
        <v>#N/A</v>
      </c>
      <c r="N269" s="14" t="e">
        <f t="shared" si="21"/>
        <v>#N/A</v>
      </c>
    </row>
    <row r="270" spans="4:14" ht="16.5" x14ac:dyDescent="0.25">
      <c r="D270" s="14">
        <v>230</v>
      </c>
      <c r="E270" s="14" t="str">
        <f t="shared" si="22"/>
        <v/>
      </c>
      <c r="F270" s="14" t="str">
        <f>IF(AND($B$8=1,$D270&lt;=$B$7),IF($B$5=1,Calculator!$C$9*POWER(1+Calculator!$C$14/100,$D270/12),Calculator!$C$9),"")</f>
        <v/>
      </c>
      <c r="G270" s="14">
        <f>G269*(1+$B$4)+Calculator!$C$25</f>
        <v>92710.777052274105</v>
      </c>
      <c r="H270" s="14">
        <f>IF($B$5=1,Calculator!$C$9*POWER(1+Calculator!$C$14/100,$D270/12),Calculator!$C$9)</f>
        <v>10000</v>
      </c>
      <c r="J270" s="14">
        <f t="shared" si="23"/>
        <v>1</v>
      </c>
      <c r="K270" s="14" t="e">
        <f t="shared" si="18"/>
        <v>#N/A</v>
      </c>
      <c r="L270" s="14" t="e">
        <f t="shared" si="19"/>
        <v>#N/A</v>
      </c>
      <c r="M270" s="14" t="e">
        <f t="shared" si="20"/>
        <v>#N/A</v>
      </c>
      <c r="N270" s="14" t="e">
        <f t="shared" si="21"/>
        <v>#N/A</v>
      </c>
    </row>
    <row r="271" spans="4:14" ht="16.5" x14ac:dyDescent="0.25">
      <c r="D271" s="14">
        <v>231</v>
      </c>
      <c r="E271" s="14" t="str">
        <f t="shared" si="22"/>
        <v/>
      </c>
      <c r="F271" s="14" t="str">
        <f>IF(AND($B$8=1,$D271&lt;=$B$7),IF($B$5=1,Calculator!$C$9*POWER(1+Calculator!$C$14/100,$D271/12),Calculator!$C$9),"")</f>
        <v/>
      </c>
      <c r="G271" s="14">
        <f>G270*(1+$B$4)+Calculator!$C$25</f>
        <v>93239.426839284919</v>
      </c>
      <c r="H271" s="14">
        <f>IF($B$5=1,Calculator!$C$9*POWER(1+Calculator!$C$14/100,$D271/12),Calculator!$C$9)</f>
        <v>10000</v>
      </c>
      <c r="J271" s="14">
        <f t="shared" si="23"/>
        <v>1</v>
      </c>
      <c r="K271" s="14" t="e">
        <f t="shared" si="18"/>
        <v>#N/A</v>
      </c>
      <c r="L271" s="14" t="e">
        <f t="shared" si="19"/>
        <v>#N/A</v>
      </c>
      <c r="M271" s="14" t="e">
        <f t="shared" si="20"/>
        <v>#N/A</v>
      </c>
      <c r="N271" s="14" t="e">
        <f t="shared" si="21"/>
        <v>#N/A</v>
      </c>
    </row>
    <row r="272" spans="4:14" ht="16.5" x14ac:dyDescent="0.25">
      <c r="D272" s="14">
        <v>232</v>
      </c>
      <c r="E272" s="14" t="str">
        <f t="shared" si="22"/>
        <v/>
      </c>
      <c r="F272" s="14" t="str">
        <f>IF(AND($B$8=1,$D272&lt;=$B$7),IF($B$5=1,Calculator!$C$9*POWER(1+Calculator!$C$14/100,$D272/12),Calculator!$C$9),"")</f>
        <v/>
      </c>
      <c r="G272" s="14">
        <f>G271*(1+$B$4)+Calculator!$C$25</f>
        <v>93769.380419285575</v>
      </c>
      <c r="H272" s="14">
        <f>IF($B$5=1,Calculator!$C$9*POWER(1+Calculator!$C$14/100,$D272/12),Calculator!$C$9)</f>
        <v>10000</v>
      </c>
      <c r="J272" s="14">
        <f t="shared" si="23"/>
        <v>1</v>
      </c>
      <c r="K272" s="14" t="e">
        <f t="shared" si="18"/>
        <v>#N/A</v>
      </c>
      <c r="L272" s="14" t="e">
        <f t="shared" si="19"/>
        <v>#N/A</v>
      </c>
      <c r="M272" s="14" t="e">
        <f t="shared" si="20"/>
        <v>#N/A</v>
      </c>
      <c r="N272" s="14" t="e">
        <f t="shared" si="21"/>
        <v>#N/A</v>
      </c>
    </row>
    <row r="273" spans="4:14" ht="16.5" x14ac:dyDescent="0.25">
      <c r="D273" s="14">
        <v>233</v>
      </c>
      <c r="E273" s="14" t="str">
        <f t="shared" si="22"/>
        <v/>
      </c>
      <c r="F273" s="14" t="str">
        <f>IF(AND($B$8=1,$D273&lt;=$B$7),IF($B$5=1,Calculator!$C$9*POWER(1+Calculator!$C$14/100,$D273/12),Calculator!$C$9),"")</f>
        <v/>
      </c>
      <c r="G273" s="14">
        <f>G272*(1+$B$4)+Calculator!$C$25</f>
        <v>94300.641007781305</v>
      </c>
      <c r="H273" s="14">
        <f>IF($B$5=1,Calculator!$C$9*POWER(1+Calculator!$C$14/100,$D273/12),Calculator!$C$9)</f>
        <v>10000</v>
      </c>
      <c r="J273" s="14">
        <f t="shared" si="23"/>
        <v>1</v>
      </c>
      <c r="K273" s="14" t="e">
        <f t="shared" si="18"/>
        <v>#N/A</v>
      </c>
      <c r="L273" s="14" t="e">
        <f t="shared" si="19"/>
        <v>#N/A</v>
      </c>
      <c r="M273" s="14" t="e">
        <f t="shared" si="20"/>
        <v>#N/A</v>
      </c>
      <c r="N273" s="14" t="e">
        <f t="shared" si="21"/>
        <v>#N/A</v>
      </c>
    </row>
    <row r="274" spans="4:14" ht="16.5" x14ac:dyDescent="0.25">
      <c r="D274" s="14">
        <v>234</v>
      </c>
      <c r="E274" s="14" t="str">
        <f t="shared" si="22"/>
        <v/>
      </c>
      <c r="F274" s="14" t="str">
        <f>IF(AND($B$8=1,$D274&lt;=$B$7),IF($B$5=1,Calculator!$C$9*POWER(1+Calculator!$C$14/100,$D274/12),Calculator!$C$9),"")</f>
        <v/>
      </c>
      <c r="G274" s="14">
        <f>G273*(1+$B$4)+Calculator!$C$25</f>
        <v>94833.211828207655</v>
      </c>
      <c r="H274" s="14">
        <f>IF($B$5=1,Calculator!$C$9*POWER(1+Calculator!$C$14/100,$D274/12),Calculator!$C$9)</f>
        <v>10000</v>
      </c>
      <c r="J274" s="14">
        <f t="shared" si="23"/>
        <v>1</v>
      </c>
      <c r="K274" s="14" t="e">
        <f t="shared" si="18"/>
        <v>#N/A</v>
      </c>
      <c r="L274" s="14" t="e">
        <f t="shared" si="19"/>
        <v>#N/A</v>
      </c>
      <c r="M274" s="14" t="e">
        <f t="shared" si="20"/>
        <v>#N/A</v>
      </c>
      <c r="N274" s="14" t="e">
        <f t="shared" si="21"/>
        <v>#N/A</v>
      </c>
    </row>
    <row r="275" spans="4:14" ht="16.5" x14ac:dyDescent="0.25">
      <c r="D275" s="14">
        <v>235</v>
      </c>
      <c r="E275" s="14" t="str">
        <f t="shared" si="22"/>
        <v/>
      </c>
      <c r="F275" s="14" t="str">
        <f>IF(AND($B$8=1,$D275&lt;=$B$7),IF($B$5=1,Calculator!$C$9*POWER(1+Calculator!$C$14/100,$D275/12),Calculator!$C$9),"")</f>
        <v/>
      </c>
      <c r="G275" s="14">
        <f>G274*(1+$B$4)+Calculator!$C$25</f>
        <v>95367.096111950043</v>
      </c>
      <c r="H275" s="14">
        <f>IF($B$5=1,Calculator!$C$9*POWER(1+Calculator!$C$14/100,$D275/12),Calculator!$C$9)</f>
        <v>10000</v>
      </c>
      <c r="J275" s="14">
        <f t="shared" si="23"/>
        <v>1</v>
      </c>
      <c r="K275" s="14" t="e">
        <f t="shared" si="18"/>
        <v>#N/A</v>
      </c>
      <c r="L275" s="14" t="e">
        <f t="shared" si="19"/>
        <v>#N/A</v>
      </c>
      <c r="M275" s="14" t="e">
        <f t="shared" si="20"/>
        <v>#N/A</v>
      </c>
      <c r="N275" s="14" t="e">
        <f t="shared" si="21"/>
        <v>#N/A</v>
      </c>
    </row>
    <row r="276" spans="4:14" ht="16.5" x14ac:dyDescent="0.25">
      <c r="D276" s="14">
        <v>236</v>
      </c>
      <c r="E276" s="14" t="str">
        <f t="shared" si="22"/>
        <v/>
      </c>
      <c r="F276" s="14" t="str">
        <f>IF(AND($B$8=1,$D276&lt;=$B$7),IF($B$5=1,Calculator!$C$9*POWER(1+Calculator!$C$14/100,$D276/12),Calculator!$C$9),"")</f>
        <v/>
      </c>
      <c r="G276" s="14">
        <f>G275*(1+$B$4)+Calculator!$C$25</f>
        <v>95902.297098363328</v>
      </c>
      <c r="H276" s="14">
        <f>IF($B$5=1,Calculator!$C$9*POWER(1+Calculator!$C$14/100,$D276/12),Calculator!$C$9)</f>
        <v>10000</v>
      </c>
      <c r="J276" s="14">
        <f t="shared" si="23"/>
        <v>1</v>
      </c>
      <c r="K276" s="14" t="e">
        <f t="shared" si="18"/>
        <v>#N/A</v>
      </c>
      <c r="L276" s="14" t="e">
        <f t="shared" si="19"/>
        <v>#N/A</v>
      </c>
      <c r="M276" s="14" t="e">
        <f t="shared" si="20"/>
        <v>#N/A</v>
      </c>
      <c r="N276" s="14" t="e">
        <f t="shared" si="21"/>
        <v>#N/A</v>
      </c>
    </row>
    <row r="277" spans="4:14" ht="16.5" x14ac:dyDescent="0.25">
      <c r="D277" s="14">
        <v>237</v>
      </c>
      <c r="E277" s="14" t="str">
        <f t="shared" si="22"/>
        <v/>
      </c>
      <c r="F277" s="14" t="str">
        <f>IF(AND($B$8=1,$D277&lt;=$B$7),IF($B$5=1,Calculator!$C$9*POWER(1+Calculator!$C$14/100,$D277/12),Calculator!$C$9),"")</f>
        <v/>
      </c>
      <c r="G277" s="14">
        <f>G276*(1+$B$4)+Calculator!$C$25</f>
        <v>96438.818034791504</v>
      </c>
      <c r="H277" s="14">
        <f>IF($B$5=1,Calculator!$C$9*POWER(1+Calculator!$C$14/100,$D277/12),Calculator!$C$9)</f>
        <v>10000</v>
      </c>
      <c r="J277" s="14">
        <f t="shared" si="23"/>
        <v>1</v>
      </c>
      <c r="K277" s="14" t="e">
        <f t="shared" si="18"/>
        <v>#N/A</v>
      </c>
      <c r="L277" s="14" t="e">
        <f t="shared" si="19"/>
        <v>#N/A</v>
      </c>
      <c r="M277" s="14" t="e">
        <f t="shared" si="20"/>
        <v>#N/A</v>
      </c>
      <c r="N277" s="14" t="e">
        <f t="shared" si="21"/>
        <v>#N/A</v>
      </c>
    </row>
    <row r="278" spans="4:14" ht="16.5" x14ac:dyDescent="0.25">
      <c r="D278" s="14">
        <v>238</v>
      </c>
      <c r="E278" s="14" t="str">
        <f t="shared" si="22"/>
        <v/>
      </c>
      <c r="F278" s="14" t="str">
        <f>IF(AND($B$8=1,$D278&lt;=$B$7),IF($B$5=1,Calculator!$C$9*POWER(1+Calculator!$C$14/100,$D278/12),Calculator!$C$9),"")</f>
        <v/>
      </c>
      <c r="G278" s="14">
        <f>G277*(1+$B$4)+Calculator!$C$25</f>
        <v>96976.662176587401</v>
      </c>
      <c r="H278" s="14">
        <f>IF($B$5=1,Calculator!$C$9*POWER(1+Calculator!$C$14/100,$D278/12),Calculator!$C$9)</f>
        <v>10000</v>
      </c>
      <c r="J278" s="14">
        <f t="shared" si="23"/>
        <v>1</v>
      </c>
      <c r="K278" s="14" t="e">
        <f t="shared" si="18"/>
        <v>#N/A</v>
      </c>
      <c r="L278" s="14" t="e">
        <f t="shared" si="19"/>
        <v>#N/A</v>
      </c>
      <c r="M278" s="14" t="e">
        <f t="shared" si="20"/>
        <v>#N/A</v>
      </c>
      <c r="N278" s="14" t="e">
        <f t="shared" si="21"/>
        <v>#N/A</v>
      </c>
    </row>
    <row r="279" spans="4:14" ht="16.5" x14ac:dyDescent="0.25">
      <c r="D279" s="14">
        <v>239</v>
      </c>
      <c r="E279" s="14" t="str">
        <f t="shared" si="22"/>
        <v/>
      </c>
      <c r="F279" s="14" t="str">
        <f>IF(AND($B$8=1,$D279&lt;=$B$7),IF($B$5=1,Calculator!$C$9*POWER(1+Calculator!$C$14/100,$D279/12),Calculator!$C$9),"")</f>
        <v/>
      </c>
      <c r="G279" s="14">
        <f>G278*(1+$B$4)+Calculator!$C$25</f>
        <v>97515.832787132429</v>
      </c>
      <c r="H279" s="14">
        <f>IF($B$5=1,Calculator!$C$9*POWER(1+Calculator!$C$14/100,$D279/12),Calculator!$C$9)</f>
        <v>10000</v>
      </c>
      <c r="J279" s="14">
        <f t="shared" si="23"/>
        <v>1</v>
      </c>
      <c r="K279" s="14" t="e">
        <f t="shared" si="18"/>
        <v>#N/A</v>
      </c>
      <c r="L279" s="14" t="e">
        <f t="shared" si="19"/>
        <v>#N/A</v>
      </c>
      <c r="M279" s="14" t="e">
        <f t="shared" si="20"/>
        <v>#N/A</v>
      </c>
      <c r="N279" s="14" t="e">
        <f t="shared" si="21"/>
        <v>#N/A</v>
      </c>
    </row>
    <row r="280" spans="4:14" ht="16.5" x14ac:dyDescent="0.25">
      <c r="D280" s="14">
        <v>240</v>
      </c>
      <c r="E280" s="14" t="str">
        <f t="shared" si="22"/>
        <v/>
      </c>
      <c r="F280" s="14" t="str">
        <f>IF(AND($B$8=1,$D280&lt;=$B$7),IF($B$5=1,Calculator!$C$9*POWER(1+Calculator!$C$14/100,$D280/12),Calculator!$C$9),"")</f>
        <v/>
      </c>
      <c r="G280" s="14">
        <f>G279*(1+$B$4)+Calculator!$C$25</f>
        <v>98056.33313785636</v>
      </c>
      <c r="H280" s="14">
        <f>IF($B$5=1,Calculator!$C$9*POWER(1+Calculator!$C$14/100,$D280/12),Calculator!$C$9)</f>
        <v>10000</v>
      </c>
      <c r="J280" s="14">
        <f t="shared" si="23"/>
        <v>1</v>
      </c>
      <c r="K280" s="14" t="e">
        <f t="shared" si="18"/>
        <v>#N/A</v>
      </c>
      <c r="L280" s="14" t="e">
        <f t="shared" si="19"/>
        <v>#N/A</v>
      </c>
      <c r="M280" s="14" t="e">
        <f t="shared" si="20"/>
        <v>#N/A</v>
      </c>
      <c r="N280" s="14" t="e">
        <f t="shared" si="21"/>
        <v>#N/A</v>
      </c>
    </row>
    <row r="281" spans="4:14" ht="16.5" x14ac:dyDescent="0.25">
      <c r="D281" s="14">
        <v>241</v>
      </c>
      <c r="E281" s="14" t="str">
        <f t="shared" si="22"/>
        <v/>
      </c>
      <c r="F281" s="14" t="str">
        <f>IF(AND($B$8=1,$D281&lt;=$B$7),IF($B$5=1,Calculator!$C$9*POWER(1+Calculator!$C$14/100,$D281/12),Calculator!$C$9),"")</f>
        <v/>
      </c>
      <c r="G281" s="14">
        <f>G280*(1+$B$4)+Calculator!$C$25</f>
        <v>98598.1665082572</v>
      </c>
      <c r="H281" s="14">
        <f>IF($B$5=1,Calculator!$C$9*POWER(1+Calculator!$C$14/100,$D281/12),Calculator!$C$9)</f>
        <v>10000</v>
      </c>
      <c r="J281" s="14">
        <f t="shared" si="23"/>
        <v>1</v>
      </c>
      <c r="K281" s="14" t="e">
        <f t="shared" si="18"/>
        <v>#N/A</v>
      </c>
      <c r="L281" s="14" t="e">
        <f t="shared" si="19"/>
        <v>#N/A</v>
      </c>
      <c r="M281" s="14" t="e">
        <f t="shared" si="20"/>
        <v>#N/A</v>
      </c>
      <c r="N281" s="14" t="e">
        <f t="shared" si="21"/>
        <v>#N/A</v>
      </c>
    </row>
    <row r="282" spans="4:14" ht="16.5" x14ac:dyDescent="0.25">
      <c r="D282" s="14">
        <v>242</v>
      </c>
      <c r="E282" s="14" t="str">
        <f t="shared" si="22"/>
        <v/>
      </c>
      <c r="F282" s="14" t="str">
        <f>IF(AND($B$8=1,$D282&lt;=$B$7),IF($B$5=1,Calculator!$C$9*POWER(1+Calculator!$C$14/100,$D282/12),Calculator!$C$9),"")</f>
        <v/>
      </c>
      <c r="G282" s="14">
        <f>G281*(1+$B$4)+Calculator!$C$25</f>
        <v>99141.336185921085</v>
      </c>
      <c r="H282" s="14">
        <f>IF($B$5=1,Calculator!$C$9*POWER(1+Calculator!$C$14/100,$D282/12),Calculator!$C$9)</f>
        <v>10000</v>
      </c>
      <c r="J282" s="14">
        <f t="shared" si="23"/>
        <v>1</v>
      </c>
      <c r="K282" s="14" t="e">
        <f t="shared" si="18"/>
        <v>#N/A</v>
      </c>
      <c r="L282" s="14" t="e">
        <f t="shared" si="19"/>
        <v>#N/A</v>
      </c>
      <c r="M282" s="14" t="e">
        <f t="shared" si="20"/>
        <v>#N/A</v>
      </c>
      <c r="N282" s="14" t="e">
        <f t="shared" si="21"/>
        <v>#N/A</v>
      </c>
    </row>
    <row r="283" spans="4:14" ht="16.5" x14ac:dyDescent="0.25">
      <c r="D283" s="14">
        <v>243</v>
      </c>
      <c r="E283" s="14" t="str">
        <f t="shared" si="22"/>
        <v/>
      </c>
      <c r="F283" s="14" t="str">
        <f>IF(AND($B$8=1,$D283&lt;=$B$7),IF($B$5=1,Calculator!$C$9*POWER(1+Calculator!$C$14/100,$D283/12),Calculator!$C$9),"")</f>
        <v/>
      </c>
      <c r="G283" s="14">
        <f>G282*(1+$B$4)+Calculator!$C$25</f>
        <v>99685.845466542218</v>
      </c>
      <c r="H283" s="14">
        <f>IF($B$5=1,Calculator!$C$9*POWER(1+Calculator!$C$14/100,$D283/12),Calculator!$C$9)</f>
        <v>10000</v>
      </c>
      <c r="J283" s="14">
        <f t="shared" si="23"/>
        <v>1</v>
      </c>
      <c r="K283" s="14" t="e">
        <f t="shared" si="18"/>
        <v>#N/A</v>
      </c>
      <c r="L283" s="14" t="e">
        <f t="shared" si="19"/>
        <v>#N/A</v>
      </c>
      <c r="M283" s="14" t="e">
        <f t="shared" si="20"/>
        <v>#N/A</v>
      </c>
      <c r="N283" s="14" t="e">
        <f t="shared" si="21"/>
        <v>#N/A</v>
      </c>
    </row>
    <row r="284" spans="4:14" ht="16.5" x14ac:dyDescent="0.25">
      <c r="D284" s="14">
        <v>244</v>
      </c>
      <c r="E284" s="14" t="str">
        <f t="shared" si="22"/>
        <v/>
      </c>
      <c r="F284" s="14" t="str">
        <f>IF(AND($B$8=1,$D284&lt;=$B$7),IF($B$5=1,Calculator!$C$9*POWER(1+Calculator!$C$14/100,$D284/12),Calculator!$C$9),"")</f>
        <v/>
      </c>
      <c r="G284" s="14">
        <f>G283*(1+$B$4)+Calculator!$C$25</f>
        <v>100231.69765394289</v>
      </c>
      <c r="H284" s="14">
        <f>IF($B$5=1,Calculator!$C$9*POWER(1+Calculator!$C$14/100,$D284/12),Calculator!$C$9)</f>
        <v>10000</v>
      </c>
      <c r="J284" s="14">
        <f t="shared" si="23"/>
        <v>1</v>
      </c>
      <c r="K284" s="14" t="e">
        <f t="shared" si="18"/>
        <v>#N/A</v>
      </c>
      <c r="L284" s="14" t="e">
        <f t="shared" si="19"/>
        <v>#N/A</v>
      </c>
      <c r="M284" s="14" t="e">
        <f t="shared" si="20"/>
        <v>#N/A</v>
      </c>
      <c r="N284" s="14" t="e">
        <f t="shared" si="21"/>
        <v>#N/A</v>
      </c>
    </row>
    <row r="285" spans="4:14" ht="16.5" x14ac:dyDescent="0.25">
      <c r="D285" s="14">
        <v>245</v>
      </c>
      <c r="E285" s="14" t="str">
        <f t="shared" si="22"/>
        <v/>
      </c>
      <c r="F285" s="14" t="str">
        <f>IF(AND($B$8=1,$D285&lt;=$B$7),IF($B$5=1,Calculator!$C$9*POWER(1+Calculator!$C$14/100,$D285/12),Calculator!$C$9),"")</f>
        <v/>
      </c>
      <c r="G285" s="14">
        <f>G284*(1+$B$4)+Calculator!$C$25</f>
        <v>100778.8960600935</v>
      </c>
      <c r="H285" s="14">
        <f>IF($B$5=1,Calculator!$C$9*POWER(1+Calculator!$C$14/100,$D285/12),Calculator!$C$9)</f>
        <v>10000</v>
      </c>
      <c r="J285" s="14">
        <f t="shared" si="23"/>
        <v>1</v>
      </c>
      <c r="K285" s="14" t="e">
        <f t="shared" si="18"/>
        <v>#N/A</v>
      </c>
      <c r="L285" s="14" t="e">
        <f t="shared" si="19"/>
        <v>#N/A</v>
      </c>
      <c r="M285" s="14" t="e">
        <f t="shared" si="20"/>
        <v>#N/A</v>
      </c>
      <c r="N285" s="14" t="e">
        <f t="shared" si="21"/>
        <v>#N/A</v>
      </c>
    </row>
    <row r="286" spans="4:14" ht="16.5" x14ac:dyDescent="0.25">
      <c r="D286" s="14">
        <v>246</v>
      </c>
      <c r="E286" s="14" t="str">
        <f t="shared" si="22"/>
        <v/>
      </c>
      <c r="F286" s="14" t="str">
        <f>IF(AND($B$8=1,$D286&lt;=$B$7),IF($B$5=1,Calculator!$C$9*POWER(1+Calculator!$C$14/100,$D286/12),Calculator!$C$9),"")</f>
        <v/>
      </c>
      <c r="G286" s="14">
        <f>G285*(1+$B$4)+Calculator!$C$25</f>
        <v>101327.44400513264</v>
      </c>
      <c r="H286" s="14">
        <f>IF($B$5=1,Calculator!$C$9*POWER(1+Calculator!$C$14/100,$D286/12),Calculator!$C$9)</f>
        <v>10000</v>
      </c>
      <c r="J286" s="14">
        <f t="shared" si="23"/>
        <v>1</v>
      </c>
      <c r="K286" s="14" t="e">
        <f t="shared" si="18"/>
        <v>#N/A</v>
      </c>
      <c r="L286" s="14" t="e">
        <f t="shared" si="19"/>
        <v>#N/A</v>
      </c>
      <c r="M286" s="14" t="e">
        <f t="shared" si="20"/>
        <v>#N/A</v>
      </c>
      <c r="N286" s="14" t="e">
        <f t="shared" si="21"/>
        <v>#N/A</v>
      </c>
    </row>
    <row r="287" spans="4:14" ht="16.5" x14ac:dyDescent="0.25">
      <c r="D287" s="14">
        <v>247</v>
      </c>
      <c r="E287" s="14" t="str">
        <f t="shared" si="22"/>
        <v/>
      </c>
      <c r="F287" s="14" t="str">
        <f>IF(AND($B$8=1,$D287&lt;=$B$7),IF($B$5=1,Calculator!$C$9*POWER(1+Calculator!$C$14/100,$D287/12),Calculator!$C$9),"")</f>
        <v/>
      </c>
      <c r="G287" s="14">
        <f>G286*(1+$B$4)+Calculator!$C$25</f>
        <v>101877.34481738729</v>
      </c>
      <c r="H287" s="14">
        <f>IF($B$5=1,Calculator!$C$9*POWER(1+Calculator!$C$14/100,$D287/12),Calculator!$C$9)</f>
        <v>10000</v>
      </c>
      <c r="J287" s="14">
        <f t="shared" si="23"/>
        <v>1</v>
      </c>
      <c r="K287" s="14" t="e">
        <f t="shared" si="18"/>
        <v>#N/A</v>
      </c>
      <c r="L287" s="14" t="e">
        <f t="shared" si="19"/>
        <v>#N/A</v>
      </c>
      <c r="M287" s="14" t="e">
        <f t="shared" si="20"/>
        <v>#N/A</v>
      </c>
      <c r="N287" s="14" t="e">
        <f t="shared" si="21"/>
        <v>#N/A</v>
      </c>
    </row>
    <row r="288" spans="4:14" ht="16.5" x14ac:dyDescent="0.25">
      <c r="D288" s="14">
        <v>248</v>
      </c>
      <c r="E288" s="14" t="str">
        <f t="shared" si="22"/>
        <v/>
      </c>
      <c r="F288" s="14" t="str">
        <f>IF(AND($B$8=1,$D288&lt;=$B$7),IF($B$5=1,Calculator!$C$9*POWER(1+Calculator!$C$14/100,$D288/12),Calculator!$C$9),"")</f>
        <v/>
      </c>
      <c r="G288" s="14">
        <f>G287*(1+$B$4)+Calculator!$C$25</f>
        <v>102428.60183339297</v>
      </c>
      <c r="H288" s="14">
        <f>IF($B$5=1,Calculator!$C$9*POWER(1+Calculator!$C$14/100,$D288/12),Calculator!$C$9)</f>
        <v>10000</v>
      </c>
      <c r="J288" s="14">
        <f t="shared" si="23"/>
        <v>1</v>
      </c>
      <c r="K288" s="14" t="e">
        <f t="shared" si="18"/>
        <v>#N/A</v>
      </c>
      <c r="L288" s="14" t="e">
        <f t="shared" si="19"/>
        <v>#N/A</v>
      </c>
      <c r="M288" s="14" t="e">
        <f t="shared" si="20"/>
        <v>#N/A</v>
      </c>
      <c r="N288" s="14" t="e">
        <f t="shared" si="21"/>
        <v>#N/A</v>
      </c>
    </row>
    <row r="289" spans="4:14" ht="16.5" x14ac:dyDescent="0.25">
      <c r="D289" s="14">
        <v>249</v>
      </c>
      <c r="E289" s="14" t="str">
        <f t="shared" si="22"/>
        <v/>
      </c>
      <c r="F289" s="14" t="str">
        <f>IF(AND($B$8=1,$D289&lt;=$B$7),IF($B$5=1,Calculator!$C$9*POWER(1+Calculator!$C$14/100,$D289/12),Calculator!$C$9),"")</f>
        <v/>
      </c>
      <c r="G289" s="14">
        <f>G288*(1+$B$4)+Calculator!$C$25</f>
        <v>102981.218397914</v>
      </c>
      <c r="H289" s="14">
        <f>IF($B$5=1,Calculator!$C$9*POWER(1+Calculator!$C$14/100,$D289/12),Calculator!$C$9)</f>
        <v>10000</v>
      </c>
      <c r="J289" s="14">
        <f t="shared" si="23"/>
        <v>1</v>
      </c>
      <c r="K289" s="14" t="e">
        <f t="shared" si="18"/>
        <v>#N/A</v>
      </c>
      <c r="L289" s="14" t="e">
        <f t="shared" si="19"/>
        <v>#N/A</v>
      </c>
      <c r="M289" s="14" t="e">
        <f t="shared" si="20"/>
        <v>#N/A</v>
      </c>
      <c r="N289" s="14" t="e">
        <f t="shared" si="21"/>
        <v>#N/A</v>
      </c>
    </row>
    <row r="290" spans="4:14" ht="16.5" x14ac:dyDescent="0.25">
      <c r="D290" s="14">
        <v>250</v>
      </c>
      <c r="E290" s="14" t="str">
        <f t="shared" si="22"/>
        <v/>
      </c>
      <c r="F290" s="14" t="str">
        <f>IF(AND($B$8=1,$D290&lt;=$B$7),IF($B$5=1,Calculator!$C$9*POWER(1+Calculator!$C$14/100,$D290/12),Calculator!$C$9),"")</f>
        <v/>
      </c>
      <c r="G290" s="14">
        <f>G289*(1+$B$4)+Calculator!$C$25</f>
        <v>103535.19786396378</v>
      </c>
      <c r="H290" s="14">
        <f>IF($B$5=1,Calculator!$C$9*POWER(1+Calculator!$C$14/100,$D290/12),Calculator!$C$9)</f>
        <v>10000</v>
      </c>
      <c r="J290" s="14">
        <f t="shared" si="23"/>
        <v>1</v>
      </c>
      <c r="K290" s="14" t="e">
        <f t="shared" si="18"/>
        <v>#N/A</v>
      </c>
      <c r="L290" s="14" t="e">
        <f t="shared" si="19"/>
        <v>#N/A</v>
      </c>
      <c r="M290" s="14" t="e">
        <f t="shared" si="20"/>
        <v>#N/A</v>
      </c>
      <c r="N290" s="14" t="e">
        <f t="shared" si="21"/>
        <v>#N/A</v>
      </c>
    </row>
    <row r="291" spans="4:14" ht="16.5" x14ac:dyDescent="0.25">
      <c r="D291" s="14">
        <v>251</v>
      </c>
      <c r="E291" s="14" t="str">
        <f t="shared" si="22"/>
        <v/>
      </c>
      <c r="F291" s="14" t="str">
        <f>IF(AND($B$8=1,$D291&lt;=$B$7),IF($B$5=1,Calculator!$C$9*POWER(1+Calculator!$C$14/100,$D291/12),Calculator!$C$9),"")</f>
        <v/>
      </c>
      <c r="G291" s="14">
        <f>G290*(1+$B$4)+Calculator!$C$25</f>
        <v>104090.54359282515</v>
      </c>
      <c r="H291" s="14">
        <f>IF($B$5=1,Calculator!$C$9*POWER(1+Calculator!$C$14/100,$D291/12),Calculator!$C$9)</f>
        <v>10000</v>
      </c>
      <c r="J291" s="14">
        <f t="shared" si="23"/>
        <v>1</v>
      </c>
      <c r="K291" s="14" t="e">
        <f t="shared" si="18"/>
        <v>#N/A</v>
      </c>
      <c r="L291" s="14" t="e">
        <f t="shared" si="19"/>
        <v>#N/A</v>
      </c>
      <c r="M291" s="14" t="e">
        <f t="shared" si="20"/>
        <v>#N/A</v>
      </c>
      <c r="N291" s="14" t="e">
        <f t="shared" si="21"/>
        <v>#N/A</v>
      </c>
    </row>
    <row r="292" spans="4:14" ht="16.5" x14ac:dyDescent="0.25">
      <c r="D292" s="14">
        <v>252</v>
      </c>
      <c r="E292" s="14" t="str">
        <f t="shared" si="22"/>
        <v/>
      </c>
      <c r="F292" s="14" t="str">
        <f>IF(AND($B$8=1,$D292&lt;=$B$7),IF($B$5=1,Calculator!$C$9*POWER(1+Calculator!$C$14/100,$D292/12),Calculator!$C$9),"")</f>
        <v/>
      </c>
      <c r="G292" s="14">
        <f>G291*(1+$B$4)+Calculator!$C$25</f>
        <v>104647.2589540708</v>
      </c>
      <c r="H292" s="14">
        <f>IF($B$5=1,Calculator!$C$9*POWER(1+Calculator!$C$14/100,$D292/12),Calculator!$C$9)</f>
        <v>10000</v>
      </c>
      <c r="J292" s="14">
        <f t="shared" si="23"/>
        <v>1</v>
      </c>
      <c r="K292" s="14" t="e">
        <f t="shared" si="18"/>
        <v>#N/A</v>
      </c>
      <c r="L292" s="14" t="e">
        <f t="shared" si="19"/>
        <v>#N/A</v>
      </c>
      <c r="M292" s="14" t="e">
        <f t="shared" si="20"/>
        <v>#N/A</v>
      </c>
      <c r="N292" s="14" t="e">
        <f t="shared" si="21"/>
        <v>#N/A</v>
      </c>
    </row>
    <row r="293" spans="4:14" ht="16.5" x14ac:dyDescent="0.25">
      <c r="D293" s="14">
        <v>253</v>
      </c>
      <c r="E293" s="14" t="str">
        <f t="shared" si="22"/>
        <v/>
      </c>
      <c r="F293" s="14" t="str">
        <f>IF(AND($B$8=1,$D293&lt;=$B$7),IF($B$5=1,Calculator!$C$9*POWER(1+Calculator!$C$14/100,$D293/12),Calculator!$C$9),"")</f>
        <v/>
      </c>
      <c r="G293" s="14">
        <f>G292*(1+$B$4)+Calculator!$C$25</f>
        <v>105205.34732558366</v>
      </c>
      <c r="H293" s="14">
        <f>IF($B$5=1,Calculator!$C$9*POWER(1+Calculator!$C$14/100,$D293/12),Calculator!$C$9)</f>
        <v>10000</v>
      </c>
      <c r="J293" s="14">
        <f t="shared" si="23"/>
        <v>1</v>
      </c>
      <c r="K293" s="14" t="e">
        <f t="shared" si="18"/>
        <v>#N/A</v>
      </c>
      <c r="L293" s="14" t="e">
        <f t="shared" si="19"/>
        <v>#N/A</v>
      </c>
      <c r="M293" s="14" t="e">
        <f t="shared" si="20"/>
        <v>#N/A</v>
      </c>
      <c r="N293" s="14" t="e">
        <f t="shared" si="21"/>
        <v>#N/A</v>
      </c>
    </row>
    <row r="294" spans="4:14" ht="16.5" x14ac:dyDescent="0.25">
      <c r="D294" s="14">
        <v>254</v>
      </c>
      <c r="E294" s="14" t="str">
        <f t="shared" si="22"/>
        <v/>
      </c>
      <c r="F294" s="14" t="str">
        <f>IF(AND($B$8=1,$D294&lt;=$B$7),IF($B$5=1,Calculator!$C$9*POWER(1+Calculator!$C$14/100,$D294/12),Calculator!$C$9),"")</f>
        <v/>
      </c>
      <c r="G294" s="14">
        <f>G293*(1+$B$4)+Calculator!$C$25</f>
        <v>105764.81209357745</v>
      </c>
      <c r="H294" s="14">
        <f>IF($B$5=1,Calculator!$C$9*POWER(1+Calculator!$C$14/100,$D294/12),Calculator!$C$9)</f>
        <v>10000</v>
      </c>
      <c r="J294" s="14">
        <f t="shared" si="23"/>
        <v>1</v>
      </c>
      <c r="K294" s="14" t="e">
        <f t="shared" si="18"/>
        <v>#N/A</v>
      </c>
      <c r="L294" s="14" t="e">
        <f t="shared" si="19"/>
        <v>#N/A</v>
      </c>
      <c r="M294" s="14" t="e">
        <f t="shared" si="20"/>
        <v>#N/A</v>
      </c>
      <c r="N294" s="14" t="e">
        <f t="shared" si="21"/>
        <v>#N/A</v>
      </c>
    </row>
    <row r="295" spans="4:14" ht="16.5" x14ac:dyDescent="0.25">
      <c r="D295" s="14">
        <v>255</v>
      </c>
      <c r="E295" s="14" t="str">
        <f t="shared" si="22"/>
        <v/>
      </c>
      <c r="F295" s="14" t="str">
        <f>IF(AND($B$8=1,$D295&lt;=$B$7),IF($B$5=1,Calculator!$C$9*POWER(1+Calculator!$C$14/100,$D295/12),Calculator!$C$9),"")</f>
        <v/>
      </c>
      <c r="G295" s="14">
        <f>G294*(1+$B$4)+Calculator!$C$25</f>
        <v>106325.65665261722</v>
      </c>
      <c r="H295" s="14">
        <f>IF($B$5=1,Calculator!$C$9*POWER(1+Calculator!$C$14/100,$D295/12),Calculator!$C$9)</f>
        <v>10000</v>
      </c>
      <c r="J295" s="14">
        <f t="shared" si="23"/>
        <v>1</v>
      </c>
      <c r="K295" s="14" t="e">
        <f t="shared" si="18"/>
        <v>#N/A</v>
      </c>
      <c r="L295" s="14" t="e">
        <f t="shared" si="19"/>
        <v>#N/A</v>
      </c>
      <c r="M295" s="14" t="e">
        <f t="shared" si="20"/>
        <v>#N/A</v>
      </c>
      <c r="N295" s="14" t="e">
        <f t="shared" si="21"/>
        <v>#N/A</v>
      </c>
    </row>
    <row r="296" spans="4:14" ht="16.5" x14ac:dyDescent="0.25">
      <c r="D296" s="14">
        <v>256</v>
      </c>
      <c r="E296" s="14" t="str">
        <f t="shared" si="22"/>
        <v/>
      </c>
      <c r="F296" s="14" t="str">
        <f>IF(AND($B$8=1,$D296&lt;=$B$7),IF($B$5=1,Calculator!$C$9*POWER(1+Calculator!$C$14/100,$D296/12),Calculator!$C$9),"")</f>
        <v/>
      </c>
      <c r="G296" s="14">
        <f>G295*(1+$B$4)+Calculator!$C$25</f>
        <v>106887.88440563991</v>
      </c>
      <c r="H296" s="14">
        <f>IF($B$5=1,Calculator!$C$9*POWER(1+Calculator!$C$14/100,$D296/12),Calculator!$C$9)</f>
        <v>10000</v>
      </c>
      <c r="J296" s="14">
        <f t="shared" si="23"/>
        <v>1</v>
      </c>
      <c r="K296" s="14" t="e">
        <f t="shared" ref="K296:K359" si="24">IF($D296&lt;=$B$23,E296,NA())</f>
        <v>#N/A</v>
      </c>
      <c r="L296" s="14" t="e">
        <f t="shared" ref="L296:L359" si="25">IF($D296&lt;=$B$23,F296,NA())</f>
        <v>#N/A</v>
      </c>
      <c r="M296" s="14" t="e">
        <f t="shared" ref="M296:M359" si="26">IF($D296&lt;=$B$24,G296,NA())</f>
        <v>#N/A</v>
      </c>
      <c r="N296" s="14" t="e">
        <f t="shared" ref="N296:N359" si="27">IF($D296&lt;=$B$24,H296,NA())</f>
        <v>#N/A</v>
      </c>
    </row>
    <row r="297" spans="4:14" ht="16.5" x14ac:dyDescent="0.25">
      <c r="D297" s="14">
        <v>257</v>
      </c>
      <c r="E297" s="14" t="str">
        <f t="shared" ref="E297:E360" si="28">IF(AND($B$8=1,$D297&lt;=$B$7),E296*(1+$B$4)+$B$11,"")</f>
        <v/>
      </c>
      <c r="F297" s="14" t="str">
        <f>IF(AND($B$8=1,$D297&lt;=$B$7),IF($B$5=1,Calculator!$C$9*POWER(1+Calculator!$C$14/100,$D297/12),Calculator!$C$9),"")</f>
        <v/>
      </c>
      <c r="G297" s="14">
        <f>G296*(1+$B$4)+Calculator!$C$25</f>
        <v>107451.49876397503</v>
      </c>
      <c r="H297" s="14">
        <f>IF($B$5=1,Calculator!$C$9*POWER(1+Calculator!$C$14/100,$D297/12),Calculator!$C$9)</f>
        <v>10000</v>
      </c>
      <c r="J297" s="14">
        <f t="shared" ref="J297:J360" si="29">IF(G297&gt;=H297,1,0)</f>
        <v>1</v>
      </c>
      <c r="K297" s="14" t="e">
        <f t="shared" si="24"/>
        <v>#N/A</v>
      </c>
      <c r="L297" s="14" t="e">
        <f t="shared" si="25"/>
        <v>#N/A</v>
      </c>
      <c r="M297" s="14" t="e">
        <f t="shared" si="26"/>
        <v>#N/A</v>
      </c>
      <c r="N297" s="14" t="e">
        <f t="shared" si="27"/>
        <v>#N/A</v>
      </c>
    </row>
    <row r="298" spans="4:14" ht="16.5" x14ac:dyDescent="0.25">
      <c r="D298" s="14">
        <v>258</v>
      </c>
      <c r="E298" s="14" t="str">
        <f t="shared" si="28"/>
        <v/>
      </c>
      <c r="F298" s="14" t="str">
        <f>IF(AND($B$8=1,$D298&lt;=$B$7),IF($B$5=1,Calculator!$C$9*POWER(1+Calculator!$C$14/100,$D298/12),Calculator!$C$9),"")</f>
        <v/>
      </c>
      <c r="G298" s="14">
        <f>G297*(1+$B$4)+Calculator!$C$25</f>
        <v>108016.50314736535</v>
      </c>
      <c r="H298" s="14">
        <f>IF($B$5=1,Calculator!$C$9*POWER(1+Calculator!$C$14/100,$D298/12),Calculator!$C$9)</f>
        <v>10000</v>
      </c>
      <c r="J298" s="14">
        <f t="shared" si="29"/>
        <v>1</v>
      </c>
      <c r="K298" s="14" t="e">
        <f t="shared" si="24"/>
        <v>#N/A</v>
      </c>
      <c r="L298" s="14" t="e">
        <f t="shared" si="25"/>
        <v>#N/A</v>
      </c>
      <c r="M298" s="14" t="e">
        <f t="shared" si="26"/>
        <v>#N/A</v>
      </c>
      <c r="N298" s="14" t="e">
        <f t="shared" si="27"/>
        <v>#N/A</v>
      </c>
    </row>
    <row r="299" spans="4:14" ht="16.5" x14ac:dyDescent="0.25">
      <c r="D299" s="14">
        <v>259</v>
      </c>
      <c r="E299" s="14" t="str">
        <f t="shared" si="28"/>
        <v/>
      </c>
      <c r="F299" s="14" t="str">
        <f>IF(AND($B$8=1,$D299&lt;=$B$7),IF($B$5=1,Calculator!$C$9*POWER(1+Calculator!$C$14/100,$D299/12),Calculator!$C$9),"")</f>
        <v/>
      </c>
      <c r="G299" s="14">
        <f>G298*(1+$B$4)+Calculator!$C$25</f>
        <v>108582.90098398764</v>
      </c>
      <c r="H299" s="14">
        <f>IF($B$5=1,Calculator!$C$9*POWER(1+Calculator!$C$14/100,$D299/12),Calculator!$C$9)</f>
        <v>10000</v>
      </c>
      <c r="J299" s="14">
        <f t="shared" si="29"/>
        <v>1</v>
      </c>
      <c r="K299" s="14" t="e">
        <f t="shared" si="24"/>
        <v>#N/A</v>
      </c>
      <c r="L299" s="14" t="e">
        <f t="shared" si="25"/>
        <v>#N/A</v>
      </c>
      <c r="M299" s="14" t="e">
        <f t="shared" si="26"/>
        <v>#N/A</v>
      </c>
      <c r="N299" s="14" t="e">
        <f t="shared" si="27"/>
        <v>#N/A</v>
      </c>
    </row>
    <row r="300" spans="4:14" ht="16.5" x14ac:dyDescent="0.25">
      <c r="D300" s="14">
        <v>260</v>
      </c>
      <c r="E300" s="14" t="str">
        <f t="shared" si="28"/>
        <v/>
      </c>
      <c r="F300" s="14" t="str">
        <f>IF(AND($B$8=1,$D300&lt;=$B$7),IF($B$5=1,Calculator!$C$9*POWER(1+Calculator!$C$14/100,$D300/12),Calculator!$C$9),"")</f>
        <v/>
      </c>
      <c r="G300" s="14">
        <f>G299*(1+$B$4)+Calculator!$C$25</f>
        <v>109150.69571047349</v>
      </c>
      <c r="H300" s="14">
        <f>IF($B$5=1,Calculator!$C$9*POWER(1+Calculator!$C$14/100,$D300/12),Calculator!$C$9)</f>
        <v>10000</v>
      </c>
      <c r="J300" s="14">
        <f t="shared" si="29"/>
        <v>1</v>
      </c>
      <c r="K300" s="14" t="e">
        <f t="shared" si="24"/>
        <v>#N/A</v>
      </c>
      <c r="L300" s="14" t="e">
        <f t="shared" si="25"/>
        <v>#N/A</v>
      </c>
      <c r="M300" s="14" t="e">
        <f t="shared" si="26"/>
        <v>#N/A</v>
      </c>
      <c r="N300" s="14" t="e">
        <f t="shared" si="27"/>
        <v>#N/A</v>
      </c>
    </row>
    <row r="301" spans="4:14" ht="16.5" x14ac:dyDescent="0.25">
      <c r="D301" s="14">
        <v>261</v>
      </c>
      <c r="E301" s="14" t="str">
        <f t="shared" si="28"/>
        <v/>
      </c>
      <c r="F301" s="14" t="str">
        <f>IF(AND($B$8=1,$D301&lt;=$B$7),IF($B$5=1,Calculator!$C$9*POWER(1+Calculator!$C$14/100,$D301/12),Calculator!$C$9),"")</f>
        <v/>
      </c>
      <c r="G301" s="14">
        <f>G300*(1+$B$4)+Calculator!$C$25</f>
        <v>109719.89077193015</v>
      </c>
      <c r="H301" s="14">
        <f>IF($B$5=1,Calculator!$C$9*POWER(1+Calculator!$C$14/100,$D301/12),Calculator!$C$9)</f>
        <v>10000</v>
      </c>
      <c r="J301" s="14">
        <f t="shared" si="29"/>
        <v>1</v>
      </c>
      <c r="K301" s="14" t="e">
        <f t="shared" si="24"/>
        <v>#N/A</v>
      </c>
      <c r="L301" s="14" t="e">
        <f t="shared" si="25"/>
        <v>#N/A</v>
      </c>
      <c r="M301" s="14" t="e">
        <f t="shared" si="26"/>
        <v>#N/A</v>
      </c>
      <c r="N301" s="14" t="e">
        <f t="shared" si="27"/>
        <v>#N/A</v>
      </c>
    </row>
    <row r="302" spans="4:14" ht="16.5" x14ac:dyDescent="0.25">
      <c r="D302" s="14">
        <v>262</v>
      </c>
      <c r="E302" s="14" t="str">
        <f t="shared" si="28"/>
        <v/>
      </c>
      <c r="F302" s="14" t="str">
        <f>IF(AND($B$8=1,$D302&lt;=$B$7),IF($B$5=1,Calculator!$C$9*POWER(1+Calculator!$C$14/100,$D302/12),Calculator!$C$9),"")</f>
        <v/>
      </c>
      <c r="G302" s="14">
        <f>G301*(1+$B$4)+Calculator!$C$25</f>
        <v>110290.48962196142</v>
      </c>
      <c r="H302" s="14">
        <f>IF($B$5=1,Calculator!$C$9*POWER(1+Calculator!$C$14/100,$D302/12),Calculator!$C$9)</f>
        <v>10000</v>
      </c>
      <c r="J302" s="14">
        <f t="shared" si="29"/>
        <v>1</v>
      </c>
      <c r="K302" s="14" t="e">
        <f t="shared" si="24"/>
        <v>#N/A</v>
      </c>
      <c r="L302" s="14" t="e">
        <f t="shared" si="25"/>
        <v>#N/A</v>
      </c>
      <c r="M302" s="14" t="e">
        <f t="shared" si="26"/>
        <v>#N/A</v>
      </c>
      <c r="N302" s="14" t="e">
        <f t="shared" si="27"/>
        <v>#N/A</v>
      </c>
    </row>
    <row r="303" spans="4:14" ht="16.5" x14ac:dyDescent="0.25">
      <c r="D303" s="14">
        <v>263</v>
      </c>
      <c r="E303" s="14" t="str">
        <f t="shared" si="28"/>
        <v/>
      </c>
      <c r="F303" s="14" t="str">
        <f>IF(AND($B$8=1,$D303&lt;=$B$7),IF($B$5=1,Calculator!$C$9*POWER(1+Calculator!$C$14/100,$D303/12),Calculator!$C$9),"")</f>
        <v/>
      </c>
      <c r="G303" s="14">
        <f>G302*(1+$B$4)+Calculator!$C$25</f>
        <v>110862.49572268863</v>
      </c>
      <c r="H303" s="14">
        <f>IF($B$5=1,Calculator!$C$9*POWER(1+Calculator!$C$14/100,$D303/12),Calculator!$C$9)</f>
        <v>10000</v>
      </c>
      <c r="J303" s="14">
        <f t="shared" si="29"/>
        <v>1</v>
      </c>
      <c r="K303" s="14" t="e">
        <f t="shared" si="24"/>
        <v>#N/A</v>
      </c>
      <c r="L303" s="14" t="e">
        <f t="shared" si="25"/>
        <v>#N/A</v>
      </c>
      <c r="M303" s="14" t="e">
        <f t="shared" si="26"/>
        <v>#N/A</v>
      </c>
      <c r="N303" s="14" t="e">
        <f t="shared" si="27"/>
        <v>#N/A</v>
      </c>
    </row>
    <row r="304" spans="4:14" ht="16.5" x14ac:dyDescent="0.25">
      <c r="D304" s="14">
        <v>264</v>
      </c>
      <c r="E304" s="14" t="str">
        <f t="shared" si="28"/>
        <v/>
      </c>
      <c r="F304" s="14" t="str">
        <f>IF(AND($B$8=1,$D304&lt;=$B$7),IF($B$5=1,Calculator!$C$9*POWER(1+Calculator!$C$14/100,$D304/12),Calculator!$C$9),"")</f>
        <v/>
      </c>
      <c r="G304" s="14">
        <f>G303*(1+$B$4)+Calculator!$C$25</f>
        <v>111435.91254477165</v>
      </c>
      <c r="H304" s="14">
        <f>IF($B$5=1,Calculator!$C$9*POWER(1+Calculator!$C$14/100,$D304/12),Calculator!$C$9)</f>
        <v>10000</v>
      </c>
      <c r="J304" s="14">
        <f t="shared" si="29"/>
        <v>1</v>
      </c>
      <c r="K304" s="14" t="e">
        <f t="shared" si="24"/>
        <v>#N/A</v>
      </c>
      <c r="L304" s="14" t="e">
        <f t="shared" si="25"/>
        <v>#N/A</v>
      </c>
      <c r="M304" s="14" t="e">
        <f t="shared" si="26"/>
        <v>#N/A</v>
      </c>
      <c r="N304" s="14" t="e">
        <f t="shared" si="27"/>
        <v>#N/A</v>
      </c>
    </row>
    <row r="305" spans="4:14" ht="16.5" x14ac:dyDescent="0.25">
      <c r="D305" s="14">
        <v>265</v>
      </c>
      <c r="E305" s="14" t="str">
        <f t="shared" si="28"/>
        <v/>
      </c>
      <c r="F305" s="14" t="str">
        <f>IF(AND($B$8=1,$D305&lt;=$B$7),IF($B$5=1,Calculator!$C$9*POWER(1+Calculator!$C$14/100,$D305/12),Calculator!$C$9),"")</f>
        <v/>
      </c>
      <c r="G305" s="14">
        <f>G304*(1+$B$4)+Calculator!$C$25</f>
        <v>112010.7435674299</v>
      </c>
      <c r="H305" s="14">
        <f>IF($B$5=1,Calculator!$C$9*POWER(1+Calculator!$C$14/100,$D305/12),Calculator!$C$9)</f>
        <v>10000</v>
      </c>
      <c r="J305" s="14">
        <f t="shared" si="29"/>
        <v>1</v>
      </c>
      <c r="K305" s="14" t="e">
        <f t="shared" si="24"/>
        <v>#N/A</v>
      </c>
      <c r="L305" s="14" t="e">
        <f t="shared" si="25"/>
        <v>#N/A</v>
      </c>
      <c r="M305" s="14" t="e">
        <f t="shared" si="26"/>
        <v>#N/A</v>
      </c>
      <c r="N305" s="14" t="e">
        <f t="shared" si="27"/>
        <v>#N/A</v>
      </c>
    </row>
    <row r="306" spans="4:14" ht="16.5" x14ac:dyDescent="0.25">
      <c r="D306" s="14">
        <v>266</v>
      </c>
      <c r="E306" s="14" t="str">
        <f t="shared" si="28"/>
        <v/>
      </c>
      <c r="F306" s="14" t="str">
        <f>IF(AND($B$8=1,$D306&lt;=$B$7),IF($B$5=1,Calculator!$C$9*POWER(1+Calculator!$C$14/100,$D306/12),Calculator!$C$9),"")</f>
        <v/>
      </c>
      <c r="G306" s="14">
        <f>G305*(1+$B$4)+Calculator!$C$25</f>
        <v>112586.99227846351</v>
      </c>
      <c r="H306" s="14">
        <f>IF($B$5=1,Calculator!$C$9*POWER(1+Calculator!$C$14/100,$D306/12),Calculator!$C$9)</f>
        <v>10000</v>
      </c>
      <c r="J306" s="14">
        <f t="shared" si="29"/>
        <v>1</v>
      </c>
      <c r="K306" s="14" t="e">
        <f t="shared" si="24"/>
        <v>#N/A</v>
      </c>
      <c r="L306" s="14" t="e">
        <f t="shared" si="25"/>
        <v>#N/A</v>
      </c>
      <c r="M306" s="14" t="e">
        <f t="shared" si="26"/>
        <v>#N/A</v>
      </c>
      <c r="N306" s="14" t="e">
        <f t="shared" si="27"/>
        <v>#N/A</v>
      </c>
    </row>
    <row r="307" spans="4:14" ht="16.5" x14ac:dyDescent="0.25">
      <c r="D307" s="14">
        <v>267</v>
      </c>
      <c r="E307" s="14" t="str">
        <f t="shared" si="28"/>
        <v/>
      </c>
      <c r="F307" s="14" t="str">
        <f>IF(AND($B$8=1,$D307&lt;=$B$7),IF($B$5=1,Calculator!$C$9*POWER(1+Calculator!$C$14/100,$D307/12),Calculator!$C$9),"")</f>
        <v/>
      </c>
      <c r="G307" s="14">
        <f>G306*(1+$B$4)+Calculator!$C$25</f>
        <v>113164.66217427448</v>
      </c>
      <c r="H307" s="14">
        <f>IF($B$5=1,Calculator!$C$9*POWER(1+Calculator!$C$14/100,$D307/12),Calculator!$C$9)</f>
        <v>10000</v>
      </c>
      <c r="J307" s="14">
        <f t="shared" si="29"/>
        <v>1</v>
      </c>
      <c r="K307" s="14" t="e">
        <f t="shared" si="24"/>
        <v>#N/A</v>
      </c>
      <c r="L307" s="14" t="e">
        <f t="shared" si="25"/>
        <v>#N/A</v>
      </c>
      <c r="M307" s="14" t="e">
        <f t="shared" si="26"/>
        <v>#N/A</v>
      </c>
      <c r="N307" s="14" t="e">
        <f t="shared" si="27"/>
        <v>#N/A</v>
      </c>
    </row>
    <row r="308" spans="4:14" ht="16.5" x14ac:dyDescent="0.25">
      <c r="D308" s="14">
        <v>268</v>
      </c>
      <c r="E308" s="14" t="str">
        <f t="shared" si="28"/>
        <v/>
      </c>
      <c r="F308" s="14" t="str">
        <f>IF(AND($B$8=1,$D308&lt;=$B$7),IF($B$5=1,Calculator!$C$9*POWER(1+Calculator!$C$14/100,$D308/12),Calculator!$C$9),"")</f>
        <v/>
      </c>
      <c r="G308" s="14">
        <f>G307*(1+$B$4)+Calculator!$C$25</f>
        <v>113743.75675988785</v>
      </c>
      <c r="H308" s="14">
        <f>IF($B$5=1,Calculator!$C$9*POWER(1+Calculator!$C$14/100,$D308/12),Calculator!$C$9)</f>
        <v>10000</v>
      </c>
      <c r="J308" s="14">
        <f t="shared" si="29"/>
        <v>1</v>
      </c>
      <c r="K308" s="14" t="e">
        <f t="shared" si="24"/>
        <v>#N/A</v>
      </c>
      <c r="L308" s="14" t="e">
        <f t="shared" si="25"/>
        <v>#N/A</v>
      </c>
      <c r="M308" s="14" t="e">
        <f t="shared" si="26"/>
        <v>#N/A</v>
      </c>
      <c r="N308" s="14" t="e">
        <f t="shared" si="27"/>
        <v>#N/A</v>
      </c>
    </row>
    <row r="309" spans="4:14" ht="16.5" x14ac:dyDescent="0.25">
      <c r="D309" s="14">
        <v>269</v>
      </c>
      <c r="E309" s="14" t="str">
        <f t="shared" si="28"/>
        <v/>
      </c>
      <c r="F309" s="14" t="str">
        <f>IF(AND($B$8=1,$D309&lt;=$B$7),IF($B$5=1,Calculator!$C$9*POWER(1+Calculator!$C$14/100,$D309/12),Calculator!$C$9),"")</f>
        <v/>
      </c>
      <c r="G309" s="14">
        <f>G308*(1+$B$4)+Calculator!$C$25</f>
        <v>114324.27954897302</v>
      </c>
      <c r="H309" s="14">
        <f>IF($B$5=1,Calculator!$C$9*POWER(1+Calculator!$C$14/100,$D309/12),Calculator!$C$9)</f>
        <v>10000</v>
      </c>
      <c r="J309" s="14">
        <f t="shared" si="29"/>
        <v>1</v>
      </c>
      <c r="K309" s="14" t="e">
        <f t="shared" si="24"/>
        <v>#N/A</v>
      </c>
      <c r="L309" s="14" t="e">
        <f t="shared" si="25"/>
        <v>#N/A</v>
      </c>
      <c r="M309" s="14" t="e">
        <f t="shared" si="26"/>
        <v>#N/A</v>
      </c>
      <c r="N309" s="14" t="e">
        <f t="shared" si="27"/>
        <v>#N/A</v>
      </c>
    </row>
    <row r="310" spans="4:14" ht="16.5" x14ac:dyDescent="0.25">
      <c r="D310" s="14">
        <v>270</v>
      </c>
      <c r="E310" s="14" t="str">
        <f t="shared" si="28"/>
        <v/>
      </c>
      <c r="F310" s="14" t="str">
        <f>IF(AND($B$8=1,$D310&lt;=$B$7),IF($B$5=1,Calculator!$C$9*POWER(1+Calculator!$C$14/100,$D310/12),Calculator!$C$9),"")</f>
        <v/>
      </c>
      <c r="G310" s="14">
        <f>G309*(1+$B$4)+Calculator!$C$25</f>
        <v>114906.23406386505</v>
      </c>
      <c r="H310" s="14">
        <f>IF($B$5=1,Calculator!$C$9*POWER(1+Calculator!$C$14/100,$D310/12),Calculator!$C$9)</f>
        <v>10000</v>
      </c>
      <c r="J310" s="14">
        <f t="shared" si="29"/>
        <v>1</v>
      </c>
      <c r="K310" s="14" t="e">
        <f t="shared" si="24"/>
        <v>#N/A</v>
      </c>
      <c r="L310" s="14" t="e">
        <f t="shared" si="25"/>
        <v>#N/A</v>
      </c>
      <c r="M310" s="14" t="e">
        <f t="shared" si="26"/>
        <v>#N/A</v>
      </c>
      <c r="N310" s="14" t="e">
        <f t="shared" si="27"/>
        <v>#N/A</v>
      </c>
    </row>
    <row r="311" spans="4:14" ht="16.5" x14ac:dyDescent="0.25">
      <c r="D311" s="14">
        <v>271</v>
      </c>
      <c r="E311" s="14" t="str">
        <f t="shared" si="28"/>
        <v/>
      </c>
      <c r="F311" s="14" t="str">
        <f>IF(AND($B$8=1,$D311&lt;=$B$7),IF($B$5=1,Calculator!$C$9*POWER(1+Calculator!$C$14/100,$D311/12),Calculator!$C$9),"")</f>
        <v/>
      </c>
      <c r="G311" s="14">
        <f>G310*(1+$B$4)+Calculator!$C$25</f>
        <v>115489.62383558601</v>
      </c>
      <c r="H311" s="14">
        <f>IF($B$5=1,Calculator!$C$9*POWER(1+Calculator!$C$14/100,$D311/12),Calculator!$C$9)</f>
        <v>10000</v>
      </c>
      <c r="J311" s="14">
        <f t="shared" si="29"/>
        <v>1</v>
      </c>
      <c r="K311" s="14" t="e">
        <f t="shared" si="24"/>
        <v>#N/A</v>
      </c>
      <c r="L311" s="14" t="e">
        <f t="shared" si="25"/>
        <v>#N/A</v>
      </c>
      <c r="M311" s="14" t="e">
        <f t="shared" si="26"/>
        <v>#N/A</v>
      </c>
      <c r="N311" s="14" t="e">
        <f t="shared" si="27"/>
        <v>#N/A</v>
      </c>
    </row>
    <row r="312" spans="4:14" ht="16.5" x14ac:dyDescent="0.25">
      <c r="D312" s="14">
        <v>272</v>
      </c>
      <c r="E312" s="14" t="str">
        <f t="shared" si="28"/>
        <v/>
      </c>
      <c r="F312" s="14" t="str">
        <f>IF(AND($B$8=1,$D312&lt;=$B$7),IF($B$5=1,Calculator!$C$9*POWER(1+Calculator!$C$14/100,$D312/12),Calculator!$C$9),"")</f>
        <v/>
      </c>
      <c r="G312" s="14">
        <f>G311*(1+$B$4)+Calculator!$C$25</f>
        <v>116074.45240386644</v>
      </c>
      <c r="H312" s="14">
        <f>IF($B$5=1,Calculator!$C$9*POWER(1+Calculator!$C$14/100,$D312/12),Calculator!$C$9)</f>
        <v>10000</v>
      </c>
      <c r="J312" s="14">
        <f t="shared" si="29"/>
        <v>1</v>
      </c>
      <c r="K312" s="14" t="e">
        <f t="shared" si="24"/>
        <v>#N/A</v>
      </c>
      <c r="L312" s="14" t="e">
        <f t="shared" si="25"/>
        <v>#N/A</v>
      </c>
      <c r="M312" s="14" t="e">
        <f t="shared" si="26"/>
        <v>#N/A</v>
      </c>
      <c r="N312" s="14" t="e">
        <f t="shared" si="27"/>
        <v>#N/A</v>
      </c>
    </row>
    <row r="313" spans="4:14" ht="16.5" x14ac:dyDescent="0.25">
      <c r="D313" s="14">
        <v>273</v>
      </c>
      <c r="E313" s="14" t="str">
        <f t="shared" si="28"/>
        <v/>
      </c>
      <c r="F313" s="14" t="str">
        <f>IF(AND($B$8=1,$D313&lt;=$B$7),IF($B$5=1,Calculator!$C$9*POWER(1+Calculator!$C$14/100,$D313/12),Calculator!$C$9),"")</f>
        <v/>
      </c>
      <c r="G313" s="14">
        <f>G312*(1+$B$4)+Calculator!$C$25</f>
        <v>116660.72331716679</v>
      </c>
      <c r="H313" s="14">
        <f>IF($B$5=1,Calculator!$C$9*POWER(1+Calculator!$C$14/100,$D313/12),Calculator!$C$9)</f>
        <v>10000</v>
      </c>
      <c r="J313" s="14">
        <f t="shared" si="29"/>
        <v>1</v>
      </c>
      <c r="K313" s="14" t="e">
        <f t="shared" si="24"/>
        <v>#N/A</v>
      </c>
      <c r="L313" s="14" t="e">
        <f t="shared" si="25"/>
        <v>#N/A</v>
      </c>
      <c r="M313" s="14" t="e">
        <f t="shared" si="26"/>
        <v>#N/A</v>
      </c>
      <c r="N313" s="14" t="e">
        <f t="shared" si="27"/>
        <v>#N/A</v>
      </c>
    </row>
    <row r="314" spans="4:14" ht="16.5" x14ac:dyDescent="0.25">
      <c r="D314" s="14">
        <v>274</v>
      </c>
      <c r="E314" s="14" t="str">
        <f t="shared" si="28"/>
        <v/>
      </c>
      <c r="F314" s="14" t="str">
        <f>IF(AND($B$8=1,$D314&lt;=$B$7),IF($B$5=1,Calculator!$C$9*POWER(1+Calculator!$C$14/100,$D314/12),Calculator!$C$9),"")</f>
        <v/>
      </c>
      <c r="G314" s="14">
        <f>G313*(1+$B$4)+Calculator!$C$25</f>
        <v>117248.440132699</v>
      </c>
      <c r="H314" s="14">
        <f>IF($B$5=1,Calculator!$C$9*POWER(1+Calculator!$C$14/100,$D314/12),Calculator!$C$9)</f>
        <v>10000</v>
      </c>
      <c r="J314" s="14">
        <f t="shared" si="29"/>
        <v>1</v>
      </c>
      <c r="K314" s="14" t="e">
        <f t="shared" si="24"/>
        <v>#N/A</v>
      </c>
      <c r="L314" s="14" t="e">
        <f t="shared" si="25"/>
        <v>#N/A</v>
      </c>
      <c r="M314" s="14" t="e">
        <f t="shared" si="26"/>
        <v>#N/A</v>
      </c>
      <c r="N314" s="14" t="e">
        <f t="shared" si="27"/>
        <v>#N/A</v>
      </c>
    </row>
    <row r="315" spans="4:14" ht="16.5" x14ac:dyDescent="0.25">
      <c r="D315" s="14">
        <v>275</v>
      </c>
      <c r="E315" s="14" t="str">
        <f t="shared" si="28"/>
        <v/>
      </c>
      <c r="F315" s="14" t="str">
        <f>IF(AND($B$8=1,$D315&lt;=$B$7),IF($B$5=1,Calculator!$C$9*POWER(1+Calculator!$C$14/100,$D315/12),Calculator!$C$9),"")</f>
        <v/>
      </c>
      <c r="G315" s="14">
        <f>G314*(1+$B$4)+Calculator!$C$25</f>
        <v>117837.60641644803</v>
      </c>
      <c r="H315" s="14">
        <f>IF($B$5=1,Calculator!$C$9*POWER(1+Calculator!$C$14/100,$D315/12),Calculator!$C$9)</f>
        <v>10000</v>
      </c>
      <c r="J315" s="14">
        <f t="shared" si="29"/>
        <v>1</v>
      </c>
      <c r="K315" s="14" t="e">
        <f t="shared" si="24"/>
        <v>#N/A</v>
      </c>
      <c r="L315" s="14" t="e">
        <f t="shared" si="25"/>
        <v>#N/A</v>
      </c>
      <c r="M315" s="14" t="e">
        <f t="shared" si="26"/>
        <v>#N/A</v>
      </c>
      <c r="N315" s="14" t="e">
        <f t="shared" si="27"/>
        <v>#N/A</v>
      </c>
    </row>
    <row r="316" spans="4:14" ht="16.5" x14ac:dyDescent="0.25">
      <c r="D316" s="14">
        <v>276</v>
      </c>
      <c r="E316" s="14" t="str">
        <f t="shared" si="28"/>
        <v/>
      </c>
      <c r="F316" s="14" t="str">
        <f>IF(AND($B$8=1,$D316&lt;=$B$7),IF($B$5=1,Calculator!$C$9*POWER(1+Calculator!$C$14/100,$D316/12),Calculator!$C$9),"")</f>
        <v/>
      </c>
      <c r="G316" s="14">
        <f>G315*(1+$B$4)+Calculator!$C$25</f>
        <v>118428.22574319354</v>
      </c>
      <c r="H316" s="14">
        <f>IF($B$5=1,Calculator!$C$9*POWER(1+Calculator!$C$14/100,$D316/12),Calculator!$C$9)</f>
        <v>10000</v>
      </c>
      <c r="J316" s="14">
        <f t="shared" si="29"/>
        <v>1</v>
      </c>
      <c r="K316" s="14" t="e">
        <f t="shared" si="24"/>
        <v>#N/A</v>
      </c>
      <c r="L316" s="14" t="e">
        <f t="shared" si="25"/>
        <v>#N/A</v>
      </c>
      <c r="M316" s="14" t="e">
        <f t="shared" si="26"/>
        <v>#N/A</v>
      </c>
      <c r="N316" s="14" t="e">
        <f t="shared" si="27"/>
        <v>#N/A</v>
      </c>
    </row>
    <row r="317" spans="4:14" ht="16.5" x14ac:dyDescent="0.25">
      <c r="D317" s="14">
        <v>277</v>
      </c>
      <c r="E317" s="14" t="str">
        <f t="shared" si="28"/>
        <v/>
      </c>
      <c r="F317" s="14" t="str">
        <f>IF(AND($B$8=1,$D317&lt;=$B$7),IF($B$5=1,Calculator!$C$9*POWER(1+Calculator!$C$14/100,$D317/12),Calculator!$C$9),"")</f>
        <v/>
      </c>
      <c r="G317" s="14">
        <f>G316*(1+$B$4)+Calculator!$C$25</f>
        <v>119020.30169653153</v>
      </c>
      <c r="H317" s="14">
        <f>IF($B$5=1,Calculator!$C$9*POWER(1+Calculator!$C$14/100,$D317/12),Calculator!$C$9)</f>
        <v>10000</v>
      </c>
      <c r="J317" s="14">
        <f t="shared" si="29"/>
        <v>1</v>
      </c>
      <c r="K317" s="14" t="e">
        <f t="shared" si="24"/>
        <v>#N/A</v>
      </c>
      <c r="L317" s="14" t="e">
        <f t="shared" si="25"/>
        <v>#N/A</v>
      </c>
      <c r="M317" s="14" t="e">
        <f t="shared" si="26"/>
        <v>#N/A</v>
      </c>
      <c r="N317" s="14" t="e">
        <f t="shared" si="27"/>
        <v>#N/A</v>
      </c>
    </row>
    <row r="318" spans="4:14" ht="16.5" x14ac:dyDescent="0.25">
      <c r="D318" s="14">
        <v>278</v>
      </c>
      <c r="E318" s="14" t="str">
        <f t="shared" si="28"/>
        <v/>
      </c>
      <c r="F318" s="14" t="str">
        <f>IF(AND($B$8=1,$D318&lt;=$B$7),IF($B$5=1,Calculator!$C$9*POWER(1+Calculator!$C$14/100,$D318/12),Calculator!$C$9),"")</f>
        <v/>
      </c>
      <c r="G318" s="14">
        <f>G317*(1+$B$4)+Calculator!$C$25</f>
        <v>119613.83786889615</v>
      </c>
      <c r="H318" s="14">
        <f>IF($B$5=1,Calculator!$C$9*POWER(1+Calculator!$C$14/100,$D318/12),Calculator!$C$9)</f>
        <v>10000</v>
      </c>
      <c r="J318" s="14">
        <f t="shared" si="29"/>
        <v>1</v>
      </c>
      <c r="K318" s="14" t="e">
        <f t="shared" si="24"/>
        <v>#N/A</v>
      </c>
      <c r="L318" s="14" t="e">
        <f t="shared" si="25"/>
        <v>#N/A</v>
      </c>
      <c r="M318" s="14" t="e">
        <f t="shared" si="26"/>
        <v>#N/A</v>
      </c>
      <c r="N318" s="14" t="e">
        <f t="shared" si="27"/>
        <v>#N/A</v>
      </c>
    </row>
    <row r="319" spans="4:14" ht="16.5" x14ac:dyDescent="0.25">
      <c r="D319" s="14">
        <v>279</v>
      </c>
      <c r="E319" s="14" t="str">
        <f t="shared" si="28"/>
        <v/>
      </c>
      <c r="F319" s="14" t="str">
        <f>IF(AND($B$8=1,$D319&lt;=$B$7),IF($B$5=1,Calculator!$C$9*POWER(1+Calculator!$C$14/100,$D319/12),Calculator!$C$9),"")</f>
        <v/>
      </c>
      <c r="G319" s="14">
        <f>G318*(1+$B$4)+Calculator!$C$25</f>
        <v>120208.83786158144</v>
      </c>
      <c r="H319" s="14">
        <f>IF($B$5=1,Calculator!$C$9*POWER(1+Calculator!$C$14/100,$D319/12),Calculator!$C$9)</f>
        <v>10000</v>
      </c>
      <c r="J319" s="14">
        <f t="shared" si="29"/>
        <v>1</v>
      </c>
      <c r="K319" s="14" t="e">
        <f t="shared" si="24"/>
        <v>#N/A</v>
      </c>
      <c r="L319" s="14" t="e">
        <f t="shared" si="25"/>
        <v>#N/A</v>
      </c>
      <c r="M319" s="14" t="e">
        <f t="shared" si="26"/>
        <v>#N/A</v>
      </c>
      <c r="N319" s="14" t="e">
        <f t="shared" si="27"/>
        <v>#N/A</v>
      </c>
    </row>
    <row r="320" spans="4:14" ht="16.5" x14ac:dyDescent="0.25">
      <c r="D320" s="14">
        <v>280</v>
      </c>
      <c r="E320" s="14" t="str">
        <f t="shared" si="28"/>
        <v/>
      </c>
      <c r="F320" s="14" t="str">
        <f>IF(AND($B$8=1,$D320&lt;=$B$7),IF($B$5=1,Calculator!$C$9*POWER(1+Calculator!$C$14/100,$D320/12),Calculator!$C$9),"")</f>
        <v/>
      </c>
      <c r="G320" s="14">
        <f>G319*(1+$B$4)+Calculator!$C$25</f>
        <v>120805.30528476322</v>
      </c>
      <c r="H320" s="14">
        <f>IF($B$5=1,Calculator!$C$9*POWER(1+Calculator!$C$14/100,$D320/12),Calculator!$C$9)</f>
        <v>10000</v>
      </c>
      <c r="J320" s="14">
        <f t="shared" si="29"/>
        <v>1</v>
      </c>
      <c r="K320" s="14" t="e">
        <f t="shared" si="24"/>
        <v>#N/A</v>
      </c>
      <c r="L320" s="14" t="e">
        <f t="shared" si="25"/>
        <v>#N/A</v>
      </c>
      <c r="M320" s="14" t="e">
        <f t="shared" si="26"/>
        <v>#N/A</v>
      </c>
      <c r="N320" s="14" t="e">
        <f t="shared" si="27"/>
        <v>#N/A</v>
      </c>
    </row>
    <row r="321" spans="4:14" ht="16.5" x14ac:dyDescent="0.25">
      <c r="D321" s="14">
        <v>281</v>
      </c>
      <c r="E321" s="14" t="str">
        <f t="shared" si="28"/>
        <v/>
      </c>
      <c r="F321" s="14" t="str">
        <f>IF(AND($B$8=1,$D321&lt;=$B$7),IF($B$5=1,Calculator!$C$9*POWER(1+Calculator!$C$14/100,$D321/12),Calculator!$C$9),"")</f>
        <v/>
      </c>
      <c r="G321" s="14">
        <f>G320*(1+$B$4)+Calculator!$C$25</f>
        <v>121403.24375752095</v>
      </c>
      <c r="H321" s="14">
        <f>IF($B$5=1,Calculator!$C$9*POWER(1+Calculator!$C$14/100,$D321/12),Calculator!$C$9)</f>
        <v>10000</v>
      </c>
      <c r="J321" s="14">
        <f t="shared" si="29"/>
        <v>1</v>
      </c>
      <c r="K321" s="14" t="e">
        <f t="shared" si="24"/>
        <v>#N/A</v>
      </c>
      <c r="L321" s="14" t="e">
        <f t="shared" si="25"/>
        <v>#N/A</v>
      </c>
      <c r="M321" s="14" t="e">
        <f t="shared" si="26"/>
        <v>#N/A</v>
      </c>
      <c r="N321" s="14" t="e">
        <f t="shared" si="27"/>
        <v>#N/A</v>
      </c>
    </row>
    <row r="322" spans="4:14" ht="16.5" x14ac:dyDescent="0.25">
      <c r="D322" s="14">
        <v>282</v>
      </c>
      <c r="E322" s="14" t="str">
        <f t="shared" si="28"/>
        <v/>
      </c>
      <c r="F322" s="14" t="str">
        <f>IF(AND($B$8=1,$D322&lt;=$B$7),IF($B$5=1,Calculator!$C$9*POWER(1+Calculator!$C$14/100,$D322/12),Calculator!$C$9),"")</f>
        <v/>
      </c>
      <c r="G322" s="14">
        <f>G321*(1+$B$4)+Calculator!$C$25</f>
        <v>122002.65690785974</v>
      </c>
      <c r="H322" s="14">
        <f>IF($B$5=1,Calculator!$C$9*POWER(1+Calculator!$C$14/100,$D322/12),Calculator!$C$9)</f>
        <v>10000</v>
      </c>
      <c r="J322" s="14">
        <f t="shared" si="29"/>
        <v>1</v>
      </c>
      <c r="K322" s="14" t="e">
        <f t="shared" si="24"/>
        <v>#N/A</v>
      </c>
      <c r="L322" s="14" t="e">
        <f t="shared" si="25"/>
        <v>#N/A</v>
      </c>
      <c r="M322" s="14" t="e">
        <f t="shared" si="26"/>
        <v>#N/A</v>
      </c>
      <c r="N322" s="14" t="e">
        <f t="shared" si="27"/>
        <v>#N/A</v>
      </c>
    </row>
    <row r="323" spans="4:14" ht="16.5" x14ac:dyDescent="0.25">
      <c r="D323" s="14">
        <v>283</v>
      </c>
      <c r="E323" s="14" t="str">
        <f t="shared" si="28"/>
        <v/>
      </c>
      <c r="F323" s="14" t="str">
        <f>IF(AND($B$8=1,$D323&lt;=$B$7),IF($B$5=1,Calculator!$C$9*POWER(1+Calculator!$C$14/100,$D323/12),Calculator!$C$9),"")</f>
        <v/>
      </c>
      <c r="G323" s="14">
        <f>G322*(1+$B$4)+Calculator!$C$25</f>
        <v>122603.54837273233</v>
      </c>
      <c r="H323" s="14">
        <f>IF($B$5=1,Calculator!$C$9*POWER(1+Calculator!$C$14/100,$D323/12),Calculator!$C$9)</f>
        <v>10000</v>
      </c>
      <c r="J323" s="14">
        <f t="shared" si="29"/>
        <v>1</v>
      </c>
      <c r="K323" s="14" t="e">
        <f t="shared" si="24"/>
        <v>#N/A</v>
      </c>
      <c r="L323" s="14" t="e">
        <f t="shared" si="25"/>
        <v>#N/A</v>
      </c>
      <c r="M323" s="14" t="e">
        <f t="shared" si="26"/>
        <v>#N/A</v>
      </c>
      <c r="N323" s="14" t="e">
        <f t="shared" si="27"/>
        <v>#N/A</v>
      </c>
    </row>
    <row r="324" spans="4:14" ht="16.5" x14ac:dyDescent="0.25">
      <c r="D324" s="14">
        <v>284</v>
      </c>
      <c r="E324" s="14" t="str">
        <f t="shared" si="28"/>
        <v/>
      </c>
      <c r="F324" s="14" t="str">
        <f>IF(AND($B$8=1,$D324&lt;=$B$7),IF($B$5=1,Calculator!$C$9*POWER(1+Calculator!$C$14/100,$D324/12),Calculator!$C$9),"")</f>
        <v/>
      </c>
      <c r="G324" s="14">
        <f>G323*(1+$B$4)+Calculator!$C$25</f>
        <v>123205.92179806117</v>
      </c>
      <c r="H324" s="14">
        <f>IF($B$5=1,Calculator!$C$9*POWER(1+Calculator!$C$14/100,$D324/12),Calculator!$C$9)</f>
        <v>10000</v>
      </c>
      <c r="J324" s="14">
        <f t="shared" si="29"/>
        <v>1</v>
      </c>
      <c r="K324" s="14" t="e">
        <f t="shared" si="24"/>
        <v>#N/A</v>
      </c>
      <c r="L324" s="14" t="e">
        <f t="shared" si="25"/>
        <v>#N/A</v>
      </c>
      <c r="M324" s="14" t="e">
        <f t="shared" si="26"/>
        <v>#N/A</v>
      </c>
      <c r="N324" s="14" t="e">
        <f t="shared" si="27"/>
        <v>#N/A</v>
      </c>
    </row>
    <row r="325" spans="4:14" ht="16.5" x14ac:dyDescent="0.25">
      <c r="D325" s="14">
        <v>285</v>
      </c>
      <c r="E325" s="14" t="str">
        <f t="shared" si="28"/>
        <v/>
      </c>
      <c r="F325" s="14" t="str">
        <f>IF(AND($B$8=1,$D325&lt;=$B$7),IF($B$5=1,Calculator!$C$9*POWER(1+Calculator!$C$14/100,$D325/12),Calculator!$C$9),"")</f>
        <v/>
      </c>
      <c r="G325" s="14">
        <f>G324*(1+$B$4)+Calculator!$C$25</f>
        <v>123809.78083876055</v>
      </c>
      <c r="H325" s="14">
        <f>IF($B$5=1,Calculator!$C$9*POWER(1+Calculator!$C$14/100,$D325/12),Calculator!$C$9)</f>
        <v>10000</v>
      </c>
      <c r="J325" s="14">
        <f t="shared" si="29"/>
        <v>1</v>
      </c>
      <c r="K325" s="14" t="e">
        <f t="shared" si="24"/>
        <v>#N/A</v>
      </c>
      <c r="L325" s="14" t="e">
        <f t="shared" si="25"/>
        <v>#N/A</v>
      </c>
      <c r="M325" s="14" t="e">
        <f t="shared" si="26"/>
        <v>#N/A</v>
      </c>
      <c r="N325" s="14" t="e">
        <f t="shared" si="27"/>
        <v>#N/A</v>
      </c>
    </row>
    <row r="326" spans="4:14" ht="16.5" x14ac:dyDescent="0.25">
      <c r="D326" s="14">
        <v>286</v>
      </c>
      <c r="E326" s="14" t="str">
        <f t="shared" si="28"/>
        <v/>
      </c>
      <c r="F326" s="14" t="str">
        <f>IF(AND($B$8=1,$D326&lt;=$B$7),IF($B$5=1,Calculator!$C$9*POWER(1+Calculator!$C$14/100,$D326/12),Calculator!$C$9),"")</f>
        <v/>
      </c>
      <c r="G326" s="14">
        <f>G325*(1+$B$4)+Calculator!$C$25</f>
        <v>124415.12915875873</v>
      </c>
      <c r="H326" s="14">
        <f>IF($B$5=1,Calculator!$C$9*POWER(1+Calculator!$C$14/100,$D326/12),Calculator!$C$9)</f>
        <v>10000</v>
      </c>
      <c r="J326" s="14">
        <f t="shared" si="29"/>
        <v>1</v>
      </c>
      <c r="K326" s="14" t="e">
        <f t="shared" si="24"/>
        <v>#N/A</v>
      </c>
      <c r="L326" s="14" t="e">
        <f t="shared" si="25"/>
        <v>#N/A</v>
      </c>
      <c r="M326" s="14" t="e">
        <f t="shared" si="26"/>
        <v>#N/A</v>
      </c>
      <c r="N326" s="14" t="e">
        <f t="shared" si="27"/>
        <v>#N/A</v>
      </c>
    </row>
    <row r="327" spans="4:14" ht="16.5" x14ac:dyDescent="0.25">
      <c r="D327" s="14">
        <v>287</v>
      </c>
      <c r="E327" s="14" t="str">
        <f t="shared" si="28"/>
        <v/>
      </c>
      <c r="F327" s="14" t="str">
        <f>IF(AND($B$8=1,$D327&lt;=$B$7),IF($B$5=1,Calculator!$C$9*POWER(1+Calculator!$C$14/100,$D327/12),Calculator!$C$9),"")</f>
        <v/>
      </c>
      <c r="G327" s="14">
        <f>G326*(1+$B$4)+Calculator!$C$25</f>
        <v>125021.97043102024</v>
      </c>
      <c r="H327" s="14">
        <f>IF($B$5=1,Calculator!$C$9*POWER(1+Calculator!$C$14/100,$D327/12),Calculator!$C$9)</f>
        <v>10000</v>
      </c>
      <c r="J327" s="14">
        <f t="shared" si="29"/>
        <v>1</v>
      </c>
      <c r="K327" s="14" t="e">
        <f t="shared" si="24"/>
        <v>#N/A</v>
      </c>
      <c r="L327" s="14" t="e">
        <f t="shared" si="25"/>
        <v>#N/A</v>
      </c>
      <c r="M327" s="14" t="e">
        <f t="shared" si="26"/>
        <v>#N/A</v>
      </c>
      <c r="N327" s="14" t="e">
        <f t="shared" si="27"/>
        <v>#N/A</v>
      </c>
    </row>
    <row r="328" spans="4:14" ht="16.5" x14ac:dyDescent="0.25">
      <c r="D328" s="14">
        <v>288</v>
      </c>
      <c r="E328" s="14" t="str">
        <f t="shared" si="28"/>
        <v/>
      </c>
      <c r="F328" s="14" t="str">
        <f>IF(AND($B$8=1,$D328&lt;=$B$7),IF($B$5=1,Calculator!$C$9*POWER(1+Calculator!$C$14/100,$D328/12),Calculator!$C$9),"")</f>
        <v/>
      </c>
      <c r="G328" s="14">
        <f>G327*(1+$B$4)+Calculator!$C$25</f>
        <v>125630.3083375681</v>
      </c>
      <c r="H328" s="14">
        <f>IF($B$5=1,Calculator!$C$9*POWER(1+Calculator!$C$14/100,$D328/12),Calculator!$C$9)</f>
        <v>10000</v>
      </c>
      <c r="J328" s="14">
        <f t="shared" si="29"/>
        <v>1</v>
      </c>
      <c r="K328" s="14" t="e">
        <f t="shared" si="24"/>
        <v>#N/A</v>
      </c>
      <c r="L328" s="14" t="e">
        <f t="shared" si="25"/>
        <v>#N/A</v>
      </c>
      <c r="M328" s="14" t="e">
        <f t="shared" si="26"/>
        <v>#N/A</v>
      </c>
      <c r="N328" s="14" t="e">
        <f t="shared" si="27"/>
        <v>#N/A</v>
      </c>
    </row>
    <row r="329" spans="4:14" ht="16.5" x14ac:dyDescent="0.25">
      <c r="D329" s="14">
        <v>289</v>
      </c>
      <c r="E329" s="14" t="str">
        <f t="shared" si="28"/>
        <v/>
      </c>
      <c r="F329" s="14" t="str">
        <f>IF(AND($B$8=1,$D329&lt;=$B$7),IF($B$5=1,Calculator!$C$9*POWER(1+Calculator!$C$14/100,$D329/12),Calculator!$C$9),"")</f>
        <v/>
      </c>
      <c r="G329" s="14">
        <f>G328*(1+$B$4)+Calculator!$C$25</f>
        <v>126240.14656950624</v>
      </c>
      <c r="H329" s="14">
        <f>IF($B$5=1,Calculator!$C$9*POWER(1+Calculator!$C$14/100,$D329/12),Calculator!$C$9)</f>
        <v>10000</v>
      </c>
      <c r="J329" s="14">
        <f t="shared" si="29"/>
        <v>1</v>
      </c>
      <c r="K329" s="14" t="e">
        <f t="shared" si="24"/>
        <v>#N/A</v>
      </c>
      <c r="L329" s="14" t="e">
        <f t="shared" si="25"/>
        <v>#N/A</v>
      </c>
      <c r="M329" s="14" t="e">
        <f t="shared" si="26"/>
        <v>#N/A</v>
      </c>
      <c r="N329" s="14" t="e">
        <f t="shared" si="27"/>
        <v>#N/A</v>
      </c>
    </row>
    <row r="330" spans="4:14" ht="16.5" x14ac:dyDescent="0.25">
      <c r="D330" s="14">
        <v>290</v>
      </c>
      <c r="E330" s="14" t="str">
        <f t="shared" si="28"/>
        <v/>
      </c>
      <c r="F330" s="14" t="str">
        <f>IF(AND($B$8=1,$D330&lt;=$B$7),IF($B$5=1,Calculator!$C$9*POWER(1+Calculator!$C$14/100,$D330/12),Calculator!$C$9),"")</f>
        <v/>
      </c>
      <c r="G330" s="14">
        <f>G329*(1+$B$4)+Calculator!$C$25</f>
        <v>126851.4888270418</v>
      </c>
      <c r="H330" s="14">
        <f>IF($B$5=1,Calculator!$C$9*POWER(1+Calculator!$C$14/100,$D330/12),Calculator!$C$9)</f>
        <v>10000</v>
      </c>
      <c r="J330" s="14">
        <f t="shared" si="29"/>
        <v>1</v>
      </c>
      <c r="K330" s="14" t="e">
        <f t="shared" si="24"/>
        <v>#N/A</v>
      </c>
      <c r="L330" s="14" t="e">
        <f t="shared" si="25"/>
        <v>#N/A</v>
      </c>
      <c r="M330" s="14" t="e">
        <f t="shared" si="26"/>
        <v>#N/A</v>
      </c>
      <c r="N330" s="14" t="e">
        <f t="shared" si="27"/>
        <v>#N/A</v>
      </c>
    </row>
    <row r="331" spans="4:14" ht="16.5" x14ac:dyDescent="0.25">
      <c r="D331" s="14">
        <v>291</v>
      </c>
      <c r="E331" s="14" t="str">
        <f t="shared" si="28"/>
        <v/>
      </c>
      <c r="F331" s="14" t="str">
        <f>IF(AND($B$8=1,$D331&lt;=$B$7),IF($B$5=1,Calculator!$C$9*POWER(1+Calculator!$C$14/100,$D331/12),Calculator!$C$9),"")</f>
        <v/>
      </c>
      <c r="G331" s="14">
        <f>G330*(1+$B$4)+Calculator!$C$25</f>
        <v>127464.33881950765</v>
      </c>
      <c r="H331" s="14">
        <f>IF($B$5=1,Calculator!$C$9*POWER(1+Calculator!$C$14/100,$D331/12),Calculator!$C$9)</f>
        <v>10000</v>
      </c>
      <c r="J331" s="14">
        <f t="shared" si="29"/>
        <v>1</v>
      </c>
      <c r="K331" s="14" t="e">
        <f t="shared" si="24"/>
        <v>#N/A</v>
      </c>
      <c r="L331" s="14" t="e">
        <f t="shared" si="25"/>
        <v>#N/A</v>
      </c>
      <c r="M331" s="14" t="e">
        <f t="shared" si="26"/>
        <v>#N/A</v>
      </c>
      <c r="N331" s="14" t="e">
        <f t="shared" si="27"/>
        <v>#N/A</v>
      </c>
    </row>
    <row r="332" spans="4:14" ht="16.5" x14ac:dyDescent="0.25">
      <c r="D332" s="14">
        <v>292</v>
      </c>
      <c r="E332" s="14" t="str">
        <f t="shared" si="28"/>
        <v/>
      </c>
      <c r="F332" s="14" t="str">
        <f>IF(AND($B$8=1,$D332&lt;=$B$7),IF($B$5=1,Calculator!$C$9*POWER(1+Calculator!$C$14/100,$D332/12),Calculator!$C$9),"")</f>
        <v/>
      </c>
      <c r="G332" s="14">
        <f>G331*(1+$B$4)+Calculator!$C$25</f>
        <v>128078.70026538488</v>
      </c>
      <c r="H332" s="14">
        <f>IF($B$5=1,Calculator!$C$9*POWER(1+Calculator!$C$14/100,$D332/12),Calculator!$C$9)</f>
        <v>10000</v>
      </c>
      <c r="J332" s="14">
        <f t="shared" si="29"/>
        <v>1</v>
      </c>
      <c r="K332" s="14" t="e">
        <f t="shared" si="24"/>
        <v>#N/A</v>
      </c>
      <c r="L332" s="14" t="e">
        <f t="shared" si="25"/>
        <v>#N/A</v>
      </c>
      <c r="M332" s="14" t="e">
        <f t="shared" si="26"/>
        <v>#N/A</v>
      </c>
      <c r="N332" s="14" t="e">
        <f t="shared" si="27"/>
        <v>#N/A</v>
      </c>
    </row>
    <row r="333" spans="4:14" ht="16.5" x14ac:dyDescent="0.25">
      <c r="D333" s="14">
        <v>293</v>
      </c>
      <c r="E333" s="14" t="str">
        <f t="shared" si="28"/>
        <v/>
      </c>
      <c r="F333" s="14" t="str">
        <f>IF(AND($B$8=1,$D333&lt;=$B$7),IF($B$5=1,Calculator!$C$9*POWER(1+Calculator!$C$14/100,$D333/12),Calculator!$C$9),"")</f>
        <v/>
      </c>
      <c r="G333" s="14">
        <f>G332*(1+$B$4)+Calculator!$C$25</f>
        <v>128694.57689232533</v>
      </c>
      <c r="H333" s="14">
        <f>IF($B$5=1,Calculator!$C$9*POWER(1+Calculator!$C$14/100,$D333/12),Calculator!$C$9)</f>
        <v>10000</v>
      </c>
      <c r="J333" s="14">
        <f t="shared" si="29"/>
        <v>1</v>
      </c>
      <c r="K333" s="14" t="e">
        <f t="shared" si="24"/>
        <v>#N/A</v>
      </c>
      <c r="L333" s="14" t="e">
        <f t="shared" si="25"/>
        <v>#N/A</v>
      </c>
      <c r="M333" s="14" t="e">
        <f t="shared" si="26"/>
        <v>#N/A</v>
      </c>
      <c r="N333" s="14" t="e">
        <f t="shared" si="27"/>
        <v>#N/A</v>
      </c>
    </row>
    <row r="334" spans="4:14" ht="16.5" x14ac:dyDescent="0.25">
      <c r="D334" s="14">
        <v>294</v>
      </c>
      <c r="E334" s="14" t="str">
        <f t="shared" si="28"/>
        <v/>
      </c>
      <c r="F334" s="14" t="str">
        <f>IF(AND($B$8=1,$D334&lt;=$B$7),IF($B$5=1,Calculator!$C$9*POWER(1+Calculator!$C$14/100,$D334/12),Calculator!$C$9),"")</f>
        <v/>
      </c>
      <c r="G334" s="14">
        <f>G333*(1+$B$4)+Calculator!$C$25</f>
        <v>129311.97243717429</v>
      </c>
      <c r="H334" s="14">
        <f>IF($B$5=1,Calculator!$C$9*POWER(1+Calculator!$C$14/100,$D334/12),Calculator!$C$9)</f>
        <v>10000</v>
      </c>
      <c r="J334" s="14">
        <f t="shared" si="29"/>
        <v>1</v>
      </c>
      <c r="K334" s="14" t="e">
        <f t="shared" si="24"/>
        <v>#N/A</v>
      </c>
      <c r="L334" s="14" t="e">
        <f t="shared" si="25"/>
        <v>#N/A</v>
      </c>
      <c r="M334" s="14" t="e">
        <f t="shared" si="26"/>
        <v>#N/A</v>
      </c>
      <c r="N334" s="14" t="e">
        <f t="shared" si="27"/>
        <v>#N/A</v>
      </c>
    </row>
    <row r="335" spans="4:14" ht="16.5" x14ac:dyDescent="0.25">
      <c r="D335" s="14">
        <v>295</v>
      </c>
      <c r="E335" s="14" t="str">
        <f t="shared" si="28"/>
        <v/>
      </c>
      <c r="F335" s="14" t="str">
        <f>IF(AND($B$8=1,$D335&lt;=$B$7),IF($B$5=1,Calculator!$C$9*POWER(1+Calculator!$C$14/100,$D335/12),Calculator!$C$9),"")</f>
        <v/>
      </c>
      <c r="G335" s="14">
        <f>G334*(1+$B$4)+Calculator!$C$25</f>
        <v>129930.89064599306</v>
      </c>
      <c r="H335" s="14">
        <f>IF($B$5=1,Calculator!$C$9*POWER(1+Calculator!$C$14/100,$D335/12),Calculator!$C$9)</f>
        <v>10000</v>
      </c>
      <c r="J335" s="14">
        <f t="shared" si="29"/>
        <v>1</v>
      </c>
      <c r="K335" s="14" t="e">
        <f t="shared" si="24"/>
        <v>#N/A</v>
      </c>
      <c r="L335" s="14" t="e">
        <f t="shared" si="25"/>
        <v>#N/A</v>
      </c>
      <c r="M335" s="14" t="e">
        <f t="shared" si="26"/>
        <v>#N/A</v>
      </c>
      <c r="N335" s="14" t="e">
        <f t="shared" si="27"/>
        <v>#N/A</v>
      </c>
    </row>
    <row r="336" spans="4:14" ht="16.5" x14ac:dyDescent="0.25">
      <c r="D336" s="14">
        <v>296</v>
      </c>
      <c r="E336" s="14" t="str">
        <f t="shared" si="28"/>
        <v/>
      </c>
      <c r="F336" s="14" t="str">
        <f>IF(AND($B$8=1,$D336&lt;=$B$7),IF($B$5=1,Calculator!$C$9*POWER(1+Calculator!$C$14/100,$D336/12),Calculator!$C$9),"")</f>
        <v/>
      </c>
      <c r="G336" s="14">
        <f>G335*(1+$B$4)+Calculator!$C$25</f>
        <v>130551.33527408176</v>
      </c>
      <c r="H336" s="14">
        <f>IF($B$5=1,Calculator!$C$9*POWER(1+Calculator!$C$14/100,$D336/12),Calculator!$C$9)</f>
        <v>10000</v>
      </c>
      <c r="J336" s="14">
        <f t="shared" si="29"/>
        <v>1</v>
      </c>
      <c r="K336" s="14" t="e">
        <f t="shared" si="24"/>
        <v>#N/A</v>
      </c>
      <c r="L336" s="14" t="e">
        <f t="shared" si="25"/>
        <v>#N/A</v>
      </c>
      <c r="M336" s="14" t="e">
        <f t="shared" si="26"/>
        <v>#N/A</v>
      </c>
      <c r="N336" s="14" t="e">
        <f t="shared" si="27"/>
        <v>#N/A</v>
      </c>
    </row>
    <row r="337" spans="4:14" ht="16.5" x14ac:dyDescent="0.25">
      <c r="D337" s="14">
        <v>297</v>
      </c>
      <c r="E337" s="14" t="str">
        <f t="shared" si="28"/>
        <v/>
      </c>
      <c r="F337" s="14" t="str">
        <f>IF(AND($B$8=1,$D337&lt;=$B$7),IF($B$5=1,Calculator!$C$9*POWER(1+Calculator!$C$14/100,$D337/12),Calculator!$C$9),"")</f>
        <v/>
      </c>
      <c r="G337" s="14">
        <f>G336*(1+$B$4)+Calculator!$C$25</f>
        <v>131173.31008600211</v>
      </c>
      <c r="H337" s="14">
        <f>IF($B$5=1,Calculator!$C$9*POWER(1+Calculator!$C$14/100,$D337/12),Calculator!$C$9)</f>
        <v>10000</v>
      </c>
      <c r="J337" s="14">
        <f t="shared" si="29"/>
        <v>1</v>
      </c>
      <c r="K337" s="14" t="e">
        <f t="shared" si="24"/>
        <v>#N/A</v>
      </c>
      <c r="L337" s="14" t="e">
        <f t="shared" si="25"/>
        <v>#N/A</v>
      </c>
      <c r="M337" s="14" t="e">
        <f t="shared" si="26"/>
        <v>#N/A</v>
      </c>
      <c r="N337" s="14" t="e">
        <f t="shared" si="27"/>
        <v>#N/A</v>
      </c>
    </row>
    <row r="338" spans="4:14" ht="16.5" x14ac:dyDescent="0.25">
      <c r="D338" s="14">
        <v>298</v>
      </c>
      <c r="E338" s="14" t="str">
        <f t="shared" si="28"/>
        <v/>
      </c>
      <c r="F338" s="14" t="str">
        <f>IF(AND($B$8=1,$D338&lt;=$B$7),IF($B$5=1,Calculator!$C$9*POWER(1+Calculator!$C$14/100,$D338/12),Calculator!$C$9),"")</f>
        <v/>
      </c>
      <c r="G338" s="14">
        <f>G337*(1+$B$4)+Calculator!$C$25</f>
        <v>131796.81885560023</v>
      </c>
      <c r="H338" s="14">
        <f>IF($B$5=1,Calculator!$C$9*POWER(1+Calculator!$C$14/100,$D338/12),Calculator!$C$9)</f>
        <v>10000</v>
      </c>
      <c r="J338" s="14">
        <f t="shared" si="29"/>
        <v>1</v>
      </c>
      <c r="K338" s="14" t="e">
        <f t="shared" si="24"/>
        <v>#N/A</v>
      </c>
      <c r="L338" s="14" t="e">
        <f t="shared" si="25"/>
        <v>#N/A</v>
      </c>
      <c r="M338" s="14" t="e">
        <f t="shared" si="26"/>
        <v>#N/A</v>
      </c>
      <c r="N338" s="14" t="e">
        <f t="shared" si="27"/>
        <v>#N/A</v>
      </c>
    </row>
    <row r="339" spans="4:14" ht="16.5" x14ac:dyDescent="0.25">
      <c r="D339" s="14">
        <v>299</v>
      </c>
      <c r="E339" s="14" t="str">
        <f t="shared" si="28"/>
        <v/>
      </c>
      <c r="F339" s="14" t="str">
        <f>IF(AND($B$8=1,$D339&lt;=$B$7),IF($B$5=1,Calculator!$C$9*POWER(1+Calculator!$C$14/100,$D339/12),Calculator!$C$9),"")</f>
        <v/>
      </c>
      <c r="G339" s="14">
        <f>G338*(1+$B$4)+Calculator!$C$25</f>
        <v>132421.86536602958</v>
      </c>
      <c r="H339" s="14">
        <f>IF($B$5=1,Calculator!$C$9*POWER(1+Calculator!$C$14/100,$D339/12),Calculator!$C$9)</f>
        <v>10000</v>
      </c>
      <c r="J339" s="14">
        <f t="shared" si="29"/>
        <v>1</v>
      </c>
      <c r="K339" s="14" t="e">
        <f t="shared" si="24"/>
        <v>#N/A</v>
      </c>
      <c r="L339" s="14" t="e">
        <f t="shared" si="25"/>
        <v>#N/A</v>
      </c>
      <c r="M339" s="14" t="e">
        <f t="shared" si="26"/>
        <v>#N/A</v>
      </c>
      <c r="N339" s="14" t="e">
        <f t="shared" si="27"/>
        <v>#N/A</v>
      </c>
    </row>
    <row r="340" spans="4:14" ht="16.5" x14ac:dyDescent="0.25">
      <c r="D340" s="14">
        <v>300</v>
      </c>
      <c r="E340" s="14" t="str">
        <f t="shared" si="28"/>
        <v/>
      </c>
      <c r="F340" s="14" t="str">
        <f>IF(AND($B$8=1,$D340&lt;=$B$7),IF($B$5=1,Calculator!$C$9*POWER(1+Calculator!$C$14/100,$D340/12),Calculator!$C$9),"")</f>
        <v/>
      </c>
      <c r="G340" s="14">
        <f>G339*(1+$B$4)+Calculator!$C$25</f>
        <v>133048.45340977388</v>
      </c>
      <c r="H340" s="14">
        <f>IF($B$5=1,Calculator!$C$9*POWER(1+Calculator!$C$14/100,$D340/12),Calculator!$C$9)</f>
        <v>10000</v>
      </c>
      <c r="J340" s="14">
        <f t="shared" si="29"/>
        <v>1</v>
      </c>
      <c r="K340" s="14" t="e">
        <f t="shared" si="24"/>
        <v>#N/A</v>
      </c>
      <c r="L340" s="14" t="e">
        <f t="shared" si="25"/>
        <v>#N/A</v>
      </c>
      <c r="M340" s="14" t="e">
        <f t="shared" si="26"/>
        <v>#N/A</v>
      </c>
      <c r="N340" s="14" t="e">
        <f t="shared" si="27"/>
        <v>#N/A</v>
      </c>
    </row>
    <row r="341" spans="4:14" ht="16.5" x14ac:dyDescent="0.25">
      <c r="D341" s="14">
        <v>301</v>
      </c>
      <c r="E341" s="14" t="str">
        <f t="shared" si="28"/>
        <v/>
      </c>
      <c r="F341" s="14" t="str">
        <f>IF(AND($B$8=1,$D341&lt;=$B$7),IF($B$5=1,Calculator!$C$9*POWER(1+Calculator!$C$14/100,$D341/12),Calculator!$C$9),"")</f>
        <v/>
      </c>
      <c r="G341" s="14">
        <f>G340*(1+$B$4)+Calculator!$C$25</f>
        <v>133676.58678867016</v>
      </c>
      <c r="H341" s="14">
        <f>IF($B$5=1,Calculator!$C$9*POWER(1+Calculator!$C$14/100,$D341/12),Calculator!$C$9)</f>
        <v>10000</v>
      </c>
      <c r="J341" s="14">
        <f t="shared" si="29"/>
        <v>1</v>
      </c>
      <c r="K341" s="14" t="e">
        <f t="shared" si="24"/>
        <v>#N/A</v>
      </c>
      <c r="L341" s="14" t="e">
        <f t="shared" si="25"/>
        <v>#N/A</v>
      </c>
      <c r="M341" s="14" t="e">
        <f t="shared" si="26"/>
        <v>#N/A</v>
      </c>
      <c r="N341" s="14" t="e">
        <f t="shared" si="27"/>
        <v>#N/A</v>
      </c>
    </row>
    <row r="342" spans="4:14" ht="16.5" x14ac:dyDescent="0.25">
      <c r="D342" s="14">
        <v>302</v>
      </c>
      <c r="E342" s="14" t="str">
        <f t="shared" si="28"/>
        <v/>
      </c>
      <c r="F342" s="14" t="str">
        <f>IF(AND($B$8=1,$D342&lt;=$B$7),IF($B$5=1,Calculator!$C$9*POWER(1+Calculator!$C$14/100,$D342/12),Calculator!$C$9),"")</f>
        <v/>
      </c>
      <c r="G342" s="14">
        <f>G341*(1+$B$4)+Calculator!$C$25</f>
        <v>134306.26931393179</v>
      </c>
      <c r="H342" s="14">
        <f>IF($B$5=1,Calculator!$C$9*POWER(1+Calculator!$C$14/100,$D342/12),Calculator!$C$9)</f>
        <v>10000</v>
      </c>
      <c r="J342" s="14">
        <f t="shared" si="29"/>
        <v>1</v>
      </c>
      <c r="K342" s="14" t="e">
        <f t="shared" si="24"/>
        <v>#N/A</v>
      </c>
      <c r="L342" s="14" t="e">
        <f t="shared" si="25"/>
        <v>#N/A</v>
      </c>
      <c r="M342" s="14" t="e">
        <f t="shared" si="26"/>
        <v>#N/A</v>
      </c>
      <c r="N342" s="14" t="e">
        <f t="shared" si="27"/>
        <v>#N/A</v>
      </c>
    </row>
    <row r="343" spans="4:14" ht="16.5" x14ac:dyDescent="0.25">
      <c r="D343" s="14">
        <v>303</v>
      </c>
      <c r="E343" s="14" t="str">
        <f t="shared" si="28"/>
        <v/>
      </c>
      <c r="F343" s="14" t="str">
        <f>IF(AND($B$8=1,$D343&lt;=$B$7),IF($B$5=1,Calculator!$C$9*POWER(1+Calculator!$C$14/100,$D343/12),Calculator!$C$9),"")</f>
        <v/>
      </c>
      <c r="G343" s="14">
        <f>G342*(1+$B$4)+Calculator!$C$25</f>
        <v>134937.50480617161</v>
      </c>
      <c r="H343" s="14">
        <f>IF($B$5=1,Calculator!$C$9*POWER(1+Calculator!$C$14/100,$D343/12),Calculator!$C$9)</f>
        <v>10000</v>
      </c>
      <c r="J343" s="14">
        <f t="shared" si="29"/>
        <v>1</v>
      </c>
      <c r="K343" s="14" t="e">
        <f t="shared" si="24"/>
        <v>#N/A</v>
      </c>
      <c r="L343" s="14" t="e">
        <f t="shared" si="25"/>
        <v>#N/A</v>
      </c>
      <c r="M343" s="14" t="e">
        <f t="shared" si="26"/>
        <v>#N/A</v>
      </c>
      <c r="N343" s="14" t="e">
        <f t="shared" si="27"/>
        <v>#N/A</v>
      </c>
    </row>
    <row r="344" spans="4:14" ht="16.5" x14ac:dyDescent="0.25">
      <c r="D344" s="14">
        <v>304</v>
      </c>
      <c r="E344" s="14" t="str">
        <f t="shared" si="28"/>
        <v/>
      </c>
      <c r="F344" s="14" t="str">
        <f>IF(AND($B$8=1,$D344&lt;=$B$7),IF($B$5=1,Calculator!$C$9*POWER(1+Calculator!$C$14/100,$D344/12),Calculator!$C$9),"")</f>
        <v/>
      </c>
      <c r="G344" s="14">
        <f>G343*(1+$B$4)+Calculator!$C$25</f>
        <v>135570.29709542517</v>
      </c>
      <c r="H344" s="14">
        <f>IF($B$5=1,Calculator!$C$9*POWER(1+Calculator!$C$14/100,$D344/12),Calculator!$C$9)</f>
        <v>10000</v>
      </c>
      <c r="J344" s="14">
        <f t="shared" si="29"/>
        <v>1</v>
      </c>
      <c r="K344" s="14" t="e">
        <f t="shared" si="24"/>
        <v>#N/A</v>
      </c>
      <c r="L344" s="14" t="e">
        <f t="shared" si="25"/>
        <v>#N/A</v>
      </c>
      <c r="M344" s="14" t="e">
        <f t="shared" si="26"/>
        <v>#N/A</v>
      </c>
      <c r="N344" s="14" t="e">
        <f t="shared" si="27"/>
        <v>#N/A</v>
      </c>
    </row>
    <row r="345" spans="4:14" ht="16.5" x14ac:dyDescent="0.25">
      <c r="D345" s="14">
        <v>305</v>
      </c>
      <c r="E345" s="14" t="str">
        <f t="shared" si="28"/>
        <v/>
      </c>
      <c r="F345" s="14" t="str">
        <f>IF(AND($B$8=1,$D345&lt;=$B$7),IF($B$5=1,Calculator!$C$9*POWER(1+Calculator!$C$14/100,$D345/12),Calculator!$C$9),"")</f>
        <v/>
      </c>
      <c r="G345" s="14">
        <f>G344*(1+$B$4)+Calculator!$C$25</f>
        <v>136204.65002117385</v>
      </c>
      <c r="H345" s="14">
        <f>IF($B$5=1,Calculator!$C$9*POWER(1+Calculator!$C$14/100,$D345/12),Calculator!$C$9)</f>
        <v>10000</v>
      </c>
      <c r="J345" s="14">
        <f t="shared" si="29"/>
        <v>1</v>
      </c>
      <c r="K345" s="14" t="e">
        <f t="shared" si="24"/>
        <v>#N/A</v>
      </c>
      <c r="L345" s="14" t="e">
        <f t="shared" si="25"/>
        <v>#N/A</v>
      </c>
      <c r="M345" s="14" t="e">
        <f t="shared" si="26"/>
        <v>#N/A</v>
      </c>
      <c r="N345" s="14" t="e">
        <f t="shared" si="27"/>
        <v>#N/A</v>
      </c>
    </row>
    <row r="346" spans="4:14" ht="16.5" x14ac:dyDescent="0.25">
      <c r="D346" s="14">
        <v>306</v>
      </c>
      <c r="E346" s="14" t="str">
        <f t="shared" si="28"/>
        <v/>
      </c>
      <c r="F346" s="14" t="str">
        <f>IF(AND($B$8=1,$D346&lt;=$B$7),IF($B$5=1,Calculator!$C$9*POWER(1+Calculator!$C$14/100,$D346/12),Calculator!$C$9),"")</f>
        <v/>
      </c>
      <c r="G346" s="14">
        <f>G345*(1+$B$4)+Calculator!$C$25</f>
        <v>136840.56743236826</v>
      </c>
      <c r="H346" s="14">
        <f>IF($B$5=1,Calculator!$C$9*POWER(1+Calculator!$C$14/100,$D346/12),Calculator!$C$9)</f>
        <v>10000</v>
      </c>
      <c r="J346" s="14">
        <f t="shared" si="29"/>
        <v>1</v>
      </c>
      <c r="K346" s="14" t="e">
        <f t="shared" si="24"/>
        <v>#N/A</v>
      </c>
      <c r="L346" s="14" t="e">
        <f t="shared" si="25"/>
        <v>#N/A</v>
      </c>
      <c r="M346" s="14" t="e">
        <f t="shared" si="26"/>
        <v>#N/A</v>
      </c>
      <c r="N346" s="14" t="e">
        <f t="shared" si="27"/>
        <v>#N/A</v>
      </c>
    </row>
    <row r="347" spans="4:14" ht="16.5" x14ac:dyDescent="0.25">
      <c r="D347" s="14">
        <v>307</v>
      </c>
      <c r="E347" s="14" t="str">
        <f t="shared" si="28"/>
        <v/>
      </c>
      <c r="F347" s="14" t="str">
        <f>IF(AND($B$8=1,$D347&lt;=$B$7),IF($B$5=1,Calculator!$C$9*POWER(1+Calculator!$C$14/100,$D347/12),Calculator!$C$9),"")</f>
        <v/>
      </c>
      <c r="G347" s="14">
        <f>G346*(1+$B$4)+Calculator!$C$25</f>
        <v>137478.05318745159</v>
      </c>
      <c r="H347" s="14">
        <f>IF($B$5=1,Calculator!$C$9*POWER(1+Calculator!$C$14/100,$D347/12),Calculator!$C$9)</f>
        <v>10000</v>
      </c>
      <c r="J347" s="14">
        <f t="shared" si="29"/>
        <v>1</v>
      </c>
      <c r="K347" s="14" t="e">
        <f t="shared" si="24"/>
        <v>#N/A</v>
      </c>
      <c r="L347" s="14" t="e">
        <f t="shared" si="25"/>
        <v>#N/A</v>
      </c>
      <c r="M347" s="14" t="e">
        <f t="shared" si="26"/>
        <v>#N/A</v>
      </c>
      <c r="N347" s="14" t="e">
        <f t="shared" si="27"/>
        <v>#N/A</v>
      </c>
    </row>
    <row r="348" spans="4:14" ht="16.5" x14ac:dyDescent="0.25">
      <c r="D348" s="14">
        <v>308</v>
      </c>
      <c r="E348" s="14" t="str">
        <f t="shared" si="28"/>
        <v/>
      </c>
      <c r="F348" s="14" t="str">
        <f>IF(AND($B$8=1,$D348&lt;=$B$7),IF($B$5=1,Calculator!$C$9*POWER(1+Calculator!$C$14/100,$D348/12),Calculator!$C$9),"")</f>
        <v/>
      </c>
      <c r="G348" s="14">
        <f>G347*(1+$B$4)+Calculator!$C$25</f>
        <v>138117.11115438296</v>
      </c>
      <c r="H348" s="14">
        <f>IF($B$5=1,Calculator!$C$9*POWER(1+Calculator!$C$14/100,$D348/12),Calculator!$C$9)</f>
        <v>10000</v>
      </c>
      <c r="J348" s="14">
        <f t="shared" si="29"/>
        <v>1</v>
      </c>
      <c r="K348" s="14" t="e">
        <f t="shared" si="24"/>
        <v>#N/A</v>
      </c>
      <c r="L348" s="14" t="e">
        <f t="shared" si="25"/>
        <v>#N/A</v>
      </c>
      <c r="M348" s="14" t="e">
        <f t="shared" si="26"/>
        <v>#N/A</v>
      </c>
      <c r="N348" s="14" t="e">
        <f t="shared" si="27"/>
        <v>#N/A</v>
      </c>
    </row>
    <row r="349" spans="4:14" ht="16.5" x14ac:dyDescent="0.25">
      <c r="D349" s="14">
        <v>309</v>
      </c>
      <c r="E349" s="14" t="str">
        <f t="shared" si="28"/>
        <v/>
      </c>
      <c r="F349" s="14" t="str">
        <f>IF(AND($B$8=1,$D349&lt;=$B$7),IF($B$5=1,Calculator!$C$9*POWER(1+Calculator!$C$14/100,$D349/12),Calculator!$C$9),"")</f>
        <v/>
      </c>
      <c r="G349" s="14">
        <f>G348*(1+$B$4)+Calculator!$C$25</f>
        <v>138757.74521066091</v>
      </c>
      <c r="H349" s="14">
        <f>IF($B$5=1,Calculator!$C$9*POWER(1+Calculator!$C$14/100,$D349/12),Calculator!$C$9)</f>
        <v>10000</v>
      </c>
      <c r="J349" s="14">
        <f t="shared" si="29"/>
        <v>1</v>
      </c>
      <c r="K349" s="14" t="e">
        <f t="shared" si="24"/>
        <v>#N/A</v>
      </c>
      <c r="L349" s="14" t="e">
        <f t="shared" si="25"/>
        <v>#N/A</v>
      </c>
      <c r="M349" s="14" t="e">
        <f t="shared" si="26"/>
        <v>#N/A</v>
      </c>
      <c r="N349" s="14" t="e">
        <f t="shared" si="27"/>
        <v>#N/A</v>
      </c>
    </row>
    <row r="350" spans="4:14" ht="16.5" x14ac:dyDescent="0.25">
      <c r="D350" s="14">
        <v>310</v>
      </c>
      <c r="E350" s="14" t="str">
        <f t="shared" si="28"/>
        <v/>
      </c>
      <c r="F350" s="14" t="str">
        <f>IF(AND($B$8=1,$D350&lt;=$B$7),IF($B$5=1,Calculator!$C$9*POWER(1+Calculator!$C$14/100,$D350/12),Calculator!$C$9),"")</f>
        <v/>
      </c>
      <c r="G350" s="14">
        <f>G349*(1+$B$4)+Calculator!$C$25</f>
        <v>139399.959243347</v>
      </c>
      <c r="H350" s="14">
        <f>IF($B$5=1,Calculator!$C$9*POWER(1+Calculator!$C$14/100,$D350/12),Calculator!$C$9)</f>
        <v>10000</v>
      </c>
      <c r="J350" s="14">
        <f t="shared" si="29"/>
        <v>1</v>
      </c>
      <c r="K350" s="14" t="e">
        <f t="shared" si="24"/>
        <v>#N/A</v>
      </c>
      <c r="L350" s="14" t="e">
        <f t="shared" si="25"/>
        <v>#N/A</v>
      </c>
      <c r="M350" s="14" t="e">
        <f t="shared" si="26"/>
        <v>#N/A</v>
      </c>
      <c r="N350" s="14" t="e">
        <f t="shared" si="27"/>
        <v>#N/A</v>
      </c>
    </row>
    <row r="351" spans="4:14" ht="16.5" x14ac:dyDescent="0.25">
      <c r="D351" s="14">
        <v>311</v>
      </c>
      <c r="E351" s="14" t="str">
        <f t="shared" si="28"/>
        <v/>
      </c>
      <c r="F351" s="14" t="str">
        <f>IF(AND($B$8=1,$D351&lt;=$B$7),IF($B$5=1,Calculator!$C$9*POWER(1+Calculator!$C$14/100,$D351/12),Calculator!$C$9),"")</f>
        <v/>
      </c>
      <c r="G351" s="14">
        <f>G350*(1+$B$4)+Calculator!$C$25</f>
        <v>140043.75714908922</v>
      </c>
      <c r="H351" s="14">
        <f>IF($B$5=1,Calculator!$C$9*POWER(1+Calculator!$C$14/100,$D351/12),Calculator!$C$9)</f>
        <v>10000</v>
      </c>
      <c r="J351" s="14">
        <f t="shared" si="29"/>
        <v>1</v>
      </c>
      <c r="K351" s="14" t="e">
        <f t="shared" si="24"/>
        <v>#N/A</v>
      </c>
      <c r="L351" s="14" t="e">
        <f t="shared" si="25"/>
        <v>#N/A</v>
      </c>
      <c r="M351" s="14" t="e">
        <f t="shared" si="26"/>
        <v>#N/A</v>
      </c>
      <c r="N351" s="14" t="e">
        <f t="shared" si="27"/>
        <v>#N/A</v>
      </c>
    </row>
    <row r="352" spans="4:14" ht="16.5" x14ac:dyDescent="0.25">
      <c r="D352" s="14">
        <v>312</v>
      </c>
      <c r="E352" s="14" t="str">
        <f t="shared" si="28"/>
        <v/>
      </c>
      <c r="F352" s="14" t="str">
        <f>IF(AND($B$8=1,$D352&lt;=$B$7),IF($B$5=1,Calculator!$C$9*POWER(1+Calculator!$C$14/100,$D352/12),Calculator!$C$9),"")</f>
        <v/>
      </c>
      <c r="G352" s="14">
        <f>G351*(1+$B$4)+Calculator!$C$25</f>
        <v>140689.14283414584</v>
      </c>
      <c r="H352" s="14">
        <f>IF($B$5=1,Calculator!$C$9*POWER(1+Calculator!$C$14/100,$D352/12),Calculator!$C$9)</f>
        <v>10000</v>
      </c>
      <c r="J352" s="14">
        <f t="shared" si="29"/>
        <v>1</v>
      </c>
      <c r="K352" s="14" t="e">
        <f t="shared" si="24"/>
        <v>#N/A</v>
      </c>
      <c r="L352" s="14" t="e">
        <f t="shared" si="25"/>
        <v>#N/A</v>
      </c>
      <c r="M352" s="14" t="e">
        <f t="shared" si="26"/>
        <v>#N/A</v>
      </c>
      <c r="N352" s="14" t="e">
        <f t="shared" si="27"/>
        <v>#N/A</v>
      </c>
    </row>
    <row r="353" spans="4:14" ht="16.5" x14ac:dyDescent="0.25">
      <c r="D353" s="14">
        <v>313</v>
      </c>
      <c r="E353" s="14" t="str">
        <f t="shared" si="28"/>
        <v/>
      </c>
      <c r="F353" s="14" t="str">
        <f>IF(AND($B$8=1,$D353&lt;=$B$7),IF($B$5=1,Calculator!$C$9*POWER(1+Calculator!$C$14/100,$D353/12),Calculator!$C$9),"")</f>
        <v/>
      </c>
      <c r="G353" s="14">
        <f>G352*(1+$B$4)+Calculator!$C$25</f>
        <v>141336.12021440902</v>
      </c>
      <c r="H353" s="14">
        <f>IF($B$5=1,Calculator!$C$9*POWER(1+Calculator!$C$14/100,$D353/12),Calculator!$C$9)</f>
        <v>10000</v>
      </c>
      <c r="J353" s="14">
        <f t="shared" si="29"/>
        <v>1</v>
      </c>
      <c r="K353" s="14" t="e">
        <f t="shared" si="24"/>
        <v>#N/A</v>
      </c>
      <c r="L353" s="14" t="e">
        <f t="shared" si="25"/>
        <v>#N/A</v>
      </c>
      <c r="M353" s="14" t="e">
        <f t="shared" si="26"/>
        <v>#N/A</v>
      </c>
      <c r="N353" s="14" t="e">
        <f t="shared" si="27"/>
        <v>#N/A</v>
      </c>
    </row>
    <row r="354" spans="4:14" ht="16.5" x14ac:dyDescent="0.25">
      <c r="D354" s="14">
        <v>314</v>
      </c>
      <c r="E354" s="14" t="str">
        <f t="shared" si="28"/>
        <v/>
      </c>
      <c r="F354" s="14" t="str">
        <f>IF(AND($B$8=1,$D354&lt;=$B$7),IF($B$5=1,Calculator!$C$9*POWER(1+Calculator!$C$14/100,$D354/12),Calculator!$C$9),"")</f>
        <v/>
      </c>
      <c r="G354" s="14">
        <f>G353*(1+$B$4)+Calculator!$C$25</f>
        <v>141984.6932154285</v>
      </c>
      <c r="H354" s="14">
        <f>IF($B$5=1,Calculator!$C$9*POWER(1+Calculator!$C$14/100,$D354/12),Calculator!$C$9)</f>
        <v>10000</v>
      </c>
      <c r="J354" s="14">
        <f t="shared" si="29"/>
        <v>1</v>
      </c>
      <c r="K354" s="14" t="e">
        <f t="shared" si="24"/>
        <v>#N/A</v>
      </c>
      <c r="L354" s="14" t="e">
        <f t="shared" si="25"/>
        <v>#N/A</v>
      </c>
      <c r="M354" s="14" t="e">
        <f t="shared" si="26"/>
        <v>#N/A</v>
      </c>
      <c r="N354" s="14" t="e">
        <f t="shared" si="27"/>
        <v>#N/A</v>
      </c>
    </row>
    <row r="355" spans="4:14" ht="16.5" x14ac:dyDescent="0.25">
      <c r="D355" s="14">
        <v>315</v>
      </c>
      <c r="E355" s="14" t="str">
        <f t="shared" si="28"/>
        <v/>
      </c>
      <c r="F355" s="14" t="str">
        <f>IF(AND($B$8=1,$D355&lt;=$B$7),IF($B$5=1,Calculator!$C$9*POWER(1+Calculator!$C$14/100,$D355/12),Calculator!$C$9),"")</f>
        <v/>
      </c>
      <c r="G355" s="14">
        <f>G354*(1+$B$4)+Calculator!$C$25</f>
        <v>142634.86577243553</v>
      </c>
      <c r="H355" s="14">
        <f>IF($B$5=1,Calculator!$C$9*POWER(1+Calculator!$C$14/100,$D355/12),Calculator!$C$9)</f>
        <v>10000</v>
      </c>
      <c r="J355" s="14">
        <f t="shared" si="29"/>
        <v>1</v>
      </c>
      <c r="K355" s="14" t="e">
        <f t="shared" si="24"/>
        <v>#N/A</v>
      </c>
      <c r="L355" s="14" t="e">
        <f t="shared" si="25"/>
        <v>#N/A</v>
      </c>
      <c r="M355" s="14" t="e">
        <f t="shared" si="26"/>
        <v>#N/A</v>
      </c>
      <c r="N355" s="14" t="e">
        <f t="shared" si="27"/>
        <v>#N/A</v>
      </c>
    </row>
    <row r="356" spans="4:14" ht="16.5" x14ac:dyDescent="0.25">
      <c r="D356" s="14">
        <v>316</v>
      </c>
      <c r="E356" s="14" t="str">
        <f t="shared" si="28"/>
        <v/>
      </c>
      <c r="F356" s="14" t="str">
        <f>IF(AND($B$8=1,$D356&lt;=$B$7),IF($B$5=1,Calculator!$C$9*POWER(1+Calculator!$C$14/100,$D356/12),Calculator!$C$9),"")</f>
        <v/>
      </c>
      <c r="G356" s="14">
        <f>G355*(1+$B$4)+Calculator!$C$25</f>
        <v>143286.64183036669</v>
      </c>
      <c r="H356" s="14">
        <f>IF($B$5=1,Calculator!$C$9*POWER(1+Calculator!$C$14/100,$D356/12),Calculator!$C$9)</f>
        <v>10000</v>
      </c>
      <c r="J356" s="14">
        <f t="shared" si="29"/>
        <v>1</v>
      </c>
      <c r="K356" s="14" t="e">
        <f t="shared" si="24"/>
        <v>#N/A</v>
      </c>
      <c r="L356" s="14" t="e">
        <f t="shared" si="25"/>
        <v>#N/A</v>
      </c>
      <c r="M356" s="14" t="e">
        <f t="shared" si="26"/>
        <v>#N/A</v>
      </c>
      <c r="N356" s="14" t="e">
        <f t="shared" si="27"/>
        <v>#N/A</v>
      </c>
    </row>
    <row r="357" spans="4:14" ht="16.5" x14ac:dyDescent="0.25">
      <c r="D357" s="14">
        <v>317</v>
      </c>
      <c r="E357" s="14" t="str">
        <f t="shared" si="28"/>
        <v/>
      </c>
      <c r="F357" s="14" t="str">
        <f>IF(AND($B$8=1,$D357&lt;=$B$7),IF($B$5=1,Calculator!$C$9*POWER(1+Calculator!$C$14/100,$D357/12),Calculator!$C$9),"")</f>
        <v/>
      </c>
      <c r="G357" s="14">
        <f>G356*(1+$B$4)+Calculator!$C$25</f>
        <v>143940.02534388783</v>
      </c>
      <c r="H357" s="14">
        <f>IF($B$5=1,Calculator!$C$9*POWER(1+Calculator!$C$14/100,$D357/12),Calculator!$C$9)</f>
        <v>10000</v>
      </c>
      <c r="J357" s="14">
        <f t="shared" si="29"/>
        <v>1</v>
      </c>
      <c r="K357" s="14" t="e">
        <f t="shared" si="24"/>
        <v>#N/A</v>
      </c>
      <c r="L357" s="14" t="e">
        <f t="shared" si="25"/>
        <v>#N/A</v>
      </c>
      <c r="M357" s="14" t="e">
        <f t="shared" si="26"/>
        <v>#N/A</v>
      </c>
      <c r="N357" s="14" t="e">
        <f t="shared" si="27"/>
        <v>#N/A</v>
      </c>
    </row>
    <row r="358" spans="4:14" ht="16.5" x14ac:dyDescent="0.25">
      <c r="D358" s="14">
        <v>318</v>
      </c>
      <c r="E358" s="14" t="str">
        <f t="shared" si="28"/>
        <v/>
      </c>
      <c r="F358" s="14" t="str">
        <f>IF(AND($B$8=1,$D358&lt;=$B$7),IF($B$5=1,Calculator!$C$9*POWER(1+Calculator!$C$14/100,$D358/12),Calculator!$C$9),"")</f>
        <v/>
      </c>
      <c r="G358" s="14">
        <f>G357*(1+$B$4)+Calculator!$C$25</f>
        <v>144595.02027741808</v>
      </c>
      <c r="H358" s="14">
        <f>IF($B$5=1,Calculator!$C$9*POWER(1+Calculator!$C$14/100,$D358/12),Calculator!$C$9)</f>
        <v>10000</v>
      </c>
      <c r="J358" s="14">
        <f t="shared" si="29"/>
        <v>1</v>
      </c>
      <c r="K358" s="14" t="e">
        <f t="shared" si="24"/>
        <v>#N/A</v>
      </c>
      <c r="L358" s="14" t="e">
        <f t="shared" si="25"/>
        <v>#N/A</v>
      </c>
      <c r="M358" s="14" t="e">
        <f t="shared" si="26"/>
        <v>#N/A</v>
      </c>
      <c r="N358" s="14" t="e">
        <f t="shared" si="27"/>
        <v>#N/A</v>
      </c>
    </row>
    <row r="359" spans="4:14" ht="16.5" x14ac:dyDescent="0.25">
      <c r="D359" s="14">
        <v>319</v>
      </c>
      <c r="E359" s="14" t="str">
        <f t="shared" si="28"/>
        <v/>
      </c>
      <c r="F359" s="14" t="str">
        <f>IF(AND($B$8=1,$D359&lt;=$B$7),IF($B$5=1,Calculator!$C$9*POWER(1+Calculator!$C$14/100,$D359/12),Calculator!$C$9),"")</f>
        <v/>
      </c>
      <c r="G359" s="14">
        <f>G358*(1+$B$4)+Calculator!$C$25</f>
        <v>145251.63060515391</v>
      </c>
      <c r="H359" s="14">
        <f>IF($B$5=1,Calculator!$C$9*POWER(1+Calculator!$C$14/100,$D359/12),Calculator!$C$9)</f>
        <v>10000</v>
      </c>
      <c r="J359" s="14">
        <f t="shared" si="29"/>
        <v>1</v>
      </c>
      <c r="K359" s="14" t="e">
        <f t="shared" si="24"/>
        <v>#N/A</v>
      </c>
      <c r="L359" s="14" t="e">
        <f t="shared" si="25"/>
        <v>#N/A</v>
      </c>
      <c r="M359" s="14" t="e">
        <f t="shared" si="26"/>
        <v>#N/A</v>
      </c>
      <c r="N359" s="14" t="e">
        <f t="shared" si="27"/>
        <v>#N/A</v>
      </c>
    </row>
    <row r="360" spans="4:14" ht="16.5" x14ac:dyDescent="0.25">
      <c r="D360" s="14">
        <v>320</v>
      </c>
      <c r="E360" s="14" t="str">
        <f t="shared" si="28"/>
        <v/>
      </c>
      <c r="F360" s="14" t="str">
        <f>IF(AND($B$8=1,$D360&lt;=$B$7),IF($B$5=1,Calculator!$C$9*POWER(1+Calculator!$C$14/100,$D360/12),Calculator!$C$9),"")</f>
        <v/>
      </c>
      <c r="G360" s="14">
        <f>G359*(1+$B$4)+Calculator!$C$25</f>
        <v>145909.86031109322</v>
      </c>
      <c r="H360" s="14">
        <f>IF($B$5=1,Calculator!$C$9*POWER(1+Calculator!$C$14/100,$D360/12),Calculator!$C$9)</f>
        <v>10000</v>
      </c>
      <c r="J360" s="14">
        <f t="shared" si="29"/>
        <v>1</v>
      </c>
      <c r="K360" s="14" t="e">
        <f t="shared" ref="K360:K423" si="30">IF($D360&lt;=$B$23,E360,NA())</f>
        <v>#N/A</v>
      </c>
      <c r="L360" s="14" t="e">
        <f t="shared" ref="L360:L423" si="31">IF($D360&lt;=$B$23,F360,NA())</f>
        <v>#N/A</v>
      </c>
      <c r="M360" s="14" t="e">
        <f t="shared" ref="M360:M423" si="32">IF($D360&lt;=$B$24,G360,NA())</f>
        <v>#N/A</v>
      </c>
      <c r="N360" s="14" t="e">
        <f t="shared" ref="N360:N423" si="33">IF($D360&lt;=$B$24,H360,NA())</f>
        <v>#N/A</v>
      </c>
    </row>
    <row r="361" spans="4:14" ht="16.5" x14ac:dyDescent="0.25">
      <c r="D361" s="14">
        <v>321</v>
      </c>
      <c r="E361" s="14" t="str">
        <f t="shared" ref="E361:E424" si="34">IF(AND($B$8=1,$D361&lt;=$B$7),E360*(1+$B$4)+$B$11,"")</f>
        <v/>
      </c>
      <c r="F361" s="14" t="str">
        <f>IF(AND($B$8=1,$D361&lt;=$B$7),IF($B$5=1,Calculator!$C$9*POWER(1+Calculator!$C$14/100,$D361/12),Calculator!$C$9),"")</f>
        <v/>
      </c>
      <c r="G361" s="14">
        <f>G360*(1+$B$4)+Calculator!$C$25</f>
        <v>146569.71338905953</v>
      </c>
      <c r="H361" s="14">
        <f>IF($B$5=1,Calculator!$C$9*POWER(1+Calculator!$C$14/100,$D361/12),Calculator!$C$9)</f>
        <v>10000</v>
      </c>
      <c r="J361" s="14">
        <f t="shared" ref="J361:J424" si="35">IF(G361&gt;=H361,1,0)</f>
        <v>1</v>
      </c>
      <c r="K361" s="14" t="e">
        <f t="shared" si="30"/>
        <v>#N/A</v>
      </c>
      <c r="L361" s="14" t="e">
        <f t="shared" si="31"/>
        <v>#N/A</v>
      </c>
      <c r="M361" s="14" t="e">
        <f t="shared" si="32"/>
        <v>#N/A</v>
      </c>
      <c r="N361" s="14" t="e">
        <f t="shared" si="33"/>
        <v>#N/A</v>
      </c>
    </row>
    <row r="362" spans="4:14" ht="16.5" x14ac:dyDescent="0.25">
      <c r="D362" s="14">
        <v>322</v>
      </c>
      <c r="E362" s="14" t="str">
        <f t="shared" si="34"/>
        <v/>
      </c>
      <c r="F362" s="14" t="str">
        <f>IF(AND($B$8=1,$D362&lt;=$B$7),IF($B$5=1,Calculator!$C$9*POWER(1+Calculator!$C$14/100,$D362/12),Calculator!$C$9),"")</f>
        <v/>
      </c>
      <c r="G362" s="14">
        <f>G361*(1+$B$4)+Calculator!$C$25</f>
        <v>147231.19384272618</v>
      </c>
      <c r="H362" s="14">
        <f>IF($B$5=1,Calculator!$C$9*POWER(1+Calculator!$C$14/100,$D362/12),Calculator!$C$9)</f>
        <v>10000</v>
      </c>
      <c r="J362" s="14">
        <f t="shared" si="35"/>
        <v>1</v>
      </c>
      <c r="K362" s="14" t="e">
        <f t="shared" si="30"/>
        <v>#N/A</v>
      </c>
      <c r="L362" s="14" t="e">
        <f t="shared" si="31"/>
        <v>#N/A</v>
      </c>
      <c r="M362" s="14" t="e">
        <f t="shared" si="32"/>
        <v>#N/A</v>
      </c>
      <c r="N362" s="14" t="e">
        <f t="shared" si="33"/>
        <v>#N/A</v>
      </c>
    </row>
    <row r="363" spans="4:14" ht="16.5" x14ac:dyDescent="0.25">
      <c r="D363" s="14">
        <v>323</v>
      </c>
      <c r="E363" s="14" t="str">
        <f t="shared" si="34"/>
        <v/>
      </c>
      <c r="F363" s="14" t="str">
        <f>IF(AND($B$8=1,$D363&lt;=$B$7),IF($B$5=1,Calculator!$C$9*POWER(1+Calculator!$C$14/100,$D363/12),Calculator!$C$9),"")</f>
        <v/>
      </c>
      <c r="G363" s="14">
        <f>G362*(1+$B$4)+Calculator!$C$25</f>
        <v>147894.30568564069</v>
      </c>
      <c r="H363" s="14">
        <f>IF($B$5=1,Calculator!$C$9*POWER(1+Calculator!$C$14/100,$D363/12),Calculator!$C$9)</f>
        <v>10000</v>
      </c>
      <c r="J363" s="14">
        <f t="shared" si="35"/>
        <v>1</v>
      </c>
      <c r="K363" s="14" t="e">
        <f t="shared" si="30"/>
        <v>#N/A</v>
      </c>
      <c r="L363" s="14" t="e">
        <f t="shared" si="31"/>
        <v>#N/A</v>
      </c>
      <c r="M363" s="14" t="e">
        <f t="shared" si="32"/>
        <v>#N/A</v>
      </c>
      <c r="N363" s="14" t="e">
        <f t="shared" si="33"/>
        <v>#N/A</v>
      </c>
    </row>
    <row r="364" spans="4:14" ht="16.5" x14ac:dyDescent="0.25">
      <c r="D364" s="14">
        <v>324</v>
      </c>
      <c r="E364" s="14" t="str">
        <f t="shared" si="34"/>
        <v/>
      </c>
      <c r="F364" s="14" t="str">
        <f>IF(AND($B$8=1,$D364&lt;=$B$7),IF($B$5=1,Calculator!$C$9*POWER(1+Calculator!$C$14/100,$D364/12),Calculator!$C$9),"")</f>
        <v/>
      </c>
      <c r="G364" s="14">
        <f>G363*(1+$B$4)+Calculator!$C$25</f>
        <v>148559.05294124901</v>
      </c>
      <c r="H364" s="14">
        <f>IF($B$5=1,Calculator!$C$9*POWER(1+Calculator!$C$14/100,$D364/12),Calculator!$C$9)</f>
        <v>10000</v>
      </c>
      <c r="J364" s="14">
        <f t="shared" si="35"/>
        <v>1</v>
      </c>
      <c r="K364" s="14" t="e">
        <f t="shared" si="30"/>
        <v>#N/A</v>
      </c>
      <c r="L364" s="14" t="e">
        <f t="shared" si="31"/>
        <v>#N/A</v>
      </c>
      <c r="M364" s="14" t="e">
        <f t="shared" si="32"/>
        <v>#N/A</v>
      </c>
      <c r="N364" s="14" t="e">
        <f t="shared" si="33"/>
        <v>#N/A</v>
      </c>
    </row>
    <row r="365" spans="4:14" ht="16.5" x14ac:dyDescent="0.25">
      <c r="D365" s="14">
        <v>325</v>
      </c>
      <c r="E365" s="14" t="str">
        <f t="shared" si="34"/>
        <v/>
      </c>
      <c r="F365" s="14" t="str">
        <f>IF(AND($B$8=1,$D365&lt;=$B$7),IF($B$5=1,Calculator!$C$9*POWER(1+Calculator!$C$14/100,$D365/12),Calculator!$C$9),"")</f>
        <v/>
      </c>
      <c r="G365" s="14">
        <f>G364*(1+$B$4)+Calculator!$C$25</f>
        <v>149225.43964292007</v>
      </c>
      <c r="H365" s="14">
        <f>IF($B$5=1,Calculator!$C$9*POWER(1+Calculator!$C$14/100,$D365/12),Calculator!$C$9)</f>
        <v>10000</v>
      </c>
      <c r="J365" s="14">
        <f t="shared" si="35"/>
        <v>1</v>
      </c>
      <c r="K365" s="14" t="e">
        <f t="shared" si="30"/>
        <v>#N/A</v>
      </c>
      <c r="L365" s="14" t="e">
        <f t="shared" si="31"/>
        <v>#N/A</v>
      </c>
      <c r="M365" s="14" t="e">
        <f t="shared" si="32"/>
        <v>#N/A</v>
      </c>
      <c r="N365" s="14" t="e">
        <f t="shared" si="33"/>
        <v>#N/A</v>
      </c>
    </row>
    <row r="366" spans="4:14" ht="16.5" x14ac:dyDescent="0.25">
      <c r="D366" s="14">
        <v>326</v>
      </c>
      <c r="E366" s="14" t="str">
        <f t="shared" si="34"/>
        <v/>
      </c>
      <c r="F366" s="14" t="str">
        <f>IF(AND($B$8=1,$D366&lt;=$B$7),IF($B$5=1,Calculator!$C$9*POWER(1+Calculator!$C$14/100,$D366/12),Calculator!$C$9),"")</f>
        <v/>
      </c>
      <c r="G366" s="14">
        <f>G365*(1+$B$4)+Calculator!$C$25</f>
        <v>149893.46983397013</v>
      </c>
      <c r="H366" s="14">
        <f>IF($B$5=1,Calculator!$C$9*POWER(1+Calculator!$C$14/100,$D366/12),Calculator!$C$9)</f>
        <v>10000</v>
      </c>
      <c r="J366" s="14">
        <f t="shared" si="35"/>
        <v>1</v>
      </c>
      <c r="K366" s="14" t="e">
        <f t="shared" si="30"/>
        <v>#N/A</v>
      </c>
      <c r="L366" s="14" t="e">
        <f t="shared" si="31"/>
        <v>#N/A</v>
      </c>
      <c r="M366" s="14" t="e">
        <f t="shared" si="32"/>
        <v>#N/A</v>
      </c>
      <c r="N366" s="14" t="e">
        <f t="shared" si="33"/>
        <v>#N/A</v>
      </c>
    </row>
    <row r="367" spans="4:14" ht="16.5" x14ac:dyDescent="0.25">
      <c r="D367" s="14">
        <v>327</v>
      </c>
      <c r="E367" s="14" t="str">
        <f t="shared" si="34"/>
        <v/>
      </c>
      <c r="F367" s="14" t="str">
        <f>IF(AND($B$8=1,$D367&lt;=$B$7),IF($B$5=1,Calculator!$C$9*POWER(1+Calculator!$C$14/100,$D367/12),Calculator!$C$9),"")</f>
        <v/>
      </c>
      <c r="G367" s="14">
        <f>G366*(1+$B$4)+Calculator!$C$25</f>
        <v>150563.14756768735</v>
      </c>
      <c r="H367" s="14">
        <f>IF($B$5=1,Calculator!$C$9*POWER(1+Calculator!$C$14/100,$D367/12),Calculator!$C$9)</f>
        <v>10000</v>
      </c>
      <c r="J367" s="14">
        <f t="shared" si="35"/>
        <v>1</v>
      </c>
      <c r="K367" s="14" t="e">
        <f t="shared" si="30"/>
        <v>#N/A</v>
      </c>
      <c r="L367" s="14" t="e">
        <f t="shared" si="31"/>
        <v>#N/A</v>
      </c>
      <c r="M367" s="14" t="e">
        <f t="shared" si="32"/>
        <v>#N/A</v>
      </c>
      <c r="N367" s="14" t="e">
        <f t="shared" si="33"/>
        <v>#N/A</v>
      </c>
    </row>
    <row r="368" spans="4:14" ht="16.5" x14ac:dyDescent="0.25">
      <c r="D368" s="14">
        <v>328</v>
      </c>
      <c r="E368" s="14" t="str">
        <f t="shared" si="34"/>
        <v/>
      </c>
      <c r="F368" s="14" t="str">
        <f>IF(AND($B$8=1,$D368&lt;=$B$7),IF($B$5=1,Calculator!$C$9*POWER(1+Calculator!$C$14/100,$D368/12),Calculator!$C$9),"")</f>
        <v/>
      </c>
      <c r="G368" s="14">
        <f>G367*(1+$B$4)+Calculator!$C$25</f>
        <v>151234.47690735644</v>
      </c>
      <c r="H368" s="14">
        <f>IF($B$5=1,Calculator!$C$9*POWER(1+Calculator!$C$14/100,$D368/12),Calculator!$C$9)</f>
        <v>10000</v>
      </c>
      <c r="J368" s="14">
        <f t="shared" si="35"/>
        <v>1</v>
      </c>
      <c r="K368" s="14" t="e">
        <f t="shared" si="30"/>
        <v>#N/A</v>
      </c>
      <c r="L368" s="14" t="e">
        <f t="shared" si="31"/>
        <v>#N/A</v>
      </c>
      <c r="M368" s="14" t="e">
        <f t="shared" si="32"/>
        <v>#N/A</v>
      </c>
      <c r="N368" s="14" t="e">
        <f t="shared" si="33"/>
        <v>#N/A</v>
      </c>
    </row>
    <row r="369" spans="4:14" ht="16.5" x14ac:dyDescent="0.25">
      <c r="D369" s="14">
        <v>329</v>
      </c>
      <c r="E369" s="14" t="str">
        <f t="shared" si="34"/>
        <v/>
      </c>
      <c r="F369" s="14" t="str">
        <f>IF(AND($B$8=1,$D369&lt;=$B$7),IF($B$5=1,Calculator!$C$9*POWER(1+Calculator!$C$14/100,$D369/12),Calculator!$C$9),"")</f>
        <v/>
      </c>
      <c r="G369" s="14">
        <f>G368*(1+$B$4)+Calculator!$C$25</f>
        <v>151907.4619262832</v>
      </c>
      <c r="H369" s="14">
        <f>IF($B$5=1,Calculator!$C$9*POWER(1+Calculator!$C$14/100,$D369/12),Calculator!$C$9)</f>
        <v>10000</v>
      </c>
      <c r="J369" s="14">
        <f t="shared" si="35"/>
        <v>1</v>
      </c>
      <c r="K369" s="14" t="e">
        <f t="shared" si="30"/>
        <v>#N/A</v>
      </c>
      <c r="L369" s="14" t="e">
        <f t="shared" si="31"/>
        <v>#N/A</v>
      </c>
      <c r="M369" s="14" t="e">
        <f t="shared" si="32"/>
        <v>#N/A</v>
      </c>
      <c r="N369" s="14" t="e">
        <f t="shared" si="33"/>
        <v>#N/A</v>
      </c>
    </row>
    <row r="370" spans="4:14" ht="16.5" x14ac:dyDescent="0.25">
      <c r="D370" s="14">
        <v>330</v>
      </c>
      <c r="E370" s="14" t="str">
        <f t="shared" si="34"/>
        <v/>
      </c>
      <c r="F370" s="14" t="str">
        <f>IF(AND($B$8=1,$D370&lt;=$B$7),IF($B$5=1,Calculator!$C$9*POWER(1+Calculator!$C$14/100,$D370/12),Calculator!$C$9),"")</f>
        <v/>
      </c>
      <c r="G370" s="14">
        <f>G369*(1+$B$4)+Calculator!$C$25</f>
        <v>152582.10670781936</v>
      </c>
      <c r="H370" s="14">
        <f>IF($B$5=1,Calculator!$C$9*POWER(1+Calculator!$C$14/100,$D370/12),Calculator!$C$9)</f>
        <v>10000</v>
      </c>
      <c r="J370" s="14">
        <f t="shared" si="35"/>
        <v>1</v>
      </c>
      <c r="K370" s="14" t="e">
        <f t="shared" si="30"/>
        <v>#N/A</v>
      </c>
      <c r="L370" s="14" t="e">
        <f t="shared" si="31"/>
        <v>#N/A</v>
      </c>
      <c r="M370" s="14" t="e">
        <f t="shared" si="32"/>
        <v>#N/A</v>
      </c>
      <c r="N370" s="14" t="e">
        <f t="shared" si="33"/>
        <v>#N/A</v>
      </c>
    </row>
    <row r="371" spans="4:14" ht="16.5" x14ac:dyDescent="0.25">
      <c r="D371" s="14">
        <v>331</v>
      </c>
      <c r="E371" s="14" t="str">
        <f t="shared" si="34"/>
        <v/>
      </c>
      <c r="F371" s="14" t="str">
        <f>IF(AND($B$8=1,$D371&lt;=$B$7),IF($B$5=1,Calculator!$C$9*POWER(1+Calculator!$C$14/100,$D371/12),Calculator!$C$9),"")</f>
        <v/>
      </c>
      <c r="G371" s="14">
        <f>G370*(1+$B$4)+Calculator!$C$25</f>
        <v>153258.41534538727</v>
      </c>
      <c r="H371" s="14">
        <f>IF($B$5=1,Calculator!$C$9*POWER(1+Calculator!$C$14/100,$D371/12),Calculator!$C$9)</f>
        <v>10000</v>
      </c>
      <c r="J371" s="14">
        <f t="shared" si="35"/>
        <v>1</v>
      </c>
      <c r="K371" s="14" t="e">
        <f t="shared" si="30"/>
        <v>#N/A</v>
      </c>
      <c r="L371" s="14" t="e">
        <f t="shared" si="31"/>
        <v>#N/A</v>
      </c>
      <c r="M371" s="14" t="e">
        <f t="shared" si="32"/>
        <v>#N/A</v>
      </c>
      <c r="N371" s="14" t="e">
        <f t="shared" si="33"/>
        <v>#N/A</v>
      </c>
    </row>
    <row r="372" spans="4:14" ht="16.5" x14ac:dyDescent="0.25">
      <c r="D372" s="14">
        <v>332</v>
      </c>
      <c r="E372" s="14" t="str">
        <f t="shared" si="34"/>
        <v/>
      </c>
      <c r="F372" s="14" t="str">
        <f>IF(AND($B$8=1,$D372&lt;=$B$7),IF($B$5=1,Calculator!$C$9*POWER(1+Calculator!$C$14/100,$D372/12),Calculator!$C$9),"")</f>
        <v/>
      </c>
      <c r="G372" s="14">
        <f>G371*(1+$B$4)+Calculator!$C$25</f>
        <v>153936.39194250476</v>
      </c>
      <c r="H372" s="14">
        <f>IF($B$5=1,Calculator!$C$9*POWER(1+Calculator!$C$14/100,$D372/12),Calculator!$C$9)</f>
        <v>10000</v>
      </c>
      <c r="J372" s="14">
        <f t="shared" si="35"/>
        <v>1</v>
      </c>
      <c r="K372" s="14" t="e">
        <f t="shared" si="30"/>
        <v>#N/A</v>
      </c>
      <c r="L372" s="14" t="e">
        <f t="shared" si="31"/>
        <v>#N/A</v>
      </c>
      <c r="M372" s="14" t="e">
        <f t="shared" si="32"/>
        <v>#N/A</v>
      </c>
      <c r="N372" s="14" t="e">
        <f t="shared" si="33"/>
        <v>#N/A</v>
      </c>
    </row>
    <row r="373" spans="4:14" ht="16.5" x14ac:dyDescent="0.25">
      <c r="D373" s="14">
        <v>333</v>
      </c>
      <c r="E373" s="14" t="str">
        <f t="shared" si="34"/>
        <v/>
      </c>
      <c r="F373" s="14" t="str">
        <f>IF(AND($B$8=1,$D373&lt;=$B$7),IF($B$5=1,Calculator!$C$9*POWER(1+Calculator!$C$14/100,$D373/12),Calculator!$C$9),"")</f>
        <v/>
      </c>
      <c r="G373" s="14">
        <f>G372*(1+$B$4)+Calculator!$C$25</f>
        <v>154616.04061281006</v>
      </c>
      <c r="H373" s="14">
        <f>IF($B$5=1,Calculator!$C$9*POWER(1+Calculator!$C$14/100,$D373/12),Calculator!$C$9)</f>
        <v>10000</v>
      </c>
      <c r="J373" s="14">
        <f t="shared" si="35"/>
        <v>1</v>
      </c>
      <c r="K373" s="14" t="e">
        <f t="shared" si="30"/>
        <v>#N/A</v>
      </c>
      <c r="L373" s="14" t="e">
        <f t="shared" si="31"/>
        <v>#N/A</v>
      </c>
      <c r="M373" s="14" t="e">
        <f t="shared" si="32"/>
        <v>#N/A</v>
      </c>
      <c r="N373" s="14" t="e">
        <f t="shared" si="33"/>
        <v>#N/A</v>
      </c>
    </row>
    <row r="374" spans="4:14" ht="16.5" x14ac:dyDescent="0.25">
      <c r="D374" s="14">
        <v>334</v>
      </c>
      <c r="E374" s="14" t="str">
        <f t="shared" si="34"/>
        <v/>
      </c>
      <c r="F374" s="14" t="str">
        <f>IF(AND($B$8=1,$D374&lt;=$B$7),IF($B$5=1,Calculator!$C$9*POWER(1+Calculator!$C$14/100,$D374/12),Calculator!$C$9),"")</f>
        <v/>
      </c>
      <c r="G374" s="14">
        <f>G373*(1+$B$4)+Calculator!$C$25</f>
        <v>155297.36548008671</v>
      </c>
      <c r="H374" s="14">
        <f>IF($B$5=1,Calculator!$C$9*POWER(1+Calculator!$C$14/100,$D374/12),Calculator!$C$9)</f>
        <v>10000</v>
      </c>
      <c r="J374" s="14">
        <f t="shared" si="35"/>
        <v>1</v>
      </c>
      <c r="K374" s="14" t="e">
        <f t="shared" si="30"/>
        <v>#N/A</v>
      </c>
      <c r="L374" s="14" t="e">
        <f t="shared" si="31"/>
        <v>#N/A</v>
      </c>
      <c r="M374" s="14" t="e">
        <f t="shared" si="32"/>
        <v>#N/A</v>
      </c>
      <c r="N374" s="14" t="e">
        <f t="shared" si="33"/>
        <v>#N/A</v>
      </c>
    </row>
    <row r="375" spans="4:14" ht="16.5" x14ac:dyDescent="0.25">
      <c r="D375" s="14">
        <v>335</v>
      </c>
      <c r="E375" s="14" t="str">
        <f t="shared" si="34"/>
        <v/>
      </c>
      <c r="F375" s="14" t="str">
        <f>IF(AND($B$8=1,$D375&lt;=$B$7),IF($B$5=1,Calculator!$C$9*POWER(1+Calculator!$C$14/100,$D375/12),Calculator!$C$9),"")</f>
        <v/>
      </c>
      <c r="G375" s="14">
        <f>G374*(1+$B$4)+Calculator!$C$25</f>
        <v>155980.37067828863</v>
      </c>
      <c r="H375" s="14">
        <f>IF($B$5=1,Calculator!$C$9*POWER(1+Calculator!$C$14/100,$D375/12),Calculator!$C$9)</f>
        <v>10000</v>
      </c>
      <c r="J375" s="14">
        <f t="shared" si="35"/>
        <v>1</v>
      </c>
      <c r="K375" s="14" t="e">
        <f t="shared" si="30"/>
        <v>#N/A</v>
      </c>
      <c r="L375" s="14" t="e">
        <f t="shared" si="31"/>
        <v>#N/A</v>
      </c>
      <c r="M375" s="14" t="e">
        <f t="shared" si="32"/>
        <v>#N/A</v>
      </c>
      <c r="N375" s="14" t="e">
        <f t="shared" si="33"/>
        <v>#N/A</v>
      </c>
    </row>
    <row r="376" spans="4:14" ht="16.5" x14ac:dyDescent="0.25">
      <c r="D376" s="14">
        <v>336</v>
      </c>
      <c r="E376" s="14" t="str">
        <f t="shared" si="34"/>
        <v/>
      </c>
      <c r="F376" s="14" t="str">
        <f>IF(AND($B$8=1,$D376&lt;=$B$7),IF($B$5=1,Calculator!$C$9*POWER(1+Calculator!$C$14/100,$D376/12),Calculator!$C$9),"")</f>
        <v/>
      </c>
      <c r="G376" s="14">
        <f>G375*(1+$B$4)+Calculator!$C$25</f>
        <v>156665.06035156522</v>
      </c>
      <c r="H376" s="14">
        <f>IF($B$5=1,Calculator!$C$9*POWER(1+Calculator!$C$14/100,$D376/12),Calculator!$C$9)</f>
        <v>10000</v>
      </c>
      <c r="J376" s="14">
        <f t="shared" si="35"/>
        <v>1</v>
      </c>
      <c r="K376" s="14" t="e">
        <f t="shared" si="30"/>
        <v>#N/A</v>
      </c>
      <c r="L376" s="14" t="e">
        <f t="shared" si="31"/>
        <v>#N/A</v>
      </c>
      <c r="M376" s="14" t="e">
        <f t="shared" si="32"/>
        <v>#N/A</v>
      </c>
      <c r="N376" s="14" t="e">
        <f t="shared" si="33"/>
        <v>#N/A</v>
      </c>
    </row>
    <row r="377" spans="4:14" ht="16.5" x14ac:dyDescent="0.25">
      <c r="D377" s="14">
        <v>337</v>
      </c>
      <c r="E377" s="14" t="str">
        <f t="shared" si="34"/>
        <v/>
      </c>
      <c r="F377" s="14" t="str">
        <f>IF(AND($B$8=1,$D377&lt;=$B$7),IF($B$5=1,Calculator!$C$9*POWER(1+Calculator!$C$14/100,$D377/12),Calculator!$C$9),"")</f>
        <v/>
      </c>
      <c r="G377" s="14">
        <f>G376*(1+$B$4)+Calculator!$C$25</f>
        <v>157351.43865428641</v>
      </c>
      <c r="H377" s="14">
        <f>IF($B$5=1,Calculator!$C$9*POWER(1+Calculator!$C$14/100,$D377/12),Calculator!$C$9)</f>
        <v>10000</v>
      </c>
      <c r="J377" s="14">
        <f t="shared" si="35"/>
        <v>1</v>
      </c>
      <c r="K377" s="14" t="e">
        <f t="shared" si="30"/>
        <v>#N/A</v>
      </c>
      <c r="L377" s="14" t="e">
        <f t="shared" si="31"/>
        <v>#N/A</v>
      </c>
      <c r="M377" s="14" t="e">
        <f t="shared" si="32"/>
        <v>#N/A</v>
      </c>
      <c r="N377" s="14" t="e">
        <f t="shared" si="33"/>
        <v>#N/A</v>
      </c>
    </row>
    <row r="378" spans="4:14" ht="16.5" x14ac:dyDescent="0.25">
      <c r="D378" s="14">
        <v>338</v>
      </c>
      <c r="E378" s="14" t="str">
        <f t="shared" si="34"/>
        <v/>
      </c>
      <c r="F378" s="14" t="str">
        <f>IF(AND($B$8=1,$D378&lt;=$B$7),IF($B$5=1,Calculator!$C$9*POWER(1+Calculator!$C$14/100,$D378/12),Calculator!$C$9),"")</f>
        <v/>
      </c>
      <c r="G378" s="14">
        <f>G377*(1+$B$4)+Calculator!$C$25</f>
        <v>158039.50975106796</v>
      </c>
      <c r="H378" s="14">
        <f>IF($B$5=1,Calculator!$C$9*POWER(1+Calculator!$C$14/100,$D378/12),Calculator!$C$9)</f>
        <v>10000</v>
      </c>
      <c r="J378" s="14">
        <f t="shared" si="35"/>
        <v>1</v>
      </c>
      <c r="K378" s="14" t="e">
        <f t="shared" si="30"/>
        <v>#N/A</v>
      </c>
      <c r="L378" s="14" t="e">
        <f t="shared" si="31"/>
        <v>#N/A</v>
      </c>
      <c r="M378" s="14" t="e">
        <f t="shared" si="32"/>
        <v>#N/A</v>
      </c>
      <c r="N378" s="14" t="e">
        <f t="shared" si="33"/>
        <v>#N/A</v>
      </c>
    </row>
    <row r="379" spans="4:14" ht="16.5" x14ac:dyDescent="0.25">
      <c r="D379" s="14">
        <v>339</v>
      </c>
      <c r="E379" s="14" t="str">
        <f t="shared" si="34"/>
        <v/>
      </c>
      <c r="F379" s="14" t="str">
        <f>IF(AND($B$8=1,$D379&lt;=$B$7),IF($B$5=1,Calculator!$C$9*POWER(1+Calculator!$C$14/100,$D379/12),Calculator!$C$9),"")</f>
        <v/>
      </c>
      <c r="G379" s="14">
        <f>G378*(1+$B$4)+Calculator!$C$25</f>
        <v>158729.2778167967</v>
      </c>
      <c r="H379" s="14">
        <f>IF($B$5=1,Calculator!$C$9*POWER(1+Calculator!$C$14/100,$D379/12),Calculator!$C$9)</f>
        <v>10000</v>
      </c>
      <c r="J379" s="14">
        <f t="shared" si="35"/>
        <v>1</v>
      </c>
      <c r="K379" s="14" t="e">
        <f t="shared" si="30"/>
        <v>#N/A</v>
      </c>
      <c r="L379" s="14" t="e">
        <f t="shared" si="31"/>
        <v>#N/A</v>
      </c>
      <c r="M379" s="14" t="e">
        <f t="shared" si="32"/>
        <v>#N/A</v>
      </c>
      <c r="N379" s="14" t="e">
        <f t="shared" si="33"/>
        <v>#N/A</v>
      </c>
    </row>
    <row r="380" spans="4:14" ht="16.5" x14ac:dyDescent="0.25">
      <c r="D380" s="14">
        <v>340</v>
      </c>
      <c r="E380" s="14" t="str">
        <f t="shared" si="34"/>
        <v/>
      </c>
      <c r="F380" s="14" t="str">
        <f>IF(AND($B$8=1,$D380&lt;=$B$7),IF($B$5=1,Calculator!$C$9*POWER(1+Calculator!$C$14/100,$D380/12),Calculator!$C$9),"")</f>
        <v/>
      </c>
      <c r="G380" s="14">
        <f>G379*(1+$B$4)+Calculator!$C$25</f>
        <v>159420.74703665587</v>
      </c>
      <c r="H380" s="14">
        <f>IF($B$5=1,Calculator!$C$9*POWER(1+Calculator!$C$14/100,$D380/12),Calculator!$C$9)</f>
        <v>10000</v>
      </c>
      <c r="J380" s="14">
        <f t="shared" si="35"/>
        <v>1</v>
      </c>
      <c r="K380" s="14" t="e">
        <f t="shared" si="30"/>
        <v>#N/A</v>
      </c>
      <c r="L380" s="14" t="e">
        <f t="shared" si="31"/>
        <v>#N/A</v>
      </c>
      <c r="M380" s="14" t="e">
        <f t="shared" si="32"/>
        <v>#N/A</v>
      </c>
      <c r="N380" s="14" t="e">
        <f t="shared" si="33"/>
        <v>#N/A</v>
      </c>
    </row>
    <row r="381" spans="4:14" ht="16.5" x14ac:dyDescent="0.25">
      <c r="D381" s="14">
        <v>341</v>
      </c>
      <c r="E381" s="14" t="str">
        <f t="shared" si="34"/>
        <v/>
      </c>
      <c r="F381" s="14" t="str">
        <f>IF(AND($B$8=1,$D381&lt;=$B$7),IF($B$5=1,Calculator!$C$9*POWER(1+Calculator!$C$14/100,$D381/12),Calculator!$C$9),"")</f>
        <v/>
      </c>
      <c r="G381" s="14">
        <f>G380*(1+$B$4)+Calculator!$C$25</f>
        <v>160113.92160615046</v>
      </c>
      <c r="H381" s="14">
        <f>IF($B$5=1,Calculator!$C$9*POWER(1+Calculator!$C$14/100,$D381/12),Calculator!$C$9)</f>
        <v>10000</v>
      </c>
      <c r="J381" s="14">
        <f t="shared" si="35"/>
        <v>1</v>
      </c>
      <c r="K381" s="14" t="e">
        <f t="shared" si="30"/>
        <v>#N/A</v>
      </c>
      <c r="L381" s="14" t="e">
        <f t="shared" si="31"/>
        <v>#N/A</v>
      </c>
      <c r="M381" s="14" t="e">
        <f t="shared" si="32"/>
        <v>#N/A</v>
      </c>
      <c r="N381" s="14" t="e">
        <f t="shared" si="33"/>
        <v>#N/A</v>
      </c>
    </row>
    <row r="382" spans="4:14" ht="16.5" x14ac:dyDescent="0.25">
      <c r="D382" s="14">
        <v>342</v>
      </c>
      <c r="E382" s="14" t="str">
        <f t="shared" si="34"/>
        <v/>
      </c>
      <c r="F382" s="14" t="str">
        <f>IF(AND($B$8=1,$D382&lt;=$B$7),IF($B$5=1,Calculator!$C$9*POWER(1+Calculator!$C$14/100,$D382/12),Calculator!$C$9),"")</f>
        <v/>
      </c>
      <c r="G382" s="14">
        <f>G381*(1+$B$4)+Calculator!$C$25</f>
        <v>160808.80573113271</v>
      </c>
      <c r="H382" s="14">
        <f>IF($B$5=1,Calculator!$C$9*POWER(1+Calculator!$C$14/100,$D382/12),Calculator!$C$9)</f>
        <v>10000</v>
      </c>
      <c r="J382" s="14">
        <f t="shared" si="35"/>
        <v>1</v>
      </c>
      <c r="K382" s="14" t="e">
        <f t="shared" si="30"/>
        <v>#N/A</v>
      </c>
      <c r="L382" s="14" t="e">
        <f t="shared" si="31"/>
        <v>#N/A</v>
      </c>
      <c r="M382" s="14" t="e">
        <f t="shared" si="32"/>
        <v>#N/A</v>
      </c>
      <c r="N382" s="14" t="e">
        <f t="shared" si="33"/>
        <v>#N/A</v>
      </c>
    </row>
    <row r="383" spans="4:14" ht="16.5" x14ac:dyDescent="0.25">
      <c r="D383" s="14">
        <v>343</v>
      </c>
      <c r="E383" s="14" t="str">
        <f t="shared" si="34"/>
        <v/>
      </c>
      <c r="F383" s="14" t="str">
        <f>IF(AND($B$8=1,$D383&lt;=$B$7),IF($B$5=1,Calculator!$C$9*POWER(1+Calculator!$C$14/100,$D383/12),Calculator!$C$9),"")</f>
        <v/>
      </c>
      <c r="G383" s="14">
        <f>G382*(1+$B$4)+Calculator!$C$25</f>
        <v>161505.40362782768</v>
      </c>
      <c r="H383" s="14">
        <f>IF($B$5=1,Calculator!$C$9*POWER(1+Calculator!$C$14/100,$D383/12),Calculator!$C$9)</f>
        <v>10000</v>
      </c>
      <c r="J383" s="14">
        <f t="shared" si="35"/>
        <v>1</v>
      </c>
      <c r="K383" s="14" t="e">
        <f t="shared" si="30"/>
        <v>#N/A</v>
      </c>
      <c r="L383" s="14" t="e">
        <f t="shared" si="31"/>
        <v>#N/A</v>
      </c>
      <c r="M383" s="14" t="e">
        <f t="shared" si="32"/>
        <v>#N/A</v>
      </c>
      <c r="N383" s="14" t="e">
        <f t="shared" si="33"/>
        <v>#N/A</v>
      </c>
    </row>
    <row r="384" spans="4:14" ht="16.5" x14ac:dyDescent="0.25">
      <c r="D384" s="14">
        <v>344</v>
      </c>
      <c r="E384" s="14" t="str">
        <f t="shared" si="34"/>
        <v/>
      </c>
      <c r="F384" s="14" t="str">
        <f>IF(AND($B$8=1,$D384&lt;=$B$7),IF($B$5=1,Calculator!$C$9*POWER(1+Calculator!$C$14/100,$D384/12),Calculator!$C$9),"")</f>
        <v/>
      </c>
      <c r="G384" s="14">
        <f>G383*(1+$B$4)+Calculator!$C$25</f>
        <v>162203.71952285871</v>
      </c>
      <c r="H384" s="14">
        <f>IF($B$5=1,Calculator!$C$9*POWER(1+Calculator!$C$14/100,$D384/12),Calculator!$C$9)</f>
        <v>10000</v>
      </c>
      <c r="J384" s="14">
        <f t="shared" si="35"/>
        <v>1</v>
      </c>
      <c r="K384" s="14" t="e">
        <f t="shared" si="30"/>
        <v>#N/A</v>
      </c>
      <c r="L384" s="14" t="e">
        <f t="shared" si="31"/>
        <v>#N/A</v>
      </c>
      <c r="M384" s="14" t="e">
        <f t="shared" si="32"/>
        <v>#N/A</v>
      </c>
      <c r="N384" s="14" t="e">
        <f t="shared" si="33"/>
        <v>#N/A</v>
      </c>
    </row>
    <row r="385" spans="4:14" ht="16.5" x14ac:dyDescent="0.25">
      <c r="D385" s="14">
        <v>345</v>
      </c>
      <c r="E385" s="14" t="str">
        <f t="shared" si="34"/>
        <v/>
      </c>
      <c r="F385" s="14" t="str">
        <f>IF(AND($B$8=1,$D385&lt;=$B$7),IF($B$5=1,Calculator!$C$9*POWER(1+Calculator!$C$14/100,$D385/12),Calculator!$C$9),"")</f>
        <v/>
      </c>
      <c r="G385" s="14">
        <f>G384*(1+$B$4)+Calculator!$C$25</f>
        <v>162903.75765327315</v>
      </c>
      <c r="H385" s="14">
        <f>IF($B$5=1,Calculator!$C$9*POWER(1+Calculator!$C$14/100,$D385/12),Calculator!$C$9)</f>
        <v>10000</v>
      </c>
      <c r="J385" s="14">
        <f t="shared" si="35"/>
        <v>1</v>
      </c>
      <c r="K385" s="14" t="e">
        <f t="shared" si="30"/>
        <v>#N/A</v>
      </c>
      <c r="L385" s="14" t="e">
        <f t="shared" si="31"/>
        <v>#N/A</v>
      </c>
      <c r="M385" s="14" t="e">
        <f t="shared" si="32"/>
        <v>#N/A</v>
      </c>
      <c r="N385" s="14" t="e">
        <f t="shared" si="33"/>
        <v>#N/A</v>
      </c>
    </row>
    <row r="386" spans="4:14" ht="16.5" x14ac:dyDescent="0.25">
      <c r="D386" s="14">
        <v>346</v>
      </c>
      <c r="E386" s="14" t="str">
        <f t="shared" si="34"/>
        <v/>
      </c>
      <c r="F386" s="14" t="str">
        <f>IF(AND($B$8=1,$D386&lt;=$B$7),IF($B$5=1,Calculator!$C$9*POWER(1+Calculator!$C$14/100,$D386/12),Calculator!$C$9),"")</f>
        <v/>
      </c>
      <c r="G386" s="14">
        <f>G385*(1+$B$4)+Calculator!$C$25</f>
        <v>163605.52226656809</v>
      </c>
      <c r="H386" s="14">
        <f>IF($B$5=1,Calculator!$C$9*POWER(1+Calculator!$C$14/100,$D386/12),Calculator!$C$9)</f>
        <v>10000</v>
      </c>
      <c r="J386" s="14">
        <f t="shared" si="35"/>
        <v>1</v>
      </c>
      <c r="K386" s="14" t="e">
        <f t="shared" si="30"/>
        <v>#N/A</v>
      </c>
      <c r="L386" s="14" t="e">
        <f t="shared" si="31"/>
        <v>#N/A</v>
      </c>
      <c r="M386" s="14" t="e">
        <f t="shared" si="32"/>
        <v>#N/A</v>
      </c>
      <c r="N386" s="14" t="e">
        <f t="shared" si="33"/>
        <v>#N/A</v>
      </c>
    </row>
    <row r="387" spans="4:14" ht="16.5" x14ac:dyDescent="0.25">
      <c r="D387" s="14">
        <v>347</v>
      </c>
      <c r="E387" s="14" t="str">
        <f t="shared" si="34"/>
        <v/>
      </c>
      <c r="F387" s="14" t="str">
        <f>IF(AND($B$8=1,$D387&lt;=$B$7),IF($B$5=1,Calculator!$C$9*POWER(1+Calculator!$C$14/100,$D387/12),Calculator!$C$9),"")</f>
        <v/>
      </c>
      <c r="G387" s="14">
        <f>G386*(1+$B$4)+Calculator!$C$25</f>
        <v>164309.0176207161</v>
      </c>
      <c r="H387" s="14">
        <f>IF($B$5=1,Calculator!$C$9*POWER(1+Calculator!$C$14/100,$D387/12),Calculator!$C$9)</f>
        <v>10000</v>
      </c>
      <c r="J387" s="14">
        <f t="shared" si="35"/>
        <v>1</v>
      </c>
      <c r="K387" s="14" t="e">
        <f t="shared" si="30"/>
        <v>#N/A</v>
      </c>
      <c r="L387" s="14" t="e">
        <f t="shared" si="31"/>
        <v>#N/A</v>
      </c>
      <c r="M387" s="14" t="e">
        <f t="shared" si="32"/>
        <v>#N/A</v>
      </c>
      <c r="N387" s="14" t="e">
        <f t="shared" si="33"/>
        <v>#N/A</v>
      </c>
    </row>
    <row r="388" spans="4:14" ht="16.5" x14ac:dyDescent="0.25">
      <c r="D388" s="14">
        <v>348</v>
      </c>
      <c r="E388" s="14" t="str">
        <f t="shared" si="34"/>
        <v/>
      </c>
      <c r="F388" s="14" t="str">
        <f>IF(AND($B$8=1,$D388&lt;=$B$7),IF($B$5=1,Calculator!$C$9*POWER(1+Calculator!$C$14/100,$D388/12),Calculator!$C$9),"")</f>
        <v/>
      </c>
      <c r="G388" s="14">
        <f>G387*(1+$B$4)+Calculator!$C$25</f>
        <v>165014.247984191</v>
      </c>
      <c r="H388" s="14">
        <f>IF($B$5=1,Calculator!$C$9*POWER(1+Calculator!$C$14/100,$D388/12),Calculator!$C$9)</f>
        <v>10000</v>
      </c>
      <c r="J388" s="14">
        <f t="shared" si="35"/>
        <v>1</v>
      </c>
      <c r="K388" s="14" t="e">
        <f t="shared" si="30"/>
        <v>#N/A</v>
      </c>
      <c r="L388" s="14" t="e">
        <f t="shared" si="31"/>
        <v>#N/A</v>
      </c>
      <c r="M388" s="14" t="e">
        <f t="shared" si="32"/>
        <v>#N/A</v>
      </c>
      <c r="N388" s="14" t="e">
        <f t="shared" si="33"/>
        <v>#N/A</v>
      </c>
    </row>
    <row r="389" spans="4:14" ht="16.5" x14ac:dyDescent="0.25">
      <c r="D389" s="14">
        <v>349</v>
      </c>
      <c r="E389" s="14" t="str">
        <f t="shared" si="34"/>
        <v/>
      </c>
      <c r="F389" s="14" t="str">
        <f>IF(AND($B$8=1,$D389&lt;=$B$7),IF($B$5=1,Calculator!$C$9*POWER(1+Calculator!$C$14/100,$D389/12),Calculator!$C$9),"")</f>
        <v/>
      </c>
      <c r="G389" s="14">
        <f>G388*(1+$B$4)+Calculator!$C$25</f>
        <v>165721.21763599382</v>
      </c>
      <c r="H389" s="14">
        <f>IF($B$5=1,Calculator!$C$9*POWER(1+Calculator!$C$14/100,$D389/12),Calculator!$C$9)</f>
        <v>10000</v>
      </c>
      <c r="J389" s="14">
        <f t="shared" si="35"/>
        <v>1</v>
      </c>
      <c r="K389" s="14" t="e">
        <f t="shared" si="30"/>
        <v>#N/A</v>
      </c>
      <c r="L389" s="14" t="e">
        <f t="shared" si="31"/>
        <v>#N/A</v>
      </c>
      <c r="M389" s="14" t="e">
        <f t="shared" si="32"/>
        <v>#N/A</v>
      </c>
      <c r="N389" s="14" t="e">
        <f t="shared" si="33"/>
        <v>#N/A</v>
      </c>
    </row>
    <row r="390" spans="4:14" ht="16.5" x14ac:dyDescent="0.25">
      <c r="D390" s="14">
        <v>350</v>
      </c>
      <c r="E390" s="14" t="str">
        <f t="shared" si="34"/>
        <v/>
      </c>
      <c r="F390" s="14" t="str">
        <f>IF(AND($B$8=1,$D390&lt;=$B$7),IF($B$5=1,Calculator!$C$9*POWER(1+Calculator!$C$14/100,$D390/12),Calculator!$C$9),"")</f>
        <v/>
      </c>
      <c r="G390" s="14">
        <f>G389*(1+$B$4)+Calculator!$C$25</f>
        <v>166429.93086567882</v>
      </c>
      <c r="H390" s="14">
        <f>IF($B$5=1,Calculator!$C$9*POWER(1+Calculator!$C$14/100,$D390/12),Calculator!$C$9)</f>
        <v>10000</v>
      </c>
      <c r="J390" s="14">
        <f t="shared" si="35"/>
        <v>1</v>
      </c>
      <c r="K390" s="14" t="e">
        <f t="shared" si="30"/>
        <v>#N/A</v>
      </c>
      <c r="L390" s="14" t="e">
        <f t="shared" si="31"/>
        <v>#N/A</v>
      </c>
      <c r="M390" s="14" t="e">
        <f t="shared" si="32"/>
        <v>#N/A</v>
      </c>
      <c r="N390" s="14" t="e">
        <f t="shared" si="33"/>
        <v>#N/A</v>
      </c>
    </row>
    <row r="391" spans="4:14" ht="16.5" x14ac:dyDescent="0.25">
      <c r="D391" s="14">
        <v>351</v>
      </c>
      <c r="E391" s="14" t="str">
        <f t="shared" si="34"/>
        <v/>
      </c>
      <c r="F391" s="14" t="str">
        <f>IF(AND($B$8=1,$D391&lt;=$B$7),IF($B$5=1,Calculator!$C$9*POWER(1+Calculator!$C$14/100,$D391/12),Calculator!$C$9),"")</f>
        <v/>
      </c>
      <c r="G391" s="14">
        <f>G390*(1+$B$4)+Calculator!$C$25</f>
        <v>167140.39197337945</v>
      </c>
      <c r="H391" s="14">
        <f>IF($B$5=1,Calculator!$C$9*POWER(1+Calculator!$C$14/100,$D391/12),Calculator!$C$9)</f>
        <v>10000</v>
      </c>
      <c r="J391" s="14">
        <f t="shared" si="35"/>
        <v>1</v>
      </c>
      <c r="K391" s="14" t="e">
        <f t="shared" si="30"/>
        <v>#N/A</v>
      </c>
      <c r="L391" s="14" t="e">
        <f t="shared" si="31"/>
        <v>#N/A</v>
      </c>
      <c r="M391" s="14" t="e">
        <f t="shared" si="32"/>
        <v>#N/A</v>
      </c>
      <c r="N391" s="14" t="e">
        <f t="shared" si="33"/>
        <v>#N/A</v>
      </c>
    </row>
    <row r="392" spans="4:14" ht="16.5" x14ac:dyDescent="0.25">
      <c r="D392" s="14">
        <v>352</v>
      </c>
      <c r="E392" s="14" t="str">
        <f t="shared" si="34"/>
        <v/>
      </c>
      <c r="F392" s="14" t="str">
        <f>IF(AND($B$8=1,$D392&lt;=$B$7),IF($B$5=1,Calculator!$C$9*POWER(1+Calculator!$C$14/100,$D392/12),Calculator!$C$9),"")</f>
        <v/>
      </c>
      <c r="G392" s="14">
        <f>G391*(1+$B$4)+Calculator!$C$25</f>
        <v>167852.60526983437</v>
      </c>
      <c r="H392" s="14">
        <f>IF($B$5=1,Calculator!$C$9*POWER(1+Calculator!$C$14/100,$D392/12),Calculator!$C$9)</f>
        <v>10000</v>
      </c>
      <c r="J392" s="14">
        <f t="shared" si="35"/>
        <v>1</v>
      </c>
      <c r="K392" s="14" t="e">
        <f t="shared" si="30"/>
        <v>#N/A</v>
      </c>
      <c r="L392" s="14" t="e">
        <f t="shared" si="31"/>
        <v>#N/A</v>
      </c>
      <c r="M392" s="14" t="e">
        <f t="shared" si="32"/>
        <v>#N/A</v>
      </c>
      <c r="N392" s="14" t="e">
        <f t="shared" si="33"/>
        <v>#N/A</v>
      </c>
    </row>
    <row r="393" spans="4:14" ht="16.5" x14ac:dyDescent="0.25">
      <c r="D393" s="14">
        <v>353</v>
      </c>
      <c r="E393" s="14" t="str">
        <f t="shared" si="34"/>
        <v/>
      </c>
      <c r="F393" s="14" t="str">
        <f>IF(AND($B$8=1,$D393&lt;=$B$7),IF($B$5=1,Calculator!$C$9*POWER(1+Calculator!$C$14/100,$D393/12),Calculator!$C$9),"")</f>
        <v/>
      </c>
      <c r="G393" s="14">
        <f>G392*(1+$B$4)+Calculator!$C$25</f>
        <v>168566.57507641378</v>
      </c>
      <c r="H393" s="14">
        <f>IF($B$5=1,Calculator!$C$9*POWER(1+Calculator!$C$14/100,$D393/12),Calculator!$C$9)</f>
        <v>10000</v>
      </c>
      <c r="J393" s="14">
        <f t="shared" si="35"/>
        <v>1</v>
      </c>
      <c r="K393" s="14" t="e">
        <f t="shared" si="30"/>
        <v>#N/A</v>
      </c>
      <c r="L393" s="14" t="e">
        <f t="shared" si="31"/>
        <v>#N/A</v>
      </c>
      <c r="M393" s="14" t="e">
        <f t="shared" si="32"/>
        <v>#N/A</v>
      </c>
      <c r="N393" s="14" t="e">
        <f t="shared" si="33"/>
        <v>#N/A</v>
      </c>
    </row>
    <row r="394" spans="4:14" ht="16.5" x14ac:dyDescent="0.25">
      <c r="D394" s="14">
        <v>354</v>
      </c>
      <c r="E394" s="14" t="str">
        <f t="shared" si="34"/>
        <v/>
      </c>
      <c r="F394" s="14" t="str">
        <f>IF(AND($B$8=1,$D394&lt;=$B$7),IF($B$5=1,Calculator!$C$9*POWER(1+Calculator!$C$14/100,$D394/12),Calculator!$C$9),"")</f>
        <v/>
      </c>
      <c r="G394" s="14">
        <f>G393*(1+$B$4)+Calculator!$C$25</f>
        <v>169282.3057251455</v>
      </c>
      <c r="H394" s="14">
        <f>IF($B$5=1,Calculator!$C$9*POWER(1+Calculator!$C$14/100,$D394/12),Calculator!$C$9)</f>
        <v>10000</v>
      </c>
      <c r="J394" s="14">
        <f t="shared" si="35"/>
        <v>1</v>
      </c>
      <c r="K394" s="14" t="e">
        <f t="shared" si="30"/>
        <v>#N/A</v>
      </c>
      <c r="L394" s="14" t="e">
        <f t="shared" si="31"/>
        <v>#N/A</v>
      </c>
      <c r="M394" s="14" t="e">
        <f t="shared" si="32"/>
        <v>#N/A</v>
      </c>
      <c r="N394" s="14" t="e">
        <f t="shared" si="33"/>
        <v>#N/A</v>
      </c>
    </row>
    <row r="395" spans="4:14" ht="16.5" x14ac:dyDescent="0.25">
      <c r="D395" s="14">
        <v>355</v>
      </c>
      <c r="E395" s="14" t="str">
        <f t="shared" si="34"/>
        <v/>
      </c>
      <c r="F395" s="14" t="str">
        <f>IF(AND($B$8=1,$D395&lt;=$B$7),IF($B$5=1,Calculator!$C$9*POWER(1+Calculator!$C$14/100,$D395/12),Calculator!$C$9),"")</f>
        <v/>
      </c>
      <c r="G395" s="14">
        <f>G394*(1+$B$4)+Calculator!$C$25</f>
        <v>169999.80155874131</v>
      </c>
      <c r="H395" s="14">
        <f>IF($B$5=1,Calculator!$C$9*POWER(1+Calculator!$C$14/100,$D395/12),Calculator!$C$9)</f>
        <v>10000</v>
      </c>
      <c r="J395" s="14">
        <f t="shared" si="35"/>
        <v>1</v>
      </c>
      <c r="K395" s="14" t="e">
        <f t="shared" si="30"/>
        <v>#N/A</v>
      </c>
      <c r="L395" s="14" t="e">
        <f t="shared" si="31"/>
        <v>#N/A</v>
      </c>
      <c r="M395" s="14" t="e">
        <f t="shared" si="32"/>
        <v>#N/A</v>
      </c>
      <c r="N395" s="14" t="e">
        <f t="shared" si="33"/>
        <v>#N/A</v>
      </c>
    </row>
    <row r="396" spans="4:14" ht="16.5" x14ac:dyDescent="0.25">
      <c r="D396" s="14">
        <v>356</v>
      </c>
      <c r="E396" s="14" t="str">
        <f t="shared" si="34"/>
        <v/>
      </c>
      <c r="F396" s="14" t="str">
        <f>IF(AND($B$8=1,$D396&lt;=$B$7),IF($B$5=1,Calculator!$C$9*POWER(1+Calculator!$C$14/100,$D396/12),Calculator!$C$9),"")</f>
        <v/>
      </c>
      <c r="G396" s="14">
        <f>G395*(1+$B$4)+Calculator!$C$25</f>
        <v>170719.06693062326</v>
      </c>
      <c r="H396" s="14">
        <f>IF($B$5=1,Calculator!$C$9*POWER(1+Calculator!$C$14/100,$D396/12),Calculator!$C$9)</f>
        <v>10000</v>
      </c>
      <c r="J396" s="14">
        <f t="shared" si="35"/>
        <v>1</v>
      </c>
      <c r="K396" s="14" t="e">
        <f t="shared" si="30"/>
        <v>#N/A</v>
      </c>
      <c r="L396" s="14" t="e">
        <f t="shared" si="31"/>
        <v>#N/A</v>
      </c>
      <c r="M396" s="14" t="e">
        <f t="shared" si="32"/>
        <v>#N/A</v>
      </c>
      <c r="N396" s="14" t="e">
        <f t="shared" si="33"/>
        <v>#N/A</v>
      </c>
    </row>
    <row r="397" spans="4:14" ht="16.5" x14ac:dyDescent="0.25">
      <c r="D397" s="14">
        <v>357</v>
      </c>
      <c r="E397" s="14" t="str">
        <f t="shared" si="34"/>
        <v/>
      </c>
      <c r="F397" s="14" t="str">
        <f>IF(AND($B$8=1,$D397&lt;=$B$7),IF($B$5=1,Calculator!$C$9*POWER(1+Calculator!$C$14/100,$D397/12),Calculator!$C$9),"")</f>
        <v/>
      </c>
      <c r="G397" s="14">
        <f>G396*(1+$B$4)+Calculator!$C$25</f>
        <v>171440.10620495013</v>
      </c>
      <c r="H397" s="14">
        <f>IF($B$5=1,Calculator!$C$9*POWER(1+Calculator!$C$14/100,$D397/12),Calculator!$C$9)</f>
        <v>10000</v>
      </c>
      <c r="J397" s="14">
        <f t="shared" si="35"/>
        <v>1</v>
      </c>
      <c r="K397" s="14" t="e">
        <f t="shared" si="30"/>
        <v>#N/A</v>
      </c>
      <c r="L397" s="14" t="e">
        <f t="shared" si="31"/>
        <v>#N/A</v>
      </c>
      <c r="M397" s="14" t="e">
        <f t="shared" si="32"/>
        <v>#N/A</v>
      </c>
      <c r="N397" s="14" t="e">
        <f t="shared" si="33"/>
        <v>#N/A</v>
      </c>
    </row>
    <row r="398" spans="4:14" ht="16.5" x14ac:dyDescent="0.25">
      <c r="D398" s="14">
        <v>358</v>
      </c>
      <c r="E398" s="14" t="str">
        <f t="shared" si="34"/>
        <v/>
      </c>
      <c r="F398" s="14" t="str">
        <f>IF(AND($B$8=1,$D398&lt;=$B$7),IF($B$5=1,Calculator!$C$9*POWER(1+Calculator!$C$14/100,$D398/12),Calculator!$C$9),"")</f>
        <v/>
      </c>
      <c r="G398" s="14">
        <f>G397*(1+$B$4)+Calculator!$C$25</f>
        <v>172162.92375664393</v>
      </c>
      <c r="H398" s="14">
        <f>IF($B$5=1,Calculator!$C$9*POWER(1+Calculator!$C$14/100,$D398/12),Calculator!$C$9)</f>
        <v>10000</v>
      </c>
      <c r="J398" s="14">
        <f t="shared" si="35"/>
        <v>1</v>
      </c>
      <c r="K398" s="14" t="e">
        <f t="shared" si="30"/>
        <v>#N/A</v>
      </c>
      <c r="L398" s="14" t="e">
        <f t="shared" si="31"/>
        <v>#N/A</v>
      </c>
      <c r="M398" s="14" t="e">
        <f t="shared" si="32"/>
        <v>#N/A</v>
      </c>
      <c r="N398" s="14" t="e">
        <f t="shared" si="33"/>
        <v>#N/A</v>
      </c>
    </row>
    <row r="399" spans="4:14" ht="16.5" x14ac:dyDescent="0.25">
      <c r="D399" s="14">
        <v>359</v>
      </c>
      <c r="E399" s="14" t="str">
        <f t="shared" si="34"/>
        <v/>
      </c>
      <c r="F399" s="14" t="str">
        <f>IF(AND($B$8=1,$D399&lt;=$B$7),IF($B$5=1,Calculator!$C$9*POWER(1+Calculator!$C$14/100,$D399/12),Calculator!$C$9),"")</f>
        <v/>
      </c>
      <c r="G399" s="14">
        <f>G398*(1+$B$4)+Calculator!$C$25</f>
        <v>172887.52397141635</v>
      </c>
      <c r="H399" s="14">
        <f>IF($B$5=1,Calculator!$C$9*POWER(1+Calculator!$C$14/100,$D399/12),Calculator!$C$9)</f>
        <v>10000</v>
      </c>
      <c r="J399" s="14">
        <f t="shared" si="35"/>
        <v>1</v>
      </c>
      <c r="K399" s="14" t="e">
        <f t="shared" si="30"/>
        <v>#N/A</v>
      </c>
      <c r="L399" s="14" t="e">
        <f t="shared" si="31"/>
        <v>#N/A</v>
      </c>
      <c r="M399" s="14" t="e">
        <f t="shared" si="32"/>
        <v>#N/A</v>
      </c>
      <c r="N399" s="14" t="e">
        <f t="shared" si="33"/>
        <v>#N/A</v>
      </c>
    </row>
    <row r="400" spans="4:14" ht="16.5" x14ac:dyDescent="0.25">
      <c r="D400" s="14">
        <v>360</v>
      </c>
      <c r="E400" s="14" t="str">
        <f t="shared" si="34"/>
        <v/>
      </c>
      <c r="F400" s="14" t="str">
        <f>IF(AND($B$8=1,$D400&lt;=$B$7),IF($B$5=1,Calculator!$C$9*POWER(1+Calculator!$C$14/100,$D400/12),Calculator!$C$9),"")</f>
        <v/>
      </c>
      <c r="G400" s="14">
        <f>G399*(1+$B$4)+Calculator!$C$25</f>
        <v>173613.91124579549</v>
      </c>
      <c r="H400" s="14">
        <f>IF($B$5=1,Calculator!$C$9*POWER(1+Calculator!$C$14/100,$D400/12),Calculator!$C$9)</f>
        <v>10000</v>
      </c>
      <c r="J400" s="14">
        <f t="shared" si="35"/>
        <v>1</v>
      </c>
      <c r="K400" s="14" t="e">
        <f t="shared" si="30"/>
        <v>#N/A</v>
      </c>
      <c r="L400" s="14" t="e">
        <f t="shared" si="31"/>
        <v>#N/A</v>
      </c>
      <c r="M400" s="14" t="e">
        <f t="shared" si="32"/>
        <v>#N/A</v>
      </c>
      <c r="N400" s="14" t="e">
        <f t="shared" si="33"/>
        <v>#N/A</v>
      </c>
    </row>
    <row r="401" spans="4:14" ht="16.5" x14ac:dyDescent="0.25">
      <c r="D401" s="14">
        <v>361</v>
      </c>
      <c r="E401" s="14" t="str">
        <f t="shared" si="34"/>
        <v/>
      </c>
      <c r="F401" s="14" t="str">
        <f>IF(AND($B$8=1,$D401&lt;=$B$7),IF($B$5=1,Calculator!$C$9*POWER(1+Calculator!$C$14/100,$D401/12),Calculator!$C$9),"")</f>
        <v/>
      </c>
      <c r="G401" s="14">
        <f>G400*(1+$B$4)+Calculator!$C$25</f>
        <v>174342.0899871524</v>
      </c>
      <c r="H401" s="14">
        <f>IF($B$5=1,Calculator!$C$9*POWER(1+Calculator!$C$14/100,$D401/12),Calculator!$C$9)</f>
        <v>10000</v>
      </c>
      <c r="J401" s="14">
        <f t="shared" si="35"/>
        <v>1</v>
      </c>
      <c r="K401" s="14" t="e">
        <f t="shared" si="30"/>
        <v>#N/A</v>
      </c>
      <c r="L401" s="14" t="e">
        <f t="shared" si="31"/>
        <v>#N/A</v>
      </c>
      <c r="M401" s="14" t="e">
        <f t="shared" si="32"/>
        <v>#N/A</v>
      </c>
      <c r="N401" s="14" t="e">
        <f t="shared" si="33"/>
        <v>#N/A</v>
      </c>
    </row>
    <row r="402" spans="4:14" ht="16.5" x14ac:dyDescent="0.25">
      <c r="D402" s="14">
        <v>362</v>
      </c>
      <c r="E402" s="14" t="str">
        <f t="shared" si="34"/>
        <v/>
      </c>
      <c r="F402" s="14" t="str">
        <f>IF(AND($B$8=1,$D402&lt;=$B$7),IF($B$5=1,Calculator!$C$9*POWER(1+Calculator!$C$14/100,$D402/12),Calculator!$C$9),"")</f>
        <v/>
      </c>
      <c r="G402" s="14">
        <f>G401*(1+$B$4)+Calculator!$C$25</f>
        <v>175072.06461372797</v>
      </c>
      <c r="H402" s="14">
        <f>IF($B$5=1,Calculator!$C$9*POWER(1+Calculator!$C$14/100,$D402/12),Calculator!$C$9)</f>
        <v>10000</v>
      </c>
      <c r="J402" s="14">
        <f t="shared" si="35"/>
        <v>1</v>
      </c>
      <c r="K402" s="14" t="e">
        <f t="shared" si="30"/>
        <v>#N/A</v>
      </c>
      <c r="L402" s="14" t="e">
        <f t="shared" si="31"/>
        <v>#N/A</v>
      </c>
      <c r="M402" s="14" t="e">
        <f t="shared" si="32"/>
        <v>#N/A</v>
      </c>
      <c r="N402" s="14" t="e">
        <f t="shared" si="33"/>
        <v>#N/A</v>
      </c>
    </row>
    <row r="403" spans="4:14" ht="16.5" x14ac:dyDescent="0.25">
      <c r="D403" s="14">
        <v>363</v>
      </c>
      <c r="E403" s="14" t="str">
        <f t="shared" si="34"/>
        <v/>
      </c>
      <c r="F403" s="14" t="str">
        <f>IF(AND($B$8=1,$D403&lt;=$B$7),IF($B$5=1,Calculator!$C$9*POWER(1+Calculator!$C$14/100,$D403/12),Calculator!$C$9),"")</f>
        <v/>
      </c>
      <c r="G403" s="14">
        <f>G402*(1+$B$4)+Calculator!$C$25</f>
        <v>175803.83955465961</v>
      </c>
      <c r="H403" s="14">
        <f>IF($B$5=1,Calculator!$C$9*POWER(1+Calculator!$C$14/100,$D403/12),Calculator!$C$9)</f>
        <v>10000</v>
      </c>
      <c r="J403" s="14">
        <f t="shared" si="35"/>
        <v>1</v>
      </c>
      <c r="K403" s="14" t="e">
        <f t="shared" si="30"/>
        <v>#N/A</v>
      </c>
      <c r="L403" s="14" t="e">
        <f t="shared" si="31"/>
        <v>#N/A</v>
      </c>
      <c r="M403" s="14" t="e">
        <f t="shared" si="32"/>
        <v>#N/A</v>
      </c>
      <c r="N403" s="14" t="e">
        <f t="shared" si="33"/>
        <v>#N/A</v>
      </c>
    </row>
    <row r="404" spans="4:14" ht="16.5" x14ac:dyDescent="0.25">
      <c r="D404" s="14">
        <v>364</v>
      </c>
      <c r="E404" s="14" t="str">
        <f t="shared" si="34"/>
        <v/>
      </c>
      <c r="F404" s="14" t="str">
        <f>IF(AND($B$8=1,$D404&lt;=$B$7),IF($B$5=1,Calculator!$C$9*POWER(1+Calculator!$C$14/100,$D404/12),Calculator!$C$9),"")</f>
        <v/>
      </c>
      <c r="G404" s="14">
        <f>G403*(1+$B$4)+Calculator!$C$25</f>
        <v>176537.41925000818</v>
      </c>
      <c r="H404" s="14">
        <f>IF($B$5=1,Calculator!$C$9*POWER(1+Calculator!$C$14/100,$D404/12),Calculator!$C$9)</f>
        <v>10000</v>
      </c>
      <c r="J404" s="14">
        <f t="shared" si="35"/>
        <v>1</v>
      </c>
      <c r="K404" s="14" t="e">
        <f t="shared" si="30"/>
        <v>#N/A</v>
      </c>
      <c r="L404" s="14" t="e">
        <f t="shared" si="31"/>
        <v>#N/A</v>
      </c>
      <c r="M404" s="14" t="e">
        <f t="shared" si="32"/>
        <v>#N/A</v>
      </c>
      <c r="N404" s="14" t="e">
        <f t="shared" si="33"/>
        <v>#N/A</v>
      </c>
    </row>
    <row r="405" spans="4:14" ht="16.5" x14ac:dyDescent="0.25">
      <c r="D405" s="14">
        <v>365</v>
      </c>
      <c r="E405" s="14" t="str">
        <f t="shared" si="34"/>
        <v/>
      </c>
      <c r="F405" s="14" t="str">
        <f>IF(AND($B$8=1,$D405&lt;=$B$7),IF($B$5=1,Calculator!$C$9*POWER(1+Calculator!$C$14/100,$D405/12),Calculator!$C$9),"")</f>
        <v/>
      </c>
      <c r="G405" s="14">
        <f>G404*(1+$B$4)+Calculator!$C$25</f>
        <v>177272.80815078499</v>
      </c>
      <c r="H405" s="14">
        <f>IF($B$5=1,Calculator!$C$9*POWER(1+Calculator!$C$14/100,$D405/12),Calculator!$C$9)</f>
        <v>10000</v>
      </c>
      <c r="J405" s="14">
        <f t="shared" si="35"/>
        <v>1</v>
      </c>
      <c r="K405" s="14" t="e">
        <f t="shared" si="30"/>
        <v>#N/A</v>
      </c>
      <c r="L405" s="14" t="e">
        <f t="shared" si="31"/>
        <v>#N/A</v>
      </c>
      <c r="M405" s="14" t="e">
        <f t="shared" si="32"/>
        <v>#N/A</v>
      </c>
      <c r="N405" s="14" t="e">
        <f t="shared" si="33"/>
        <v>#N/A</v>
      </c>
    </row>
    <row r="406" spans="4:14" ht="16.5" x14ac:dyDescent="0.25">
      <c r="D406" s="14">
        <v>366</v>
      </c>
      <c r="E406" s="14" t="str">
        <f t="shared" si="34"/>
        <v/>
      </c>
      <c r="F406" s="14" t="str">
        <f>IF(AND($B$8=1,$D406&lt;=$B$7),IF($B$5=1,Calculator!$C$9*POWER(1+Calculator!$C$14/100,$D406/12),Calculator!$C$9),"")</f>
        <v/>
      </c>
      <c r="G406" s="14">
        <f>G405*(1+$B$4)+Calculator!$C$25</f>
        <v>178010.01071897865</v>
      </c>
      <c r="H406" s="14">
        <f>IF($B$5=1,Calculator!$C$9*POWER(1+Calculator!$C$14/100,$D406/12),Calculator!$C$9)</f>
        <v>10000</v>
      </c>
      <c r="J406" s="14">
        <f t="shared" si="35"/>
        <v>1</v>
      </c>
      <c r="K406" s="14" t="e">
        <f t="shared" si="30"/>
        <v>#N/A</v>
      </c>
      <c r="L406" s="14" t="e">
        <f t="shared" si="31"/>
        <v>#N/A</v>
      </c>
      <c r="M406" s="14" t="e">
        <f t="shared" si="32"/>
        <v>#N/A</v>
      </c>
      <c r="N406" s="14" t="e">
        <f t="shared" si="33"/>
        <v>#N/A</v>
      </c>
    </row>
    <row r="407" spans="4:14" ht="16.5" x14ac:dyDescent="0.25">
      <c r="D407" s="14">
        <v>367</v>
      </c>
      <c r="E407" s="14" t="str">
        <f t="shared" si="34"/>
        <v/>
      </c>
      <c r="F407" s="14" t="str">
        <f>IF(AND($B$8=1,$D407&lt;=$B$7),IF($B$5=1,Calculator!$C$9*POWER(1+Calculator!$C$14/100,$D407/12),Calculator!$C$9),"")</f>
        <v/>
      </c>
      <c r="G407" s="14">
        <f>G406*(1+$B$4)+Calculator!$C$25</f>
        <v>178749.03142758232</v>
      </c>
      <c r="H407" s="14">
        <f>IF($B$5=1,Calculator!$C$9*POWER(1+Calculator!$C$14/100,$D407/12),Calculator!$C$9)</f>
        <v>10000</v>
      </c>
      <c r="J407" s="14">
        <f t="shared" si="35"/>
        <v>1</v>
      </c>
      <c r="K407" s="14" t="e">
        <f t="shared" si="30"/>
        <v>#N/A</v>
      </c>
      <c r="L407" s="14" t="e">
        <f t="shared" si="31"/>
        <v>#N/A</v>
      </c>
      <c r="M407" s="14" t="e">
        <f t="shared" si="32"/>
        <v>#N/A</v>
      </c>
      <c r="N407" s="14" t="e">
        <f t="shared" si="33"/>
        <v>#N/A</v>
      </c>
    </row>
    <row r="408" spans="4:14" ht="16.5" x14ac:dyDescent="0.25">
      <c r="D408" s="14">
        <v>368</v>
      </c>
      <c r="E408" s="14" t="str">
        <f t="shared" si="34"/>
        <v/>
      </c>
      <c r="F408" s="14" t="str">
        <f>IF(AND($B$8=1,$D408&lt;=$B$7),IF($B$5=1,Calculator!$C$9*POWER(1+Calculator!$C$14/100,$D408/12),Calculator!$C$9),"")</f>
        <v/>
      </c>
      <c r="G408" s="14">
        <f>G407*(1+$B$4)+Calculator!$C$25</f>
        <v>179489.87476062073</v>
      </c>
      <c r="H408" s="14">
        <f>IF($B$5=1,Calculator!$C$9*POWER(1+Calculator!$C$14/100,$D408/12),Calculator!$C$9)</f>
        <v>10000</v>
      </c>
      <c r="J408" s="14">
        <f t="shared" si="35"/>
        <v>1</v>
      </c>
      <c r="K408" s="14" t="e">
        <f t="shared" si="30"/>
        <v>#N/A</v>
      </c>
      <c r="L408" s="14" t="e">
        <f t="shared" si="31"/>
        <v>#N/A</v>
      </c>
      <c r="M408" s="14" t="e">
        <f t="shared" si="32"/>
        <v>#N/A</v>
      </c>
      <c r="N408" s="14" t="e">
        <f t="shared" si="33"/>
        <v>#N/A</v>
      </c>
    </row>
    <row r="409" spans="4:14" ht="16.5" x14ac:dyDescent="0.25">
      <c r="D409" s="14">
        <v>369</v>
      </c>
      <c r="E409" s="14" t="str">
        <f t="shared" si="34"/>
        <v/>
      </c>
      <c r="F409" s="14" t="str">
        <f>IF(AND($B$8=1,$D409&lt;=$B$7),IF($B$5=1,Calculator!$C$9*POWER(1+Calculator!$C$14/100,$D409/12),Calculator!$C$9),"")</f>
        <v/>
      </c>
      <c r="G409" s="14">
        <f>G408*(1+$B$4)+Calculator!$C$25</f>
        <v>180232.54521317742</v>
      </c>
      <c r="H409" s="14">
        <f>IF($B$5=1,Calculator!$C$9*POWER(1+Calculator!$C$14/100,$D409/12),Calculator!$C$9)</f>
        <v>10000</v>
      </c>
      <c r="J409" s="14">
        <f t="shared" si="35"/>
        <v>1</v>
      </c>
      <c r="K409" s="14" t="e">
        <f t="shared" si="30"/>
        <v>#N/A</v>
      </c>
      <c r="L409" s="14" t="e">
        <f t="shared" si="31"/>
        <v>#N/A</v>
      </c>
      <c r="M409" s="14" t="e">
        <f t="shared" si="32"/>
        <v>#N/A</v>
      </c>
      <c r="N409" s="14" t="e">
        <f t="shared" si="33"/>
        <v>#N/A</v>
      </c>
    </row>
    <row r="410" spans="4:14" ht="16.5" x14ac:dyDescent="0.25">
      <c r="D410" s="14">
        <v>370</v>
      </c>
      <c r="E410" s="14" t="str">
        <f t="shared" si="34"/>
        <v/>
      </c>
      <c r="F410" s="14" t="str">
        <f>IF(AND($B$8=1,$D410&lt;=$B$7),IF($B$5=1,Calculator!$C$9*POWER(1+Calculator!$C$14/100,$D410/12),Calculator!$C$9),"")</f>
        <v/>
      </c>
      <c r="G410" s="14">
        <f>G409*(1+$B$4)+Calculator!$C$25</f>
        <v>180977.04729142203</v>
      </c>
      <c r="H410" s="14">
        <f>IF($B$5=1,Calculator!$C$9*POWER(1+Calculator!$C$14/100,$D410/12),Calculator!$C$9)</f>
        <v>10000</v>
      </c>
      <c r="J410" s="14">
        <f t="shared" si="35"/>
        <v>1</v>
      </c>
      <c r="K410" s="14" t="e">
        <f t="shared" si="30"/>
        <v>#N/A</v>
      </c>
      <c r="L410" s="14" t="e">
        <f t="shared" si="31"/>
        <v>#N/A</v>
      </c>
      <c r="M410" s="14" t="e">
        <f t="shared" si="32"/>
        <v>#N/A</v>
      </c>
      <c r="N410" s="14" t="e">
        <f t="shared" si="33"/>
        <v>#N/A</v>
      </c>
    </row>
    <row r="411" spans="4:14" ht="16.5" x14ac:dyDescent="0.25">
      <c r="D411" s="14">
        <v>371</v>
      </c>
      <c r="E411" s="14" t="str">
        <f t="shared" si="34"/>
        <v/>
      </c>
      <c r="F411" s="14" t="str">
        <f>IF(AND($B$8=1,$D411&lt;=$B$7),IF($B$5=1,Calculator!$C$9*POWER(1+Calculator!$C$14/100,$D411/12),Calculator!$C$9),"")</f>
        <v/>
      </c>
      <c r="G411" s="14">
        <f>G410*(1+$B$4)+Calculator!$C$25</f>
        <v>181723.38551263764</v>
      </c>
      <c r="H411" s="14">
        <f>IF($B$5=1,Calculator!$C$9*POWER(1+Calculator!$C$14/100,$D411/12),Calculator!$C$9)</f>
        <v>10000</v>
      </c>
      <c r="J411" s="14">
        <f t="shared" si="35"/>
        <v>1</v>
      </c>
      <c r="K411" s="14" t="e">
        <f t="shared" si="30"/>
        <v>#N/A</v>
      </c>
      <c r="L411" s="14" t="e">
        <f t="shared" si="31"/>
        <v>#N/A</v>
      </c>
      <c r="M411" s="14" t="e">
        <f t="shared" si="32"/>
        <v>#N/A</v>
      </c>
      <c r="N411" s="14" t="e">
        <f t="shared" si="33"/>
        <v>#N/A</v>
      </c>
    </row>
    <row r="412" spans="4:14" ht="16.5" x14ac:dyDescent="0.25">
      <c r="D412" s="14">
        <v>372</v>
      </c>
      <c r="E412" s="14" t="str">
        <f t="shared" si="34"/>
        <v/>
      </c>
      <c r="F412" s="14" t="str">
        <f>IF(AND($B$8=1,$D412&lt;=$B$7),IF($B$5=1,Calculator!$C$9*POWER(1+Calculator!$C$14/100,$D412/12),Calculator!$C$9),"")</f>
        <v/>
      </c>
      <c r="G412" s="14">
        <f>G411*(1+$B$4)+Calculator!$C$25</f>
        <v>182471.56440524815</v>
      </c>
      <c r="H412" s="14">
        <f>IF($B$5=1,Calculator!$C$9*POWER(1+Calculator!$C$14/100,$D412/12),Calculator!$C$9)</f>
        <v>10000</v>
      </c>
      <c r="J412" s="14">
        <f t="shared" si="35"/>
        <v>1</v>
      </c>
      <c r="K412" s="14" t="e">
        <f t="shared" si="30"/>
        <v>#N/A</v>
      </c>
      <c r="L412" s="14" t="e">
        <f t="shared" si="31"/>
        <v>#N/A</v>
      </c>
      <c r="M412" s="14" t="e">
        <f t="shared" si="32"/>
        <v>#N/A</v>
      </c>
      <c r="N412" s="14" t="e">
        <f t="shared" si="33"/>
        <v>#N/A</v>
      </c>
    </row>
    <row r="413" spans="4:14" ht="16.5" x14ac:dyDescent="0.25">
      <c r="D413" s="14">
        <v>373</v>
      </c>
      <c r="E413" s="14" t="str">
        <f t="shared" si="34"/>
        <v/>
      </c>
      <c r="F413" s="14" t="str">
        <f>IF(AND($B$8=1,$D413&lt;=$B$7),IF($B$5=1,Calculator!$C$9*POWER(1+Calculator!$C$14/100,$D413/12),Calculator!$C$9),"")</f>
        <v/>
      </c>
      <c r="G413" s="14">
        <f>G412*(1+$B$4)+Calculator!$C$25</f>
        <v>183221.58850884577</v>
      </c>
      <c r="H413" s="14">
        <f>IF($B$5=1,Calculator!$C$9*POWER(1+Calculator!$C$14/100,$D413/12),Calculator!$C$9)</f>
        <v>10000</v>
      </c>
      <c r="J413" s="14">
        <f t="shared" si="35"/>
        <v>1</v>
      </c>
      <c r="K413" s="14" t="e">
        <f t="shared" si="30"/>
        <v>#N/A</v>
      </c>
      <c r="L413" s="14" t="e">
        <f t="shared" si="31"/>
        <v>#N/A</v>
      </c>
      <c r="M413" s="14" t="e">
        <f t="shared" si="32"/>
        <v>#N/A</v>
      </c>
      <c r="N413" s="14" t="e">
        <f t="shared" si="33"/>
        <v>#N/A</v>
      </c>
    </row>
    <row r="414" spans="4:14" ht="16.5" x14ac:dyDescent="0.25">
      <c r="D414" s="14">
        <v>374</v>
      </c>
      <c r="E414" s="14" t="str">
        <f t="shared" si="34"/>
        <v/>
      </c>
      <c r="F414" s="14" t="str">
        <f>IF(AND($B$8=1,$D414&lt;=$B$7),IF($B$5=1,Calculator!$C$9*POWER(1+Calculator!$C$14/100,$D414/12),Calculator!$C$9),"")</f>
        <v/>
      </c>
      <c r="G414" s="14">
        <f>G413*(1+$B$4)+Calculator!$C$25</f>
        <v>183973.46237421859</v>
      </c>
      <c r="H414" s="14">
        <f>IF($B$5=1,Calculator!$C$9*POWER(1+Calculator!$C$14/100,$D414/12),Calculator!$C$9)</f>
        <v>10000</v>
      </c>
      <c r="J414" s="14">
        <f t="shared" si="35"/>
        <v>1</v>
      </c>
      <c r="K414" s="14" t="e">
        <f t="shared" si="30"/>
        <v>#N/A</v>
      </c>
      <c r="L414" s="14" t="e">
        <f t="shared" si="31"/>
        <v>#N/A</v>
      </c>
      <c r="M414" s="14" t="e">
        <f t="shared" si="32"/>
        <v>#N/A</v>
      </c>
      <c r="N414" s="14" t="e">
        <f t="shared" si="33"/>
        <v>#N/A</v>
      </c>
    </row>
    <row r="415" spans="4:14" ht="16.5" x14ac:dyDescent="0.25">
      <c r="D415" s="14">
        <v>375</v>
      </c>
      <c r="E415" s="14" t="str">
        <f t="shared" si="34"/>
        <v/>
      </c>
      <c r="F415" s="14" t="str">
        <f>IF(AND($B$8=1,$D415&lt;=$B$7),IF($B$5=1,Calculator!$C$9*POWER(1+Calculator!$C$14/100,$D415/12),Calculator!$C$9),"")</f>
        <v/>
      </c>
      <c r="G415" s="14">
        <f>G414*(1+$B$4)+Calculator!$C$25</f>
        <v>184727.19056337819</v>
      </c>
      <c r="H415" s="14">
        <f>IF($B$5=1,Calculator!$C$9*POWER(1+Calculator!$C$14/100,$D415/12),Calculator!$C$9)</f>
        <v>10000</v>
      </c>
      <c r="J415" s="14">
        <f t="shared" si="35"/>
        <v>1</v>
      </c>
      <c r="K415" s="14" t="e">
        <f t="shared" si="30"/>
        <v>#N/A</v>
      </c>
      <c r="L415" s="14" t="e">
        <f t="shared" si="31"/>
        <v>#N/A</v>
      </c>
      <c r="M415" s="14" t="e">
        <f t="shared" si="32"/>
        <v>#N/A</v>
      </c>
      <c r="N415" s="14" t="e">
        <f t="shared" si="33"/>
        <v>#N/A</v>
      </c>
    </row>
    <row r="416" spans="4:14" ht="16.5" x14ac:dyDescent="0.25">
      <c r="D416" s="14">
        <v>376</v>
      </c>
      <c r="E416" s="14" t="str">
        <f t="shared" si="34"/>
        <v/>
      </c>
      <c r="F416" s="14" t="str">
        <f>IF(AND($B$8=1,$D416&lt;=$B$7),IF($B$5=1,Calculator!$C$9*POWER(1+Calculator!$C$14/100,$D416/12),Calculator!$C$9),"")</f>
        <v/>
      </c>
      <c r="G416" s="14">
        <f>G415*(1+$B$4)+Calculator!$C$25</f>
        <v>185482.77764958722</v>
      </c>
      <c r="H416" s="14">
        <f>IF($B$5=1,Calculator!$C$9*POWER(1+Calculator!$C$14/100,$D416/12),Calculator!$C$9)</f>
        <v>10000</v>
      </c>
      <c r="J416" s="14">
        <f t="shared" si="35"/>
        <v>1</v>
      </c>
      <c r="K416" s="14" t="e">
        <f t="shared" si="30"/>
        <v>#N/A</v>
      </c>
      <c r="L416" s="14" t="e">
        <f t="shared" si="31"/>
        <v>#N/A</v>
      </c>
      <c r="M416" s="14" t="e">
        <f t="shared" si="32"/>
        <v>#N/A</v>
      </c>
      <c r="N416" s="14" t="e">
        <f t="shared" si="33"/>
        <v>#N/A</v>
      </c>
    </row>
    <row r="417" spans="4:14" ht="16.5" x14ac:dyDescent="0.25">
      <c r="D417" s="14">
        <v>377</v>
      </c>
      <c r="E417" s="14" t="str">
        <f t="shared" si="34"/>
        <v/>
      </c>
      <c r="F417" s="14" t="str">
        <f>IF(AND($B$8=1,$D417&lt;=$B$7),IF($B$5=1,Calculator!$C$9*POWER(1+Calculator!$C$14/100,$D417/12),Calculator!$C$9),"")</f>
        <v/>
      </c>
      <c r="G417" s="14">
        <f>G416*(1+$B$4)+Calculator!$C$25</f>
        <v>186240.22821738734</v>
      </c>
      <c r="H417" s="14">
        <f>IF($B$5=1,Calculator!$C$9*POWER(1+Calculator!$C$14/100,$D417/12),Calculator!$C$9)</f>
        <v>10000</v>
      </c>
      <c r="J417" s="14">
        <f t="shared" si="35"/>
        <v>1</v>
      </c>
      <c r="K417" s="14" t="e">
        <f t="shared" si="30"/>
        <v>#N/A</v>
      </c>
      <c r="L417" s="14" t="e">
        <f t="shared" si="31"/>
        <v>#N/A</v>
      </c>
      <c r="M417" s="14" t="e">
        <f t="shared" si="32"/>
        <v>#N/A</v>
      </c>
      <c r="N417" s="14" t="e">
        <f t="shared" si="33"/>
        <v>#N/A</v>
      </c>
    </row>
    <row r="418" spans="4:14" ht="16.5" x14ac:dyDescent="0.25">
      <c r="D418" s="14">
        <v>378</v>
      </c>
      <c r="E418" s="14" t="str">
        <f t="shared" si="34"/>
        <v/>
      </c>
      <c r="F418" s="14" t="str">
        <f>IF(AND($B$8=1,$D418&lt;=$B$7),IF($B$5=1,Calculator!$C$9*POWER(1+Calculator!$C$14/100,$D418/12),Calculator!$C$9),"")</f>
        <v/>
      </c>
      <c r="G418" s="14">
        <f>G417*(1+$B$4)+Calculator!$C$25</f>
        <v>186999.54686262683</v>
      </c>
      <c r="H418" s="14">
        <f>IF($B$5=1,Calculator!$C$9*POWER(1+Calculator!$C$14/100,$D418/12),Calculator!$C$9)</f>
        <v>10000</v>
      </c>
      <c r="J418" s="14">
        <f t="shared" si="35"/>
        <v>1</v>
      </c>
      <c r="K418" s="14" t="e">
        <f t="shared" si="30"/>
        <v>#N/A</v>
      </c>
      <c r="L418" s="14" t="e">
        <f t="shared" si="31"/>
        <v>#N/A</v>
      </c>
      <c r="M418" s="14" t="e">
        <f t="shared" si="32"/>
        <v>#N/A</v>
      </c>
      <c r="N418" s="14" t="e">
        <f t="shared" si="33"/>
        <v>#N/A</v>
      </c>
    </row>
    <row r="419" spans="4:14" ht="16.5" x14ac:dyDescent="0.25">
      <c r="D419" s="14">
        <v>379</v>
      </c>
      <c r="E419" s="14" t="str">
        <f t="shared" si="34"/>
        <v/>
      </c>
      <c r="F419" s="14" t="str">
        <f>IF(AND($B$8=1,$D419&lt;=$B$7),IF($B$5=1,Calculator!$C$9*POWER(1+Calculator!$C$14/100,$D419/12),Calculator!$C$9),"")</f>
        <v/>
      </c>
      <c r="G419" s="14">
        <f>G418*(1+$B$4)+Calculator!$C$25</f>
        <v>187760.73819248861</v>
      </c>
      <c r="H419" s="14">
        <f>IF($B$5=1,Calculator!$C$9*POWER(1+Calculator!$C$14/100,$D419/12),Calculator!$C$9)</f>
        <v>10000</v>
      </c>
      <c r="J419" s="14">
        <f t="shared" si="35"/>
        <v>1</v>
      </c>
      <c r="K419" s="14" t="e">
        <f t="shared" si="30"/>
        <v>#N/A</v>
      </c>
      <c r="L419" s="14" t="e">
        <f t="shared" si="31"/>
        <v>#N/A</v>
      </c>
      <c r="M419" s="14" t="e">
        <f t="shared" si="32"/>
        <v>#N/A</v>
      </c>
      <c r="N419" s="14" t="e">
        <f t="shared" si="33"/>
        <v>#N/A</v>
      </c>
    </row>
    <row r="420" spans="4:14" ht="16.5" x14ac:dyDescent="0.25">
      <c r="D420" s="14">
        <v>380</v>
      </c>
      <c r="E420" s="14" t="str">
        <f t="shared" si="34"/>
        <v/>
      </c>
      <c r="F420" s="14" t="str">
        <f>IF(AND($B$8=1,$D420&lt;=$B$7),IF($B$5=1,Calculator!$C$9*POWER(1+Calculator!$C$14/100,$D420/12),Calculator!$C$9),"")</f>
        <v/>
      </c>
      <c r="G420" s="14">
        <f>G419*(1+$B$4)+Calculator!$C$25</f>
        <v>188523.80682551817</v>
      </c>
      <c r="H420" s="14">
        <f>IF($B$5=1,Calculator!$C$9*POWER(1+Calculator!$C$14/100,$D420/12),Calculator!$C$9)</f>
        <v>10000</v>
      </c>
      <c r="J420" s="14">
        <f t="shared" si="35"/>
        <v>1</v>
      </c>
      <c r="K420" s="14" t="e">
        <f t="shared" si="30"/>
        <v>#N/A</v>
      </c>
      <c r="L420" s="14" t="e">
        <f t="shared" si="31"/>
        <v>#N/A</v>
      </c>
      <c r="M420" s="14" t="e">
        <f t="shared" si="32"/>
        <v>#N/A</v>
      </c>
      <c r="N420" s="14" t="e">
        <f t="shared" si="33"/>
        <v>#N/A</v>
      </c>
    </row>
    <row r="421" spans="4:14" ht="16.5" x14ac:dyDescent="0.25">
      <c r="D421" s="14">
        <v>381</v>
      </c>
      <c r="E421" s="14" t="str">
        <f t="shared" si="34"/>
        <v/>
      </c>
      <c r="F421" s="14" t="str">
        <f>IF(AND($B$8=1,$D421&lt;=$B$7),IF($B$5=1,Calculator!$C$9*POWER(1+Calculator!$C$14/100,$D421/12),Calculator!$C$9),"")</f>
        <v/>
      </c>
      <c r="G421" s="14">
        <f>G420*(1+$B$4)+Calculator!$C$25</f>
        <v>189288.75739165157</v>
      </c>
      <c r="H421" s="14">
        <f>IF($B$5=1,Calculator!$C$9*POWER(1+Calculator!$C$14/100,$D421/12),Calculator!$C$9)</f>
        <v>10000</v>
      </c>
      <c r="J421" s="14">
        <f t="shared" si="35"/>
        <v>1</v>
      </c>
      <c r="K421" s="14" t="e">
        <f t="shared" si="30"/>
        <v>#N/A</v>
      </c>
      <c r="L421" s="14" t="e">
        <f t="shared" si="31"/>
        <v>#N/A</v>
      </c>
      <c r="M421" s="14" t="e">
        <f t="shared" si="32"/>
        <v>#N/A</v>
      </c>
      <c r="N421" s="14" t="e">
        <f t="shared" si="33"/>
        <v>#N/A</v>
      </c>
    </row>
    <row r="422" spans="4:14" ht="16.5" x14ac:dyDescent="0.25">
      <c r="D422" s="14">
        <v>382</v>
      </c>
      <c r="E422" s="14" t="str">
        <f t="shared" si="34"/>
        <v/>
      </c>
      <c r="F422" s="14" t="str">
        <f>IF(AND($B$8=1,$D422&lt;=$B$7),IF($B$5=1,Calculator!$C$9*POWER(1+Calculator!$C$14/100,$D422/12),Calculator!$C$9),"")</f>
        <v/>
      </c>
      <c r="G422" s="14">
        <f>G421*(1+$B$4)+Calculator!$C$25</f>
        <v>190055.59453224353</v>
      </c>
      <c r="H422" s="14">
        <f>IF($B$5=1,Calculator!$C$9*POWER(1+Calculator!$C$14/100,$D422/12),Calculator!$C$9)</f>
        <v>10000</v>
      </c>
      <c r="J422" s="14">
        <f t="shared" si="35"/>
        <v>1</v>
      </c>
      <c r="K422" s="14" t="e">
        <f t="shared" si="30"/>
        <v>#N/A</v>
      </c>
      <c r="L422" s="14" t="e">
        <f t="shared" si="31"/>
        <v>#N/A</v>
      </c>
      <c r="M422" s="14" t="e">
        <f t="shared" si="32"/>
        <v>#N/A</v>
      </c>
      <c r="N422" s="14" t="e">
        <f t="shared" si="33"/>
        <v>#N/A</v>
      </c>
    </row>
    <row r="423" spans="4:14" ht="16.5" x14ac:dyDescent="0.25">
      <c r="D423" s="14">
        <v>383</v>
      </c>
      <c r="E423" s="14" t="str">
        <f t="shared" si="34"/>
        <v/>
      </c>
      <c r="F423" s="14" t="str">
        <f>IF(AND($B$8=1,$D423&lt;=$B$7),IF($B$5=1,Calculator!$C$9*POWER(1+Calculator!$C$14/100,$D423/12),Calculator!$C$9),"")</f>
        <v/>
      </c>
      <c r="G423" s="14">
        <f>G422*(1+$B$4)+Calculator!$C$25</f>
        <v>190824.32290009561</v>
      </c>
      <c r="H423" s="14">
        <f>IF($B$5=1,Calculator!$C$9*POWER(1+Calculator!$C$14/100,$D423/12),Calculator!$C$9)</f>
        <v>10000</v>
      </c>
      <c r="J423" s="14">
        <f t="shared" si="35"/>
        <v>1</v>
      </c>
      <c r="K423" s="14" t="e">
        <f t="shared" si="30"/>
        <v>#N/A</v>
      </c>
      <c r="L423" s="14" t="e">
        <f t="shared" si="31"/>
        <v>#N/A</v>
      </c>
      <c r="M423" s="14" t="e">
        <f t="shared" si="32"/>
        <v>#N/A</v>
      </c>
      <c r="N423" s="14" t="e">
        <f t="shared" si="33"/>
        <v>#N/A</v>
      </c>
    </row>
    <row r="424" spans="4:14" ht="16.5" x14ac:dyDescent="0.25">
      <c r="D424" s="14">
        <v>384</v>
      </c>
      <c r="E424" s="14" t="str">
        <f t="shared" si="34"/>
        <v/>
      </c>
      <c r="F424" s="14" t="str">
        <f>IF(AND($B$8=1,$D424&lt;=$B$7),IF($B$5=1,Calculator!$C$9*POWER(1+Calculator!$C$14/100,$D424/12),Calculator!$C$9),"")</f>
        <v/>
      </c>
      <c r="G424" s="14">
        <f>G423*(1+$B$4)+Calculator!$C$25</f>
        <v>191594.94715948444</v>
      </c>
      <c r="H424" s="14">
        <f>IF($B$5=1,Calculator!$C$9*POWER(1+Calculator!$C$14/100,$D424/12),Calculator!$C$9)</f>
        <v>10000</v>
      </c>
      <c r="J424" s="14">
        <f t="shared" si="35"/>
        <v>1</v>
      </c>
      <c r="K424" s="14" t="e">
        <f t="shared" ref="K424:K487" si="36">IF($D424&lt;=$B$23,E424,NA())</f>
        <v>#N/A</v>
      </c>
      <c r="L424" s="14" t="e">
        <f t="shared" ref="L424:L487" si="37">IF($D424&lt;=$B$23,F424,NA())</f>
        <v>#N/A</v>
      </c>
      <c r="M424" s="14" t="e">
        <f t="shared" ref="M424:M487" si="38">IF($D424&lt;=$B$24,G424,NA())</f>
        <v>#N/A</v>
      </c>
      <c r="N424" s="14" t="e">
        <f t="shared" ref="N424:N487" si="39">IF($D424&lt;=$B$24,H424,NA())</f>
        <v>#N/A</v>
      </c>
    </row>
    <row r="425" spans="4:14" ht="16.5" x14ac:dyDescent="0.25">
      <c r="D425" s="14">
        <v>385</v>
      </c>
      <c r="E425" s="14" t="str">
        <f t="shared" ref="E425:E488" si="40">IF(AND($B$8=1,$D425&lt;=$B$7),E424*(1+$B$4)+$B$11,"")</f>
        <v/>
      </c>
      <c r="F425" s="14" t="str">
        <f>IF(AND($B$8=1,$D425&lt;=$B$7),IF($B$5=1,Calculator!$C$9*POWER(1+Calculator!$C$14/100,$D425/12),Calculator!$C$9),"")</f>
        <v/>
      </c>
      <c r="G425" s="14">
        <f>G424*(1+$B$4)+Calculator!$C$25</f>
        <v>192367.47198619001</v>
      </c>
      <c r="H425" s="14">
        <f>IF($B$5=1,Calculator!$C$9*POWER(1+Calculator!$C$14/100,$D425/12),Calculator!$C$9)</f>
        <v>10000</v>
      </c>
      <c r="J425" s="14">
        <f t="shared" ref="J425:J488" si="41">IF(G425&gt;=H425,1,0)</f>
        <v>1</v>
      </c>
      <c r="K425" s="14" t="e">
        <f t="shared" si="36"/>
        <v>#N/A</v>
      </c>
      <c r="L425" s="14" t="e">
        <f t="shared" si="37"/>
        <v>#N/A</v>
      </c>
      <c r="M425" s="14" t="e">
        <f t="shared" si="38"/>
        <v>#N/A</v>
      </c>
      <c r="N425" s="14" t="e">
        <f t="shared" si="39"/>
        <v>#N/A</v>
      </c>
    </row>
    <row r="426" spans="4:14" ht="16.5" x14ac:dyDescent="0.25">
      <c r="D426" s="14">
        <v>386</v>
      </c>
      <c r="E426" s="14" t="str">
        <f t="shared" si="40"/>
        <v/>
      </c>
      <c r="F426" s="14" t="str">
        <f>IF(AND($B$8=1,$D426&lt;=$B$7),IF($B$5=1,Calculator!$C$9*POWER(1+Calculator!$C$14/100,$D426/12),Calculator!$C$9),"")</f>
        <v/>
      </c>
      <c r="G426" s="14">
        <f>G425*(1+$B$4)+Calculator!$C$25</f>
        <v>193141.90206752403</v>
      </c>
      <c r="H426" s="14">
        <f>IF($B$5=1,Calculator!$C$9*POWER(1+Calculator!$C$14/100,$D426/12),Calculator!$C$9)</f>
        <v>10000</v>
      </c>
      <c r="J426" s="14">
        <f t="shared" si="41"/>
        <v>1</v>
      </c>
      <c r="K426" s="14" t="e">
        <f t="shared" si="36"/>
        <v>#N/A</v>
      </c>
      <c r="L426" s="14" t="e">
        <f t="shared" si="37"/>
        <v>#N/A</v>
      </c>
      <c r="M426" s="14" t="e">
        <f t="shared" si="38"/>
        <v>#N/A</v>
      </c>
      <c r="N426" s="14" t="e">
        <f t="shared" si="39"/>
        <v>#N/A</v>
      </c>
    </row>
    <row r="427" spans="4:14" ht="16.5" x14ac:dyDescent="0.25">
      <c r="D427" s="14">
        <v>387</v>
      </c>
      <c r="E427" s="14" t="str">
        <f t="shared" si="40"/>
        <v/>
      </c>
      <c r="F427" s="14" t="str">
        <f>IF(AND($B$8=1,$D427&lt;=$B$7),IF($B$5=1,Calculator!$C$9*POWER(1+Calculator!$C$14/100,$D427/12),Calculator!$C$9),"")</f>
        <v/>
      </c>
      <c r="G427" s="14">
        <f>G426*(1+$B$4)+Calculator!$C$25</f>
        <v>193918.2421023584</v>
      </c>
      <c r="H427" s="14">
        <f>IF($B$5=1,Calculator!$C$9*POWER(1+Calculator!$C$14/100,$D427/12),Calculator!$C$9)</f>
        <v>10000</v>
      </c>
      <c r="J427" s="14">
        <f t="shared" si="41"/>
        <v>1</v>
      </c>
      <c r="K427" s="14" t="e">
        <f t="shared" si="36"/>
        <v>#N/A</v>
      </c>
      <c r="L427" s="14" t="e">
        <f t="shared" si="37"/>
        <v>#N/A</v>
      </c>
      <c r="M427" s="14" t="e">
        <f t="shared" si="38"/>
        <v>#N/A</v>
      </c>
      <c r="N427" s="14" t="e">
        <f t="shared" si="39"/>
        <v>#N/A</v>
      </c>
    </row>
    <row r="428" spans="4:14" ht="16.5" x14ac:dyDescent="0.25">
      <c r="D428" s="14">
        <v>388</v>
      </c>
      <c r="E428" s="14" t="str">
        <f t="shared" si="40"/>
        <v/>
      </c>
      <c r="F428" s="14" t="str">
        <f>IF(AND($B$8=1,$D428&lt;=$B$7),IF($B$5=1,Calculator!$C$9*POWER(1+Calculator!$C$14/100,$D428/12),Calculator!$C$9),"")</f>
        <v/>
      </c>
      <c r="G428" s="14">
        <f>G427*(1+$B$4)+Calculator!$C$25</f>
        <v>194696.49680115373</v>
      </c>
      <c r="H428" s="14">
        <f>IF($B$5=1,Calculator!$C$9*POWER(1+Calculator!$C$14/100,$D428/12),Calculator!$C$9)</f>
        <v>10000</v>
      </c>
      <c r="J428" s="14">
        <f t="shared" si="41"/>
        <v>1</v>
      </c>
      <c r="K428" s="14" t="e">
        <f t="shared" si="36"/>
        <v>#N/A</v>
      </c>
      <c r="L428" s="14" t="e">
        <f t="shared" si="37"/>
        <v>#N/A</v>
      </c>
      <c r="M428" s="14" t="e">
        <f t="shared" si="38"/>
        <v>#N/A</v>
      </c>
      <c r="N428" s="14" t="e">
        <f t="shared" si="39"/>
        <v>#N/A</v>
      </c>
    </row>
    <row r="429" spans="4:14" ht="16.5" x14ac:dyDescent="0.25">
      <c r="D429" s="14">
        <v>389</v>
      </c>
      <c r="E429" s="14" t="str">
        <f t="shared" si="40"/>
        <v/>
      </c>
      <c r="F429" s="14" t="str">
        <f>IF(AND($B$8=1,$D429&lt;=$B$7),IF($B$5=1,Calculator!$C$9*POWER(1+Calculator!$C$14/100,$D429/12),Calculator!$C$9),"")</f>
        <v/>
      </c>
      <c r="G429" s="14">
        <f>G428*(1+$B$4)+Calculator!$C$25</f>
        <v>195476.67088598784</v>
      </c>
      <c r="H429" s="14">
        <f>IF($B$5=1,Calculator!$C$9*POWER(1+Calculator!$C$14/100,$D429/12),Calculator!$C$9)</f>
        <v>10000</v>
      </c>
      <c r="J429" s="14">
        <f t="shared" si="41"/>
        <v>1</v>
      </c>
      <c r="K429" s="14" t="e">
        <f t="shared" si="36"/>
        <v>#N/A</v>
      </c>
      <c r="L429" s="14" t="e">
        <f t="shared" si="37"/>
        <v>#N/A</v>
      </c>
      <c r="M429" s="14" t="e">
        <f t="shared" si="38"/>
        <v>#N/A</v>
      </c>
      <c r="N429" s="14" t="e">
        <f t="shared" si="39"/>
        <v>#N/A</v>
      </c>
    </row>
    <row r="430" spans="4:14" ht="16.5" x14ac:dyDescent="0.25">
      <c r="D430" s="14">
        <v>390</v>
      </c>
      <c r="E430" s="14" t="str">
        <f t="shared" si="40"/>
        <v/>
      </c>
      <c r="F430" s="14" t="str">
        <f>IF(AND($B$8=1,$D430&lt;=$B$7),IF($B$5=1,Calculator!$C$9*POWER(1+Calculator!$C$14/100,$D430/12),Calculator!$C$9),"")</f>
        <v/>
      </c>
      <c r="G430" s="14">
        <f>G429*(1+$B$4)+Calculator!$C$25</f>
        <v>196258.76909058451</v>
      </c>
      <c r="H430" s="14">
        <f>IF($B$5=1,Calculator!$C$9*POWER(1+Calculator!$C$14/100,$D430/12),Calculator!$C$9)</f>
        <v>10000</v>
      </c>
      <c r="J430" s="14">
        <f t="shared" si="41"/>
        <v>1</v>
      </c>
      <c r="K430" s="14" t="e">
        <f t="shared" si="36"/>
        <v>#N/A</v>
      </c>
      <c r="L430" s="14" t="e">
        <f t="shared" si="37"/>
        <v>#N/A</v>
      </c>
      <c r="M430" s="14" t="e">
        <f t="shared" si="38"/>
        <v>#N/A</v>
      </c>
      <c r="N430" s="14" t="e">
        <f t="shared" si="39"/>
        <v>#N/A</v>
      </c>
    </row>
    <row r="431" spans="4:14" ht="16.5" x14ac:dyDescent="0.25">
      <c r="D431" s="14">
        <v>391</v>
      </c>
      <c r="E431" s="14" t="str">
        <f t="shared" si="40"/>
        <v/>
      </c>
      <c r="F431" s="14" t="str">
        <f>IF(AND($B$8=1,$D431&lt;=$B$7),IF($B$5=1,Calculator!$C$9*POWER(1+Calculator!$C$14/100,$D431/12),Calculator!$C$9),"")</f>
        <v/>
      </c>
      <c r="G431" s="14">
        <f>G430*(1+$B$4)+Calculator!$C$25</f>
        <v>197042.79616034214</v>
      </c>
      <c r="H431" s="14">
        <f>IF($B$5=1,Calculator!$C$9*POWER(1+Calculator!$C$14/100,$D431/12),Calculator!$C$9)</f>
        <v>10000</v>
      </c>
      <c r="J431" s="14">
        <f t="shared" si="41"/>
        <v>1</v>
      </c>
      <c r="K431" s="14" t="e">
        <f t="shared" si="36"/>
        <v>#N/A</v>
      </c>
      <c r="L431" s="14" t="e">
        <f t="shared" si="37"/>
        <v>#N/A</v>
      </c>
      <c r="M431" s="14" t="e">
        <f t="shared" si="38"/>
        <v>#N/A</v>
      </c>
      <c r="N431" s="14" t="e">
        <f t="shared" si="39"/>
        <v>#N/A</v>
      </c>
    </row>
    <row r="432" spans="4:14" ht="16.5" x14ac:dyDescent="0.25">
      <c r="D432" s="14">
        <v>392</v>
      </c>
      <c r="E432" s="14" t="str">
        <f t="shared" si="40"/>
        <v/>
      </c>
      <c r="F432" s="14" t="str">
        <f>IF(AND($B$8=1,$D432&lt;=$B$7),IF($B$5=1,Calculator!$C$9*POWER(1+Calculator!$C$14/100,$D432/12),Calculator!$C$9),"")</f>
        <v/>
      </c>
      <c r="G432" s="14">
        <f>G431*(1+$B$4)+Calculator!$C$25</f>
        <v>197828.7568523626</v>
      </c>
      <c r="H432" s="14">
        <f>IF($B$5=1,Calculator!$C$9*POWER(1+Calculator!$C$14/100,$D432/12),Calculator!$C$9)</f>
        <v>10000</v>
      </c>
      <c r="J432" s="14">
        <f t="shared" si="41"/>
        <v>1</v>
      </c>
      <c r="K432" s="14" t="e">
        <f t="shared" si="36"/>
        <v>#N/A</v>
      </c>
      <c r="L432" s="14" t="e">
        <f t="shared" si="37"/>
        <v>#N/A</v>
      </c>
      <c r="M432" s="14" t="e">
        <f t="shared" si="38"/>
        <v>#N/A</v>
      </c>
      <c r="N432" s="14" t="e">
        <f t="shared" si="39"/>
        <v>#N/A</v>
      </c>
    </row>
    <row r="433" spans="4:14" ht="16.5" x14ac:dyDescent="0.25">
      <c r="D433" s="14">
        <v>393</v>
      </c>
      <c r="E433" s="14" t="str">
        <f t="shared" si="40"/>
        <v/>
      </c>
      <c r="F433" s="14" t="str">
        <f>IF(AND($B$8=1,$D433&lt;=$B$7),IF($B$5=1,Calculator!$C$9*POWER(1+Calculator!$C$14/100,$D433/12),Calculator!$C$9),"")</f>
        <v/>
      </c>
      <c r="G433" s="14">
        <f>G432*(1+$B$4)+Calculator!$C$25</f>
        <v>198616.65593548</v>
      </c>
      <c r="H433" s="14">
        <f>IF($B$5=1,Calculator!$C$9*POWER(1+Calculator!$C$14/100,$D433/12),Calculator!$C$9)</f>
        <v>10000</v>
      </c>
      <c r="J433" s="14">
        <f t="shared" si="41"/>
        <v>1</v>
      </c>
      <c r="K433" s="14" t="e">
        <f t="shared" si="36"/>
        <v>#N/A</v>
      </c>
      <c r="L433" s="14" t="e">
        <f t="shared" si="37"/>
        <v>#N/A</v>
      </c>
      <c r="M433" s="14" t="e">
        <f t="shared" si="38"/>
        <v>#N/A</v>
      </c>
      <c r="N433" s="14" t="e">
        <f t="shared" si="39"/>
        <v>#N/A</v>
      </c>
    </row>
    <row r="434" spans="4:14" ht="16.5" x14ac:dyDescent="0.25">
      <c r="D434" s="14">
        <v>394</v>
      </c>
      <c r="E434" s="14" t="str">
        <f t="shared" si="40"/>
        <v/>
      </c>
      <c r="F434" s="14" t="str">
        <f>IF(AND($B$8=1,$D434&lt;=$B$7),IF($B$5=1,Calculator!$C$9*POWER(1+Calculator!$C$14/100,$D434/12),Calculator!$C$9),"")</f>
        <v/>
      </c>
      <c r="G434" s="14">
        <f>G433*(1+$B$4)+Calculator!$C$25</f>
        <v>199406.49819028971</v>
      </c>
      <c r="H434" s="14">
        <f>IF($B$5=1,Calculator!$C$9*POWER(1+Calculator!$C$14/100,$D434/12),Calculator!$C$9)</f>
        <v>10000</v>
      </c>
      <c r="J434" s="14">
        <f t="shared" si="41"/>
        <v>1</v>
      </c>
      <c r="K434" s="14" t="e">
        <f t="shared" si="36"/>
        <v>#N/A</v>
      </c>
      <c r="L434" s="14" t="e">
        <f t="shared" si="37"/>
        <v>#N/A</v>
      </c>
      <c r="M434" s="14" t="e">
        <f t="shared" si="38"/>
        <v>#N/A</v>
      </c>
      <c r="N434" s="14" t="e">
        <f t="shared" si="39"/>
        <v>#N/A</v>
      </c>
    </row>
    <row r="435" spans="4:14" ht="16.5" x14ac:dyDescent="0.25">
      <c r="D435" s="14">
        <v>395</v>
      </c>
      <c r="E435" s="14" t="str">
        <f t="shared" si="40"/>
        <v/>
      </c>
      <c r="F435" s="14" t="str">
        <f>IF(AND($B$8=1,$D435&lt;=$B$7),IF($B$5=1,Calculator!$C$9*POWER(1+Calculator!$C$14/100,$D435/12),Calculator!$C$9),"")</f>
        <v/>
      </c>
      <c r="G435" s="14">
        <f>G434*(1+$B$4)+Calculator!$C$25</f>
        <v>200198.28840917736</v>
      </c>
      <c r="H435" s="14">
        <f>IF($B$5=1,Calculator!$C$9*POWER(1+Calculator!$C$14/100,$D435/12),Calculator!$C$9)</f>
        <v>10000</v>
      </c>
      <c r="J435" s="14">
        <f t="shared" si="41"/>
        <v>1</v>
      </c>
      <c r="K435" s="14" t="e">
        <f t="shared" si="36"/>
        <v>#N/A</v>
      </c>
      <c r="L435" s="14" t="e">
        <f t="shared" si="37"/>
        <v>#N/A</v>
      </c>
      <c r="M435" s="14" t="e">
        <f t="shared" si="38"/>
        <v>#N/A</v>
      </c>
      <c r="N435" s="14" t="e">
        <f t="shared" si="39"/>
        <v>#N/A</v>
      </c>
    </row>
    <row r="436" spans="4:14" ht="16.5" x14ac:dyDescent="0.25">
      <c r="D436" s="14">
        <v>396</v>
      </c>
      <c r="E436" s="14" t="str">
        <f t="shared" si="40"/>
        <v/>
      </c>
      <c r="F436" s="14" t="str">
        <f>IF(AND($B$8=1,$D436&lt;=$B$7),IF($B$5=1,Calculator!$C$9*POWER(1+Calculator!$C$14/100,$D436/12),Calculator!$C$9),"")</f>
        <v/>
      </c>
      <c r="G436" s="14">
        <f>G435*(1+$B$4)+Calculator!$C$25</f>
        <v>200992.03139634785</v>
      </c>
      <c r="H436" s="14">
        <f>IF($B$5=1,Calculator!$C$9*POWER(1+Calculator!$C$14/100,$D436/12),Calculator!$C$9)</f>
        <v>10000</v>
      </c>
      <c r="J436" s="14">
        <f t="shared" si="41"/>
        <v>1</v>
      </c>
      <c r="K436" s="14" t="e">
        <f t="shared" si="36"/>
        <v>#N/A</v>
      </c>
      <c r="L436" s="14" t="e">
        <f t="shared" si="37"/>
        <v>#N/A</v>
      </c>
      <c r="M436" s="14" t="e">
        <f t="shared" si="38"/>
        <v>#N/A</v>
      </c>
      <c r="N436" s="14" t="e">
        <f t="shared" si="39"/>
        <v>#N/A</v>
      </c>
    </row>
    <row r="437" spans="4:14" ht="16.5" x14ac:dyDescent="0.25">
      <c r="D437" s="14">
        <v>397</v>
      </c>
      <c r="E437" s="14" t="str">
        <f t="shared" si="40"/>
        <v/>
      </c>
      <c r="F437" s="14" t="str">
        <f>IF(AND($B$8=1,$D437&lt;=$B$7),IF($B$5=1,Calculator!$C$9*POWER(1+Calculator!$C$14/100,$D437/12),Calculator!$C$9),"")</f>
        <v/>
      </c>
      <c r="G437" s="14">
        <f>G436*(1+$B$4)+Calculator!$C$25</f>
        <v>201787.73196785458</v>
      </c>
      <c r="H437" s="14">
        <f>IF($B$5=1,Calculator!$C$9*POWER(1+Calculator!$C$14/100,$D437/12),Calculator!$C$9)</f>
        <v>10000</v>
      </c>
      <c r="J437" s="14">
        <f t="shared" si="41"/>
        <v>1</v>
      </c>
      <c r="K437" s="14" t="e">
        <f t="shared" si="36"/>
        <v>#N/A</v>
      </c>
      <c r="L437" s="14" t="e">
        <f t="shared" si="37"/>
        <v>#N/A</v>
      </c>
      <c r="M437" s="14" t="e">
        <f t="shared" si="38"/>
        <v>#N/A</v>
      </c>
      <c r="N437" s="14" t="e">
        <f t="shared" si="39"/>
        <v>#N/A</v>
      </c>
    </row>
    <row r="438" spans="4:14" ht="16.5" x14ac:dyDescent="0.25">
      <c r="D438" s="14">
        <v>398</v>
      </c>
      <c r="E438" s="14" t="str">
        <f t="shared" si="40"/>
        <v/>
      </c>
      <c r="F438" s="14" t="str">
        <f>IF(AND($B$8=1,$D438&lt;=$B$7),IF($B$5=1,Calculator!$C$9*POWER(1+Calculator!$C$14/100,$D438/12),Calculator!$C$9),"")</f>
        <v/>
      </c>
      <c r="G438" s="14">
        <f>G437*(1+$B$4)+Calculator!$C$25</f>
        <v>202585.39495162861</v>
      </c>
      <c r="H438" s="14">
        <f>IF($B$5=1,Calculator!$C$9*POWER(1+Calculator!$C$14/100,$D438/12),Calculator!$C$9)</f>
        <v>10000</v>
      </c>
      <c r="J438" s="14">
        <f t="shared" si="41"/>
        <v>1</v>
      </c>
      <c r="K438" s="14" t="e">
        <f t="shared" si="36"/>
        <v>#N/A</v>
      </c>
      <c r="L438" s="14" t="e">
        <f t="shared" si="37"/>
        <v>#N/A</v>
      </c>
      <c r="M438" s="14" t="e">
        <f t="shared" si="38"/>
        <v>#N/A</v>
      </c>
      <c r="N438" s="14" t="e">
        <f t="shared" si="39"/>
        <v>#N/A</v>
      </c>
    </row>
    <row r="439" spans="4:14" ht="16.5" x14ac:dyDescent="0.25">
      <c r="D439" s="14">
        <v>399</v>
      </c>
      <c r="E439" s="14" t="str">
        <f t="shared" si="40"/>
        <v/>
      </c>
      <c r="F439" s="14" t="str">
        <f>IF(AND($B$8=1,$D439&lt;=$B$7),IF($B$5=1,Calculator!$C$9*POWER(1+Calculator!$C$14/100,$D439/12),Calculator!$C$9),"")</f>
        <v/>
      </c>
      <c r="G439" s="14">
        <f>G438*(1+$B$4)+Calculator!$C$25</f>
        <v>203385.025187508</v>
      </c>
      <c r="H439" s="14">
        <f>IF($B$5=1,Calculator!$C$9*POWER(1+Calculator!$C$14/100,$D439/12),Calculator!$C$9)</f>
        <v>10000</v>
      </c>
      <c r="J439" s="14">
        <f t="shared" si="41"/>
        <v>1</v>
      </c>
      <c r="K439" s="14" t="e">
        <f t="shared" si="36"/>
        <v>#N/A</v>
      </c>
      <c r="L439" s="14" t="e">
        <f t="shared" si="37"/>
        <v>#N/A</v>
      </c>
      <c r="M439" s="14" t="e">
        <f t="shared" si="38"/>
        <v>#N/A</v>
      </c>
      <c r="N439" s="14" t="e">
        <f t="shared" si="39"/>
        <v>#N/A</v>
      </c>
    </row>
    <row r="440" spans="4:14" ht="16.5" x14ac:dyDescent="0.25">
      <c r="D440" s="14">
        <v>400</v>
      </c>
      <c r="E440" s="14" t="str">
        <f t="shared" si="40"/>
        <v/>
      </c>
      <c r="F440" s="14" t="str">
        <f>IF(AND($B$8=1,$D440&lt;=$B$7),IF($B$5=1,Calculator!$C$9*POWER(1+Calculator!$C$14/100,$D440/12),Calculator!$C$9),"")</f>
        <v/>
      </c>
      <c r="G440" s="14">
        <f>G439*(1+$B$4)+Calculator!$C$25</f>
        <v>204186.62752726718</v>
      </c>
      <c r="H440" s="14">
        <f>IF($B$5=1,Calculator!$C$9*POWER(1+Calculator!$C$14/100,$D440/12),Calculator!$C$9)</f>
        <v>10000</v>
      </c>
      <c r="J440" s="14">
        <f t="shared" si="41"/>
        <v>1</v>
      </c>
      <c r="K440" s="14" t="e">
        <f t="shared" si="36"/>
        <v>#N/A</v>
      </c>
      <c r="L440" s="14" t="e">
        <f t="shared" si="37"/>
        <v>#N/A</v>
      </c>
      <c r="M440" s="14" t="e">
        <f t="shared" si="38"/>
        <v>#N/A</v>
      </c>
      <c r="N440" s="14" t="e">
        <f t="shared" si="39"/>
        <v>#N/A</v>
      </c>
    </row>
    <row r="441" spans="4:14" ht="16.5" x14ac:dyDescent="0.25">
      <c r="D441" s="14">
        <v>401</v>
      </c>
      <c r="E441" s="14" t="str">
        <f t="shared" si="40"/>
        <v/>
      </c>
      <c r="F441" s="14" t="str">
        <f>IF(AND($B$8=1,$D441&lt;=$B$7),IF($B$5=1,Calculator!$C$9*POWER(1+Calculator!$C$14/100,$D441/12),Calculator!$C$9),"")</f>
        <v/>
      </c>
      <c r="G441" s="14">
        <f>G440*(1+$B$4)+Calculator!$C$25</f>
        <v>204990.20683464632</v>
      </c>
      <c r="H441" s="14">
        <f>IF($B$5=1,Calculator!$C$9*POWER(1+Calculator!$C$14/100,$D441/12),Calculator!$C$9)</f>
        <v>10000</v>
      </c>
      <c r="J441" s="14">
        <f t="shared" si="41"/>
        <v>1</v>
      </c>
      <c r="K441" s="14" t="e">
        <f t="shared" si="36"/>
        <v>#N/A</v>
      </c>
      <c r="L441" s="14" t="e">
        <f t="shared" si="37"/>
        <v>#N/A</v>
      </c>
      <c r="M441" s="14" t="e">
        <f t="shared" si="38"/>
        <v>#N/A</v>
      </c>
      <c r="N441" s="14" t="e">
        <f t="shared" si="39"/>
        <v>#N/A</v>
      </c>
    </row>
    <row r="442" spans="4:14" ht="16.5" x14ac:dyDescent="0.25">
      <c r="D442" s="14">
        <v>402</v>
      </c>
      <c r="E442" s="14" t="str">
        <f t="shared" si="40"/>
        <v/>
      </c>
      <c r="F442" s="14" t="str">
        <f>IF(AND($B$8=1,$D442&lt;=$B$7),IF($B$5=1,Calculator!$C$9*POWER(1+Calculator!$C$14/100,$D442/12),Calculator!$C$9),"")</f>
        <v/>
      </c>
      <c r="G442" s="14">
        <f>G441*(1+$B$4)+Calculator!$C$25</f>
        <v>205795.76798538089</v>
      </c>
      <c r="H442" s="14">
        <f>IF($B$5=1,Calculator!$C$9*POWER(1+Calculator!$C$14/100,$D442/12),Calculator!$C$9)</f>
        <v>10000</v>
      </c>
      <c r="J442" s="14">
        <f t="shared" si="41"/>
        <v>1</v>
      </c>
      <c r="K442" s="14" t="e">
        <f t="shared" si="36"/>
        <v>#N/A</v>
      </c>
      <c r="L442" s="14" t="e">
        <f t="shared" si="37"/>
        <v>#N/A</v>
      </c>
      <c r="M442" s="14" t="e">
        <f t="shared" si="38"/>
        <v>#N/A</v>
      </c>
      <c r="N442" s="14" t="e">
        <f t="shared" si="39"/>
        <v>#N/A</v>
      </c>
    </row>
    <row r="443" spans="4:14" ht="16.5" x14ac:dyDescent="0.25">
      <c r="D443" s="14">
        <v>403</v>
      </c>
      <c r="E443" s="14" t="str">
        <f t="shared" si="40"/>
        <v/>
      </c>
      <c r="F443" s="14" t="str">
        <f>IF(AND($B$8=1,$D443&lt;=$B$7),IF($B$5=1,Calculator!$C$9*POWER(1+Calculator!$C$14/100,$D443/12),Calculator!$C$9),"")</f>
        <v/>
      </c>
      <c r="G443" s="14">
        <f>G442*(1+$B$4)+Calculator!$C$25</f>
        <v>206603.31586723126</v>
      </c>
      <c r="H443" s="14">
        <f>IF($B$5=1,Calculator!$C$9*POWER(1+Calculator!$C$14/100,$D443/12),Calculator!$C$9)</f>
        <v>10000</v>
      </c>
      <c r="J443" s="14">
        <f t="shared" si="41"/>
        <v>1</v>
      </c>
      <c r="K443" s="14" t="e">
        <f t="shared" si="36"/>
        <v>#N/A</v>
      </c>
      <c r="L443" s="14" t="e">
        <f t="shared" si="37"/>
        <v>#N/A</v>
      </c>
      <c r="M443" s="14" t="e">
        <f t="shared" si="38"/>
        <v>#N/A</v>
      </c>
      <c r="N443" s="14" t="e">
        <f t="shared" si="39"/>
        <v>#N/A</v>
      </c>
    </row>
    <row r="444" spans="4:14" ht="16.5" x14ac:dyDescent="0.25">
      <c r="D444" s="14">
        <v>404</v>
      </c>
      <c r="E444" s="14" t="str">
        <f t="shared" si="40"/>
        <v/>
      </c>
      <c r="F444" s="14" t="str">
        <f>IF(AND($B$8=1,$D444&lt;=$B$7),IF($B$5=1,Calculator!$C$9*POWER(1+Calculator!$C$14/100,$D444/12),Calculator!$C$9),"")</f>
        <v/>
      </c>
      <c r="G444" s="14">
        <f>G443*(1+$B$4)+Calculator!$C$25</f>
        <v>207412.85538001233</v>
      </c>
      <c r="H444" s="14">
        <f>IF($B$5=1,Calculator!$C$9*POWER(1+Calculator!$C$14/100,$D444/12),Calculator!$C$9)</f>
        <v>10000</v>
      </c>
      <c r="J444" s="14">
        <f t="shared" si="41"/>
        <v>1</v>
      </c>
      <c r="K444" s="14" t="e">
        <f t="shared" si="36"/>
        <v>#N/A</v>
      </c>
      <c r="L444" s="14" t="e">
        <f t="shared" si="37"/>
        <v>#N/A</v>
      </c>
      <c r="M444" s="14" t="e">
        <f t="shared" si="38"/>
        <v>#N/A</v>
      </c>
      <c r="N444" s="14" t="e">
        <f t="shared" si="39"/>
        <v>#N/A</v>
      </c>
    </row>
    <row r="445" spans="4:14" ht="16.5" x14ac:dyDescent="0.25">
      <c r="D445" s="14">
        <v>405</v>
      </c>
      <c r="E445" s="14" t="str">
        <f t="shared" si="40"/>
        <v/>
      </c>
      <c r="F445" s="14" t="str">
        <f>IF(AND($B$8=1,$D445&lt;=$B$7),IF($B$5=1,Calculator!$C$9*POWER(1+Calculator!$C$14/100,$D445/12),Calculator!$C$9),"")</f>
        <v/>
      </c>
      <c r="G445" s="14">
        <f>G444*(1+$B$4)+Calculator!$C$25</f>
        <v>208224.39143562326</v>
      </c>
      <c r="H445" s="14">
        <f>IF($B$5=1,Calculator!$C$9*POWER(1+Calculator!$C$14/100,$D445/12),Calculator!$C$9)</f>
        <v>10000</v>
      </c>
      <c r="J445" s="14">
        <f t="shared" si="41"/>
        <v>1</v>
      </c>
      <c r="K445" s="14" t="e">
        <f t="shared" si="36"/>
        <v>#N/A</v>
      </c>
      <c r="L445" s="14" t="e">
        <f t="shared" si="37"/>
        <v>#N/A</v>
      </c>
      <c r="M445" s="14" t="e">
        <f t="shared" si="38"/>
        <v>#N/A</v>
      </c>
      <c r="N445" s="14" t="e">
        <f t="shared" si="39"/>
        <v>#N/A</v>
      </c>
    </row>
    <row r="446" spans="4:14" ht="16.5" x14ac:dyDescent="0.25">
      <c r="D446" s="14">
        <v>406</v>
      </c>
      <c r="E446" s="14" t="str">
        <f t="shared" si="40"/>
        <v/>
      </c>
      <c r="F446" s="14" t="str">
        <f>IF(AND($B$8=1,$D446&lt;=$B$7),IF($B$5=1,Calculator!$C$9*POWER(1+Calculator!$C$14/100,$D446/12),Calculator!$C$9),"")</f>
        <v/>
      </c>
      <c r="G446" s="14">
        <f>G445*(1+$B$4)+Calculator!$C$25</f>
        <v>209037.92895807727</v>
      </c>
      <c r="H446" s="14">
        <f>IF($B$5=1,Calculator!$C$9*POWER(1+Calculator!$C$14/100,$D446/12),Calculator!$C$9)</f>
        <v>10000</v>
      </c>
      <c r="J446" s="14">
        <f t="shared" si="41"/>
        <v>1</v>
      </c>
      <c r="K446" s="14" t="e">
        <f t="shared" si="36"/>
        <v>#N/A</v>
      </c>
      <c r="L446" s="14" t="e">
        <f t="shared" si="37"/>
        <v>#N/A</v>
      </c>
      <c r="M446" s="14" t="e">
        <f t="shared" si="38"/>
        <v>#N/A</v>
      </c>
      <c r="N446" s="14" t="e">
        <f t="shared" si="39"/>
        <v>#N/A</v>
      </c>
    </row>
    <row r="447" spans="4:14" ht="16.5" x14ac:dyDescent="0.25">
      <c r="D447" s="14">
        <v>407</v>
      </c>
      <c r="E447" s="14" t="str">
        <f t="shared" si="40"/>
        <v/>
      </c>
      <c r="F447" s="14" t="str">
        <f>IF(AND($B$8=1,$D447&lt;=$B$7),IF($B$5=1,Calculator!$C$9*POWER(1+Calculator!$C$14/100,$D447/12),Calculator!$C$9),"")</f>
        <v/>
      </c>
      <c r="G447" s="14">
        <f>G446*(1+$B$4)+Calculator!$C$25</f>
        <v>209853.47288353153</v>
      </c>
      <c r="H447" s="14">
        <f>IF($B$5=1,Calculator!$C$9*POWER(1+Calculator!$C$14/100,$D447/12),Calculator!$C$9)</f>
        <v>10000</v>
      </c>
      <c r="J447" s="14">
        <f t="shared" si="41"/>
        <v>1</v>
      </c>
      <c r="K447" s="14" t="e">
        <f t="shared" si="36"/>
        <v>#N/A</v>
      </c>
      <c r="L447" s="14" t="e">
        <f t="shared" si="37"/>
        <v>#N/A</v>
      </c>
      <c r="M447" s="14" t="e">
        <f t="shared" si="38"/>
        <v>#N/A</v>
      </c>
      <c r="N447" s="14" t="e">
        <f t="shared" si="39"/>
        <v>#N/A</v>
      </c>
    </row>
    <row r="448" spans="4:14" ht="16.5" x14ac:dyDescent="0.25">
      <c r="D448" s="14">
        <v>408</v>
      </c>
      <c r="E448" s="14" t="str">
        <f t="shared" si="40"/>
        <v/>
      </c>
      <c r="F448" s="14" t="str">
        <f>IF(AND($B$8=1,$D448&lt;=$B$7),IF($B$5=1,Calculator!$C$9*POWER(1+Calculator!$C$14/100,$D448/12),Calculator!$C$9),"")</f>
        <v/>
      </c>
      <c r="G448" s="14">
        <f>G447*(1+$B$4)+Calculator!$C$25</f>
        <v>210671.02816031713</v>
      </c>
      <c r="H448" s="14">
        <f>IF($B$5=1,Calculator!$C$9*POWER(1+Calculator!$C$14/100,$D448/12),Calculator!$C$9)</f>
        <v>10000</v>
      </c>
      <c r="J448" s="14">
        <f t="shared" si="41"/>
        <v>1</v>
      </c>
      <c r="K448" s="14" t="e">
        <f t="shared" si="36"/>
        <v>#N/A</v>
      </c>
      <c r="L448" s="14" t="e">
        <f t="shared" si="37"/>
        <v>#N/A</v>
      </c>
      <c r="M448" s="14" t="e">
        <f t="shared" si="38"/>
        <v>#N/A</v>
      </c>
      <c r="N448" s="14" t="e">
        <f t="shared" si="39"/>
        <v>#N/A</v>
      </c>
    </row>
    <row r="449" spans="4:14" ht="16.5" x14ac:dyDescent="0.25">
      <c r="D449" s="14">
        <v>409</v>
      </c>
      <c r="E449" s="14" t="str">
        <f t="shared" si="40"/>
        <v/>
      </c>
      <c r="F449" s="14" t="str">
        <f>IF(AND($B$8=1,$D449&lt;=$B$7),IF($B$5=1,Calculator!$C$9*POWER(1+Calculator!$C$14/100,$D449/12),Calculator!$C$9),"")</f>
        <v/>
      </c>
      <c r="G449" s="14">
        <f>G448*(1+$B$4)+Calculator!$C$25</f>
        <v>211490.59974896905</v>
      </c>
      <c r="H449" s="14">
        <f>IF($B$5=1,Calculator!$C$9*POWER(1+Calculator!$C$14/100,$D449/12),Calculator!$C$9)</f>
        <v>10000</v>
      </c>
      <c r="J449" s="14">
        <f t="shared" si="41"/>
        <v>1</v>
      </c>
      <c r="K449" s="14" t="e">
        <f t="shared" si="36"/>
        <v>#N/A</v>
      </c>
      <c r="L449" s="14" t="e">
        <f t="shared" si="37"/>
        <v>#N/A</v>
      </c>
      <c r="M449" s="14" t="e">
        <f t="shared" si="38"/>
        <v>#N/A</v>
      </c>
      <c r="N449" s="14" t="e">
        <f t="shared" si="39"/>
        <v>#N/A</v>
      </c>
    </row>
    <row r="450" spans="4:14" ht="16.5" x14ac:dyDescent="0.25">
      <c r="D450" s="14">
        <v>410</v>
      </c>
      <c r="E450" s="14" t="str">
        <f t="shared" si="40"/>
        <v/>
      </c>
      <c r="F450" s="14" t="str">
        <f>IF(AND($B$8=1,$D450&lt;=$B$7),IF($B$5=1,Calculator!$C$9*POWER(1+Calculator!$C$14/100,$D450/12),Calculator!$C$9),"")</f>
        <v/>
      </c>
      <c r="G450" s="14">
        <f>G449*(1+$B$4)+Calculator!$C$25</f>
        <v>212312.19262225632</v>
      </c>
      <c r="H450" s="14">
        <f>IF($B$5=1,Calculator!$C$9*POWER(1+Calculator!$C$14/100,$D450/12),Calculator!$C$9)</f>
        <v>10000</v>
      </c>
      <c r="J450" s="14">
        <f t="shared" si="41"/>
        <v>1</v>
      </c>
      <c r="K450" s="14" t="e">
        <f t="shared" si="36"/>
        <v>#N/A</v>
      </c>
      <c r="L450" s="14" t="e">
        <f t="shared" si="37"/>
        <v>#N/A</v>
      </c>
      <c r="M450" s="14" t="e">
        <f t="shared" si="38"/>
        <v>#N/A</v>
      </c>
      <c r="N450" s="14" t="e">
        <f t="shared" si="39"/>
        <v>#N/A</v>
      </c>
    </row>
    <row r="451" spans="4:14" ht="16.5" x14ac:dyDescent="0.25">
      <c r="D451" s="14">
        <v>411</v>
      </c>
      <c r="E451" s="14" t="str">
        <f t="shared" si="40"/>
        <v/>
      </c>
      <c r="F451" s="14" t="str">
        <f>IF(AND($B$8=1,$D451&lt;=$B$7),IF($B$5=1,Calculator!$C$9*POWER(1+Calculator!$C$14/100,$D451/12),Calculator!$C$9),"")</f>
        <v/>
      </c>
      <c r="G451" s="14">
        <f>G450*(1+$B$4)+Calculator!$C$25</f>
        <v>213135.8117652121</v>
      </c>
      <c r="H451" s="14">
        <f>IF($B$5=1,Calculator!$C$9*POWER(1+Calculator!$C$14/100,$D451/12),Calculator!$C$9)</f>
        <v>10000</v>
      </c>
      <c r="J451" s="14">
        <f t="shared" si="41"/>
        <v>1</v>
      </c>
      <c r="K451" s="14" t="e">
        <f t="shared" si="36"/>
        <v>#N/A</v>
      </c>
      <c r="L451" s="14" t="e">
        <f t="shared" si="37"/>
        <v>#N/A</v>
      </c>
      <c r="M451" s="14" t="e">
        <f t="shared" si="38"/>
        <v>#N/A</v>
      </c>
      <c r="N451" s="14" t="e">
        <f t="shared" si="39"/>
        <v>#N/A</v>
      </c>
    </row>
    <row r="452" spans="4:14" ht="16.5" x14ac:dyDescent="0.25">
      <c r="D452" s="14">
        <v>412</v>
      </c>
      <c r="E452" s="14" t="str">
        <f t="shared" si="40"/>
        <v/>
      </c>
      <c r="F452" s="14" t="str">
        <f>IF(AND($B$8=1,$D452&lt;=$B$7),IF($B$5=1,Calculator!$C$9*POWER(1+Calculator!$C$14/100,$D452/12),Calculator!$C$9),"")</f>
        <v/>
      </c>
      <c r="G452" s="14">
        <f>G451*(1+$B$4)+Calculator!$C$25</f>
        <v>213961.46217516405</v>
      </c>
      <c r="H452" s="14">
        <f>IF($B$5=1,Calculator!$C$9*POWER(1+Calculator!$C$14/100,$D452/12),Calculator!$C$9)</f>
        <v>10000</v>
      </c>
      <c r="J452" s="14">
        <f t="shared" si="41"/>
        <v>1</v>
      </c>
      <c r="K452" s="14" t="e">
        <f t="shared" si="36"/>
        <v>#N/A</v>
      </c>
      <c r="L452" s="14" t="e">
        <f t="shared" si="37"/>
        <v>#N/A</v>
      </c>
      <c r="M452" s="14" t="e">
        <f t="shared" si="38"/>
        <v>#N/A</v>
      </c>
      <c r="N452" s="14" t="e">
        <f t="shared" si="39"/>
        <v>#N/A</v>
      </c>
    </row>
    <row r="453" spans="4:14" ht="16.5" x14ac:dyDescent="0.25">
      <c r="D453" s="14">
        <v>413</v>
      </c>
      <c r="E453" s="14" t="str">
        <f t="shared" si="40"/>
        <v/>
      </c>
      <c r="F453" s="14" t="str">
        <f>IF(AND($B$8=1,$D453&lt;=$B$7),IF($B$5=1,Calculator!$C$9*POWER(1+Calculator!$C$14/100,$D453/12),Calculator!$C$9),"")</f>
        <v/>
      </c>
      <c r="G453" s="14">
        <f>G452*(1+$B$4)+Calculator!$C$25</f>
        <v>214789.14886176455</v>
      </c>
      <c r="H453" s="14">
        <f>IF($B$5=1,Calculator!$C$9*POWER(1+Calculator!$C$14/100,$D453/12),Calculator!$C$9)</f>
        <v>10000</v>
      </c>
      <c r="J453" s="14">
        <f t="shared" si="41"/>
        <v>1</v>
      </c>
      <c r="K453" s="14" t="e">
        <f t="shared" si="36"/>
        <v>#N/A</v>
      </c>
      <c r="L453" s="14" t="e">
        <f t="shared" si="37"/>
        <v>#N/A</v>
      </c>
      <c r="M453" s="14" t="e">
        <f t="shared" si="38"/>
        <v>#N/A</v>
      </c>
      <c r="N453" s="14" t="e">
        <f t="shared" si="39"/>
        <v>#N/A</v>
      </c>
    </row>
    <row r="454" spans="4:14" ht="16.5" x14ac:dyDescent="0.25">
      <c r="D454" s="14">
        <v>414</v>
      </c>
      <c r="E454" s="14" t="str">
        <f t="shared" si="40"/>
        <v/>
      </c>
      <c r="F454" s="14" t="str">
        <f>IF(AND($B$8=1,$D454&lt;=$B$7),IF($B$5=1,Calculator!$C$9*POWER(1+Calculator!$C$14/100,$D454/12),Calculator!$C$9),"")</f>
        <v/>
      </c>
      <c r="G454" s="14">
        <f>G453*(1+$B$4)+Calculator!$C$25</f>
        <v>215618.87684702117</v>
      </c>
      <c r="H454" s="14">
        <f>IF($B$5=1,Calculator!$C$9*POWER(1+Calculator!$C$14/100,$D454/12),Calculator!$C$9)</f>
        <v>10000</v>
      </c>
      <c r="J454" s="14">
        <f t="shared" si="41"/>
        <v>1</v>
      </c>
      <c r="K454" s="14" t="e">
        <f t="shared" si="36"/>
        <v>#N/A</v>
      </c>
      <c r="L454" s="14" t="e">
        <f t="shared" si="37"/>
        <v>#N/A</v>
      </c>
      <c r="M454" s="14" t="e">
        <f t="shared" si="38"/>
        <v>#N/A</v>
      </c>
      <c r="N454" s="14" t="e">
        <f t="shared" si="39"/>
        <v>#N/A</v>
      </c>
    </row>
    <row r="455" spans="4:14" ht="16.5" x14ac:dyDescent="0.25">
      <c r="D455" s="14">
        <v>415</v>
      </c>
      <c r="E455" s="14" t="str">
        <f t="shared" si="40"/>
        <v/>
      </c>
      <c r="F455" s="14" t="str">
        <f>IF(AND($B$8=1,$D455&lt;=$B$7),IF($B$5=1,Calculator!$C$9*POWER(1+Calculator!$C$14/100,$D455/12),Calculator!$C$9),"")</f>
        <v/>
      </c>
      <c r="G455" s="14">
        <f>G454*(1+$B$4)+Calculator!$C$25</f>
        <v>216450.65116532706</v>
      </c>
      <c r="H455" s="14">
        <f>IF($B$5=1,Calculator!$C$9*POWER(1+Calculator!$C$14/100,$D455/12),Calculator!$C$9)</f>
        <v>10000</v>
      </c>
      <c r="J455" s="14">
        <f t="shared" si="41"/>
        <v>1</v>
      </c>
      <c r="K455" s="14" t="e">
        <f t="shared" si="36"/>
        <v>#N/A</v>
      </c>
      <c r="L455" s="14" t="e">
        <f t="shared" si="37"/>
        <v>#N/A</v>
      </c>
      <c r="M455" s="14" t="e">
        <f t="shared" si="38"/>
        <v>#N/A</v>
      </c>
      <c r="N455" s="14" t="e">
        <f t="shared" si="39"/>
        <v>#N/A</v>
      </c>
    </row>
    <row r="456" spans="4:14" ht="16.5" x14ac:dyDescent="0.25">
      <c r="D456" s="14">
        <v>416</v>
      </c>
      <c r="E456" s="14" t="str">
        <f t="shared" si="40"/>
        <v/>
      </c>
      <c r="F456" s="14" t="str">
        <f>IF(AND($B$8=1,$D456&lt;=$B$7),IF($B$5=1,Calculator!$C$9*POWER(1+Calculator!$C$14/100,$D456/12),Calculator!$C$9),"")</f>
        <v/>
      </c>
      <c r="G456" s="14">
        <f>G455*(1+$B$4)+Calculator!$C$25</f>
        <v>217284.47686349155</v>
      </c>
      <c r="H456" s="14">
        <f>IF($B$5=1,Calculator!$C$9*POWER(1+Calculator!$C$14/100,$D456/12),Calculator!$C$9)</f>
        <v>10000</v>
      </c>
      <c r="J456" s="14">
        <f t="shared" si="41"/>
        <v>1</v>
      </c>
      <c r="K456" s="14" t="e">
        <f t="shared" si="36"/>
        <v>#N/A</v>
      </c>
      <c r="L456" s="14" t="e">
        <f t="shared" si="37"/>
        <v>#N/A</v>
      </c>
      <c r="M456" s="14" t="e">
        <f t="shared" si="38"/>
        <v>#N/A</v>
      </c>
      <c r="N456" s="14" t="e">
        <f t="shared" si="39"/>
        <v>#N/A</v>
      </c>
    </row>
    <row r="457" spans="4:14" ht="16.5" x14ac:dyDescent="0.25">
      <c r="D457" s="14">
        <v>417</v>
      </c>
      <c r="E457" s="14" t="str">
        <f t="shared" si="40"/>
        <v/>
      </c>
      <c r="F457" s="14" t="str">
        <f>IF(AND($B$8=1,$D457&lt;=$B$7),IF($B$5=1,Calculator!$C$9*POWER(1+Calculator!$C$14/100,$D457/12),Calculator!$C$9),"")</f>
        <v/>
      </c>
      <c r="G457" s="14">
        <f>G456*(1+$B$4)+Calculator!$C$25</f>
        <v>218120.35900077081</v>
      </c>
      <c r="H457" s="14">
        <f>IF($B$5=1,Calculator!$C$9*POWER(1+Calculator!$C$14/100,$D457/12),Calculator!$C$9)</f>
        <v>10000</v>
      </c>
      <c r="J457" s="14">
        <f t="shared" si="41"/>
        <v>1</v>
      </c>
      <c r="K457" s="14" t="e">
        <f t="shared" si="36"/>
        <v>#N/A</v>
      </c>
      <c r="L457" s="14" t="e">
        <f t="shared" si="37"/>
        <v>#N/A</v>
      </c>
      <c r="M457" s="14" t="e">
        <f t="shared" si="38"/>
        <v>#N/A</v>
      </c>
      <c r="N457" s="14" t="e">
        <f t="shared" si="39"/>
        <v>#N/A</v>
      </c>
    </row>
    <row r="458" spans="4:14" ht="16.5" x14ac:dyDescent="0.25">
      <c r="D458" s="14">
        <v>418</v>
      </c>
      <c r="E458" s="14" t="str">
        <f t="shared" si="40"/>
        <v/>
      </c>
      <c r="F458" s="14" t="str">
        <f>IF(AND($B$8=1,$D458&lt;=$B$7),IF($B$5=1,Calculator!$C$9*POWER(1+Calculator!$C$14/100,$D458/12),Calculator!$C$9),"")</f>
        <v/>
      </c>
      <c r="G458" s="14">
        <f>G457*(1+$B$4)+Calculator!$C$25</f>
        <v>218958.30264889845</v>
      </c>
      <c r="H458" s="14">
        <f>IF($B$5=1,Calculator!$C$9*POWER(1+Calculator!$C$14/100,$D458/12),Calculator!$C$9)</f>
        <v>10000</v>
      </c>
      <c r="J458" s="14">
        <f t="shared" si="41"/>
        <v>1</v>
      </c>
      <c r="K458" s="14" t="e">
        <f t="shared" si="36"/>
        <v>#N/A</v>
      </c>
      <c r="L458" s="14" t="e">
        <f t="shared" si="37"/>
        <v>#N/A</v>
      </c>
      <c r="M458" s="14" t="e">
        <f t="shared" si="38"/>
        <v>#N/A</v>
      </c>
      <c r="N458" s="14" t="e">
        <f t="shared" si="39"/>
        <v>#N/A</v>
      </c>
    </row>
    <row r="459" spans="4:14" ht="16.5" x14ac:dyDescent="0.25">
      <c r="D459" s="14">
        <v>419</v>
      </c>
      <c r="E459" s="14" t="str">
        <f t="shared" si="40"/>
        <v/>
      </c>
      <c r="F459" s="14" t="str">
        <f>IF(AND($B$8=1,$D459&lt;=$B$7),IF($B$5=1,Calculator!$C$9*POWER(1+Calculator!$C$14/100,$D459/12),Calculator!$C$9),"")</f>
        <v/>
      </c>
      <c r="G459" s="14">
        <f>G458*(1+$B$4)+Calculator!$C$25</f>
        <v>219798.31289211634</v>
      </c>
      <c r="H459" s="14">
        <f>IF($B$5=1,Calculator!$C$9*POWER(1+Calculator!$C$14/100,$D459/12),Calculator!$C$9)</f>
        <v>10000</v>
      </c>
      <c r="J459" s="14">
        <f t="shared" si="41"/>
        <v>1</v>
      </c>
      <c r="K459" s="14" t="e">
        <f t="shared" si="36"/>
        <v>#N/A</v>
      </c>
      <c r="L459" s="14" t="e">
        <f t="shared" si="37"/>
        <v>#N/A</v>
      </c>
      <c r="M459" s="14" t="e">
        <f t="shared" si="38"/>
        <v>#N/A</v>
      </c>
      <c r="N459" s="14" t="e">
        <f t="shared" si="39"/>
        <v>#N/A</v>
      </c>
    </row>
    <row r="460" spans="4:14" ht="16.5" x14ac:dyDescent="0.25">
      <c r="D460" s="14">
        <v>420</v>
      </c>
      <c r="E460" s="14" t="str">
        <f t="shared" si="40"/>
        <v/>
      </c>
      <c r="F460" s="14" t="str">
        <f>IF(AND($B$8=1,$D460&lt;=$B$7),IF($B$5=1,Calculator!$C$9*POWER(1+Calculator!$C$14/100,$D460/12),Calculator!$C$9),"")</f>
        <v/>
      </c>
      <c r="G460" s="14">
        <f>G459*(1+$B$4)+Calculator!$C$25</f>
        <v>220640.39482720551</v>
      </c>
      <c r="H460" s="14">
        <f>IF($B$5=1,Calculator!$C$9*POWER(1+Calculator!$C$14/100,$D460/12),Calculator!$C$9)</f>
        <v>10000</v>
      </c>
      <c r="J460" s="14">
        <f t="shared" si="41"/>
        <v>1</v>
      </c>
      <c r="K460" s="14" t="e">
        <f t="shared" si="36"/>
        <v>#N/A</v>
      </c>
      <c r="L460" s="14" t="e">
        <f t="shared" si="37"/>
        <v>#N/A</v>
      </c>
      <c r="M460" s="14" t="e">
        <f t="shared" si="38"/>
        <v>#N/A</v>
      </c>
      <c r="N460" s="14" t="e">
        <f t="shared" si="39"/>
        <v>#N/A</v>
      </c>
    </row>
    <row r="461" spans="4:14" ht="16.5" x14ac:dyDescent="0.25">
      <c r="D461" s="14">
        <v>421</v>
      </c>
      <c r="E461" s="14" t="str">
        <f t="shared" si="40"/>
        <v/>
      </c>
      <c r="F461" s="14" t="str">
        <f>IF(AND($B$8=1,$D461&lt;=$B$7),IF($B$5=1,Calculator!$C$9*POWER(1+Calculator!$C$14/100,$D461/12),Calculator!$C$9),"")</f>
        <v/>
      </c>
      <c r="G461" s="14">
        <f>G460*(1+$B$4)+Calculator!$C$25</f>
        <v>221484.55356351699</v>
      </c>
      <c r="H461" s="14">
        <f>IF($B$5=1,Calculator!$C$9*POWER(1+Calculator!$C$14/100,$D461/12),Calculator!$C$9)</f>
        <v>10000</v>
      </c>
      <c r="J461" s="14">
        <f t="shared" si="41"/>
        <v>1</v>
      </c>
      <c r="K461" s="14" t="e">
        <f t="shared" si="36"/>
        <v>#N/A</v>
      </c>
      <c r="L461" s="14" t="e">
        <f t="shared" si="37"/>
        <v>#N/A</v>
      </c>
      <c r="M461" s="14" t="e">
        <f t="shared" si="38"/>
        <v>#N/A</v>
      </c>
      <c r="N461" s="14" t="e">
        <f t="shared" si="39"/>
        <v>#N/A</v>
      </c>
    </row>
    <row r="462" spans="4:14" ht="16.5" x14ac:dyDescent="0.25">
      <c r="D462" s="14">
        <v>422</v>
      </c>
      <c r="E462" s="14" t="str">
        <f t="shared" si="40"/>
        <v/>
      </c>
      <c r="F462" s="14" t="str">
        <f>IF(AND($B$8=1,$D462&lt;=$B$7),IF($B$5=1,Calculator!$C$9*POWER(1+Calculator!$C$14/100,$D462/12),Calculator!$C$9),"")</f>
        <v/>
      </c>
      <c r="G462" s="14">
        <f>G461*(1+$B$4)+Calculator!$C$25</f>
        <v>222330.79422300289</v>
      </c>
      <c r="H462" s="14">
        <f>IF($B$5=1,Calculator!$C$9*POWER(1+Calculator!$C$14/100,$D462/12),Calculator!$C$9)</f>
        <v>10000</v>
      </c>
      <c r="J462" s="14">
        <f t="shared" si="41"/>
        <v>1</v>
      </c>
      <c r="K462" s="14" t="e">
        <f t="shared" si="36"/>
        <v>#N/A</v>
      </c>
      <c r="L462" s="14" t="e">
        <f t="shared" si="37"/>
        <v>#N/A</v>
      </c>
      <c r="M462" s="14" t="e">
        <f t="shared" si="38"/>
        <v>#N/A</v>
      </c>
      <c r="N462" s="14" t="e">
        <f t="shared" si="39"/>
        <v>#N/A</v>
      </c>
    </row>
    <row r="463" spans="4:14" ht="16.5" x14ac:dyDescent="0.25">
      <c r="D463" s="14">
        <v>423</v>
      </c>
      <c r="E463" s="14" t="str">
        <f t="shared" si="40"/>
        <v/>
      </c>
      <c r="F463" s="14" t="str">
        <f>IF(AND($B$8=1,$D463&lt;=$B$7),IF($B$5=1,Calculator!$C$9*POWER(1+Calculator!$C$14/100,$D463/12),Calculator!$C$9),"")</f>
        <v/>
      </c>
      <c r="G463" s="14">
        <f>G462*(1+$B$4)+Calculator!$C$25</f>
        <v>223179.12194024734</v>
      </c>
      <c r="H463" s="14">
        <f>IF($B$5=1,Calculator!$C$9*POWER(1+Calculator!$C$14/100,$D463/12),Calculator!$C$9)</f>
        <v>10000</v>
      </c>
      <c r="J463" s="14">
        <f t="shared" si="41"/>
        <v>1</v>
      </c>
      <c r="K463" s="14" t="e">
        <f t="shared" si="36"/>
        <v>#N/A</v>
      </c>
      <c r="L463" s="14" t="e">
        <f t="shared" si="37"/>
        <v>#N/A</v>
      </c>
      <c r="M463" s="14" t="e">
        <f t="shared" si="38"/>
        <v>#N/A</v>
      </c>
      <c r="N463" s="14" t="e">
        <f t="shared" si="39"/>
        <v>#N/A</v>
      </c>
    </row>
    <row r="464" spans="4:14" ht="16.5" x14ac:dyDescent="0.25">
      <c r="D464" s="14">
        <v>424</v>
      </c>
      <c r="E464" s="14" t="str">
        <f t="shared" si="40"/>
        <v/>
      </c>
      <c r="F464" s="14" t="str">
        <f>IF(AND($B$8=1,$D464&lt;=$B$7),IF($B$5=1,Calculator!$C$9*POWER(1+Calculator!$C$14/100,$D464/12),Calculator!$C$9),"")</f>
        <v/>
      </c>
      <c r="G464" s="14">
        <f>G463*(1+$B$4)+Calculator!$C$25</f>
        <v>224029.54186249783</v>
      </c>
      <c r="H464" s="14">
        <f>IF($B$5=1,Calculator!$C$9*POWER(1+Calculator!$C$14/100,$D464/12),Calculator!$C$9)</f>
        <v>10000</v>
      </c>
      <c r="J464" s="14">
        <f t="shared" si="41"/>
        <v>1</v>
      </c>
      <c r="K464" s="14" t="e">
        <f t="shared" si="36"/>
        <v>#N/A</v>
      </c>
      <c r="L464" s="14" t="e">
        <f t="shared" si="37"/>
        <v>#N/A</v>
      </c>
      <c r="M464" s="14" t="e">
        <f t="shared" si="38"/>
        <v>#N/A</v>
      </c>
      <c r="N464" s="14" t="e">
        <f t="shared" si="39"/>
        <v>#N/A</v>
      </c>
    </row>
    <row r="465" spans="4:14" ht="16.5" x14ac:dyDescent="0.25">
      <c r="D465" s="14">
        <v>425</v>
      </c>
      <c r="E465" s="14" t="str">
        <f t="shared" si="40"/>
        <v/>
      </c>
      <c r="F465" s="14" t="str">
        <f>IF(AND($B$8=1,$D465&lt;=$B$7),IF($B$5=1,Calculator!$C$9*POWER(1+Calculator!$C$14/100,$D465/12),Calculator!$C$9),"")</f>
        <v/>
      </c>
      <c r="G465" s="14">
        <f>G464*(1+$B$4)+Calculator!$C$25</f>
        <v>224882.05914969635</v>
      </c>
      <c r="H465" s="14">
        <f>IF($B$5=1,Calculator!$C$9*POWER(1+Calculator!$C$14/100,$D465/12),Calculator!$C$9)</f>
        <v>10000</v>
      </c>
      <c r="J465" s="14">
        <f t="shared" si="41"/>
        <v>1</v>
      </c>
      <c r="K465" s="14" t="e">
        <f t="shared" si="36"/>
        <v>#N/A</v>
      </c>
      <c r="L465" s="14" t="e">
        <f t="shared" si="37"/>
        <v>#N/A</v>
      </c>
      <c r="M465" s="14" t="e">
        <f t="shared" si="38"/>
        <v>#N/A</v>
      </c>
      <c r="N465" s="14" t="e">
        <f t="shared" si="39"/>
        <v>#N/A</v>
      </c>
    </row>
    <row r="466" spans="4:14" ht="16.5" x14ac:dyDescent="0.25">
      <c r="D466" s="14">
        <v>426</v>
      </c>
      <c r="E466" s="14" t="str">
        <f t="shared" si="40"/>
        <v/>
      </c>
      <c r="F466" s="14" t="str">
        <f>IF(AND($B$8=1,$D466&lt;=$B$7),IF($B$5=1,Calculator!$C$9*POWER(1+Calculator!$C$14/100,$D466/12),Calculator!$C$9),"")</f>
        <v/>
      </c>
      <c r="G466" s="14">
        <f>G465*(1+$B$4)+Calculator!$C$25</f>
        <v>225736.67897451067</v>
      </c>
      <c r="H466" s="14">
        <f>IF($B$5=1,Calculator!$C$9*POWER(1+Calculator!$C$14/100,$D466/12),Calculator!$C$9)</f>
        <v>10000</v>
      </c>
      <c r="J466" s="14">
        <f t="shared" si="41"/>
        <v>1</v>
      </c>
      <c r="K466" s="14" t="e">
        <f t="shared" si="36"/>
        <v>#N/A</v>
      </c>
      <c r="L466" s="14" t="e">
        <f t="shared" si="37"/>
        <v>#N/A</v>
      </c>
      <c r="M466" s="14" t="e">
        <f t="shared" si="38"/>
        <v>#N/A</v>
      </c>
      <c r="N466" s="14" t="e">
        <f t="shared" si="39"/>
        <v>#N/A</v>
      </c>
    </row>
    <row r="467" spans="4:14" ht="16.5" x14ac:dyDescent="0.25">
      <c r="D467" s="14">
        <v>427</v>
      </c>
      <c r="E467" s="14" t="str">
        <f t="shared" si="40"/>
        <v/>
      </c>
      <c r="F467" s="14" t="str">
        <f>IF(AND($B$8=1,$D467&lt;=$B$7),IF($B$5=1,Calculator!$C$9*POWER(1+Calculator!$C$14/100,$D467/12),Calculator!$C$9),"")</f>
        <v/>
      </c>
      <c r="G467" s="14">
        <f>G466*(1+$B$4)+Calculator!$C$25</f>
        <v>226593.40652236572</v>
      </c>
      <c r="H467" s="14">
        <f>IF($B$5=1,Calculator!$C$9*POWER(1+Calculator!$C$14/100,$D467/12),Calculator!$C$9)</f>
        <v>10000</v>
      </c>
      <c r="J467" s="14">
        <f t="shared" si="41"/>
        <v>1</v>
      </c>
      <c r="K467" s="14" t="e">
        <f t="shared" si="36"/>
        <v>#N/A</v>
      </c>
      <c r="L467" s="14" t="e">
        <f t="shared" si="37"/>
        <v>#N/A</v>
      </c>
      <c r="M467" s="14" t="e">
        <f t="shared" si="38"/>
        <v>#N/A</v>
      </c>
      <c r="N467" s="14" t="e">
        <f t="shared" si="39"/>
        <v>#N/A</v>
      </c>
    </row>
    <row r="468" spans="4:14" ht="16.5" x14ac:dyDescent="0.25">
      <c r="D468" s="14">
        <v>428</v>
      </c>
      <c r="E468" s="14" t="str">
        <f t="shared" si="40"/>
        <v/>
      </c>
      <c r="F468" s="14" t="str">
        <f>IF(AND($B$8=1,$D468&lt;=$B$7),IF($B$5=1,Calculator!$C$9*POWER(1+Calculator!$C$14/100,$D468/12),Calculator!$C$9),"")</f>
        <v/>
      </c>
      <c r="G468" s="14">
        <f>G467*(1+$B$4)+Calculator!$C$25</f>
        <v>227452.24699147514</v>
      </c>
      <c r="H468" s="14">
        <f>IF($B$5=1,Calculator!$C$9*POWER(1+Calculator!$C$14/100,$D468/12),Calculator!$C$9)</f>
        <v>10000</v>
      </c>
      <c r="J468" s="14">
        <f t="shared" si="41"/>
        <v>1</v>
      </c>
      <c r="K468" s="14" t="e">
        <f t="shared" si="36"/>
        <v>#N/A</v>
      </c>
      <c r="L468" s="14" t="e">
        <f t="shared" si="37"/>
        <v>#N/A</v>
      </c>
      <c r="M468" s="14" t="e">
        <f t="shared" si="38"/>
        <v>#N/A</v>
      </c>
      <c r="N468" s="14" t="e">
        <f t="shared" si="39"/>
        <v>#N/A</v>
      </c>
    </row>
    <row r="469" spans="4:14" ht="16.5" x14ac:dyDescent="0.25">
      <c r="D469" s="14">
        <v>429</v>
      </c>
      <c r="E469" s="14" t="str">
        <f t="shared" si="40"/>
        <v/>
      </c>
      <c r="F469" s="14" t="str">
        <f>IF(AND($B$8=1,$D469&lt;=$B$7),IF($B$5=1,Calculator!$C$9*POWER(1+Calculator!$C$14/100,$D469/12),Calculator!$C$9),"")</f>
        <v/>
      </c>
      <c r="G469" s="14">
        <f>G468*(1+$B$4)+Calculator!$C$25</f>
        <v>228313.20559287278</v>
      </c>
      <c r="H469" s="14">
        <f>IF($B$5=1,Calculator!$C$9*POWER(1+Calculator!$C$14/100,$D469/12),Calculator!$C$9)</f>
        <v>10000</v>
      </c>
      <c r="J469" s="14">
        <f t="shared" si="41"/>
        <v>1</v>
      </c>
      <c r="K469" s="14" t="e">
        <f t="shared" si="36"/>
        <v>#N/A</v>
      </c>
      <c r="L469" s="14" t="e">
        <f t="shared" si="37"/>
        <v>#N/A</v>
      </c>
      <c r="M469" s="14" t="e">
        <f t="shared" si="38"/>
        <v>#N/A</v>
      </c>
      <c r="N469" s="14" t="e">
        <f t="shared" si="39"/>
        <v>#N/A</v>
      </c>
    </row>
    <row r="470" spans="4:14" ht="16.5" x14ac:dyDescent="0.25">
      <c r="D470" s="14">
        <v>430</v>
      </c>
      <c r="E470" s="14" t="str">
        <f t="shared" si="40"/>
        <v/>
      </c>
      <c r="F470" s="14" t="str">
        <f>IF(AND($B$8=1,$D470&lt;=$B$7),IF($B$5=1,Calculator!$C$9*POWER(1+Calculator!$C$14/100,$D470/12),Calculator!$C$9),"")</f>
        <v/>
      </c>
      <c r="G470" s="14">
        <f>G469*(1+$B$4)+Calculator!$C$25</f>
        <v>229176.28755044425</v>
      </c>
      <c r="H470" s="14">
        <f>IF($B$5=1,Calculator!$C$9*POWER(1+Calculator!$C$14/100,$D470/12),Calculator!$C$9)</f>
        <v>10000</v>
      </c>
      <c r="J470" s="14">
        <f t="shared" si="41"/>
        <v>1</v>
      </c>
      <c r="K470" s="14" t="e">
        <f t="shared" si="36"/>
        <v>#N/A</v>
      </c>
      <c r="L470" s="14" t="e">
        <f t="shared" si="37"/>
        <v>#N/A</v>
      </c>
      <c r="M470" s="14" t="e">
        <f t="shared" si="38"/>
        <v>#N/A</v>
      </c>
      <c r="N470" s="14" t="e">
        <f t="shared" si="39"/>
        <v>#N/A</v>
      </c>
    </row>
    <row r="471" spans="4:14" ht="16.5" x14ac:dyDescent="0.25">
      <c r="D471" s="14">
        <v>431</v>
      </c>
      <c r="E471" s="14" t="str">
        <f t="shared" si="40"/>
        <v/>
      </c>
      <c r="F471" s="14" t="str">
        <f>IF(AND($B$8=1,$D471&lt;=$B$7),IF($B$5=1,Calculator!$C$9*POWER(1+Calculator!$C$14/100,$D471/12),Calculator!$C$9),"")</f>
        <v/>
      </c>
      <c r="G471" s="14">
        <f>G470*(1+$B$4)+Calculator!$C$25</f>
        <v>230041.49810095868</v>
      </c>
      <c r="H471" s="14">
        <f>IF($B$5=1,Calculator!$C$9*POWER(1+Calculator!$C$14/100,$D471/12),Calculator!$C$9)</f>
        <v>10000</v>
      </c>
      <c r="J471" s="14">
        <f t="shared" si="41"/>
        <v>1</v>
      </c>
      <c r="K471" s="14" t="e">
        <f t="shared" si="36"/>
        <v>#N/A</v>
      </c>
      <c r="L471" s="14" t="e">
        <f t="shared" si="37"/>
        <v>#N/A</v>
      </c>
      <c r="M471" s="14" t="e">
        <f t="shared" si="38"/>
        <v>#N/A</v>
      </c>
      <c r="N471" s="14" t="e">
        <f t="shared" si="39"/>
        <v>#N/A</v>
      </c>
    </row>
    <row r="472" spans="4:14" ht="16.5" x14ac:dyDescent="0.25">
      <c r="D472" s="14">
        <v>432</v>
      </c>
      <c r="E472" s="14" t="str">
        <f t="shared" si="40"/>
        <v/>
      </c>
      <c r="F472" s="14" t="str">
        <f>IF(AND($B$8=1,$D472&lt;=$B$7),IF($B$5=1,Calculator!$C$9*POWER(1+Calculator!$C$14/100,$D472/12),Calculator!$C$9),"")</f>
        <v/>
      </c>
      <c r="G472" s="14">
        <f>G471*(1+$B$4)+Calculator!$C$25</f>
        <v>230908.84249410054</v>
      </c>
      <c r="H472" s="14">
        <f>IF($B$5=1,Calculator!$C$9*POWER(1+Calculator!$C$14/100,$D472/12),Calculator!$C$9)</f>
        <v>10000</v>
      </c>
      <c r="J472" s="14">
        <f t="shared" si="41"/>
        <v>1</v>
      </c>
      <c r="K472" s="14" t="e">
        <f t="shared" si="36"/>
        <v>#N/A</v>
      </c>
      <c r="L472" s="14" t="e">
        <f t="shared" si="37"/>
        <v>#N/A</v>
      </c>
      <c r="M472" s="14" t="e">
        <f t="shared" si="38"/>
        <v>#N/A</v>
      </c>
      <c r="N472" s="14" t="e">
        <f t="shared" si="39"/>
        <v>#N/A</v>
      </c>
    </row>
    <row r="473" spans="4:14" ht="16.5" x14ac:dyDescent="0.25">
      <c r="D473" s="14">
        <v>433</v>
      </c>
      <c r="E473" s="14" t="str">
        <f t="shared" si="40"/>
        <v/>
      </c>
      <c r="F473" s="14" t="str">
        <f>IF(AND($B$8=1,$D473&lt;=$B$7),IF($B$5=1,Calculator!$C$9*POWER(1+Calculator!$C$14/100,$D473/12),Calculator!$C$9),"")</f>
        <v/>
      </c>
      <c r="G473" s="14">
        <f>G472*(1+$B$4)+Calculator!$C$25</f>
        <v>231778.32599250137</v>
      </c>
      <c r="H473" s="14">
        <f>IF($B$5=1,Calculator!$C$9*POWER(1+Calculator!$C$14/100,$D473/12),Calculator!$C$9)</f>
        <v>10000</v>
      </c>
      <c r="J473" s="14">
        <f t="shared" si="41"/>
        <v>1</v>
      </c>
      <c r="K473" s="14" t="e">
        <f t="shared" si="36"/>
        <v>#N/A</v>
      </c>
      <c r="L473" s="14" t="e">
        <f t="shared" si="37"/>
        <v>#N/A</v>
      </c>
      <c r="M473" s="14" t="e">
        <f t="shared" si="38"/>
        <v>#N/A</v>
      </c>
      <c r="N473" s="14" t="e">
        <f t="shared" si="39"/>
        <v>#N/A</v>
      </c>
    </row>
    <row r="474" spans="4:14" ht="16.5" x14ac:dyDescent="0.25">
      <c r="D474" s="14">
        <v>434</v>
      </c>
      <c r="E474" s="14" t="str">
        <f t="shared" si="40"/>
        <v/>
      </c>
      <c r="F474" s="14" t="str">
        <f>IF(AND($B$8=1,$D474&lt;=$B$7),IF($B$5=1,Calculator!$C$9*POWER(1+Calculator!$C$14/100,$D474/12),Calculator!$C$9),"")</f>
        <v/>
      </c>
      <c r="G474" s="14">
        <f>G473*(1+$B$4)+Calculator!$C$25</f>
        <v>232649.95387177184</v>
      </c>
      <c r="H474" s="14">
        <f>IF($B$5=1,Calculator!$C$9*POWER(1+Calculator!$C$14/100,$D474/12),Calculator!$C$9)</f>
        <v>10000</v>
      </c>
      <c r="J474" s="14">
        <f t="shared" si="41"/>
        <v>1</v>
      </c>
      <c r="K474" s="14" t="e">
        <f t="shared" si="36"/>
        <v>#N/A</v>
      </c>
      <c r="L474" s="14" t="e">
        <f t="shared" si="37"/>
        <v>#N/A</v>
      </c>
      <c r="M474" s="14" t="e">
        <f t="shared" si="38"/>
        <v>#N/A</v>
      </c>
      <c r="N474" s="14" t="e">
        <f t="shared" si="39"/>
        <v>#N/A</v>
      </c>
    </row>
    <row r="475" spans="4:14" ht="16.5" x14ac:dyDescent="0.25">
      <c r="D475" s="14">
        <v>435</v>
      </c>
      <c r="E475" s="14" t="str">
        <f t="shared" si="40"/>
        <v/>
      </c>
      <c r="F475" s="14" t="str">
        <f>IF(AND($B$8=1,$D475&lt;=$B$7),IF($B$5=1,Calculator!$C$9*POWER(1+Calculator!$C$14/100,$D475/12),Calculator!$C$9),"")</f>
        <v/>
      </c>
      <c r="G475" s="14">
        <f>G474*(1+$B$4)+Calculator!$C$25</f>
        <v>233523.73142053364</v>
      </c>
      <c r="H475" s="14">
        <f>IF($B$5=1,Calculator!$C$9*POWER(1+Calculator!$C$14/100,$D475/12),Calculator!$C$9)</f>
        <v>10000</v>
      </c>
      <c r="J475" s="14">
        <f t="shared" si="41"/>
        <v>1</v>
      </c>
      <c r="K475" s="14" t="e">
        <f t="shared" si="36"/>
        <v>#N/A</v>
      </c>
      <c r="L475" s="14" t="e">
        <f t="shared" si="37"/>
        <v>#N/A</v>
      </c>
      <c r="M475" s="14" t="e">
        <f t="shared" si="38"/>
        <v>#N/A</v>
      </c>
      <c r="N475" s="14" t="e">
        <f t="shared" si="39"/>
        <v>#N/A</v>
      </c>
    </row>
    <row r="476" spans="4:14" ht="16.5" x14ac:dyDescent="0.25">
      <c r="D476" s="14">
        <v>436</v>
      </c>
      <c r="E476" s="14" t="str">
        <f t="shared" si="40"/>
        <v/>
      </c>
      <c r="F476" s="14" t="str">
        <f>IF(AND($B$8=1,$D476&lt;=$B$7),IF($B$5=1,Calculator!$C$9*POWER(1+Calculator!$C$14/100,$D476/12),Calculator!$C$9),"")</f>
        <v/>
      </c>
      <c r="G476" s="14">
        <f>G475*(1+$B$4)+Calculator!$C$25</f>
        <v>234399.66394045166</v>
      </c>
      <c r="H476" s="14">
        <f>IF($B$5=1,Calculator!$C$9*POWER(1+Calculator!$C$14/100,$D476/12),Calculator!$C$9)</f>
        <v>10000</v>
      </c>
      <c r="J476" s="14">
        <f t="shared" si="41"/>
        <v>1</v>
      </c>
      <c r="K476" s="14" t="e">
        <f t="shared" si="36"/>
        <v>#N/A</v>
      </c>
      <c r="L476" s="14" t="e">
        <f t="shared" si="37"/>
        <v>#N/A</v>
      </c>
      <c r="M476" s="14" t="e">
        <f t="shared" si="38"/>
        <v>#N/A</v>
      </c>
      <c r="N476" s="14" t="e">
        <f t="shared" si="39"/>
        <v>#N/A</v>
      </c>
    </row>
    <row r="477" spans="4:14" ht="16.5" x14ac:dyDescent="0.25">
      <c r="D477" s="14">
        <v>437</v>
      </c>
      <c r="E477" s="14" t="str">
        <f t="shared" si="40"/>
        <v/>
      </c>
      <c r="F477" s="14" t="str">
        <f>IF(AND($B$8=1,$D477&lt;=$B$7),IF($B$5=1,Calculator!$C$9*POWER(1+Calculator!$C$14/100,$D477/12),Calculator!$C$9),"")</f>
        <v/>
      </c>
      <c r="G477" s="14">
        <f>G476*(1+$B$4)+Calculator!$C$25</f>
        <v>235277.75674626615</v>
      </c>
      <c r="H477" s="14">
        <f>IF($B$5=1,Calculator!$C$9*POWER(1+Calculator!$C$14/100,$D477/12),Calculator!$C$9)</f>
        <v>10000</v>
      </c>
      <c r="J477" s="14">
        <f t="shared" si="41"/>
        <v>1</v>
      </c>
      <c r="K477" s="14" t="e">
        <f t="shared" si="36"/>
        <v>#N/A</v>
      </c>
      <c r="L477" s="14" t="e">
        <f t="shared" si="37"/>
        <v>#N/A</v>
      </c>
      <c r="M477" s="14" t="e">
        <f t="shared" si="38"/>
        <v>#N/A</v>
      </c>
      <c r="N477" s="14" t="e">
        <f t="shared" si="39"/>
        <v>#N/A</v>
      </c>
    </row>
    <row r="478" spans="4:14" ht="16.5" x14ac:dyDescent="0.25">
      <c r="D478" s="14">
        <v>438</v>
      </c>
      <c r="E478" s="14" t="str">
        <f t="shared" si="40"/>
        <v/>
      </c>
      <c r="F478" s="14" t="str">
        <f>IF(AND($B$8=1,$D478&lt;=$B$7),IF($B$5=1,Calculator!$C$9*POWER(1+Calculator!$C$14/100,$D478/12),Calculator!$C$9),"")</f>
        <v/>
      </c>
      <c r="G478" s="14">
        <f>G477*(1+$B$4)+Calculator!$C$25</f>
        <v>236158.01516582488</v>
      </c>
      <c r="H478" s="14">
        <f>IF($B$5=1,Calculator!$C$9*POWER(1+Calculator!$C$14/100,$D478/12),Calculator!$C$9)</f>
        <v>10000</v>
      </c>
      <c r="J478" s="14">
        <f t="shared" si="41"/>
        <v>1</v>
      </c>
      <c r="K478" s="14" t="e">
        <f t="shared" si="36"/>
        <v>#N/A</v>
      </c>
      <c r="L478" s="14" t="e">
        <f t="shared" si="37"/>
        <v>#N/A</v>
      </c>
      <c r="M478" s="14" t="e">
        <f t="shared" si="38"/>
        <v>#N/A</v>
      </c>
      <c r="N478" s="14" t="e">
        <f t="shared" si="39"/>
        <v>#N/A</v>
      </c>
    </row>
    <row r="479" spans="4:14" ht="16.5" x14ac:dyDescent="0.25">
      <c r="D479" s="14">
        <v>439</v>
      </c>
      <c r="E479" s="14" t="str">
        <f t="shared" si="40"/>
        <v/>
      </c>
      <c r="F479" s="14" t="str">
        <f>IF(AND($B$8=1,$D479&lt;=$B$7),IF($B$5=1,Calculator!$C$9*POWER(1+Calculator!$C$14/100,$D479/12),Calculator!$C$9),"")</f>
        <v/>
      </c>
      <c r="G479" s="14">
        <f>G478*(1+$B$4)+Calculator!$C$25</f>
        <v>237040.4445401156</v>
      </c>
      <c r="H479" s="14">
        <f>IF($B$5=1,Calculator!$C$9*POWER(1+Calculator!$C$14/100,$D479/12),Calculator!$C$9)</f>
        <v>10000</v>
      </c>
      <c r="J479" s="14">
        <f t="shared" si="41"/>
        <v>1</v>
      </c>
      <c r="K479" s="14" t="e">
        <f t="shared" si="36"/>
        <v>#N/A</v>
      </c>
      <c r="L479" s="14" t="e">
        <f t="shared" si="37"/>
        <v>#N/A</v>
      </c>
      <c r="M479" s="14" t="e">
        <f t="shared" si="38"/>
        <v>#N/A</v>
      </c>
      <c r="N479" s="14" t="e">
        <f t="shared" si="39"/>
        <v>#N/A</v>
      </c>
    </row>
    <row r="480" spans="4:14" ht="16.5" x14ac:dyDescent="0.25">
      <c r="D480" s="14">
        <v>440</v>
      </c>
      <c r="E480" s="14" t="str">
        <f t="shared" si="40"/>
        <v/>
      </c>
      <c r="F480" s="14" t="str">
        <f>IF(AND($B$8=1,$D480&lt;=$B$7),IF($B$5=1,Calculator!$C$9*POWER(1+Calculator!$C$14/100,$D480/12),Calculator!$C$9),"")</f>
        <v/>
      </c>
      <c r="G480" s="14">
        <f>G479*(1+$B$4)+Calculator!$C$25</f>
        <v>237925.05022329831</v>
      </c>
      <c r="H480" s="14">
        <f>IF($B$5=1,Calculator!$C$9*POWER(1+Calculator!$C$14/100,$D480/12),Calculator!$C$9)</f>
        <v>10000</v>
      </c>
      <c r="J480" s="14">
        <f t="shared" si="41"/>
        <v>1</v>
      </c>
      <c r="K480" s="14" t="e">
        <f t="shared" si="36"/>
        <v>#N/A</v>
      </c>
      <c r="L480" s="14" t="e">
        <f t="shared" si="37"/>
        <v>#N/A</v>
      </c>
      <c r="M480" s="14" t="e">
        <f t="shared" si="38"/>
        <v>#N/A</v>
      </c>
      <c r="N480" s="14" t="e">
        <f t="shared" si="39"/>
        <v>#N/A</v>
      </c>
    </row>
    <row r="481" spans="4:14" ht="16.5" x14ac:dyDescent="0.25">
      <c r="D481" s="14">
        <v>441</v>
      </c>
      <c r="E481" s="14" t="str">
        <f t="shared" si="40"/>
        <v/>
      </c>
      <c r="F481" s="14" t="str">
        <f>IF(AND($B$8=1,$D481&lt;=$B$7),IF($B$5=1,Calculator!$C$9*POWER(1+Calculator!$C$14/100,$D481/12),Calculator!$C$9),"")</f>
        <v/>
      </c>
      <c r="G481" s="14">
        <f>G480*(1+$B$4)+Calculator!$C$25</f>
        <v>238811.83758273788</v>
      </c>
      <c r="H481" s="14">
        <f>IF($B$5=1,Calculator!$C$9*POWER(1+Calculator!$C$14/100,$D481/12),Calculator!$C$9)</f>
        <v>10000</v>
      </c>
      <c r="J481" s="14">
        <f t="shared" si="41"/>
        <v>1</v>
      </c>
      <c r="K481" s="14" t="e">
        <f t="shared" si="36"/>
        <v>#N/A</v>
      </c>
      <c r="L481" s="14" t="e">
        <f t="shared" si="37"/>
        <v>#N/A</v>
      </c>
      <c r="M481" s="14" t="e">
        <f t="shared" si="38"/>
        <v>#N/A</v>
      </c>
      <c r="N481" s="14" t="e">
        <f t="shared" si="39"/>
        <v>#N/A</v>
      </c>
    </row>
    <row r="482" spans="4:14" ht="16.5" x14ac:dyDescent="0.25">
      <c r="D482" s="14">
        <v>442</v>
      </c>
      <c r="E482" s="14" t="str">
        <f t="shared" si="40"/>
        <v/>
      </c>
      <c r="F482" s="14" t="str">
        <f>IF(AND($B$8=1,$D482&lt;=$B$7),IF($B$5=1,Calculator!$C$9*POWER(1+Calculator!$C$14/100,$D482/12),Calculator!$C$9),"")</f>
        <v/>
      </c>
      <c r="G482" s="14">
        <f>G481*(1+$B$4)+Calculator!$C$25</f>
        <v>239700.81199903649</v>
      </c>
      <c r="H482" s="14">
        <f>IF($B$5=1,Calculator!$C$9*POWER(1+Calculator!$C$14/100,$D482/12),Calculator!$C$9)</f>
        <v>10000</v>
      </c>
      <c r="J482" s="14">
        <f t="shared" si="41"/>
        <v>1</v>
      </c>
      <c r="K482" s="14" t="e">
        <f t="shared" si="36"/>
        <v>#N/A</v>
      </c>
      <c r="L482" s="14" t="e">
        <f t="shared" si="37"/>
        <v>#N/A</v>
      </c>
      <c r="M482" s="14" t="e">
        <f t="shared" si="38"/>
        <v>#N/A</v>
      </c>
      <c r="N482" s="14" t="e">
        <f t="shared" si="39"/>
        <v>#N/A</v>
      </c>
    </row>
    <row r="483" spans="4:14" ht="16.5" x14ac:dyDescent="0.25">
      <c r="D483" s="14">
        <v>443</v>
      </c>
      <c r="E483" s="14" t="str">
        <f t="shared" si="40"/>
        <v/>
      </c>
      <c r="F483" s="14" t="str">
        <f>IF(AND($B$8=1,$D483&lt;=$B$7),IF($B$5=1,Calculator!$C$9*POWER(1+Calculator!$C$14/100,$D483/12),Calculator!$C$9),"")</f>
        <v/>
      </c>
      <c r="G483" s="14">
        <f>G482*(1+$B$4)+Calculator!$C$25</f>
        <v>240591.97886606638</v>
      </c>
      <c r="H483" s="14">
        <f>IF($B$5=1,Calculator!$C$9*POWER(1+Calculator!$C$14/100,$D483/12),Calculator!$C$9)</f>
        <v>10000</v>
      </c>
      <c r="J483" s="14">
        <f t="shared" si="41"/>
        <v>1</v>
      </c>
      <c r="K483" s="14" t="e">
        <f t="shared" si="36"/>
        <v>#N/A</v>
      </c>
      <c r="L483" s="14" t="e">
        <f t="shared" si="37"/>
        <v>#N/A</v>
      </c>
      <c r="M483" s="14" t="e">
        <f t="shared" si="38"/>
        <v>#N/A</v>
      </c>
      <c r="N483" s="14" t="e">
        <f t="shared" si="39"/>
        <v>#N/A</v>
      </c>
    </row>
    <row r="484" spans="4:14" ht="16.5" x14ac:dyDescent="0.25">
      <c r="D484" s="14">
        <v>444</v>
      </c>
      <c r="E484" s="14" t="str">
        <f t="shared" si="40"/>
        <v/>
      </c>
      <c r="F484" s="14" t="str">
        <f>IF(AND($B$8=1,$D484&lt;=$B$7),IF($B$5=1,Calculator!$C$9*POWER(1+Calculator!$C$14/100,$D484/12),Calculator!$C$9),"")</f>
        <v/>
      </c>
      <c r="G484" s="14">
        <f>G483*(1+$B$4)+Calculator!$C$25</f>
        <v>241485.34359100249</v>
      </c>
      <c r="H484" s="14">
        <f>IF($B$5=1,Calculator!$C$9*POWER(1+Calculator!$C$14/100,$D484/12),Calculator!$C$9)</f>
        <v>10000</v>
      </c>
      <c r="J484" s="14">
        <f t="shared" si="41"/>
        <v>1</v>
      </c>
      <c r="K484" s="14" t="e">
        <f t="shared" si="36"/>
        <v>#N/A</v>
      </c>
      <c r="L484" s="14" t="e">
        <f t="shared" si="37"/>
        <v>#N/A</v>
      </c>
      <c r="M484" s="14" t="e">
        <f t="shared" si="38"/>
        <v>#N/A</v>
      </c>
      <c r="N484" s="14" t="e">
        <f t="shared" si="39"/>
        <v>#N/A</v>
      </c>
    </row>
    <row r="485" spans="4:14" ht="16.5" x14ac:dyDescent="0.25">
      <c r="D485" s="14">
        <v>445</v>
      </c>
      <c r="E485" s="14" t="str">
        <f t="shared" si="40"/>
        <v/>
      </c>
      <c r="F485" s="14" t="str">
        <f>IF(AND($B$8=1,$D485&lt;=$B$7),IF($B$5=1,Calculator!$C$9*POWER(1+Calculator!$C$14/100,$D485/12),Calculator!$C$9),"")</f>
        <v/>
      </c>
      <c r="G485" s="14">
        <f>G484*(1+$B$4)+Calculator!$C$25</f>
        <v>242380.91159435533</v>
      </c>
      <c r="H485" s="14">
        <f>IF($B$5=1,Calculator!$C$9*POWER(1+Calculator!$C$14/100,$D485/12),Calculator!$C$9)</f>
        <v>10000</v>
      </c>
      <c r="J485" s="14">
        <f t="shared" si="41"/>
        <v>1</v>
      </c>
      <c r="K485" s="14" t="e">
        <f t="shared" si="36"/>
        <v>#N/A</v>
      </c>
      <c r="L485" s="14" t="e">
        <f t="shared" si="37"/>
        <v>#N/A</v>
      </c>
      <c r="M485" s="14" t="e">
        <f t="shared" si="38"/>
        <v>#N/A</v>
      </c>
      <c r="N485" s="14" t="e">
        <f t="shared" si="39"/>
        <v>#N/A</v>
      </c>
    </row>
    <row r="486" spans="4:14" ht="16.5" x14ac:dyDescent="0.25">
      <c r="D486" s="14">
        <v>446</v>
      </c>
      <c r="E486" s="14" t="str">
        <f t="shared" si="40"/>
        <v/>
      </c>
      <c r="F486" s="14" t="str">
        <f>IF(AND($B$8=1,$D486&lt;=$B$7),IF($B$5=1,Calculator!$C$9*POWER(1+Calculator!$C$14/100,$D486/12),Calculator!$C$9),"")</f>
        <v/>
      </c>
      <c r="G486" s="14">
        <f>G485*(1+$B$4)+Calculator!$C$25</f>
        <v>243278.6883100039</v>
      </c>
      <c r="H486" s="14">
        <f>IF($B$5=1,Calculator!$C$9*POWER(1+Calculator!$C$14/100,$D486/12),Calculator!$C$9)</f>
        <v>10000</v>
      </c>
      <c r="J486" s="14">
        <f t="shared" si="41"/>
        <v>1</v>
      </c>
      <c r="K486" s="14" t="e">
        <f t="shared" si="36"/>
        <v>#N/A</v>
      </c>
      <c r="L486" s="14" t="e">
        <f t="shared" si="37"/>
        <v>#N/A</v>
      </c>
      <c r="M486" s="14" t="e">
        <f t="shared" si="38"/>
        <v>#N/A</v>
      </c>
      <c r="N486" s="14" t="e">
        <f t="shared" si="39"/>
        <v>#N/A</v>
      </c>
    </row>
    <row r="487" spans="4:14" ht="16.5" x14ac:dyDescent="0.25">
      <c r="D487" s="14">
        <v>447</v>
      </c>
      <c r="E487" s="14" t="str">
        <f t="shared" si="40"/>
        <v/>
      </c>
      <c r="F487" s="14" t="str">
        <f>IF(AND($B$8=1,$D487&lt;=$B$7),IF($B$5=1,Calculator!$C$9*POWER(1+Calculator!$C$14/100,$D487/12),Calculator!$C$9),"")</f>
        <v/>
      </c>
      <c r="G487" s="14">
        <f>G486*(1+$B$4)+Calculator!$C$25</f>
        <v>244178.67918522854</v>
      </c>
      <c r="H487" s="14">
        <f>IF($B$5=1,Calculator!$C$9*POWER(1+Calculator!$C$14/100,$D487/12),Calculator!$C$9)</f>
        <v>10000</v>
      </c>
      <c r="J487" s="14">
        <f t="shared" si="41"/>
        <v>1</v>
      </c>
      <c r="K487" s="14" t="e">
        <f t="shared" si="36"/>
        <v>#N/A</v>
      </c>
      <c r="L487" s="14" t="e">
        <f t="shared" si="37"/>
        <v>#N/A</v>
      </c>
      <c r="M487" s="14" t="e">
        <f t="shared" si="38"/>
        <v>#N/A</v>
      </c>
      <c r="N487" s="14" t="e">
        <f t="shared" si="39"/>
        <v>#N/A</v>
      </c>
    </row>
    <row r="488" spans="4:14" ht="16.5" x14ac:dyDescent="0.25">
      <c r="D488" s="14">
        <v>448</v>
      </c>
      <c r="E488" s="14" t="str">
        <f t="shared" si="40"/>
        <v/>
      </c>
      <c r="F488" s="14" t="str">
        <f>IF(AND($B$8=1,$D488&lt;=$B$7),IF($B$5=1,Calculator!$C$9*POWER(1+Calculator!$C$14/100,$D488/12),Calculator!$C$9),"")</f>
        <v/>
      </c>
      <c r="G488" s="14">
        <f>G487*(1+$B$4)+Calculator!$C$25</f>
        <v>245080.88968074412</v>
      </c>
      <c r="H488" s="14">
        <f>IF($B$5=1,Calculator!$C$9*POWER(1+Calculator!$C$14/100,$D488/12),Calculator!$C$9)</f>
        <v>10000</v>
      </c>
      <c r="J488" s="14">
        <f t="shared" si="41"/>
        <v>1</v>
      </c>
      <c r="K488" s="14" t="e">
        <f t="shared" ref="K488:K551" si="42">IF($D488&lt;=$B$23,E488,NA())</f>
        <v>#N/A</v>
      </c>
      <c r="L488" s="14" t="e">
        <f t="shared" ref="L488:L551" si="43">IF($D488&lt;=$B$23,F488,NA())</f>
        <v>#N/A</v>
      </c>
      <c r="M488" s="14" t="e">
        <f t="shared" ref="M488:M551" si="44">IF($D488&lt;=$B$24,G488,NA())</f>
        <v>#N/A</v>
      </c>
      <c r="N488" s="14" t="e">
        <f t="shared" ref="N488:N551" si="45">IF($D488&lt;=$B$24,H488,NA())</f>
        <v>#N/A</v>
      </c>
    </row>
    <row r="489" spans="4:14" ht="16.5" x14ac:dyDescent="0.25">
      <c r="D489" s="14">
        <v>449</v>
      </c>
      <c r="E489" s="14" t="str">
        <f t="shared" ref="E489:E552" si="46">IF(AND($B$8=1,$D489&lt;=$B$7),E488*(1+$B$4)+$B$11,"")</f>
        <v/>
      </c>
      <c r="F489" s="14" t="str">
        <f>IF(AND($B$8=1,$D489&lt;=$B$7),IF($B$5=1,Calculator!$C$9*POWER(1+Calculator!$C$14/100,$D489/12),Calculator!$C$9),"")</f>
        <v/>
      </c>
      <c r="G489" s="14">
        <f>G488*(1+$B$4)+Calculator!$C$25</f>
        <v>245985.32527073304</v>
      </c>
      <c r="H489" s="14">
        <f>IF($B$5=1,Calculator!$C$9*POWER(1+Calculator!$C$14/100,$D489/12),Calculator!$C$9)</f>
        <v>10000</v>
      </c>
      <c r="J489" s="14">
        <f t="shared" ref="J489:J552" si="47">IF(G489&gt;=H489,1,0)</f>
        <v>1</v>
      </c>
      <c r="K489" s="14" t="e">
        <f t="shared" si="42"/>
        <v>#N/A</v>
      </c>
      <c r="L489" s="14" t="e">
        <f t="shared" si="43"/>
        <v>#N/A</v>
      </c>
      <c r="M489" s="14" t="e">
        <f t="shared" si="44"/>
        <v>#N/A</v>
      </c>
      <c r="N489" s="14" t="e">
        <f t="shared" si="45"/>
        <v>#N/A</v>
      </c>
    </row>
    <row r="490" spans="4:14" ht="16.5" x14ac:dyDescent="0.25">
      <c r="D490" s="14">
        <v>450</v>
      </c>
      <c r="E490" s="14" t="str">
        <f t="shared" si="46"/>
        <v/>
      </c>
      <c r="F490" s="14" t="str">
        <f>IF(AND($B$8=1,$D490&lt;=$B$7),IF($B$5=1,Calculator!$C$9*POWER(1+Calculator!$C$14/100,$D490/12),Calculator!$C$9),"")</f>
        <v/>
      </c>
      <c r="G490" s="14">
        <f>G489*(1+$B$4)+Calculator!$C$25</f>
        <v>246891.99144287853</v>
      </c>
      <c r="H490" s="14">
        <f>IF($B$5=1,Calculator!$C$9*POWER(1+Calculator!$C$14/100,$D490/12),Calculator!$C$9)</f>
        <v>10000</v>
      </c>
      <c r="J490" s="14">
        <f t="shared" si="47"/>
        <v>1</v>
      </c>
      <c r="K490" s="14" t="e">
        <f t="shared" si="42"/>
        <v>#N/A</v>
      </c>
      <c r="L490" s="14" t="e">
        <f t="shared" si="43"/>
        <v>#N/A</v>
      </c>
      <c r="M490" s="14" t="e">
        <f t="shared" si="44"/>
        <v>#N/A</v>
      </c>
      <c r="N490" s="14" t="e">
        <f t="shared" si="45"/>
        <v>#N/A</v>
      </c>
    </row>
    <row r="491" spans="4:14" ht="16.5" x14ac:dyDescent="0.25">
      <c r="D491" s="14">
        <v>451</v>
      </c>
      <c r="E491" s="14" t="str">
        <f t="shared" si="46"/>
        <v/>
      </c>
      <c r="F491" s="14" t="str">
        <f>IF(AND($B$8=1,$D491&lt;=$B$7),IF($B$5=1,Calculator!$C$9*POWER(1+Calculator!$C$14/100,$D491/12),Calculator!$C$9),"")</f>
        <v/>
      </c>
      <c r="G491" s="14">
        <f>G490*(1+$B$4)+Calculator!$C$25</f>
        <v>247800.89369839797</v>
      </c>
      <c r="H491" s="14">
        <f>IF($B$5=1,Calculator!$C$9*POWER(1+Calculator!$C$14/100,$D491/12),Calculator!$C$9)</f>
        <v>10000</v>
      </c>
      <c r="J491" s="14">
        <f t="shared" si="47"/>
        <v>1</v>
      </c>
      <c r="K491" s="14" t="e">
        <f t="shared" si="42"/>
        <v>#N/A</v>
      </c>
      <c r="L491" s="14" t="e">
        <f t="shared" si="43"/>
        <v>#N/A</v>
      </c>
      <c r="M491" s="14" t="e">
        <f t="shared" si="44"/>
        <v>#N/A</v>
      </c>
      <c r="N491" s="14" t="e">
        <f t="shared" si="45"/>
        <v>#N/A</v>
      </c>
    </row>
    <row r="492" spans="4:14" ht="16.5" x14ac:dyDescent="0.25">
      <c r="D492" s="14">
        <v>452</v>
      </c>
      <c r="E492" s="14" t="str">
        <f t="shared" si="46"/>
        <v/>
      </c>
      <c r="F492" s="14" t="str">
        <f>IF(AND($B$8=1,$D492&lt;=$B$7),IF($B$5=1,Calculator!$C$9*POWER(1+Calculator!$C$14/100,$D492/12),Calculator!$C$9),"")</f>
        <v/>
      </c>
      <c r="G492" s="14">
        <f>G491*(1+$B$4)+Calculator!$C$25</f>
        <v>248712.03755207616</v>
      </c>
      <c r="H492" s="14">
        <f>IF($B$5=1,Calculator!$C$9*POWER(1+Calculator!$C$14/100,$D492/12),Calculator!$C$9)</f>
        <v>10000</v>
      </c>
      <c r="J492" s="14">
        <f t="shared" si="47"/>
        <v>1</v>
      </c>
      <c r="K492" s="14" t="e">
        <f t="shared" si="42"/>
        <v>#N/A</v>
      </c>
      <c r="L492" s="14" t="e">
        <f t="shared" si="43"/>
        <v>#N/A</v>
      </c>
      <c r="M492" s="14" t="e">
        <f t="shared" si="44"/>
        <v>#N/A</v>
      </c>
      <c r="N492" s="14" t="e">
        <f t="shared" si="45"/>
        <v>#N/A</v>
      </c>
    </row>
    <row r="493" spans="4:14" ht="16.5" x14ac:dyDescent="0.25">
      <c r="D493" s="14">
        <v>453</v>
      </c>
      <c r="E493" s="14" t="str">
        <f t="shared" si="46"/>
        <v/>
      </c>
      <c r="F493" s="14" t="str">
        <f>IF(AND($B$8=1,$D493&lt;=$B$7),IF($B$5=1,Calculator!$C$9*POWER(1+Calculator!$C$14/100,$D493/12),Calculator!$C$9),"")</f>
        <v/>
      </c>
      <c r="G493" s="14">
        <f>G492*(1+$B$4)+Calculator!$C$25</f>
        <v>249625.42853229892</v>
      </c>
      <c r="H493" s="14">
        <f>IF($B$5=1,Calculator!$C$9*POWER(1+Calculator!$C$14/100,$D493/12),Calculator!$C$9)</f>
        <v>10000</v>
      </c>
      <c r="J493" s="14">
        <f t="shared" si="47"/>
        <v>1</v>
      </c>
      <c r="K493" s="14" t="e">
        <f t="shared" si="42"/>
        <v>#N/A</v>
      </c>
      <c r="L493" s="14" t="e">
        <f t="shared" si="43"/>
        <v>#N/A</v>
      </c>
      <c r="M493" s="14" t="e">
        <f t="shared" si="44"/>
        <v>#N/A</v>
      </c>
      <c r="N493" s="14" t="e">
        <f t="shared" si="45"/>
        <v>#N/A</v>
      </c>
    </row>
    <row r="494" spans="4:14" ht="16.5" x14ac:dyDescent="0.25">
      <c r="D494" s="14">
        <v>454</v>
      </c>
      <c r="E494" s="14" t="str">
        <f t="shared" si="46"/>
        <v/>
      </c>
      <c r="F494" s="14" t="str">
        <f>IF(AND($B$8=1,$D494&lt;=$B$7),IF($B$5=1,Calculator!$C$9*POWER(1+Calculator!$C$14/100,$D494/12),Calculator!$C$9),"")</f>
        <v/>
      </c>
      <c r="G494" s="14">
        <f>G493*(1+$B$4)+Calculator!$C$25</f>
        <v>250541.07218108649</v>
      </c>
      <c r="H494" s="14">
        <f>IF($B$5=1,Calculator!$C$9*POWER(1+Calculator!$C$14/100,$D494/12),Calculator!$C$9)</f>
        <v>10000</v>
      </c>
      <c r="J494" s="14">
        <f t="shared" si="47"/>
        <v>1</v>
      </c>
      <c r="K494" s="14" t="e">
        <f t="shared" si="42"/>
        <v>#N/A</v>
      </c>
      <c r="L494" s="14" t="e">
        <f t="shared" si="43"/>
        <v>#N/A</v>
      </c>
      <c r="M494" s="14" t="e">
        <f t="shared" si="44"/>
        <v>#N/A</v>
      </c>
      <c r="N494" s="14" t="e">
        <f t="shared" si="45"/>
        <v>#N/A</v>
      </c>
    </row>
    <row r="495" spans="4:14" ht="16.5" x14ac:dyDescent="0.25">
      <c r="D495" s="14">
        <v>455</v>
      </c>
      <c r="E495" s="14" t="str">
        <f t="shared" si="46"/>
        <v/>
      </c>
      <c r="F495" s="14" t="str">
        <f>IF(AND($B$8=1,$D495&lt;=$B$7),IF($B$5=1,Calculator!$C$9*POWER(1+Calculator!$C$14/100,$D495/12),Calculator!$C$9),"")</f>
        <v/>
      </c>
      <c r="G495" s="14">
        <f>G494*(1+$B$4)+Calculator!$C$25</f>
        <v>251458.97405412726</v>
      </c>
      <c r="H495" s="14">
        <f>IF($B$5=1,Calculator!$C$9*POWER(1+Calculator!$C$14/100,$D495/12),Calculator!$C$9)</f>
        <v>10000</v>
      </c>
      <c r="J495" s="14">
        <f t="shared" si="47"/>
        <v>1</v>
      </c>
      <c r="K495" s="14" t="e">
        <f t="shared" si="42"/>
        <v>#N/A</v>
      </c>
      <c r="L495" s="14" t="e">
        <f t="shared" si="43"/>
        <v>#N/A</v>
      </c>
      <c r="M495" s="14" t="e">
        <f t="shared" si="44"/>
        <v>#N/A</v>
      </c>
      <c r="N495" s="14" t="e">
        <f t="shared" si="45"/>
        <v>#N/A</v>
      </c>
    </row>
    <row r="496" spans="4:14" ht="16.5" x14ac:dyDescent="0.25">
      <c r="D496" s="14">
        <v>456</v>
      </c>
      <c r="E496" s="14" t="str">
        <f t="shared" si="46"/>
        <v/>
      </c>
      <c r="F496" s="14" t="str">
        <f>IF(AND($B$8=1,$D496&lt;=$B$7),IF($B$5=1,Calculator!$C$9*POWER(1+Calculator!$C$14/100,$D496/12),Calculator!$C$9),"")</f>
        <v/>
      </c>
      <c r="G496" s="14">
        <f>G495*(1+$B$4)+Calculator!$C$25</f>
        <v>252379.13972081145</v>
      </c>
      <c r="H496" s="14">
        <f>IF($B$5=1,Calculator!$C$9*POWER(1+Calculator!$C$14/100,$D496/12),Calculator!$C$9)</f>
        <v>10000</v>
      </c>
      <c r="J496" s="14">
        <f t="shared" si="47"/>
        <v>1</v>
      </c>
      <c r="K496" s="14" t="e">
        <f t="shared" si="42"/>
        <v>#N/A</v>
      </c>
      <c r="L496" s="14" t="e">
        <f t="shared" si="43"/>
        <v>#N/A</v>
      </c>
      <c r="M496" s="14" t="e">
        <f t="shared" si="44"/>
        <v>#N/A</v>
      </c>
      <c r="N496" s="14" t="e">
        <f t="shared" si="45"/>
        <v>#N/A</v>
      </c>
    </row>
    <row r="497" spans="4:14" ht="16.5" x14ac:dyDescent="0.25">
      <c r="D497" s="14">
        <v>457</v>
      </c>
      <c r="E497" s="14" t="str">
        <f t="shared" si="46"/>
        <v/>
      </c>
      <c r="F497" s="14" t="str">
        <f>IF(AND($B$8=1,$D497&lt;=$B$7),IF($B$5=1,Calculator!$C$9*POWER(1+Calculator!$C$14/100,$D497/12),Calculator!$C$9),"")</f>
        <v/>
      </c>
      <c r="G497" s="14">
        <f>G496*(1+$B$4)+Calculator!$C$25</f>
        <v>253301.57476426489</v>
      </c>
      <c r="H497" s="14">
        <f>IF($B$5=1,Calculator!$C$9*POWER(1+Calculator!$C$14/100,$D497/12),Calculator!$C$9)</f>
        <v>10000</v>
      </c>
      <c r="J497" s="14">
        <f t="shared" si="47"/>
        <v>1</v>
      </c>
      <c r="K497" s="14" t="e">
        <f t="shared" si="42"/>
        <v>#N/A</v>
      </c>
      <c r="L497" s="14" t="e">
        <f t="shared" si="43"/>
        <v>#N/A</v>
      </c>
      <c r="M497" s="14" t="e">
        <f t="shared" si="44"/>
        <v>#N/A</v>
      </c>
      <c r="N497" s="14" t="e">
        <f t="shared" si="45"/>
        <v>#N/A</v>
      </c>
    </row>
    <row r="498" spans="4:14" ht="16.5" x14ac:dyDescent="0.25">
      <c r="D498" s="14">
        <v>458</v>
      </c>
      <c r="E498" s="14" t="str">
        <f t="shared" si="46"/>
        <v/>
      </c>
      <c r="F498" s="14" t="str">
        <f>IF(AND($B$8=1,$D498&lt;=$B$7),IF($B$5=1,Calculator!$C$9*POWER(1+Calculator!$C$14/100,$D498/12),Calculator!$C$9),"")</f>
        <v/>
      </c>
      <c r="G498" s="14">
        <f>G497*(1+$B$4)+Calculator!$C$25</f>
        <v>254226.28478138291</v>
      </c>
      <c r="H498" s="14">
        <f>IF($B$5=1,Calculator!$C$9*POWER(1+Calculator!$C$14/100,$D498/12),Calculator!$C$9)</f>
        <v>10000</v>
      </c>
      <c r="J498" s="14">
        <f t="shared" si="47"/>
        <v>1</v>
      </c>
      <c r="K498" s="14" t="e">
        <f t="shared" si="42"/>
        <v>#N/A</v>
      </c>
      <c r="L498" s="14" t="e">
        <f t="shared" si="43"/>
        <v>#N/A</v>
      </c>
      <c r="M498" s="14" t="e">
        <f t="shared" si="44"/>
        <v>#N/A</v>
      </c>
      <c r="N498" s="14" t="e">
        <f t="shared" si="45"/>
        <v>#N/A</v>
      </c>
    </row>
    <row r="499" spans="4:14" ht="16.5" x14ac:dyDescent="0.25">
      <c r="D499" s="14">
        <v>459</v>
      </c>
      <c r="E499" s="14" t="str">
        <f t="shared" si="46"/>
        <v/>
      </c>
      <c r="F499" s="14" t="str">
        <f>IF(AND($B$8=1,$D499&lt;=$B$7),IF($B$5=1,Calculator!$C$9*POWER(1+Calculator!$C$14/100,$D499/12),Calculator!$C$9),"")</f>
        <v/>
      </c>
      <c r="G499" s="14">
        <f>G498*(1+$B$4)+Calculator!$C$25</f>
        <v>255153.27538286432</v>
      </c>
      <c r="H499" s="14">
        <f>IF($B$5=1,Calculator!$C$9*POWER(1+Calculator!$C$14/100,$D499/12),Calculator!$C$9)</f>
        <v>10000</v>
      </c>
      <c r="J499" s="14">
        <f t="shared" si="47"/>
        <v>1</v>
      </c>
      <c r="K499" s="14" t="e">
        <f t="shared" si="42"/>
        <v>#N/A</v>
      </c>
      <c r="L499" s="14" t="e">
        <f t="shared" si="43"/>
        <v>#N/A</v>
      </c>
      <c r="M499" s="14" t="e">
        <f t="shared" si="44"/>
        <v>#N/A</v>
      </c>
      <c r="N499" s="14" t="e">
        <f t="shared" si="45"/>
        <v>#N/A</v>
      </c>
    </row>
    <row r="500" spans="4:14" ht="16.5" x14ac:dyDescent="0.25">
      <c r="D500" s="14">
        <v>460</v>
      </c>
      <c r="E500" s="14" t="str">
        <f t="shared" si="46"/>
        <v/>
      </c>
      <c r="F500" s="14" t="str">
        <f>IF(AND($B$8=1,$D500&lt;=$B$7),IF($B$5=1,Calculator!$C$9*POWER(1+Calculator!$C$14/100,$D500/12),Calculator!$C$9),"")</f>
        <v/>
      </c>
      <c r="G500" s="14">
        <f>G499*(1+$B$4)+Calculator!$C$25</f>
        <v>256082.55219324536</v>
      </c>
      <c r="H500" s="14">
        <f>IF($B$5=1,Calculator!$C$9*POWER(1+Calculator!$C$14/100,$D500/12),Calculator!$C$9)</f>
        <v>10000</v>
      </c>
      <c r="J500" s="14">
        <f t="shared" si="47"/>
        <v>1</v>
      </c>
      <c r="K500" s="14" t="e">
        <f t="shared" si="42"/>
        <v>#N/A</v>
      </c>
      <c r="L500" s="14" t="e">
        <f t="shared" si="43"/>
        <v>#N/A</v>
      </c>
      <c r="M500" s="14" t="e">
        <f t="shared" si="44"/>
        <v>#N/A</v>
      </c>
      <c r="N500" s="14" t="e">
        <f t="shared" si="45"/>
        <v>#N/A</v>
      </c>
    </row>
    <row r="501" spans="4:14" ht="16.5" x14ac:dyDescent="0.25">
      <c r="D501" s="14">
        <v>461</v>
      </c>
      <c r="E501" s="14" t="str">
        <f t="shared" si="46"/>
        <v/>
      </c>
      <c r="F501" s="14" t="str">
        <f>IF(AND($B$8=1,$D501&lt;=$B$7),IF($B$5=1,Calculator!$C$9*POWER(1+Calculator!$C$14/100,$D501/12),Calculator!$C$9),"")</f>
        <v/>
      </c>
      <c r="G501" s="14">
        <f>G500*(1+$B$4)+Calculator!$C$25</f>
        <v>257014.12085093395</v>
      </c>
      <c r="H501" s="14">
        <f>IF($B$5=1,Calculator!$C$9*POWER(1+Calculator!$C$14/100,$D501/12),Calculator!$C$9)</f>
        <v>10000</v>
      </c>
      <c r="J501" s="14">
        <f t="shared" si="47"/>
        <v>1</v>
      </c>
      <c r="K501" s="14" t="e">
        <f t="shared" si="42"/>
        <v>#N/A</v>
      </c>
      <c r="L501" s="14" t="e">
        <f t="shared" si="43"/>
        <v>#N/A</v>
      </c>
      <c r="M501" s="14" t="e">
        <f t="shared" si="44"/>
        <v>#N/A</v>
      </c>
      <c r="N501" s="14" t="e">
        <f t="shared" si="45"/>
        <v>#N/A</v>
      </c>
    </row>
    <row r="502" spans="4:14" ht="16.5" x14ac:dyDescent="0.25">
      <c r="D502" s="14">
        <v>462</v>
      </c>
      <c r="E502" s="14" t="str">
        <f t="shared" si="46"/>
        <v/>
      </c>
      <c r="F502" s="14" t="str">
        <f>IF(AND($B$8=1,$D502&lt;=$B$7),IF($B$5=1,Calculator!$C$9*POWER(1+Calculator!$C$14/100,$D502/12),Calculator!$C$9),"")</f>
        <v/>
      </c>
      <c r="G502" s="14">
        <f>G501*(1+$B$4)+Calculator!$C$25</f>
        <v>257947.9870082438</v>
      </c>
      <c r="H502" s="14">
        <f>IF($B$5=1,Calculator!$C$9*POWER(1+Calculator!$C$14/100,$D502/12),Calculator!$C$9)</f>
        <v>10000</v>
      </c>
      <c r="J502" s="14">
        <f t="shared" si="47"/>
        <v>1</v>
      </c>
      <c r="K502" s="14" t="e">
        <f t="shared" si="42"/>
        <v>#N/A</v>
      </c>
      <c r="L502" s="14" t="e">
        <f t="shared" si="43"/>
        <v>#N/A</v>
      </c>
      <c r="M502" s="14" t="e">
        <f t="shared" si="44"/>
        <v>#N/A</v>
      </c>
      <c r="N502" s="14" t="e">
        <f t="shared" si="45"/>
        <v>#N/A</v>
      </c>
    </row>
    <row r="503" spans="4:14" ht="16.5" x14ac:dyDescent="0.25">
      <c r="D503" s="14">
        <v>463</v>
      </c>
      <c r="E503" s="14" t="str">
        <f t="shared" si="46"/>
        <v/>
      </c>
      <c r="F503" s="14" t="str">
        <f>IF(AND($B$8=1,$D503&lt;=$B$7),IF($B$5=1,Calculator!$C$9*POWER(1+Calculator!$C$14/100,$D503/12),Calculator!$C$9),"")</f>
        <v/>
      </c>
      <c r="G503" s="14">
        <f>G502*(1+$B$4)+Calculator!$C$25</f>
        <v>258884.15633142882</v>
      </c>
      <c r="H503" s="14">
        <f>IF($B$5=1,Calculator!$C$9*POWER(1+Calculator!$C$14/100,$D503/12),Calculator!$C$9)</f>
        <v>10000</v>
      </c>
      <c r="J503" s="14">
        <f t="shared" si="47"/>
        <v>1</v>
      </c>
      <c r="K503" s="14" t="e">
        <f t="shared" si="42"/>
        <v>#N/A</v>
      </c>
      <c r="L503" s="14" t="e">
        <f t="shared" si="43"/>
        <v>#N/A</v>
      </c>
      <c r="M503" s="14" t="e">
        <f t="shared" si="44"/>
        <v>#N/A</v>
      </c>
      <c r="N503" s="14" t="e">
        <f t="shared" si="45"/>
        <v>#N/A</v>
      </c>
    </row>
    <row r="504" spans="4:14" ht="16.5" x14ac:dyDescent="0.25">
      <c r="D504" s="14">
        <v>464</v>
      </c>
      <c r="E504" s="14" t="str">
        <f t="shared" si="46"/>
        <v/>
      </c>
      <c r="F504" s="14" t="str">
        <f>IF(AND($B$8=1,$D504&lt;=$B$7),IF($B$5=1,Calculator!$C$9*POWER(1+Calculator!$C$14/100,$D504/12),Calculator!$C$9),"")</f>
        <v/>
      </c>
      <c r="G504" s="14">
        <f>G503*(1+$B$4)+Calculator!$C$25</f>
        <v>259822.63450071737</v>
      </c>
      <c r="H504" s="14">
        <f>IF($B$5=1,Calculator!$C$9*POWER(1+Calculator!$C$14/100,$D504/12),Calculator!$C$9)</f>
        <v>10000</v>
      </c>
      <c r="J504" s="14">
        <f t="shared" si="47"/>
        <v>1</v>
      </c>
      <c r="K504" s="14" t="e">
        <f t="shared" si="42"/>
        <v>#N/A</v>
      </c>
      <c r="L504" s="14" t="e">
        <f t="shared" si="43"/>
        <v>#N/A</v>
      </c>
      <c r="M504" s="14" t="e">
        <f t="shared" si="44"/>
        <v>#N/A</v>
      </c>
      <c r="N504" s="14" t="e">
        <f t="shared" si="45"/>
        <v>#N/A</v>
      </c>
    </row>
    <row r="505" spans="4:14" ht="16.5" x14ac:dyDescent="0.25">
      <c r="D505" s="14">
        <v>465</v>
      </c>
      <c r="E505" s="14" t="str">
        <f t="shared" si="46"/>
        <v/>
      </c>
      <c r="F505" s="14" t="str">
        <f>IF(AND($B$8=1,$D505&lt;=$B$7),IF($B$5=1,Calculator!$C$9*POWER(1+Calculator!$C$14/100,$D505/12),Calculator!$C$9),"")</f>
        <v/>
      </c>
      <c r="G505" s="14">
        <f>G504*(1+$B$4)+Calculator!$C$25</f>
        <v>260763.4272103468</v>
      </c>
      <c r="H505" s="14">
        <f>IF($B$5=1,Calculator!$C$9*POWER(1+Calculator!$C$14/100,$D505/12),Calculator!$C$9)</f>
        <v>10000</v>
      </c>
      <c r="J505" s="14">
        <f t="shared" si="47"/>
        <v>1</v>
      </c>
      <c r="K505" s="14" t="e">
        <f t="shared" si="42"/>
        <v>#N/A</v>
      </c>
      <c r="L505" s="14" t="e">
        <f t="shared" si="43"/>
        <v>#N/A</v>
      </c>
      <c r="M505" s="14" t="e">
        <f t="shared" si="44"/>
        <v>#N/A</v>
      </c>
      <c r="N505" s="14" t="e">
        <f t="shared" si="45"/>
        <v>#N/A</v>
      </c>
    </row>
    <row r="506" spans="4:14" ht="16.5" x14ac:dyDescent="0.25">
      <c r="D506" s="14">
        <v>466</v>
      </c>
      <c r="E506" s="14" t="str">
        <f t="shared" si="46"/>
        <v/>
      </c>
      <c r="F506" s="14" t="str">
        <f>IF(AND($B$8=1,$D506&lt;=$B$7),IF($B$5=1,Calculator!$C$9*POWER(1+Calculator!$C$14/100,$D506/12),Calculator!$C$9),"")</f>
        <v/>
      </c>
      <c r="G506" s="14">
        <f>G505*(1+$B$4)+Calculator!$C$25</f>
        <v>261706.54016859797</v>
      </c>
      <c r="H506" s="14">
        <f>IF($B$5=1,Calculator!$C$9*POWER(1+Calculator!$C$14/100,$D506/12),Calculator!$C$9)</f>
        <v>10000</v>
      </c>
      <c r="J506" s="14">
        <f t="shared" si="47"/>
        <v>1</v>
      </c>
      <c r="K506" s="14" t="e">
        <f t="shared" si="42"/>
        <v>#N/A</v>
      </c>
      <c r="L506" s="14" t="e">
        <f t="shared" si="43"/>
        <v>#N/A</v>
      </c>
      <c r="M506" s="14" t="e">
        <f t="shared" si="44"/>
        <v>#N/A</v>
      </c>
      <c r="N506" s="14" t="e">
        <f t="shared" si="45"/>
        <v>#N/A</v>
      </c>
    </row>
    <row r="507" spans="4:14" ht="16.5" x14ac:dyDescent="0.25">
      <c r="D507" s="14">
        <v>467</v>
      </c>
      <c r="E507" s="14" t="str">
        <f t="shared" si="46"/>
        <v/>
      </c>
      <c r="F507" s="14" t="str">
        <f>IF(AND($B$8=1,$D507&lt;=$B$7),IF($B$5=1,Calculator!$C$9*POWER(1+Calculator!$C$14/100,$D507/12),Calculator!$C$9),"")</f>
        <v/>
      </c>
      <c r="G507" s="14">
        <f>G506*(1+$B$4)+Calculator!$C$25</f>
        <v>262651.97909782996</v>
      </c>
      <c r="H507" s="14">
        <f>IF($B$5=1,Calculator!$C$9*POWER(1+Calculator!$C$14/100,$D507/12),Calculator!$C$9)</f>
        <v>10000</v>
      </c>
      <c r="J507" s="14">
        <f t="shared" si="47"/>
        <v>1</v>
      </c>
      <c r="K507" s="14" t="e">
        <f t="shared" si="42"/>
        <v>#N/A</v>
      </c>
      <c r="L507" s="14" t="e">
        <f t="shared" si="43"/>
        <v>#N/A</v>
      </c>
      <c r="M507" s="14" t="e">
        <f t="shared" si="44"/>
        <v>#N/A</v>
      </c>
      <c r="N507" s="14" t="e">
        <f t="shared" si="45"/>
        <v>#N/A</v>
      </c>
    </row>
    <row r="508" spans="4:14" ht="16.5" x14ac:dyDescent="0.25">
      <c r="D508" s="14">
        <v>468</v>
      </c>
      <c r="E508" s="14" t="str">
        <f t="shared" si="46"/>
        <v/>
      </c>
      <c r="F508" s="14" t="str">
        <f>IF(AND($B$8=1,$D508&lt;=$B$7),IF($B$5=1,Calculator!$C$9*POWER(1+Calculator!$C$14/100,$D508/12),Calculator!$C$9),"")</f>
        <v/>
      </c>
      <c r="G508" s="14">
        <f>G507*(1+$B$4)+Calculator!$C$25</f>
        <v>263599.74973451468</v>
      </c>
      <c r="H508" s="14">
        <f>IF($B$5=1,Calculator!$C$9*POWER(1+Calculator!$C$14/100,$D508/12),Calculator!$C$9)</f>
        <v>10000</v>
      </c>
      <c r="J508" s="14">
        <f t="shared" si="47"/>
        <v>1</v>
      </c>
      <c r="K508" s="14" t="e">
        <f t="shared" si="42"/>
        <v>#N/A</v>
      </c>
      <c r="L508" s="14" t="e">
        <f t="shared" si="43"/>
        <v>#N/A</v>
      </c>
      <c r="M508" s="14" t="e">
        <f t="shared" si="44"/>
        <v>#N/A</v>
      </c>
      <c r="N508" s="14" t="e">
        <f t="shared" si="45"/>
        <v>#N/A</v>
      </c>
    </row>
    <row r="509" spans="4:14" ht="16.5" x14ac:dyDescent="0.25">
      <c r="D509" s="14">
        <v>469</v>
      </c>
      <c r="E509" s="14" t="str">
        <f t="shared" si="46"/>
        <v/>
      </c>
      <c r="F509" s="14" t="str">
        <f>IF(AND($B$8=1,$D509&lt;=$B$7),IF($B$5=1,Calculator!$C$9*POWER(1+Calculator!$C$14/100,$D509/12),Calculator!$C$9),"")</f>
        <v/>
      </c>
      <c r="G509" s="14">
        <f>G508*(1+$B$4)+Calculator!$C$25</f>
        <v>264549.85782927176</v>
      </c>
      <c r="H509" s="14">
        <f>IF($B$5=1,Calculator!$C$9*POWER(1+Calculator!$C$14/100,$D509/12),Calculator!$C$9)</f>
        <v>10000</v>
      </c>
      <c r="J509" s="14">
        <f t="shared" si="47"/>
        <v>1</v>
      </c>
      <c r="K509" s="14" t="e">
        <f t="shared" si="42"/>
        <v>#N/A</v>
      </c>
      <c r="L509" s="14" t="e">
        <f t="shared" si="43"/>
        <v>#N/A</v>
      </c>
      <c r="M509" s="14" t="e">
        <f t="shared" si="44"/>
        <v>#N/A</v>
      </c>
      <c r="N509" s="14" t="e">
        <f t="shared" si="45"/>
        <v>#N/A</v>
      </c>
    </row>
    <row r="510" spans="4:14" ht="16.5" x14ac:dyDescent="0.25">
      <c r="D510" s="14">
        <v>470</v>
      </c>
      <c r="E510" s="14" t="str">
        <f t="shared" si="46"/>
        <v/>
      </c>
      <c r="F510" s="14" t="str">
        <f>IF(AND($B$8=1,$D510&lt;=$B$7),IF($B$5=1,Calculator!$C$9*POWER(1+Calculator!$C$14/100,$D510/12),Calculator!$C$9),"")</f>
        <v/>
      </c>
      <c r="G510" s="14">
        <f>G509*(1+$B$4)+Calculator!$C$25</f>
        <v>265502.30914690334</v>
      </c>
      <c r="H510" s="14">
        <f>IF($B$5=1,Calculator!$C$9*POWER(1+Calculator!$C$14/100,$D510/12),Calculator!$C$9)</f>
        <v>10000</v>
      </c>
      <c r="J510" s="14">
        <f t="shared" si="47"/>
        <v>1</v>
      </c>
      <c r="K510" s="14" t="e">
        <f t="shared" si="42"/>
        <v>#N/A</v>
      </c>
      <c r="L510" s="14" t="e">
        <f t="shared" si="43"/>
        <v>#N/A</v>
      </c>
      <c r="M510" s="14" t="e">
        <f t="shared" si="44"/>
        <v>#N/A</v>
      </c>
      <c r="N510" s="14" t="e">
        <f t="shared" si="45"/>
        <v>#N/A</v>
      </c>
    </row>
    <row r="511" spans="4:14" ht="16.5" x14ac:dyDescent="0.25">
      <c r="D511" s="14">
        <v>471</v>
      </c>
      <c r="E511" s="14" t="str">
        <f t="shared" si="46"/>
        <v/>
      </c>
      <c r="F511" s="14" t="str">
        <f>IF(AND($B$8=1,$D511&lt;=$B$7),IF($B$5=1,Calculator!$C$9*POWER(1+Calculator!$C$14/100,$D511/12),Calculator!$C$9),"")</f>
        <v/>
      </c>
      <c r="G511" s="14">
        <f>G510*(1+$B$4)+Calculator!$C$25</f>
        <v>266457.10946642916</v>
      </c>
      <c r="H511" s="14">
        <f>IF($B$5=1,Calculator!$C$9*POWER(1+Calculator!$C$14/100,$D511/12),Calculator!$C$9)</f>
        <v>10000</v>
      </c>
      <c r="J511" s="14">
        <f t="shared" si="47"/>
        <v>1</v>
      </c>
      <c r="K511" s="14" t="e">
        <f t="shared" si="42"/>
        <v>#N/A</v>
      </c>
      <c r="L511" s="14" t="e">
        <f t="shared" si="43"/>
        <v>#N/A</v>
      </c>
      <c r="M511" s="14" t="e">
        <f t="shared" si="44"/>
        <v>#N/A</v>
      </c>
      <c r="N511" s="14" t="e">
        <f t="shared" si="45"/>
        <v>#N/A</v>
      </c>
    </row>
    <row r="512" spans="4:14" ht="16.5" x14ac:dyDescent="0.25">
      <c r="D512" s="14">
        <v>472</v>
      </c>
      <c r="E512" s="14" t="str">
        <f t="shared" si="46"/>
        <v/>
      </c>
      <c r="F512" s="14" t="str">
        <f>IF(AND($B$8=1,$D512&lt;=$B$7),IF($B$5=1,Calculator!$C$9*POWER(1+Calculator!$C$14/100,$D512/12),Calculator!$C$9),"")</f>
        <v/>
      </c>
      <c r="G512" s="14">
        <f>G511*(1+$B$4)+Calculator!$C$25</f>
        <v>267414.26458112162</v>
      </c>
      <c r="H512" s="14">
        <f>IF($B$5=1,Calculator!$C$9*POWER(1+Calculator!$C$14/100,$D512/12),Calculator!$C$9)</f>
        <v>10000</v>
      </c>
      <c r="J512" s="14">
        <f t="shared" si="47"/>
        <v>1</v>
      </c>
      <c r="K512" s="14" t="e">
        <f t="shared" si="42"/>
        <v>#N/A</v>
      </c>
      <c r="L512" s="14" t="e">
        <f t="shared" si="43"/>
        <v>#N/A</v>
      </c>
      <c r="M512" s="14" t="e">
        <f t="shared" si="44"/>
        <v>#N/A</v>
      </c>
      <c r="N512" s="14" t="e">
        <f t="shared" si="45"/>
        <v>#N/A</v>
      </c>
    </row>
    <row r="513" spans="4:14" ht="16.5" x14ac:dyDescent="0.25">
      <c r="D513" s="14">
        <v>473</v>
      </c>
      <c r="E513" s="14" t="str">
        <f t="shared" si="46"/>
        <v/>
      </c>
      <c r="F513" s="14" t="str">
        <f>IF(AND($B$8=1,$D513&lt;=$B$7),IF($B$5=1,Calculator!$C$9*POWER(1+Calculator!$C$14/100,$D513/12),Calculator!$C$9),"")</f>
        <v/>
      </c>
      <c r="G513" s="14">
        <f>G512*(1+$B$4)+Calculator!$C$25</f>
        <v>268373.78029854083</v>
      </c>
      <c r="H513" s="14">
        <f>IF($B$5=1,Calculator!$C$9*POWER(1+Calculator!$C$14/100,$D513/12),Calculator!$C$9)</f>
        <v>10000</v>
      </c>
      <c r="J513" s="14">
        <f t="shared" si="47"/>
        <v>1</v>
      </c>
      <c r="K513" s="14" t="e">
        <f t="shared" si="42"/>
        <v>#N/A</v>
      </c>
      <c r="L513" s="14" t="e">
        <f t="shared" si="43"/>
        <v>#N/A</v>
      </c>
      <c r="M513" s="14" t="e">
        <f t="shared" si="44"/>
        <v>#N/A</v>
      </c>
      <c r="N513" s="14" t="e">
        <f t="shared" si="45"/>
        <v>#N/A</v>
      </c>
    </row>
    <row r="514" spans="4:14" ht="16.5" x14ac:dyDescent="0.25">
      <c r="D514" s="14">
        <v>474</v>
      </c>
      <c r="E514" s="14" t="str">
        <f t="shared" si="46"/>
        <v/>
      </c>
      <c r="F514" s="14" t="str">
        <f>IF(AND($B$8=1,$D514&lt;=$B$7),IF($B$5=1,Calculator!$C$9*POWER(1+Calculator!$C$14/100,$D514/12),Calculator!$C$9),"")</f>
        <v/>
      </c>
      <c r="G514" s="14">
        <f>G513*(1+$B$4)+Calculator!$C$25</f>
        <v>269335.66244057001</v>
      </c>
      <c r="H514" s="14">
        <f>IF($B$5=1,Calculator!$C$9*POWER(1+Calculator!$C$14/100,$D514/12),Calculator!$C$9)</f>
        <v>10000</v>
      </c>
      <c r="J514" s="14">
        <f t="shared" si="47"/>
        <v>1</v>
      </c>
      <c r="K514" s="14" t="e">
        <f t="shared" si="42"/>
        <v>#N/A</v>
      </c>
      <c r="L514" s="14" t="e">
        <f t="shared" si="43"/>
        <v>#N/A</v>
      </c>
      <c r="M514" s="14" t="e">
        <f t="shared" si="44"/>
        <v>#N/A</v>
      </c>
      <c r="N514" s="14" t="e">
        <f t="shared" si="45"/>
        <v>#N/A</v>
      </c>
    </row>
    <row r="515" spans="4:14" ht="16.5" x14ac:dyDescent="0.25">
      <c r="D515" s="14">
        <v>475</v>
      </c>
      <c r="E515" s="14" t="str">
        <f t="shared" si="46"/>
        <v/>
      </c>
      <c r="F515" s="14" t="str">
        <f>IF(AND($B$8=1,$D515&lt;=$B$7),IF($B$5=1,Calculator!$C$9*POWER(1+Calculator!$C$14/100,$D515/12),Calculator!$C$9),"")</f>
        <v/>
      </c>
      <c r="G515" s="14">
        <f>G514*(1+$B$4)+Calculator!$C$25</f>
        <v>270299.91684345057</v>
      </c>
      <c r="H515" s="14">
        <f>IF($B$5=1,Calculator!$C$9*POWER(1+Calculator!$C$14/100,$D515/12),Calculator!$C$9)</f>
        <v>10000</v>
      </c>
      <c r="J515" s="14">
        <f t="shared" si="47"/>
        <v>1</v>
      </c>
      <c r="K515" s="14" t="e">
        <f t="shared" si="42"/>
        <v>#N/A</v>
      </c>
      <c r="L515" s="14" t="e">
        <f t="shared" si="43"/>
        <v>#N/A</v>
      </c>
      <c r="M515" s="14" t="e">
        <f t="shared" si="44"/>
        <v>#N/A</v>
      </c>
      <c r="N515" s="14" t="e">
        <f t="shared" si="45"/>
        <v>#N/A</v>
      </c>
    </row>
    <row r="516" spans="4:14" ht="16.5" x14ac:dyDescent="0.25">
      <c r="D516" s="14">
        <v>476</v>
      </c>
      <c r="E516" s="14" t="str">
        <f t="shared" si="46"/>
        <v/>
      </c>
      <c r="F516" s="14" t="str">
        <f>IF(AND($B$8=1,$D516&lt;=$B$7),IF($B$5=1,Calculator!$C$9*POWER(1+Calculator!$C$14/100,$D516/12),Calculator!$C$9),"")</f>
        <v/>
      </c>
      <c r="G516" s="14">
        <f>G515*(1+$B$4)+Calculator!$C$25</f>
        <v>271266.5493578178</v>
      </c>
      <c r="H516" s="14">
        <f>IF($B$5=1,Calculator!$C$9*POWER(1+Calculator!$C$14/100,$D516/12),Calculator!$C$9)</f>
        <v>10000</v>
      </c>
      <c r="J516" s="14">
        <f t="shared" si="47"/>
        <v>1</v>
      </c>
      <c r="K516" s="14" t="e">
        <f t="shared" si="42"/>
        <v>#N/A</v>
      </c>
      <c r="L516" s="14" t="e">
        <f t="shared" si="43"/>
        <v>#N/A</v>
      </c>
      <c r="M516" s="14" t="e">
        <f t="shared" si="44"/>
        <v>#N/A</v>
      </c>
      <c r="N516" s="14" t="e">
        <f t="shared" si="45"/>
        <v>#N/A</v>
      </c>
    </row>
    <row r="517" spans="4:14" ht="16.5" x14ac:dyDescent="0.25">
      <c r="D517" s="14">
        <v>477</v>
      </c>
      <c r="E517" s="14" t="str">
        <f t="shared" si="46"/>
        <v/>
      </c>
      <c r="F517" s="14" t="str">
        <f>IF(AND($B$8=1,$D517&lt;=$B$7),IF($B$5=1,Calculator!$C$9*POWER(1+Calculator!$C$14/100,$D517/12),Calculator!$C$9),"")</f>
        <v/>
      </c>
      <c r="G517" s="14">
        <f>G516*(1+$B$4)+Calculator!$C$25</f>
        <v>272235.56584873609</v>
      </c>
      <c r="H517" s="14">
        <f>IF($B$5=1,Calculator!$C$9*POWER(1+Calculator!$C$14/100,$D517/12),Calculator!$C$9)</f>
        <v>10000</v>
      </c>
      <c r="J517" s="14">
        <f t="shared" si="47"/>
        <v>1</v>
      </c>
      <c r="K517" s="14" t="e">
        <f t="shared" si="42"/>
        <v>#N/A</v>
      </c>
      <c r="L517" s="14" t="e">
        <f t="shared" si="43"/>
        <v>#N/A</v>
      </c>
      <c r="M517" s="14" t="e">
        <f t="shared" si="44"/>
        <v>#N/A</v>
      </c>
      <c r="N517" s="14" t="e">
        <f t="shared" si="45"/>
        <v>#N/A</v>
      </c>
    </row>
    <row r="518" spans="4:14" ht="16.5" x14ac:dyDescent="0.25">
      <c r="D518" s="14">
        <v>478</v>
      </c>
      <c r="E518" s="14" t="str">
        <f t="shared" si="46"/>
        <v/>
      </c>
      <c r="F518" s="14" t="str">
        <f>IF(AND($B$8=1,$D518&lt;=$B$7),IF($B$5=1,Calculator!$C$9*POWER(1+Calculator!$C$14/100,$D518/12),Calculator!$C$9),"")</f>
        <v/>
      </c>
      <c r="G518" s="14">
        <f>G517*(1+$B$4)+Calculator!$C$25</f>
        <v>273206.97219573479</v>
      </c>
      <c r="H518" s="14">
        <f>IF($B$5=1,Calculator!$C$9*POWER(1+Calculator!$C$14/100,$D518/12),Calculator!$C$9)</f>
        <v>10000</v>
      </c>
      <c r="J518" s="14">
        <f t="shared" si="47"/>
        <v>1</v>
      </c>
      <c r="K518" s="14" t="e">
        <f t="shared" si="42"/>
        <v>#N/A</v>
      </c>
      <c r="L518" s="14" t="e">
        <f t="shared" si="43"/>
        <v>#N/A</v>
      </c>
      <c r="M518" s="14" t="e">
        <f t="shared" si="44"/>
        <v>#N/A</v>
      </c>
      <c r="N518" s="14" t="e">
        <f t="shared" si="45"/>
        <v>#N/A</v>
      </c>
    </row>
    <row r="519" spans="4:14" ht="16.5" x14ac:dyDescent="0.25">
      <c r="D519" s="14">
        <v>479</v>
      </c>
      <c r="E519" s="14" t="str">
        <f t="shared" si="46"/>
        <v/>
      </c>
      <c r="F519" s="14" t="str">
        <f>IF(AND($B$8=1,$D519&lt;=$B$7),IF($B$5=1,Calculator!$C$9*POWER(1+Calculator!$C$14/100,$D519/12),Calculator!$C$9),"")</f>
        <v/>
      </c>
      <c r="G519" s="14">
        <f>G518*(1+$B$4)+Calculator!$C$25</f>
        <v>274180.77429284377</v>
      </c>
      <c r="H519" s="14">
        <f>IF($B$5=1,Calculator!$C$9*POWER(1+Calculator!$C$14/100,$D519/12),Calculator!$C$9)</f>
        <v>10000</v>
      </c>
      <c r="J519" s="14">
        <f t="shared" si="47"/>
        <v>1</v>
      </c>
      <c r="K519" s="14" t="e">
        <f t="shared" si="42"/>
        <v>#N/A</v>
      </c>
      <c r="L519" s="14" t="e">
        <f t="shared" si="43"/>
        <v>#N/A</v>
      </c>
      <c r="M519" s="14" t="e">
        <f t="shared" si="44"/>
        <v>#N/A</v>
      </c>
      <c r="N519" s="14" t="e">
        <f t="shared" si="45"/>
        <v>#N/A</v>
      </c>
    </row>
    <row r="520" spans="4:14" ht="16.5" x14ac:dyDescent="0.25">
      <c r="D520" s="14">
        <v>480</v>
      </c>
      <c r="E520" s="14" t="str">
        <f t="shared" si="46"/>
        <v/>
      </c>
      <c r="F520" s="14" t="str">
        <f>IF(AND($B$8=1,$D520&lt;=$B$7),IF($B$5=1,Calculator!$C$9*POWER(1+Calculator!$C$14/100,$D520/12),Calculator!$C$9),"")</f>
        <v/>
      </c>
      <c r="G520" s="14">
        <f>G519*(1+$B$4)+Calculator!$C$25</f>
        <v>275156.97804862901</v>
      </c>
      <c r="H520" s="14">
        <f>IF($B$5=1,Calculator!$C$9*POWER(1+Calculator!$C$14/100,$D520/12),Calculator!$C$9)</f>
        <v>10000</v>
      </c>
      <c r="J520" s="14">
        <f t="shared" si="47"/>
        <v>1</v>
      </c>
      <c r="K520" s="14" t="e">
        <f t="shared" si="42"/>
        <v>#N/A</v>
      </c>
      <c r="L520" s="14" t="e">
        <f t="shared" si="43"/>
        <v>#N/A</v>
      </c>
      <c r="M520" s="14" t="e">
        <f t="shared" si="44"/>
        <v>#N/A</v>
      </c>
      <c r="N520" s="14" t="e">
        <f t="shared" si="45"/>
        <v>#N/A</v>
      </c>
    </row>
    <row r="521" spans="4:14" ht="16.5" x14ac:dyDescent="0.25">
      <c r="D521" s="14">
        <v>481</v>
      </c>
      <c r="E521" s="14" t="str">
        <f t="shared" si="46"/>
        <v/>
      </c>
      <c r="F521" s="14" t="str">
        <f>IF(AND($B$8=1,$D521&lt;=$B$7),IF($B$5=1,Calculator!$C$9*POWER(1+Calculator!$C$14/100,$D521/12),Calculator!$C$9),"")</f>
        <v/>
      </c>
      <c r="G521" s="14">
        <f>G520*(1+$B$4)+Calculator!$C$25</f>
        <v>276135.58938622876</v>
      </c>
      <c r="H521" s="14">
        <f>IF($B$5=1,Calculator!$C$9*POWER(1+Calculator!$C$14/100,$D521/12),Calculator!$C$9)</f>
        <v>10000</v>
      </c>
      <c r="J521" s="14">
        <f t="shared" si="47"/>
        <v>1</v>
      </c>
      <c r="K521" s="14" t="e">
        <f t="shared" si="42"/>
        <v>#N/A</v>
      </c>
      <c r="L521" s="14" t="e">
        <f t="shared" si="43"/>
        <v>#N/A</v>
      </c>
      <c r="M521" s="14" t="e">
        <f t="shared" si="44"/>
        <v>#N/A</v>
      </c>
      <c r="N521" s="14" t="e">
        <f t="shared" si="45"/>
        <v>#N/A</v>
      </c>
    </row>
    <row r="522" spans="4:14" ht="16.5" x14ac:dyDescent="0.25">
      <c r="D522" s="14">
        <v>482</v>
      </c>
      <c r="E522" s="14" t="str">
        <f t="shared" si="46"/>
        <v/>
      </c>
      <c r="F522" s="14" t="str">
        <f>IF(AND($B$8=1,$D522&lt;=$B$7),IF($B$5=1,Calculator!$C$9*POWER(1+Calculator!$C$14/100,$D522/12),Calculator!$C$9),"")</f>
        <v/>
      </c>
      <c r="G522" s="14">
        <f>G521*(1+$B$4)+Calculator!$C$25</f>
        <v>277116.61424338928</v>
      </c>
      <c r="H522" s="14">
        <f>IF($B$5=1,Calculator!$C$9*POWER(1+Calculator!$C$14/100,$D522/12),Calculator!$C$9)</f>
        <v>10000</v>
      </c>
      <c r="J522" s="14">
        <f t="shared" si="47"/>
        <v>1</v>
      </c>
      <c r="K522" s="14" t="e">
        <f t="shared" si="42"/>
        <v>#N/A</v>
      </c>
      <c r="L522" s="14" t="e">
        <f t="shared" si="43"/>
        <v>#N/A</v>
      </c>
      <c r="M522" s="14" t="e">
        <f t="shared" si="44"/>
        <v>#N/A</v>
      </c>
      <c r="N522" s="14" t="e">
        <f t="shared" si="45"/>
        <v>#N/A</v>
      </c>
    </row>
    <row r="523" spans="4:14" ht="16.5" x14ac:dyDescent="0.25">
      <c r="D523" s="14">
        <v>483</v>
      </c>
      <c r="E523" s="14" t="str">
        <f t="shared" si="46"/>
        <v/>
      </c>
      <c r="F523" s="14" t="str">
        <f>IF(AND($B$8=1,$D523&lt;=$B$7),IF($B$5=1,Calculator!$C$9*POWER(1+Calculator!$C$14/100,$D523/12),Calculator!$C$9),"")</f>
        <v/>
      </c>
      <c r="G523" s="14">
        <f>G522*(1+$B$4)+Calculator!$C$25</f>
        <v>278100.05857250089</v>
      </c>
      <c r="H523" s="14">
        <f>IF($B$5=1,Calculator!$C$9*POWER(1+Calculator!$C$14/100,$D523/12),Calculator!$C$9)</f>
        <v>10000</v>
      </c>
      <c r="J523" s="14">
        <f t="shared" si="47"/>
        <v>1</v>
      </c>
      <c r="K523" s="14" t="e">
        <f t="shared" si="42"/>
        <v>#N/A</v>
      </c>
      <c r="L523" s="14" t="e">
        <f t="shared" si="43"/>
        <v>#N/A</v>
      </c>
      <c r="M523" s="14" t="e">
        <f t="shared" si="44"/>
        <v>#N/A</v>
      </c>
      <c r="N523" s="14" t="e">
        <f t="shared" si="45"/>
        <v>#N/A</v>
      </c>
    </row>
    <row r="524" spans="4:14" ht="16.5" x14ac:dyDescent="0.25">
      <c r="D524" s="14">
        <v>484</v>
      </c>
      <c r="E524" s="14" t="str">
        <f t="shared" si="46"/>
        <v/>
      </c>
      <c r="F524" s="14" t="str">
        <f>IF(AND($B$8=1,$D524&lt;=$B$7),IF($B$5=1,Calculator!$C$9*POWER(1+Calculator!$C$14/100,$D524/12),Calculator!$C$9),"")</f>
        <v/>
      </c>
      <c r="G524" s="14">
        <f>G523*(1+$B$4)+Calculator!$C$25</f>
        <v>279085.92834063416</v>
      </c>
      <c r="H524" s="14">
        <f>IF($B$5=1,Calculator!$C$9*POWER(1+Calculator!$C$14/100,$D524/12),Calculator!$C$9)</f>
        <v>10000</v>
      </c>
      <c r="J524" s="14">
        <f t="shared" si="47"/>
        <v>1</v>
      </c>
      <c r="K524" s="14" t="e">
        <f t="shared" si="42"/>
        <v>#N/A</v>
      </c>
      <c r="L524" s="14" t="e">
        <f t="shared" si="43"/>
        <v>#N/A</v>
      </c>
      <c r="M524" s="14" t="e">
        <f t="shared" si="44"/>
        <v>#N/A</v>
      </c>
      <c r="N524" s="14" t="e">
        <f t="shared" si="45"/>
        <v>#N/A</v>
      </c>
    </row>
    <row r="525" spans="4:14" ht="16.5" x14ac:dyDescent="0.25">
      <c r="D525" s="14">
        <v>485</v>
      </c>
      <c r="E525" s="14" t="str">
        <f t="shared" si="46"/>
        <v/>
      </c>
      <c r="F525" s="14" t="str">
        <f>IF(AND($B$8=1,$D525&lt;=$B$7),IF($B$5=1,Calculator!$C$9*POWER(1+Calculator!$C$14/100,$D525/12),Calculator!$C$9),"")</f>
        <v/>
      </c>
      <c r="G525" s="14">
        <f>G524*(1+$B$4)+Calculator!$C$25</f>
        <v>280074.22952957597</v>
      </c>
      <c r="H525" s="14">
        <f>IF($B$5=1,Calculator!$C$9*POWER(1+Calculator!$C$14/100,$D525/12),Calculator!$C$9)</f>
        <v>10000</v>
      </c>
      <c r="J525" s="14">
        <f t="shared" si="47"/>
        <v>1</v>
      </c>
      <c r="K525" s="14" t="e">
        <f t="shared" si="42"/>
        <v>#N/A</v>
      </c>
      <c r="L525" s="14" t="e">
        <f t="shared" si="43"/>
        <v>#N/A</v>
      </c>
      <c r="M525" s="14" t="e">
        <f t="shared" si="44"/>
        <v>#N/A</v>
      </c>
      <c r="N525" s="14" t="e">
        <f t="shared" si="45"/>
        <v>#N/A</v>
      </c>
    </row>
    <row r="526" spans="4:14" ht="16.5" x14ac:dyDescent="0.25">
      <c r="D526" s="14">
        <v>486</v>
      </c>
      <c r="E526" s="14" t="str">
        <f t="shared" si="46"/>
        <v/>
      </c>
      <c r="F526" s="14" t="str">
        <f>IF(AND($B$8=1,$D526&lt;=$B$7),IF($B$5=1,Calculator!$C$9*POWER(1+Calculator!$C$14/100,$D526/12),Calculator!$C$9),"")</f>
        <v/>
      </c>
      <c r="G526" s="14">
        <f>G525*(1+$B$4)+Calculator!$C$25</f>
        <v>281064.96813586599</v>
      </c>
      <c r="H526" s="14">
        <f>IF($B$5=1,Calculator!$C$9*POWER(1+Calculator!$C$14/100,$D526/12),Calculator!$C$9)</f>
        <v>10000</v>
      </c>
      <c r="J526" s="14">
        <f t="shared" si="47"/>
        <v>1</v>
      </c>
      <c r="K526" s="14" t="e">
        <f t="shared" si="42"/>
        <v>#N/A</v>
      </c>
      <c r="L526" s="14" t="e">
        <f t="shared" si="43"/>
        <v>#N/A</v>
      </c>
      <c r="M526" s="14" t="e">
        <f t="shared" si="44"/>
        <v>#N/A</v>
      </c>
      <c r="N526" s="14" t="e">
        <f t="shared" si="45"/>
        <v>#N/A</v>
      </c>
    </row>
    <row r="527" spans="4:14" ht="16.5" x14ac:dyDescent="0.25">
      <c r="D527" s="14">
        <v>487</v>
      </c>
      <c r="E527" s="14" t="str">
        <f t="shared" si="46"/>
        <v/>
      </c>
      <c r="F527" s="14" t="str">
        <f>IF(AND($B$8=1,$D527&lt;=$B$7),IF($B$5=1,Calculator!$C$9*POWER(1+Calculator!$C$14/100,$D527/12),Calculator!$C$9),"")</f>
        <v/>
      </c>
      <c r="G527" s="14">
        <f>G526*(1+$B$4)+Calculator!$C$25</f>
        <v>282058.15017083299</v>
      </c>
      <c r="H527" s="14">
        <f>IF($B$5=1,Calculator!$C$9*POWER(1+Calculator!$C$14/100,$D527/12),Calculator!$C$9)</f>
        <v>10000</v>
      </c>
      <c r="J527" s="14">
        <f t="shared" si="47"/>
        <v>1</v>
      </c>
      <c r="K527" s="14" t="e">
        <f t="shared" si="42"/>
        <v>#N/A</v>
      </c>
      <c r="L527" s="14" t="e">
        <f t="shared" si="43"/>
        <v>#N/A</v>
      </c>
      <c r="M527" s="14" t="e">
        <f t="shared" si="44"/>
        <v>#N/A</v>
      </c>
      <c r="N527" s="14" t="e">
        <f t="shared" si="45"/>
        <v>#N/A</v>
      </c>
    </row>
    <row r="528" spans="4:14" ht="16.5" x14ac:dyDescent="0.25">
      <c r="D528" s="14">
        <v>488</v>
      </c>
      <c r="E528" s="14" t="str">
        <f t="shared" si="46"/>
        <v/>
      </c>
      <c r="F528" s="14" t="str">
        <f>IF(AND($B$8=1,$D528&lt;=$B$7),IF($B$5=1,Calculator!$C$9*POWER(1+Calculator!$C$14/100,$D528/12),Calculator!$C$9),"")</f>
        <v/>
      </c>
      <c r="G528" s="14">
        <f>G527*(1+$B$4)+Calculator!$C$25</f>
        <v>283053.78166063118</v>
      </c>
      <c r="H528" s="14">
        <f>IF($B$5=1,Calculator!$C$9*POWER(1+Calculator!$C$14/100,$D528/12),Calculator!$C$9)</f>
        <v>10000</v>
      </c>
      <c r="J528" s="14">
        <f t="shared" si="47"/>
        <v>1</v>
      </c>
      <c r="K528" s="14" t="e">
        <f t="shared" si="42"/>
        <v>#N/A</v>
      </c>
      <c r="L528" s="14" t="e">
        <f t="shared" si="43"/>
        <v>#N/A</v>
      </c>
      <c r="M528" s="14" t="e">
        <f t="shared" si="44"/>
        <v>#N/A</v>
      </c>
      <c r="N528" s="14" t="e">
        <f t="shared" si="45"/>
        <v>#N/A</v>
      </c>
    </row>
    <row r="529" spans="4:14" ht="16.5" x14ac:dyDescent="0.25">
      <c r="D529" s="14">
        <v>489</v>
      </c>
      <c r="E529" s="14" t="str">
        <f t="shared" si="46"/>
        <v/>
      </c>
      <c r="F529" s="14" t="str">
        <f>IF(AND($B$8=1,$D529&lt;=$B$7),IF($B$5=1,Calculator!$C$9*POWER(1+Calculator!$C$14/100,$D529/12),Calculator!$C$9),"")</f>
        <v/>
      </c>
      <c r="G529" s="14">
        <f>G528*(1+$B$4)+Calculator!$C$25</f>
        <v>284051.86864627706</v>
      </c>
      <c r="H529" s="14">
        <f>IF($B$5=1,Calculator!$C$9*POWER(1+Calculator!$C$14/100,$D529/12),Calculator!$C$9)</f>
        <v>10000</v>
      </c>
      <c r="J529" s="14">
        <f t="shared" si="47"/>
        <v>1</v>
      </c>
      <c r="K529" s="14" t="e">
        <f t="shared" si="42"/>
        <v>#N/A</v>
      </c>
      <c r="L529" s="14" t="e">
        <f t="shared" si="43"/>
        <v>#N/A</v>
      </c>
      <c r="M529" s="14" t="e">
        <f t="shared" si="44"/>
        <v>#N/A</v>
      </c>
      <c r="N529" s="14" t="e">
        <f t="shared" si="45"/>
        <v>#N/A</v>
      </c>
    </row>
    <row r="530" spans="4:14" ht="16.5" x14ac:dyDescent="0.25">
      <c r="D530" s="14">
        <v>490</v>
      </c>
      <c r="E530" s="14" t="str">
        <f t="shared" si="46"/>
        <v/>
      </c>
      <c r="F530" s="14" t="str">
        <f>IF(AND($B$8=1,$D530&lt;=$B$7),IF($B$5=1,Calculator!$C$9*POWER(1+Calculator!$C$14/100,$D530/12),Calculator!$C$9),"")</f>
        <v/>
      </c>
      <c r="G530" s="14">
        <f>G529*(1+$B$4)+Calculator!$C$25</f>
        <v>285052.41718368576</v>
      </c>
      <c r="H530" s="14">
        <f>IF($B$5=1,Calculator!$C$9*POWER(1+Calculator!$C$14/100,$D530/12),Calculator!$C$9)</f>
        <v>10000</v>
      </c>
      <c r="J530" s="14">
        <f t="shared" si="47"/>
        <v>1</v>
      </c>
      <c r="K530" s="14" t="e">
        <f t="shared" si="42"/>
        <v>#N/A</v>
      </c>
      <c r="L530" s="14" t="e">
        <f t="shared" si="43"/>
        <v>#N/A</v>
      </c>
      <c r="M530" s="14" t="e">
        <f t="shared" si="44"/>
        <v>#N/A</v>
      </c>
      <c r="N530" s="14" t="e">
        <f t="shared" si="45"/>
        <v>#N/A</v>
      </c>
    </row>
    <row r="531" spans="4:14" ht="16.5" x14ac:dyDescent="0.25">
      <c r="D531" s="14">
        <v>491</v>
      </c>
      <c r="E531" s="14" t="str">
        <f t="shared" si="46"/>
        <v/>
      </c>
      <c r="F531" s="14" t="str">
        <f>IF(AND($B$8=1,$D531&lt;=$B$7),IF($B$5=1,Calculator!$C$9*POWER(1+Calculator!$C$14/100,$D531/12),Calculator!$C$9),"")</f>
        <v/>
      </c>
      <c r="G531" s="14">
        <f>G530*(1+$B$4)+Calculator!$C$25</f>
        <v>286055.43334370799</v>
      </c>
      <c r="H531" s="14">
        <f>IF($B$5=1,Calculator!$C$9*POWER(1+Calculator!$C$14/100,$D531/12),Calculator!$C$9)</f>
        <v>10000</v>
      </c>
      <c r="J531" s="14">
        <f t="shared" si="47"/>
        <v>1</v>
      </c>
      <c r="K531" s="14" t="e">
        <f t="shared" si="42"/>
        <v>#N/A</v>
      </c>
      <c r="L531" s="14" t="e">
        <f t="shared" si="43"/>
        <v>#N/A</v>
      </c>
      <c r="M531" s="14" t="e">
        <f t="shared" si="44"/>
        <v>#N/A</v>
      </c>
      <c r="N531" s="14" t="e">
        <f t="shared" si="45"/>
        <v>#N/A</v>
      </c>
    </row>
    <row r="532" spans="4:14" ht="16.5" x14ac:dyDescent="0.25">
      <c r="D532" s="14">
        <v>492</v>
      </c>
      <c r="E532" s="14" t="str">
        <f t="shared" si="46"/>
        <v/>
      </c>
      <c r="F532" s="14" t="str">
        <f>IF(AND($B$8=1,$D532&lt;=$B$7),IF($B$5=1,Calculator!$C$9*POWER(1+Calculator!$C$14/100,$D532/12),Calculator!$C$9),"")</f>
        <v/>
      </c>
      <c r="G532" s="14">
        <f>G531*(1+$B$4)+Calculator!$C$25</f>
        <v>287060.92321216682</v>
      </c>
      <c r="H532" s="14">
        <f>IF($B$5=1,Calculator!$C$9*POWER(1+Calculator!$C$14/100,$D532/12),Calculator!$C$9)</f>
        <v>10000</v>
      </c>
      <c r="J532" s="14">
        <f t="shared" si="47"/>
        <v>1</v>
      </c>
      <c r="K532" s="14" t="e">
        <f t="shared" si="42"/>
        <v>#N/A</v>
      </c>
      <c r="L532" s="14" t="e">
        <f t="shared" si="43"/>
        <v>#N/A</v>
      </c>
      <c r="M532" s="14" t="e">
        <f t="shared" si="44"/>
        <v>#N/A</v>
      </c>
      <c r="N532" s="14" t="e">
        <f t="shared" si="45"/>
        <v>#N/A</v>
      </c>
    </row>
    <row r="533" spans="4:14" ht="16.5" x14ac:dyDescent="0.25">
      <c r="D533" s="14">
        <v>493</v>
      </c>
      <c r="E533" s="14" t="str">
        <f t="shared" si="46"/>
        <v/>
      </c>
      <c r="F533" s="14" t="str">
        <f>IF(AND($B$8=1,$D533&lt;=$B$7),IF($B$5=1,Calculator!$C$9*POWER(1+Calculator!$C$14/100,$D533/12),Calculator!$C$9),"")</f>
        <v/>
      </c>
      <c r="G533" s="14">
        <f>G532*(1+$B$4)+Calculator!$C$25</f>
        <v>288068.89288989455</v>
      </c>
      <c r="H533" s="14">
        <f>IF($B$5=1,Calculator!$C$9*POWER(1+Calculator!$C$14/100,$D533/12),Calculator!$C$9)</f>
        <v>10000</v>
      </c>
      <c r="J533" s="14">
        <f t="shared" si="47"/>
        <v>1</v>
      </c>
      <c r="K533" s="14" t="e">
        <f t="shared" si="42"/>
        <v>#N/A</v>
      </c>
      <c r="L533" s="14" t="e">
        <f t="shared" si="43"/>
        <v>#N/A</v>
      </c>
      <c r="M533" s="14" t="e">
        <f t="shared" si="44"/>
        <v>#N/A</v>
      </c>
      <c r="N533" s="14" t="e">
        <f t="shared" si="45"/>
        <v>#N/A</v>
      </c>
    </row>
    <row r="534" spans="4:14" ht="16.5" x14ac:dyDescent="0.25">
      <c r="D534" s="14">
        <v>494</v>
      </c>
      <c r="E534" s="14" t="str">
        <f t="shared" si="46"/>
        <v/>
      </c>
      <c r="F534" s="14" t="str">
        <f>IF(AND($B$8=1,$D534&lt;=$B$7),IF($B$5=1,Calculator!$C$9*POWER(1+Calculator!$C$14/100,$D534/12),Calculator!$C$9),"")</f>
        <v/>
      </c>
      <c r="G534" s="14">
        <f>G533*(1+$B$4)+Calculator!$C$25</f>
        <v>289079.34849276987</v>
      </c>
      <c r="H534" s="14">
        <f>IF($B$5=1,Calculator!$C$9*POWER(1+Calculator!$C$14/100,$D534/12),Calculator!$C$9)</f>
        <v>10000</v>
      </c>
      <c r="J534" s="14">
        <f t="shared" si="47"/>
        <v>1</v>
      </c>
      <c r="K534" s="14" t="e">
        <f t="shared" si="42"/>
        <v>#N/A</v>
      </c>
      <c r="L534" s="14" t="e">
        <f t="shared" si="43"/>
        <v>#N/A</v>
      </c>
      <c r="M534" s="14" t="e">
        <f t="shared" si="44"/>
        <v>#N/A</v>
      </c>
      <c r="N534" s="14" t="e">
        <f t="shared" si="45"/>
        <v>#N/A</v>
      </c>
    </row>
    <row r="535" spans="4:14" ht="16.5" x14ac:dyDescent="0.25">
      <c r="D535" s="14">
        <v>495</v>
      </c>
      <c r="E535" s="14" t="str">
        <f t="shared" si="46"/>
        <v/>
      </c>
      <c r="F535" s="14" t="str">
        <f>IF(AND($B$8=1,$D535&lt;=$B$7),IF($B$5=1,Calculator!$C$9*POWER(1+Calculator!$C$14/100,$D535/12),Calculator!$C$9),"")</f>
        <v/>
      </c>
      <c r="G535" s="14">
        <f>G534*(1+$B$4)+Calculator!$C$25</f>
        <v>290092.29615175485</v>
      </c>
      <c r="H535" s="14">
        <f>IF($B$5=1,Calculator!$C$9*POWER(1+Calculator!$C$14/100,$D535/12),Calculator!$C$9)</f>
        <v>10000</v>
      </c>
      <c r="J535" s="14">
        <f t="shared" si="47"/>
        <v>1</v>
      </c>
      <c r="K535" s="14" t="e">
        <f t="shared" si="42"/>
        <v>#N/A</v>
      </c>
      <c r="L535" s="14" t="e">
        <f t="shared" si="43"/>
        <v>#N/A</v>
      </c>
      <c r="M535" s="14" t="e">
        <f t="shared" si="44"/>
        <v>#N/A</v>
      </c>
      <c r="N535" s="14" t="e">
        <f t="shared" si="45"/>
        <v>#N/A</v>
      </c>
    </row>
    <row r="536" spans="4:14" ht="16.5" x14ac:dyDescent="0.25">
      <c r="D536" s="14">
        <v>496</v>
      </c>
      <c r="E536" s="14" t="str">
        <f t="shared" si="46"/>
        <v/>
      </c>
      <c r="F536" s="14" t="str">
        <f>IF(AND($B$8=1,$D536&lt;=$B$7),IF($B$5=1,Calculator!$C$9*POWER(1+Calculator!$C$14/100,$D536/12),Calculator!$C$9),"")</f>
        <v/>
      </c>
      <c r="G536" s="14">
        <f>G535*(1+$B$4)+Calculator!$C$25</f>
        <v>291107.74201293208</v>
      </c>
      <c r="H536" s="14">
        <f>IF($B$5=1,Calculator!$C$9*POWER(1+Calculator!$C$14/100,$D536/12),Calculator!$C$9)</f>
        <v>10000</v>
      </c>
      <c r="J536" s="14">
        <f t="shared" si="47"/>
        <v>1</v>
      </c>
      <c r="K536" s="14" t="e">
        <f t="shared" si="42"/>
        <v>#N/A</v>
      </c>
      <c r="L536" s="14" t="e">
        <f t="shared" si="43"/>
        <v>#N/A</v>
      </c>
      <c r="M536" s="14" t="e">
        <f t="shared" si="44"/>
        <v>#N/A</v>
      </c>
      <c r="N536" s="14" t="e">
        <f t="shared" si="45"/>
        <v>#N/A</v>
      </c>
    </row>
    <row r="537" spans="4:14" ht="16.5" x14ac:dyDescent="0.25">
      <c r="D537" s="14">
        <v>497</v>
      </c>
      <c r="E537" s="14" t="str">
        <f t="shared" si="46"/>
        <v/>
      </c>
      <c r="F537" s="14" t="str">
        <f>IF(AND($B$8=1,$D537&lt;=$B$7),IF($B$5=1,Calculator!$C$9*POWER(1+Calculator!$C$14/100,$D537/12),Calculator!$C$9),"")</f>
        <v/>
      </c>
      <c r="G537" s="14">
        <f>G536*(1+$B$4)+Calculator!$C$25</f>
        <v>292125.69223754213</v>
      </c>
      <c r="H537" s="14">
        <f>IF($B$5=1,Calculator!$C$9*POWER(1+Calculator!$C$14/100,$D537/12),Calculator!$C$9)</f>
        <v>10000</v>
      </c>
      <c r="J537" s="14">
        <f t="shared" si="47"/>
        <v>1</v>
      </c>
      <c r="K537" s="14" t="e">
        <f t="shared" si="42"/>
        <v>#N/A</v>
      </c>
      <c r="L537" s="14" t="e">
        <f t="shared" si="43"/>
        <v>#N/A</v>
      </c>
      <c r="M537" s="14" t="e">
        <f t="shared" si="44"/>
        <v>#N/A</v>
      </c>
      <c r="N537" s="14" t="e">
        <f t="shared" si="45"/>
        <v>#N/A</v>
      </c>
    </row>
    <row r="538" spans="4:14" ht="16.5" x14ac:dyDescent="0.25">
      <c r="D538" s="14">
        <v>498</v>
      </c>
      <c r="E538" s="14" t="str">
        <f t="shared" si="46"/>
        <v/>
      </c>
      <c r="F538" s="14" t="str">
        <f>IF(AND($B$8=1,$D538&lt;=$B$7),IF($B$5=1,Calculator!$C$9*POWER(1+Calculator!$C$14/100,$D538/12),Calculator!$C$9),"")</f>
        <v/>
      </c>
      <c r="G538" s="14">
        <f>G537*(1+$B$4)+Calculator!$C$25</f>
        <v>293146.15300202084</v>
      </c>
      <c r="H538" s="14">
        <f>IF($B$5=1,Calculator!$C$9*POWER(1+Calculator!$C$14/100,$D538/12),Calculator!$C$9)</f>
        <v>10000</v>
      </c>
      <c r="J538" s="14">
        <f t="shared" si="47"/>
        <v>1</v>
      </c>
      <c r="K538" s="14" t="e">
        <f t="shared" si="42"/>
        <v>#N/A</v>
      </c>
      <c r="L538" s="14" t="e">
        <f t="shared" si="43"/>
        <v>#N/A</v>
      </c>
      <c r="M538" s="14" t="e">
        <f t="shared" si="44"/>
        <v>#N/A</v>
      </c>
      <c r="N538" s="14" t="e">
        <f t="shared" si="45"/>
        <v>#N/A</v>
      </c>
    </row>
    <row r="539" spans="4:14" ht="16.5" x14ac:dyDescent="0.25">
      <c r="D539" s="14">
        <v>499</v>
      </c>
      <c r="E539" s="14" t="str">
        <f t="shared" si="46"/>
        <v/>
      </c>
      <c r="F539" s="14" t="str">
        <f>IF(AND($B$8=1,$D539&lt;=$B$7),IF($B$5=1,Calculator!$C$9*POWER(1+Calculator!$C$14/100,$D539/12),Calculator!$C$9),"")</f>
        <v/>
      </c>
      <c r="G539" s="14">
        <f>G538*(1+$B$4)+Calculator!$C$25</f>
        <v>294169.13049803686</v>
      </c>
      <c r="H539" s="14">
        <f>IF($B$5=1,Calculator!$C$9*POWER(1+Calculator!$C$14/100,$D539/12),Calculator!$C$9)</f>
        <v>10000</v>
      </c>
      <c r="J539" s="14">
        <f t="shared" si="47"/>
        <v>1</v>
      </c>
      <c r="K539" s="14" t="e">
        <f t="shared" si="42"/>
        <v>#N/A</v>
      </c>
      <c r="L539" s="14" t="e">
        <f t="shared" si="43"/>
        <v>#N/A</v>
      </c>
      <c r="M539" s="14" t="e">
        <f t="shared" si="44"/>
        <v>#N/A</v>
      </c>
      <c r="N539" s="14" t="e">
        <f t="shared" si="45"/>
        <v>#N/A</v>
      </c>
    </row>
    <row r="540" spans="4:14" ht="16.5" x14ac:dyDescent="0.25">
      <c r="D540" s="14">
        <v>500</v>
      </c>
      <c r="E540" s="14" t="str">
        <f t="shared" si="46"/>
        <v/>
      </c>
      <c r="F540" s="14" t="str">
        <f>IF(AND($B$8=1,$D540&lt;=$B$7),IF($B$5=1,Calculator!$C$9*POWER(1+Calculator!$C$14/100,$D540/12),Calculator!$C$9),"")</f>
        <v/>
      </c>
      <c r="G540" s="14">
        <f>G539*(1+$B$4)+Calculator!$C$25</f>
        <v>295194.63093252905</v>
      </c>
      <c r="H540" s="14">
        <f>IF($B$5=1,Calculator!$C$9*POWER(1+Calculator!$C$14/100,$D540/12),Calculator!$C$9)</f>
        <v>10000</v>
      </c>
      <c r="J540" s="14">
        <f t="shared" si="47"/>
        <v>1</v>
      </c>
      <c r="K540" s="14" t="e">
        <f t="shared" si="42"/>
        <v>#N/A</v>
      </c>
      <c r="L540" s="14" t="e">
        <f t="shared" si="43"/>
        <v>#N/A</v>
      </c>
      <c r="M540" s="14" t="e">
        <f t="shared" si="44"/>
        <v>#N/A</v>
      </c>
      <c r="N540" s="14" t="e">
        <f t="shared" si="45"/>
        <v>#N/A</v>
      </c>
    </row>
    <row r="541" spans="4:14" ht="16.5" x14ac:dyDescent="0.25">
      <c r="D541" s="14">
        <v>501</v>
      </c>
      <c r="E541" s="14" t="str">
        <f t="shared" si="46"/>
        <v/>
      </c>
      <c r="F541" s="14" t="str">
        <f>IF(AND($B$8=1,$D541&lt;=$B$7),IF($B$5=1,Calculator!$C$9*POWER(1+Calculator!$C$14/100,$D541/12),Calculator!$C$9),"")</f>
        <v/>
      </c>
      <c r="G541" s="14">
        <f>G540*(1+$B$4)+Calculator!$C$25</f>
        <v>296222.66052774427</v>
      </c>
      <c r="H541" s="14">
        <f>IF($B$5=1,Calculator!$C$9*POWER(1+Calculator!$C$14/100,$D541/12),Calculator!$C$9)</f>
        <v>10000</v>
      </c>
      <c r="J541" s="14">
        <f t="shared" si="47"/>
        <v>1</v>
      </c>
      <c r="K541" s="14" t="e">
        <f t="shared" si="42"/>
        <v>#N/A</v>
      </c>
      <c r="L541" s="14" t="e">
        <f t="shared" si="43"/>
        <v>#N/A</v>
      </c>
      <c r="M541" s="14" t="e">
        <f t="shared" si="44"/>
        <v>#N/A</v>
      </c>
      <c r="N541" s="14" t="e">
        <f t="shared" si="45"/>
        <v>#N/A</v>
      </c>
    </row>
    <row r="542" spans="4:14" ht="16.5" x14ac:dyDescent="0.25">
      <c r="D542" s="14">
        <v>502</v>
      </c>
      <c r="E542" s="14" t="str">
        <f t="shared" si="46"/>
        <v/>
      </c>
      <c r="F542" s="14" t="str">
        <f>IF(AND($B$8=1,$D542&lt;=$B$7),IF($B$5=1,Calculator!$C$9*POWER(1+Calculator!$C$14/100,$D542/12),Calculator!$C$9),"")</f>
        <v/>
      </c>
      <c r="G542" s="14">
        <f>G541*(1+$B$4)+Calculator!$C$25</f>
        <v>297253.22552127525</v>
      </c>
      <c r="H542" s="14">
        <f>IF($B$5=1,Calculator!$C$9*POWER(1+Calculator!$C$14/100,$D542/12),Calculator!$C$9)</f>
        <v>10000</v>
      </c>
      <c r="J542" s="14">
        <f t="shared" si="47"/>
        <v>1</v>
      </c>
      <c r="K542" s="14" t="e">
        <f t="shared" si="42"/>
        <v>#N/A</v>
      </c>
      <c r="L542" s="14" t="e">
        <f t="shared" si="43"/>
        <v>#N/A</v>
      </c>
      <c r="M542" s="14" t="e">
        <f t="shared" si="44"/>
        <v>#N/A</v>
      </c>
      <c r="N542" s="14" t="e">
        <f t="shared" si="45"/>
        <v>#N/A</v>
      </c>
    </row>
    <row r="543" spans="4:14" ht="16.5" x14ac:dyDescent="0.25">
      <c r="D543" s="14">
        <v>503</v>
      </c>
      <c r="E543" s="14" t="str">
        <f t="shared" si="46"/>
        <v/>
      </c>
      <c r="F543" s="14" t="str">
        <f>IF(AND($B$8=1,$D543&lt;=$B$7),IF($B$5=1,Calculator!$C$9*POWER(1+Calculator!$C$14/100,$D543/12),Calculator!$C$9),"")</f>
        <v/>
      </c>
      <c r="G543" s="14">
        <f>G542*(1+$B$4)+Calculator!$C$25</f>
        <v>298286.33216609812</v>
      </c>
      <c r="H543" s="14">
        <f>IF($B$5=1,Calculator!$C$9*POWER(1+Calculator!$C$14/100,$D543/12),Calculator!$C$9)</f>
        <v>10000</v>
      </c>
      <c r="J543" s="14">
        <f t="shared" si="47"/>
        <v>1</v>
      </c>
      <c r="K543" s="14" t="e">
        <f t="shared" si="42"/>
        <v>#N/A</v>
      </c>
      <c r="L543" s="14" t="e">
        <f t="shared" si="43"/>
        <v>#N/A</v>
      </c>
      <c r="M543" s="14" t="e">
        <f t="shared" si="44"/>
        <v>#N/A</v>
      </c>
      <c r="N543" s="14" t="e">
        <f t="shared" si="45"/>
        <v>#N/A</v>
      </c>
    </row>
    <row r="544" spans="4:14" ht="16.5" x14ac:dyDescent="0.25">
      <c r="D544" s="14">
        <v>504</v>
      </c>
      <c r="E544" s="14" t="str">
        <f t="shared" si="46"/>
        <v/>
      </c>
      <c r="F544" s="14" t="str">
        <f>IF(AND($B$8=1,$D544&lt;=$B$7),IF($B$5=1,Calculator!$C$9*POWER(1+Calculator!$C$14/100,$D544/12),Calculator!$C$9),"")</f>
        <v/>
      </c>
      <c r="G544" s="14">
        <f>G543*(1+$B$4)+Calculator!$C$25</f>
        <v>299321.98673061072</v>
      </c>
      <c r="H544" s="14">
        <f>IF($B$5=1,Calculator!$C$9*POWER(1+Calculator!$C$14/100,$D544/12),Calculator!$C$9)</f>
        <v>10000</v>
      </c>
      <c r="J544" s="14">
        <f t="shared" si="47"/>
        <v>1</v>
      </c>
      <c r="K544" s="14" t="e">
        <f t="shared" si="42"/>
        <v>#N/A</v>
      </c>
      <c r="L544" s="14" t="e">
        <f t="shared" si="43"/>
        <v>#N/A</v>
      </c>
      <c r="M544" s="14" t="e">
        <f t="shared" si="44"/>
        <v>#N/A</v>
      </c>
      <c r="N544" s="14" t="e">
        <f t="shared" si="45"/>
        <v>#N/A</v>
      </c>
    </row>
    <row r="545" spans="4:14" ht="16.5" x14ac:dyDescent="0.25">
      <c r="D545" s="14">
        <v>505</v>
      </c>
      <c r="E545" s="14" t="str">
        <f t="shared" si="46"/>
        <v/>
      </c>
      <c r="F545" s="14" t="str">
        <f>IF(AND($B$8=1,$D545&lt;=$B$7),IF($B$5=1,Calculator!$C$9*POWER(1+Calculator!$C$14/100,$D545/12),Calculator!$C$9),"")</f>
        <v/>
      </c>
      <c r="G545" s="14">
        <f>G544*(1+$B$4)+Calculator!$C$25</f>
        <v>300360.19549867033</v>
      </c>
      <c r="H545" s="14">
        <f>IF($B$5=1,Calculator!$C$9*POWER(1+Calculator!$C$14/100,$D545/12),Calculator!$C$9)</f>
        <v>10000</v>
      </c>
      <c r="J545" s="14">
        <f t="shared" si="47"/>
        <v>1</v>
      </c>
      <c r="K545" s="14" t="e">
        <f t="shared" si="42"/>
        <v>#N/A</v>
      </c>
      <c r="L545" s="14" t="e">
        <f t="shared" si="43"/>
        <v>#N/A</v>
      </c>
      <c r="M545" s="14" t="e">
        <f t="shared" si="44"/>
        <v>#N/A</v>
      </c>
      <c r="N545" s="14" t="e">
        <f t="shared" si="45"/>
        <v>#N/A</v>
      </c>
    </row>
    <row r="546" spans="4:14" ht="16.5" x14ac:dyDescent="0.25">
      <c r="D546" s="14">
        <v>506</v>
      </c>
      <c r="E546" s="14" t="str">
        <f t="shared" si="46"/>
        <v/>
      </c>
      <c r="F546" s="14" t="str">
        <f>IF(AND($B$8=1,$D546&lt;=$B$7),IF($B$5=1,Calculator!$C$9*POWER(1+Calculator!$C$14/100,$D546/12),Calculator!$C$9),"")</f>
        <v/>
      </c>
      <c r="G546" s="14">
        <f>G545*(1+$B$4)+Calculator!$C$25</f>
        <v>301400.96476963192</v>
      </c>
      <c r="H546" s="14">
        <f>IF($B$5=1,Calculator!$C$9*POWER(1+Calculator!$C$14/100,$D546/12),Calculator!$C$9)</f>
        <v>10000</v>
      </c>
      <c r="J546" s="14">
        <f t="shared" si="47"/>
        <v>1</v>
      </c>
      <c r="K546" s="14" t="e">
        <f t="shared" si="42"/>
        <v>#N/A</v>
      </c>
      <c r="L546" s="14" t="e">
        <f t="shared" si="43"/>
        <v>#N/A</v>
      </c>
      <c r="M546" s="14" t="e">
        <f t="shared" si="44"/>
        <v>#N/A</v>
      </c>
      <c r="N546" s="14" t="e">
        <f t="shared" si="45"/>
        <v>#N/A</v>
      </c>
    </row>
    <row r="547" spans="4:14" ht="16.5" x14ac:dyDescent="0.25">
      <c r="D547" s="14">
        <v>507</v>
      </c>
      <c r="E547" s="14" t="str">
        <f t="shared" si="46"/>
        <v/>
      </c>
      <c r="F547" s="14" t="str">
        <f>IF(AND($B$8=1,$D547&lt;=$B$7),IF($B$5=1,Calculator!$C$9*POWER(1+Calculator!$C$14/100,$D547/12),Calculator!$C$9),"")</f>
        <v/>
      </c>
      <c r="G547" s="14">
        <f>G546*(1+$B$4)+Calculator!$C$25</f>
        <v>302444.30085838644</v>
      </c>
      <c r="H547" s="14">
        <f>IF($B$5=1,Calculator!$C$9*POWER(1+Calculator!$C$14/100,$D547/12),Calculator!$C$9)</f>
        <v>10000</v>
      </c>
      <c r="J547" s="14">
        <f t="shared" si="47"/>
        <v>1</v>
      </c>
      <c r="K547" s="14" t="e">
        <f t="shared" si="42"/>
        <v>#N/A</v>
      </c>
      <c r="L547" s="14" t="e">
        <f t="shared" si="43"/>
        <v>#N/A</v>
      </c>
      <c r="M547" s="14" t="e">
        <f t="shared" si="44"/>
        <v>#N/A</v>
      </c>
      <c r="N547" s="14" t="e">
        <f t="shared" si="45"/>
        <v>#N/A</v>
      </c>
    </row>
    <row r="548" spans="4:14" ht="16.5" x14ac:dyDescent="0.25">
      <c r="D548" s="14">
        <v>508</v>
      </c>
      <c r="E548" s="14" t="str">
        <f t="shared" si="46"/>
        <v/>
      </c>
      <c r="F548" s="14" t="str">
        <f>IF(AND($B$8=1,$D548&lt;=$B$7),IF($B$5=1,Calculator!$C$9*POWER(1+Calculator!$C$14/100,$D548/12),Calculator!$C$9),"")</f>
        <v/>
      </c>
      <c r="G548" s="14">
        <f>G547*(1+$B$4)+Calculator!$C$25</f>
        <v>303490.210095399</v>
      </c>
      <c r="H548" s="14">
        <f>IF($B$5=1,Calculator!$C$9*POWER(1+Calculator!$C$14/100,$D548/12),Calculator!$C$9)</f>
        <v>10000</v>
      </c>
      <c r="J548" s="14">
        <f t="shared" si="47"/>
        <v>1</v>
      </c>
      <c r="K548" s="14" t="e">
        <f t="shared" si="42"/>
        <v>#N/A</v>
      </c>
      <c r="L548" s="14" t="e">
        <f t="shared" si="43"/>
        <v>#N/A</v>
      </c>
      <c r="M548" s="14" t="e">
        <f t="shared" si="44"/>
        <v>#N/A</v>
      </c>
      <c r="N548" s="14" t="e">
        <f t="shared" si="45"/>
        <v>#N/A</v>
      </c>
    </row>
    <row r="549" spans="4:14" ht="16.5" x14ac:dyDescent="0.25">
      <c r="D549" s="14">
        <v>509</v>
      </c>
      <c r="E549" s="14" t="str">
        <f t="shared" si="46"/>
        <v/>
      </c>
      <c r="F549" s="14" t="str">
        <f>IF(AND($B$8=1,$D549&lt;=$B$7),IF($B$5=1,Calculator!$C$9*POWER(1+Calculator!$C$14/100,$D549/12),Calculator!$C$9),"")</f>
        <v/>
      </c>
      <c r="G549" s="14">
        <f>G548*(1+$B$4)+Calculator!$C$25</f>
        <v>304538.69882674736</v>
      </c>
      <c r="H549" s="14">
        <f>IF($B$5=1,Calculator!$C$9*POWER(1+Calculator!$C$14/100,$D549/12),Calculator!$C$9)</f>
        <v>10000</v>
      </c>
      <c r="J549" s="14">
        <f t="shared" si="47"/>
        <v>1</v>
      </c>
      <c r="K549" s="14" t="e">
        <f t="shared" si="42"/>
        <v>#N/A</v>
      </c>
      <c r="L549" s="14" t="e">
        <f t="shared" si="43"/>
        <v>#N/A</v>
      </c>
      <c r="M549" s="14" t="e">
        <f t="shared" si="44"/>
        <v>#N/A</v>
      </c>
      <c r="N549" s="14" t="e">
        <f t="shared" si="45"/>
        <v>#N/A</v>
      </c>
    </row>
    <row r="550" spans="4:14" ht="16.5" x14ac:dyDescent="0.25">
      <c r="D550" s="14">
        <v>510</v>
      </c>
      <c r="E550" s="14" t="str">
        <f t="shared" si="46"/>
        <v/>
      </c>
      <c r="F550" s="14" t="str">
        <f>IF(AND($B$8=1,$D550&lt;=$B$7),IF($B$5=1,Calculator!$C$9*POWER(1+Calculator!$C$14/100,$D550/12),Calculator!$C$9),"")</f>
        <v/>
      </c>
      <c r="G550" s="14">
        <f>G549*(1+$B$4)+Calculator!$C$25</f>
        <v>305589.77341416047</v>
      </c>
      <c r="H550" s="14">
        <f>IF($B$5=1,Calculator!$C$9*POWER(1+Calculator!$C$14/100,$D550/12),Calculator!$C$9)</f>
        <v>10000</v>
      </c>
      <c r="J550" s="14">
        <f t="shared" si="47"/>
        <v>1</v>
      </c>
      <c r="K550" s="14" t="e">
        <f t="shared" si="42"/>
        <v>#N/A</v>
      </c>
      <c r="L550" s="14" t="e">
        <f t="shared" si="43"/>
        <v>#N/A</v>
      </c>
      <c r="M550" s="14" t="e">
        <f t="shared" si="44"/>
        <v>#N/A</v>
      </c>
      <c r="N550" s="14" t="e">
        <f t="shared" si="45"/>
        <v>#N/A</v>
      </c>
    </row>
    <row r="551" spans="4:14" ht="16.5" x14ac:dyDescent="0.25">
      <c r="D551" s="14">
        <v>511</v>
      </c>
      <c r="E551" s="14" t="str">
        <f t="shared" si="46"/>
        <v/>
      </c>
      <c r="F551" s="14" t="str">
        <f>IF(AND($B$8=1,$D551&lt;=$B$7),IF($B$5=1,Calculator!$C$9*POWER(1+Calculator!$C$14/100,$D551/12),Calculator!$C$9),"")</f>
        <v/>
      </c>
      <c r="G551" s="14">
        <f>G550*(1+$B$4)+Calculator!$C$25</f>
        <v>306643.44023505697</v>
      </c>
      <c r="H551" s="14">
        <f>IF($B$5=1,Calculator!$C$9*POWER(1+Calculator!$C$14/100,$D551/12),Calculator!$C$9)</f>
        <v>10000</v>
      </c>
      <c r="J551" s="14">
        <f t="shared" si="47"/>
        <v>1</v>
      </c>
      <c r="K551" s="14" t="e">
        <f t="shared" si="42"/>
        <v>#N/A</v>
      </c>
      <c r="L551" s="14" t="e">
        <f t="shared" si="43"/>
        <v>#N/A</v>
      </c>
      <c r="M551" s="14" t="e">
        <f t="shared" si="44"/>
        <v>#N/A</v>
      </c>
      <c r="N551" s="14" t="e">
        <f t="shared" si="45"/>
        <v>#N/A</v>
      </c>
    </row>
    <row r="552" spans="4:14" ht="16.5" x14ac:dyDescent="0.25">
      <c r="D552" s="14">
        <v>512</v>
      </c>
      <c r="E552" s="14" t="str">
        <f t="shared" si="46"/>
        <v/>
      </c>
      <c r="F552" s="14" t="str">
        <f>IF(AND($B$8=1,$D552&lt;=$B$7),IF($B$5=1,Calculator!$C$9*POWER(1+Calculator!$C$14/100,$D552/12),Calculator!$C$9),"")</f>
        <v/>
      </c>
      <c r="G552" s="14">
        <f>G551*(1+$B$4)+Calculator!$C$25</f>
        <v>307699.70568258391</v>
      </c>
      <c r="H552" s="14">
        <f>IF($B$5=1,Calculator!$C$9*POWER(1+Calculator!$C$14/100,$D552/12),Calculator!$C$9)</f>
        <v>10000</v>
      </c>
      <c r="J552" s="14">
        <f t="shared" si="47"/>
        <v>1</v>
      </c>
      <c r="K552" s="14" t="e">
        <f t="shared" ref="K552:K615" si="48">IF($D552&lt;=$B$23,E552,NA())</f>
        <v>#N/A</v>
      </c>
      <c r="L552" s="14" t="e">
        <f t="shared" ref="L552:L615" si="49">IF($D552&lt;=$B$23,F552,NA())</f>
        <v>#N/A</v>
      </c>
      <c r="M552" s="14" t="e">
        <f t="shared" ref="M552:M615" si="50">IF($D552&lt;=$B$24,G552,NA())</f>
        <v>#N/A</v>
      </c>
      <c r="N552" s="14" t="e">
        <f t="shared" ref="N552:N615" si="51">IF($D552&lt;=$B$24,H552,NA())</f>
        <v>#N/A</v>
      </c>
    </row>
    <row r="553" spans="4:14" ht="16.5" x14ac:dyDescent="0.25">
      <c r="D553" s="14">
        <v>513</v>
      </c>
      <c r="E553" s="14" t="str">
        <f t="shared" ref="E553:E616" si="52">IF(AND($B$8=1,$D553&lt;=$B$7),E552*(1+$B$4)+$B$11,"")</f>
        <v/>
      </c>
      <c r="F553" s="14" t="str">
        <f>IF(AND($B$8=1,$D553&lt;=$B$7),IF($B$5=1,Calculator!$C$9*POWER(1+Calculator!$C$14/100,$D553/12),Calculator!$C$9),"")</f>
        <v/>
      </c>
      <c r="G553" s="14">
        <f>G552*(1+$B$4)+Calculator!$C$25</f>
        <v>308758.57616565563</v>
      </c>
      <c r="H553" s="14">
        <f>IF($B$5=1,Calculator!$C$9*POWER(1+Calculator!$C$14/100,$D553/12),Calculator!$C$9)</f>
        <v>10000</v>
      </c>
      <c r="J553" s="14">
        <f t="shared" ref="J553:J616" si="53">IF(G553&gt;=H553,1,0)</f>
        <v>1</v>
      </c>
      <c r="K553" s="14" t="e">
        <f t="shared" si="48"/>
        <v>#N/A</v>
      </c>
      <c r="L553" s="14" t="e">
        <f t="shared" si="49"/>
        <v>#N/A</v>
      </c>
      <c r="M553" s="14" t="e">
        <f t="shared" si="50"/>
        <v>#N/A</v>
      </c>
      <c r="N553" s="14" t="e">
        <f t="shared" si="51"/>
        <v>#N/A</v>
      </c>
    </row>
    <row r="554" spans="4:14" ht="16.5" x14ac:dyDescent="0.25">
      <c r="D554" s="14">
        <v>514</v>
      </c>
      <c r="E554" s="14" t="str">
        <f t="shared" si="52"/>
        <v/>
      </c>
      <c r="F554" s="14" t="str">
        <f>IF(AND($B$8=1,$D554&lt;=$B$7),IF($B$5=1,Calculator!$C$9*POWER(1+Calculator!$C$14/100,$D554/12),Calculator!$C$9),"")</f>
        <v/>
      </c>
      <c r="G554" s="14">
        <f>G553*(1+$B$4)+Calculator!$C$25</f>
        <v>309820.05810899253</v>
      </c>
      <c r="H554" s="14">
        <f>IF($B$5=1,Calculator!$C$9*POWER(1+Calculator!$C$14/100,$D554/12),Calculator!$C$9)</f>
        <v>10000</v>
      </c>
      <c r="J554" s="14">
        <f t="shared" si="53"/>
        <v>1</v>
      </c>
      <c r="K554" s="14" t="e">
        <f t="shared" si="48"/>
        <v>#N/A</v>
      </c>
      <c r="L554" s="14" t="e">
        <f t="shared" si="49"/>
        <v>#N/A</v>
      </c>
      <c r="M554" s="14" t="e">
        <f t="shared" si="50"/>
        <v>#N/A</v>
      </c>
      <c r="N554" s="14" t="e">
        <f t="shared" si="51"/>
        <v>#N/A</v>
      </c>
    </row>
    <row r="555" spans="4:14" ht="16.5" x14ac:dyDescent="0.25">
      <c r="D555" s="14">
        <v>515</v>
      </c>
      <c r="E555" s="14" t="str">
        <f t="shared" si="52"/>
        <v/>
      </c>
      <c r="F555" s="14" t="str">
        <f>IF(AND($B$8=1,$D555&lt;=$B$7),IF($B$5=1,Calculator!$C$9*POWER(1+Calculator!$C$14/100,$D555/12),Calculator!$C$9),"")</f>
        <v/>
      </c>
      <c r="G555" s="14">
        <f>G554*(1+$B$4)+Calculator!$C$25</f>
        <v>310884.15795316012</v>
      </c>
      <c r="H555" s="14">
        <f>IF($B$5=1,Calculator!$C$9*POWER(1+Calculator!$C$14/100,$D555/12),Calculator!$C$9)</f>
        <v>10000</v>
      </c>
      <c r="J555" s="14">
        <f t="shared" si="53"/>
        <v>1</v>
      </c>
      <c r="K555" s="14" t="e">
        <f t="shared" si="48"/>
        <v>#N/A</v>
      </c>
      <c r="L555" s="14" t="e">
        <f t="shared" si="49"/>
        <v>#N/A</v>
      </c>
      <c r="M555" s="14" t="e">
        <f t="shared" si="50"/>
        <v>#N/A</v>
      </c>
      <c r="N555" s="14" t="e">
        <f t="shared" si="51"/>
        <v>#N/A</v>
      </c>
    </row>
    <row r="556" spans="4:14" ht="16.5" x14ac:dyDescent="0.25">
      <c r="D556" s="14">
        <v>516</v>
      </c>
      <c r="E556" s="14" t="str">
        <f t="shared" si="52"/>
        <v/>
      </c>
      <c r="F556" s="14" t="str">
        <f>IF(AND($B$8=1,$D556&lt;=$B$7),IF($B$5=1,Calculator!$C$9*POWER(1+Calculator!$C$14/100,$D556/12),Calculator!$C$9),"")</f>
        <v/>
      </c>
      <c r="G556" s="14">
        <f>G555*(1+$B$4)+Calculator!$C$25</f>
        <v>311950.88215460809</v>
      </c>
      <c r="H556" s="14">
        <f>IF($B$5=1,Calculator!$C$9*POWER(1+Calculator!$C$14/100,$D556/12),Calculator!$C$9)</f>
        <v>10000</v>
      </c>
      <c r="J556" s="14">
        <f t="shared" si="53"/>
        <v>1</v>
      </c>
      <c r="K556" s="14" t="e">
        <f t="shared" si="48"/>
        <v>#N/A</v>
      </c>
      <c r="L556" s="14" t="e">
        <f t="shared" si="49"/>
        <v>#N/A</v>
      </c>
      <c r="M556" s="14" t="e">
        <f t="shared" si="50"/>
        <v>#N/A</v>
      </c>
      <c r="N556" s="14" t="e">
        <f t="shared" si="51"/>
        <v>#N/A</v>
      </c>
    </row>
    <row r="557" spans="4:14" ht="16.5" x14ac:dyDescent="0.25">
      <c r="D557" s="14">
        <v>517</v>
      </c>
      <c r="E557" s="14" t="str">
        <f t="shared" si="52"/>
        <v/>
      </c>
      <c r="F557" s="14" t="str">
        <f>IF(AND($B$8=1,$D557&lt;=$B$7),IF($B$5=1,Calculator!$C$9*POWER(1+Calculator!$C$14/100,$D557/12),Calculator!$C$9),"")</f>
        <v/>
      </c>
      <c r="G557" s="14">
        <f>G556*(1+$B$4)+Calculator!$C$25</f>
        <v>313020.23718570947</v>
      </c>
      <c r="H557" s="14">
        <f>IF($B$5=1,Calculator!$C$9*POWER(1+Calculator!$C$14/100,$D557/12),Calculator!$C$9)</f>
        <v>10000</v>
      </c>
      <c r="J557" s="14">
        <f t="shared" si="53"/>
        <v>1</v>
      </c>
      <c r="K557" s="14" t="e">
        <f t="shared" si="48"/>
        <v>#N/A</v>
      </c>
      <c r="L557" s="14" t="e">
        <f t="shared" si="49"/>
        <v>#N/A</v>
      </c>
      <c r="M557" s="14" t="e">
        <f t="shared" si="50"/>
        <v>#N/A</v>
      </c>
      <c r="N557" s="14" t="e">
        <f t="shared" si="51"/>
        <v>#N/A</v>
      </c>
    </row>
    <row r="558" spans="4:14" ht="16.5" x14ac:dyDescent="0.25">
      <c r="D558" s="14">
        <v>518</v>
      </c>
      <c r="E558" s="14" t="str">
        <f t="shared" si="52"/>
        <v/>
      </c>
      <c r="F558" s="14" t="str">
        <f>IF(AND($B$8=1,$D558&lt;=$B$7),IF($B$5=1,Calculator!$C$9*POWER(1+Calculator!$C$14/100,$D558/12),Calculator!$C$9),"")</f>
        <v/>
      </c>
      <c r="G558" s="14">
        <f>G557*(1+$B$4)+Calculator!$C$25</f>
        <v>314092.22953479993</v>
      </c>
      <c r="H558" s="14">
        <f>IF($B$5=1,Calculator!$C$9*POWER(1+Calculator!$C$14/100,$D558/12),Calculator!$C$9)</f>
        <v>10000</v>
      </c>
      <c r="J558" s="14">
        <f t="shared" si="53"/>
        <v>1</v>
      </c>
      <c r="K558" s="14" t="e">
        <f t="shared" si="48"/>
        <v>#N/A</v>
      </c>
      <c r="L558" s="14" t="e">
        <f t="shared" si="49"/>
        <v>#N/A</v>
      </c>
      <c r="M558" s="14" t="e">
        <f t="shared" si="50"/>
        <v>#N/A</v>
      </c>
      <c r="N558" s="14" t="e">
        <f t="shared" si="51"/>
        <v>#N/A</v>
      </c>
    </row>
    <row r="559" spans="4:14" ht="16.5" x14ac:dyDescent="0.25">
      <c r="D559" s="14">
        <v>519</v>
      </c>
      <c r="E559" s="14" t="str">
        <f t="shared" si="52"/>
        <v/>
      </c>
      <c r="F559" s="14" t="str">
        <f>IF(AND($B$8=1,$D559&lt;=$B$7),IF($B$5=1,Calculator!$C$9*POWER(1+Calculator!$C$14/100,$D559/12),Calculator!$C$9),"")</f>
        <v/>
      </c>
      <c r="G559" s="14">
        <f>G558*(1+$B$4)+Calculator!$C$25</f>
        <v>315166.86570621707</v>
      </c>
      <c r="H559" s="14">
        <f>IF($B$5=1,Calculator!$C$9*POWER(1+Calculator!$C$14/100,$D559/12),Calculator!$C$9)</f>
        <v>10000</v>
      </c>
      <c r="J559" s="14">
        <f t="shared" si="53"/>
        <v>1</v>
      </c>
      <c r="K559" s="14" t="e">
        <f t="shared" si="48"/>
        <v>#N/A</v>
      </c>
      <c r="L559" s="14" t="e">
        <f t="shared" si="49"/>
        <v>#N/A</v>
      </c>
      <c r="M559" s="14" t="e">
        <f t="shared" si="50"/>
        <v>#N/A</v>
      </c>
      <c r="N559" s="14" t="e">
        <f t="shared" si="51"/>
        <v>#N/A</v>
      </c>
    </row>
    <row r="560" spans="4:14" ht="16.5" x14ac:dyDescent="0.25">
      <c r="D560" s="14">
        <v>520</v>
      </c>
      <c r="E560" s="14" t="str">
        <f t="shared" si="52"/>
        <v/>
      </c>
      <c r="F560" s="14" t="str">
        <f>IF(AND($B$8=1,$D560&lt;=$B$7),IF($B$5=1,Calculator!$C$9*POWER(1+Calculator!$C$14/100,$D560/12),Calculator!$C$9),"")</f>
        <v/>
      </c>
      <c r="G560" s="14">
        <f>G559*(1+$B$4)+Calculator!$C$25</f>
        <v>316244.15222033998</v>
      </c>
      <c r="H560" s="14">
        <f>IF($B$5=1,Calculator!$C$9*POWER(1+Calculator!$C$14/100,$D560/12),Calculator!$C$9)</f>
        <v>10000</v>
      </c>
      <c r="J560" s="14">
        <f t="shared" si="53"/>
        <v>1</v>
      </c>
      <c r="K560" s="14" t="e">
        <f t="shared" si="48"/>
        <v>#N/A</v>
      </c>
      <c r="L560" s="14" t="e">
        <f t="shared" si="49"/>
        <v>#N/A</v>
      </c>
      <c r="M560" s="14" t="e">
        <f t="shared" si="50"/>
        <v>#N/A</v>
      </c>
      <c r="N560" s="14" t="e">
        <f t="shared" si="51"/>
        <v>#N/A</v>
      </c>
    </row>
    <row r="561" spans="4:14" ht="16.5" x14ac:dyDescent="0.25">
      <c r="D561" s="14">
        <v>521</v>
      </c>
      <c r="E561" s="14" t="str">
        <f t="shared" si="52"/>
        <v/>
      </c>
      <c r="F561" s="14" t="str">
        <f>IF(AND($B$8=1,$D561&lt;=$B$7),IF($B$5=1,Calculator!$C$9*POWER(1+Calculator!$C$14/100,$D561/12),Calculator!$C$9),"")</f>
        <v/>
      </c>
      <c r="G561" s="14">
        <f>G560*(1+$B$4)+Calculator!$C$25</f>
        <v>317324.0956136288</v>
      </c>
      <c r="H561" s="14">
        <f>IF($B$5=1,Calculator!$C$9*POWER(1+Calculator!$C$14/100,$D561/12),Calculator!$C$9)</f>
        <v>10000</v>
      </c>
      <c r="J561" s="14">
        <f t="shared" si="53"/>
        <v>1</v>
      </c>
      <c r="K561" s="14" t="e">
        <f t="shared" si="48"/>
        <v>#N/A</v>
      </c>
      <c r="L561" s="14" t="e">
        <f t="shared" si="49"/>
        <v>#N/A</v>
      </c>
      <c r="M561" s="14" t="e">
        <f t="shared" si="50"/>
        <v>#N/A</v>
      </c>
      <c r="N561" s="14" t="e">
        <f t="shared" si="51"/>
        <v>#N/A</v>
      </c>
    </row>
    <row r="562" spans="4:14" ht="16.5" x14ac:dyDescent="0.25">
      <c r="D562" s="14">
        <v>522</v>
      </c>
      <c r="E562" s="14" t="str">
        <f t="shared" si="52"/>
        <v/>
      </c>
      <c r="F562" s="14" t="str">
        <f>IF(AND($B$8=1,$D562&lt;=$B$7),IF($B$5=1,Calculator!$C$9*POWER(1+Calculator!$C$14/100,$D562/12),Calculator!$C$9),"")</f>
        <v/>
      </c>
      <c r="G562" s="14">
        <f>G561*(1+$B$4)+Calculator!$C$25</f>
        <v>318406.70243866427</v>
      </c>
      <c r="H562" s="14">
        <f>IF($B$5=1,Calculator!$C$9*POWER(1+Calculator!$C$14/100,$D562/12),Calculator!$C$9)</f>
        <v>10000</v>
      </c>
      <c r="J562" s="14">
        <f t="shared" si="53"/>
        <v>1</v>
      </c>
      <c r="K562" s="14" t="e">
        <f t="shared" si="48"/>
        <v>#N/A</v>
      </c>
      <c r="L562" s="14" t="e">
        <f t="shared" si="49"/>
        <v>#N/A</v>
      </c>
      <c r="M562" s="14" t="e">
        <f t="shared" si="50"/>
        <v>#N/A</v>
      </c>
      <c r="N562" s="14" t="e">
        <f t="shared" si="51"/>
        <v>#N/A</v>
      </c>
    </row>
    <row r="563" spans="4:14" ht="16.5" x14ac:dyDescent="0.25">
      <c r="D563" s="14">
        <v>523</v>
      </c>
      <c r="E563" s="14" t="str">
        <f t="shared" si="52"/>
        <v/>
      </c>
      <c r="F563" s="14" t="str">
        <f>IF(AND($B$8=1,$D563&lt;=$B$7),IF($B$5=1,Calculator!$C$9*POWER(1+Calculator!$C$14/100,$D563/12),Calculator!$C$9),"")</f>
        <v/>
      </c>
      <c r="G563" s="14">
        <f>G562*(1+$B$4)+Calculator!$C$25</f>
        <v>319491.97926418763</v>
      </c>
      <c r="H563" s="14">
        <f>IF($B$5=1,Calculator!$C$9*POWER(1+Calculator!$C$14/100,$D563/12),Calculator!$C$9)</f>
        <v>10000</v>
      </c>
      <c r="J563" s="14">
        <f t="shared" si="53"/>
        <v>1</v>
      </c>
      <c r="K563" s="14" t="e">
        <f t="shared" si="48"/>
        <v>#N/A</v>
      </c>
      <c r="L563" s="14" t="e">
        <f t="shared" si="49"/>
        <v>#N/A</v>
      </c>
      <c r="M563" s="14" t="e">
        <f t="shared" si="50"/>
        <v>#N/A</v>
      </c>
      <c r="N563" s="14" t="e">
        <f t="shared" si="51"/>
        <v>#N/A</v>
      </c>
    </row>
    <row r="564" spans="4:14" ht="16.5" x14ac:dyDescent="0.25">
      <c r="D564" s="14">
        <v>524</v>
      </c>
      <c r="E564" s="14" t="str">
        <f t="shared" si="52"/>
        <v/>
      </c>
      <c r="F564" s="14" t="str">
        <f>IF(AND($B$8=1,$D564&lt;=$B$7),IF($B$5=1,Calculator!$C$9*POWER(1+Calculator!$C$14/100,$D564/12),Calculator!$C$9),"")</f>
        <v/>
      </c>
      <c r="G564" s="14">
        <f>G563*(1+$B$4)+Calculator!$C$25</f>
        <v>320579.93267514039</v>
      </c>
      <c r="H564" s="14">
        <f>IF($B$5=1,Calculator!$C$9*POWER(1+Calculator!$C$14/100,$D564/12),Calculator!$C$9)</f>
        <v>10000</v>
      </c>
      <c r="J564" s="14">
        <f t="shared" si="53"/>
        <v>1</v>
      </c>
      <c r="K564" s="14" t="e">
        <f t="shared" si="48"/>
        <v>#N/A</v>
      </c>
      <c r="L564" s="14" t="e">
        <f t="shared" si="49"/>
        <v>#N/A</v>
      </c>
      <c r="M564" s="14" t="e">
        <f t="shared" si="50"/>
        <v>#N/A</v>
      </c>
      <c r="N564" s="14" t="e">
        <f t="shared" si="51"/>
        <v>#N/A</v>
      </c>
    </row>
    <row r="565" spans="4:14" ht="16.5" x14ac:dyDescent="0.25">
      <c r="D565" s="14">
        <v>525</v>
      </c>
      <c r="E565" s="14" t="str">
        <f t="shared" si="52"/>
        <v/>
      </c>
      <c r="F565" s="14" t="str">
        <f>IF(AND($B$8=1,$D565&lt;=$B$7),IF($B$5=1,Calculator!$C$9*POWER(1+Calculator!$C$14/100,$D565/12),Calculator!$C$9),"")</f>
        <v/>
      </c>
      <c r="G565" s="14">
        <f>G564*(1+$B$4)+Calculator!$C$25</f>
        <v>321670.56927270425</v>
      </c>
      <c r="H565" s="14">
        <f>IF($B$5=1,Calculator!$C$9*POWER(1+Calculator!$C$14/100,$D565/12),Calculator!$C$9)</f>
        <v>10000</v>
      </c>
      <c r="J565" s="14">
        <f t="shared" si="53"/>
        <v>1</v>
      </c>
      <c r="K565" s="14" t="e">
        <f t="shared" si="48"/>
        <v>#N/A</v>
      </c>
      <c r="L565" s="14" t="e">
        <f t="shared" si="49"/>
        <v>#N/A</v>
      </c>
      <c r="M565" s="14" t="e">
        <f t="shared" si="50"/>
        <v>#N/A</v>
      </c>
      <c r="N565" s="14" t="e">
        <f t="shared" si="51"/>
        <v>#N/A</v>
      </c>
    </row>
    <row r="566" spans="4:14" ht="16.5" x14ac:dyDescent="0.25">
      <c r="D566" s="14">
        <v>526</v>
      </c>
      <c r="E566" s="14" t="str">
        <f t="shared" si="52"/>
        <v/>
      </c>
      <c r="F566" s="14" t="str">
        <f>IF(AND($B$8=1,$D566&lt;=$B$7),IF($B$5=1,Calculator!$C$9*POWER(1+Calculator!$C$14/100,$D566/12),Calculator!$C$9),"")</f>
        <v/>
      </c>
      <c r="G566" s="14">
        <f>G565*(1+$B$4)+Calculator!$C$25</f>
        <v>322763.89567434124</v>
      </c>
      <c r="H566" s="14">
        <f>IF($B$5=1,Calculator!$C$9*POWER(1+Calculator!$C$14/100,$D566/12),Calculator!$C$9)</f>
        <v>10000</v>
      </c>
      <c r="J566" s="14">
        <f t="shared" si="53"/>
        <v>1</v>
      </c>
      <c r="K566" s="14" t="e">
        <f t="shared" si="48"/>
        <v>#N/A</v>
      </c>
      <c r="L566" s="14" t="e">
        <f t="shared" si="49"/>
        <v>#N/A</v>
      </c>
      <c r="M566" s="14" t="e">
        <f t="shared" si="50"/>
        <v>#N/A</v>
      </c>
      <c r="N566" s="14" t="e">
        <f t="shared" si="51"/>
        <v>#N/A</v>
      </c>
    </row>
    <row r="567" spans="4:14" ht="16.5" x14ac:dyDescent="0.25">
      <c r="D567" s="14">
        <v>527</v>
      </c>
      <c r="E567" s="14" t="str">
        <f t="shared" si="52"/>
        <v/>
      </c>
      <c r="F567" s="14" t="str">
        <f>IF(AND($B$8=1,$D567&lt;=$B$7),IF($B$5=1,Calculator!$C$9*POWER(1+Calculator!$C$14/100,$D567/12),Calculator!$C$9),"")</f>
        <v/>
      </c>
      <c r="G567" s="14">
        <f>G566*(1+$B$4)+Calculator!$C$25</f>
        <v>323859.91851383384</v>
      </c>
      <c r="H567" s="14">
        <f>IF($B$5=1,Calculator!$C$9*POWER(1+Calculator!$C$14/100,$D567/12),Calculator!$C$9)</f>
        <v>10000</v>
      </c>
      <c r="J567" s="14">
        <f t="shared" si="53"/>
        <v>1</v>
      </c>
      <c r="K567" s="14" t="e">
        <f t="shared" si="48"/>
        <v>#N/A</v>
      </c>
      <c r="L567" s="14" t="e">
        <f t="shared" si="49"/>
        <v>#N/A</v>
      </c>
      <c r="M567" s="14" t="e">
        <f t="shared" si="50"/>
        <v>#N/A</v>
      </c>
      <c r="N567" s="14" t="e">
        <f t="shared" si="51"/>
        <v>#N/A</v>
      </c>
    </row>
    <row r="568" spans="4:14" ht="16.5" x14ac:dyDescent="0.25">
      <c r="D568" s="14">
        <v>528</v>
      </c>
      <c r="E568" s="14" t="str">
        <f t="shared" si="52"/>
        <v/>
      </c>
      <c r="F568" s="14" t="str">
        <f>IF(AND($B$8=1,$D568&lt;=$B$7),IF($B$5=1,Calculator!$C$9*POWER(1+Calculator!$C$14/100,$D568/12),Calculator!$C$9),"")</f>
        <v/>
      </c>
      <c r="G568" s="14">
        <f>G567*(1+$B$4)+Calculator!$C$25</f>
        <v>324958.64444132522</v>
      </c>
      <c r="H568" s="14">
        <f>IF($B$5=1,Calculator!$C$9*POWER(1+Calculator!$C$14/100,$D568/12),Calculator!$C$9)</f>
        <v>10000</v>
      </c>
      <c r="J568" s="14">
        <f t="shared" si="53"/>
        <v>1</v>
      </c>
      <c r="K568" s="14" t="e">
        <f t="shared" si="48"/>
        <v>#N/A</v>
      </c>
      <c r="L568" s="14" t="e">
        <f t="shared" si="49"/>
        <v>#N/A</v>
      </c>
      <c r="M568" s="14" t="e">
        <f t="shared" si="50"/>
        <v>#N/A</v>
      </c>
      <c r="N568" s="14" t="e">
        <f t="shared" si="51"/>
        <v>#N/A</v>
      </c>
    </row>
    <row r="569" spans="4:14" ht="16.5" x14ac:dyDescent="0.25">
      <c r="D569" s="14">
        <v>529</v>
      </c>
      <c r="E569" s="14" t="str">
        <f t="shared" si="52"/>
        <v/>
      </c>
      <c r="F569" s="14" t="str">
        <f>IF(AND($B$8=1,$D569&lt;=$B$7),IF($B$5=1,Calculator!$C$9*POWER(1+Calculator!$C$14/100,$D569/12),Calculator!$C$9),"")</f>
        <v/>
      </c>
      <c r="G569" s="14">
        <f>G568*(1+$B$4)+Calculator!$C$25</f>
        <v>326060.08012335963</v>
      </c>
      <c r="H569" s="14">
        <f>IF($B$5=1,Calculator!$C$9*POWER(1+Calculator!$C$14/100,$D569/12),Calculator!$C$9)</f>
        <v>10000</v>
      </c>
      <c r="J569" s="14">
        <f t="shared" si="53"/>
        <v>1</v>
      </c>
      <c r="K569" s="14" t="e">
        <f t="shared" si="48"/>
        <v>#N/A</v>
      </c>
      <c r="L569" s="14" t="e">
        <f t="shared" si="49"/>
        <v>#N/A</v>
      </c>
      <c r="M569" s="14" t="e">
        <f t="shared" si="50"/>
        <v>#N/A</v>
      </c>
      <c r="N569" s="14" t="e">
        <f t="shared" si="51"/>
        <v>#N/A</v>
      </c>
    </row>
    <row r="570" spans="4:14" ht="16.5" x14ac:dyDescent="0.25">
      <c r="D570" s="14">
        <v>530</v>
      </c>
      <c r="E570" s="14" t="str">
        <f t="shared" si="52"/>
        <v/>
      </c>
      <c r="F570" s="14" t="str">
        <f>IF(AND($B$8=1,$D570&lt;=$B$7),IF($B$5=1,Calculator!$C$9*POWER(1+Calculator!$C$14/100,$D570/12),Calculator!$C$9),"")</f>
        <v/>
      </c>
      <c r="G570" s="14">
        <f>G569*(1+$B$4)+Calculator!$C$25</f>
        <v>327164.23224292276</v>
      </c>
      <c r="H570" s="14">
        <f>IF($B$5=1,Calculator!$C$9*POWER(1+Calculator!$C$14/100,$D570/12),Calculator!$C$9)</f>
        <v>10000</v>
      </c>
      <c r="J570" s="14">
        <f t="shared" si="53"/>
        <v>1</v>
      </c>
      <c r="K570" s="14" t="e">
        <f t="shared" si="48"/>
        <v>#N/A</v>
      </c>
      <c r="L570" s="14" t="e">
        <f t="shared" si="49"/>
        <v>#N/A</v>
      </c>
      <c r="M570" s="14" t="e">
        <f t="shared" si="50"/>
        <v>#N/A</v>
      </c>
      <c r="N570" s="14" t="e">
        <f t="shared" si="51"/>
        <v>#N/A</v>
      </c>
    </row>
    <row r="571" spans="4:14" ht="16.5" x14ac:dyDescent="0.25">
      <c r="D571" s="14">
        <v>531</v>
      </c>
      <c r="E571" s="14" t="str">
        <f t="shared" si="52"/>
        <v/>
      </c>
      <c r="F571" s="14" t="str">
        <f>IF(AND($B$8=1,$D571&lt;=$B$7),IF($B$5=1,Calculator!$C$9*POWER(1+Calculator!$C$14/100,$D571/12),Calculator!$C$9),"")</f>
        <v/>
      </c>
      <c r="G571" s="14">
        <f>G570*(1+$B$4)+Calculator!$C$25</f>
        <v>328271.1074994824</v>
      </c>
      <c r="H571" s="14">
        <f>IF($B$5=1,Calculator!$C$9*POWER(1+Calculator!$C$14/100,$D571/12),Calculator!$C$9)</f>
        <v>10000</v>
      </c>
      <c r="J571" s="14">
        <f t="shared" si="53"/>
        <v>1</v>
      </c>
      <c r="K571" s="14" t="e">
        <f t="shared" si="48"/>
        <v>#N/A</v>
      </c>
      <c r="L571" s="14" t="e">
        <f t="shared" si="49"/>
        <v>#N/A</v>
      </c>
      <c r="M571" s="14" t="e">
        <f t="shared" si="50"/>
        <v>#N/A</v>
      </c>
      <c r="N571" s="14" t="e">
        <f t="shared" si="51"/>
        <v>#N/A</v>
      </c>
    </row>
    <row r="572" spans="4:14" ht="16.5" x14ac:dyDescent="0.25">
      <c r="D572" s="14">
        <v>532</v>
      </c>
      <c r="E572" s="14" t="str">
        <f t="shared" si="52"/>
        <v/>
      </c>
      <c r="F572" s="14" t="str">
        <f>IF(AND($B$8=1,$D572&lt;=$B$7),IF($B$5=1,Calculator!$C$9*POWER(1+Calculator!$C$14/100,$D572/12),Calculator!$C$9),"")</f>
        <v/>
      </c>
      <c r="G572" s="14">
        <f>G571*(1+$B$4)+Calculator!$C$25</f>
        <v>329380.71260902903</v>
      </c>
      <c r="H572" s="14">
        <f>IF($B$5=1,Calculator!$C$9*POWER(1+Calculator!$C$14/100,$D572/12),Calculator!$C$9)</f>
        <v>10000</v>
      </c>
      <c r="J572" s="14">
        <f t="shared" si="53"/>
        <v>1</v>
      </c>
      <c r="K572" s="14" t="e">
        <f t="shared" si="48"/>
        <v>#N/A</v>
      </c>
      <c r="L572" s="14" t="e">
        <f t="shared" si="49"/>
        <v>#N/A</v>
      </c>
      <c r="M572" s="14" t="e">
        <f t="shared" si="50"/>
        <v>#N/A</v>
      </c>
      <c r="N572" s="14" t="e">
        <f t="shared" si="51"/>
        <v>#N/A</v>
      </c>
    </row>
    <row r="573" spans="4:14" ht="16.5" x14ac:dyDescent="0.25">
      <c r="D573" s="14">
        <v>533</v>
      </c>
      <c r="E573" s="14" t="str">
        <f t="shared" si="52"/>
        <v/>
      </c>
      <c r="F573" s="14" t="str">
        <f>IF(AND($B$8=1,$D573&lt;=$B$7),IF($B$5=1,Calculator!$C$9*POWER(1+Calculator!$C$14/100,$D573/12),Calculator!$C$9),"")</f>
        <v/>
      </c>
      <c r="G573" s="14">
        <f>G572*(1+$B$4)+Calculator!$C$25</f>
        <v>330493.05430411652</v>
      </c>
      <c r="H573" s="14">
        <f>IF($B$5=1,Calculator!$C$9*POWER(1+Calculator!$C$14/100,$D573/12),Calculator!$C$9)</f>
        <v>10000</v>
      </c>
      <c r="J573" s="14">
        <f t="shared" si="53"/>
        <v>1</v>
      </c>
      <c r="K573" s="14" t="e">
        <f t="shared" si="48"/>
        <v>#N/A</v>
      </c>
      <c r="L573" s="14" t="e">
        <f t="shared" si="49"/>
        <v>#N/A</v>
      </c>
      <c r="M573" s="14" t="e">
        <f t="shared" si="50"/>
        <v>#N/A</v>
      </c>
      <c r="N573" s="14" t="e">
        <f t="shared" si="51"/>
        <v>#N/A</v>
      </c>
    </row>
    <row r="574" spans="4:14" ht="16.5" x14ac:dyDescent="0.25">
      <c r="D574" s="14">
        <v>534</v>
      </c>
      <c r="E574" s="14" t="str">
        <f t="shared" si="52"/>
        <v/>
      </c>
      <c r="F574" s="14" t="str">
        <f>IF(AND($B$8=1,$D574&lt;=$B$7),IF($B$5=1,Calculator!$C$9*POWER(1+Calculator!$C$14/100,$D574/12),Calculator!$C$9),"")</f>
        <v/>
      </c>
      <c r="G574" s="14">
        <f>G573*(1+$B$4)+Calculator!$C$25</f>
        <v>331608.13933390309</v>
      </c>
      <c r="H574" s="14">
        <f>IF($B$5=1,Calculator!$C$9*POWER(1+Calculator!$C$14/100,$D574/12),Calculator!$C$9)</f>
        <v>10000</v>
      </c>
      <c r="J574" s="14">
        <f t="shared" si="53"/>
        <v>1</v>
      </c>
      <c r="K574" s="14" t="e">
        <f t="shared" si="48"/>
        <v>#N/A</v>
      </c>
      <c r="L574" s="14" t="e">
        <f t="shared" si="49"/>
        <v>#N/A</v>
      </c>
      <c r="M574" s="14" t="e">
        <f t="shared" si="50"/>
        <v>#N/A</v>
      </c>
      <c r="N574" s="14" t="e">
        <f t="shared" si="51"/>
        <v>#N/A</v>
      </c>
    </row>
    <row r="575" spans="4:14" ht="16.5" x14ac:dyDescent="0.25">
      <c r="D575" s="14">
        <v>535</v>
      </c>
      <c r="E575" s="14" t="str">
        <f t="shared" si="52"/>
        <v/>
      </c>
      <c r="F575" s="14" t="str">
        <f>IF(AND($B$8=1,$D575&lt;=$B$7),IF($B$5=1,Calculator!$C$9*POWER(1+Calculator!$C$14/100,$D575/12),Calculator!$C$9),"")</f>
        <v/>
      </c>
      <c r="G575" s="14">
        <f>G574*(1+$B$4)+Calculator!$C$25</f>
        <v>332725.97446419217</v>
      </c>
      <c r="H575" s="14">
        <f>IF($B$5=1,Calculator!$C$9*POWER(1+Calculator!$C$14/100,$D575/12),Calculator!$C$9)</f>
        <v>10000</v>
      </c>
      <c r="J575" s="14">
        <f t="shared" si="53"/>
        <v>1</v>
      </c>
      <c r="K575" s="14" t="e">
        <f t="shared" si="48"/>
        <v>#N/A</v>
      </c>
      <c r="L575" s="14" t="e">
        <f t="shared" si="49"/>
        <v>#N/A</v>
      </c>
      <c r="M575" s="14" t="e">
        <f t="shared" si="50"/>
        <v>#N/A</v>
      </c>
      <c r="N575" s="14" t="e">
        <f t="shared" si="51"/>
        <v>#N/A</v>
      </c>
    </row>
    <row r="576" spans="4:14" ht="16.5" x14ac:dyDescent="0.25">
      <c r="D576" s="14">
        <v>536</v>
      </c>
      <c r="E576" s="14" t="str">
        <f t="shared" si="52"/>
        <v/>
      </c>
      <c r="F576" s="14" t="str">
        <f>IF(AND($B$8=1,$D576&lt;=$B$7),IF($B$5=1,Calculator!$C$9*POWER(1+Calculator!$C$14/100,$D576/12),Calculator!$C$9),"")</f>
        <v/>
      </c>
      <c r="G576" s="14">
        <f>G575*(1+$B$4)+Calculator!$C$25</f>
        <v>333846.56647747348</v>
      </c>
      <c r="H576" s="14">
        <f>IF($B$5=1,Calculator!$C$9*POWER(1+Calculator!$C$14/100,$D576/12),Calculator!$C$9)</f>
        <v>10000</v>
      </c>
      <c r="J576" s="14">
        <f t="shared" si="53"/>
        <v>1</v>
      </c>
      <c r="K576" s="14" t="e">
        <f t="shared" si="48"/>
        <v>#N/A</v>
      </c>
      <c r="L576" s="14" t="e">
        <f t="shared" si="49"/>
        <v>#N/A</v>
      </c>
      <c r="M576" s="14" t="e">
        <f t="shared" si="50"/>
        <v>#N/A</v>
      </c>
      <c r="N576" s="14" t="e">
        <f t="shared" si="51"/>
        <v>#N/A</v>
      </c>
    </row>
    <row r="577" spans="4:14" ht="16.5" x14ac:dyDescent="0.25">
      <c r="D577" s="14">
        <v>537</v>
      </c>
      <c r="E577" s="14" t="str">
        <f t="shared" si="52"/>
        <v/>
      </c>
      <c r="F577" s="14" t="str">
        <f>IF(AND($B$8=1,$D577&lt;=$B$7),IF($B$5=1,Calculator!$C$9*POWER(1+Calculator!$C$14/100,$D577/12),Calculator!$C$9),"")</f>
        <v/>
      </c>
      <c r="G577" s="14">
        <f>G576*(1+$B$4)+Calculator!$C$25</f>
        <v>334969.92217296426</v>
      </c>
      <c r="H577" s="14">
        <f>IF($B$5=1,Calculator!$C$9*POWER(1+Calculator!$C$14/100,$D577/12),Calculator!$C$9)</f>
        <v>10000</v>
      </c>
      <c r="J577" s="14">
        <f t="shared" si="53"/>
        <v>1</v>
      </c>
      <c r="K577" s="14" t="e">
        <f t="shared" si="48"/>
        <v>#N/A</v>
      </c>
      <c r="L577" s="14" t="e">
        <f t="shared" si="49"/>
        <v>#N/A</v>
      </c>
      <c r="M577" s="14" t="e">
        <f t="shared" si="50"/>
        <v>#N/A</v>
      </c>
      <c r="N577" s="14" t="e">
        <f t="shared" si="51"/>
        <v>#N/A</v>
      </c>
    </row>
    <row r="578" spans="4:14" ht="16.5" x14ac:dyDescent="0.25">
      <c r="D578" s="14">
        <v>538</v>
      </c>
      <c r="E578" s="14" t="str">
        <f t="shared" si="52"/>
        <v/>
      </c>
      <c r="F578" s="14" t="str">
        <f>IF(AND($B$8=1,$D578&lt;=$B$7),IF($B$5=1,Calculator!$C$9*POWER(1+Calculator!$C$14/100,$D578/12),Calculator!$C$9),"")</f>
        <v/>
      </c>
      <c r="G578" s="14">
        <f>G577*(1+$B$4)+Calculator!$C$25</f>
        <v>336096.04836665036</v>
      </c>
      <c r="H578" s="14">
        <f>IF($B$5=1,Calculator!$C$9*POWER(1+Calculator!$C$14/100,$D578/12),Calculator!$C$9)</f>
        <v>10000</v>
      </c>
      <c r="J578" s="14">
        <f t="shared" si="53"/>
        <v>1</v>
      </c>
      <c r="K578" s="14" t="e">
        <f t="shared" si="48"/>
        <v>#N/A</v>
      </c>
      <c r="L578" s="14" t="e">
        <f t="shared" si="49"/>
        <v>#N/A</v>
      </c>
      <c r="M578" s="14" t="e">
        <f t="shared" si="50"/>
        <v>#N/A</v>
      </c>
      <c r="N578" s="14" t="e">
        <f t="shared" si="51"/>
        <v>#N/A</v>
      </c>
    </row>
    <row r="579" spans="4:14" ht="16.5" x14ac:dyDescent="0.25">
      <c r="D579" s="14">
        <v>539</v>
      </c>
      <c r="E579" s="14" t="str">
        <f t="shared" si="52"/>
        <v/>
      </c>
      <c r="F579" s="14" t="str">
        <f>IF(AND($B$8=1,$D579&lt;=$B$7),IF($B$5=1,Calculator!$C$9*POWER(1+Calculator!$C$14/100,$D579/12),Calculator!$C$9),"")</f>
        <v/>
      </c>
      <c r="G579" s="14">
        <f>G578*(1+$B$4)+Calculator!$C$25</f>
        <v>337224.95189132774</v>
      </c>
      <c r="H579" s="14">
        <f>IF($B$5=1,Calculator!$C$9*POWER(1+Calculator!$C$14/100,$D579/12),Calculator!$C$9)</f>
        <v>10000</v>
      </c>
      <c r="J579" s="14">
        <f t="shared" si="53"/>
        <v>1</v>
      </c>
      <c r="K579" s="14" t="e">
        <f t="shared" si="48"/>
        <v>#N/A</v>
      </c>
      <c r="L579" s="14" t="e">
        <f t="shared" si="49"/>
        <v>#N/A</v>
      </c>
      <c r="M579" s="14" t="e">
        <f t="shared" si="50"/>
        <v>#N/A</v>
      </c>
      <c r="N579" s="14" t="e">
        <f t="shared" si="51"/>
        <v>#N/A</v>
      </c>
    </row>
    <row r="580" spans="4:14" ht="16.5" x14ac:dyDescent="0.25">
      <c r="D580" s="14">
        <v>540</v>
      </c>
      <c r="E580" s="14" t="str">
        <f t="shared" si="52"/>
        <v/>
      </c>
      <c r="F580" s="14" t="str">
        <f>IF(AND($B$8=1,$D580&lt;=$B$7),IF($B$5=1,Calculator!$C$9*POWER(1+Calculator!$C$14/100,$D580/12),Calculator!$C$9),"")</f>
        <v/>
      </c>
      <c r="G580" s="14">
        <f>G579*(1+$B$4)+Calculator!$C$25</f>
        <v>338356.63959664392</v>
      </c>
      <c r="H580" s="14">
        <f>IF($B$5=1,Calculator!$C$9*POWER(1+Calculator!$C$14/100,$D580/12),Calculator!$C$9)</f>
        <v>10000</v>
      </c>
      <c r="J580" s="14">
        <f t="shared" si="53"/>
        <v>1</v>
      </c>
      <c r="K580" s="14" t="e">
        <f t="shared" si="48"/>
        <v>#N/A</v>
      </c>
      <c r="L580" s="14" t="e">
        <f t="shared" si="49"/>
        <v>#N/A</v>
      </c>
      <c r="M580" s="14" t="e">
        <f t="shared" si="50"/>
        <v>#N/A</v>
      </c>
      <c r="N580" s="14" t="e">
        <f t="shared" si="51"/>
        <v>#N/A</v>
      </c>
    </row>
    <row r="581" spans="4:14" ht="16.5" x14ac:dyDescent="0.25">
      <c r="D581" s="14">
        <v>541</v>
      </c>
      <c r="E581" s="14" t="str">
        <f t="shared" si="52"/>
        <v/>
      </c>
      <c r="F581" s="14" t="str">
        <f>IF(AND($B$8=1,$D581&lt;=$B$7),IF($B$5=1,Calculator!$C$9*POWER(1+Calculator!$C$14/100,$D581/12),Calculator!$C$9),"")</f>
        <v/>
      </c>
      <c r="G581" s="14">
        <f>G580*(1+$B$4)+Calculator!$C$25</f>
        <v>339491.11834913935</v>
      </c>
      <c r="H581" s="14">
        <f>IF($B$5=1,Calculator!$C$9*POWER(1+Calculator!$C$14/100,$D581/12),Calculator!$C$9)</f>
        <v>10000</v>
      </c>
      <c r="J581" s="14">
        <f t="shared" si="53"/>
        <v>1</v>
      </c>
      <c r="K581" s="14" t="e">
        <f t="shared" si="48"/>
        <v>#N/A</v>
      </c>
      <c r="L581" s="14" t="e">
        <f t="shared" si="49"/>
        <v>#N/A</v>
      </c>
      <c r="M581" s="14" t="e">
        <f t="shared" si="50"/>
        <v>#N/A</v>
      </c>
      <c r="N581" s="14" t="e">
        <f t="shared" si="51"/>
        <v>#N/A</v>
      </c>
    </row>
    <row r="582" spans="4:14" ht="16.5" x14ac:dyDescent="0.25">
      <c r="D582" s="14">
        <v>542</v>
      </c>
      <c r="E582" s="14" t="str">
        <f t="shared" si="52"/>
        <v/>
      </c>
      <c r="F582" s="14" t="str">
        <f>IF(AND($B$8=1,$D582&lt;=$B$7),IF($B$5=1,Calculator!$C$9*POWER(1+Calculator!$C$14/100,$D582/12),Calculator!$C$9),"")</f>
        <v/>
      </c>
      <c r="G582" s="14">
        <f>G581*(1+$B$4)+Calculator!$C$25</f>
        <v>340628.39503228938</v>
      </c>
      <c r="H582" s="14">
        <f>IF($B$5=1,Calculator!$C$9*POWER(1+Calculator!$C$14/100,$D582/12),Calculator!$C$9)</f>
        <v>10000</v>
      </c>
      <c r="J582" s="14">
        <f t="shared" si="53"/>
        <v>1</v>
      </c>
      <c r="K582" s="14" t="e">
        <f t="shared" si="48"/>
        <v>#N/A</v>
      </c>
      <c r="L582" s="14" t="e">
        <f t="shared" si="49"/>
        <v>#N/A</v>
      </c>
      <c r="M582" s="14" t="e">
        <f t="shared" si="50"/>
        <v>#N/A</v>
      </c>
      <c r="N582" s="14" t="e">
        <f t="shared" si="51"/>
        <v>#N/A</v>
      </c>
    </row>
    <row r="583" spans="4:14" ht="16.5" x14ac:dyDescent="0.25">
      <c r="D583" s="14">
        <v>543</v>
      </c>
      <c r="E583" s="14" t="str">
        <f t="shared" si="52"/>
        <v/>
      </c>
      <c r="F583" s="14" t="str">
        <f>IF(AND($B$8=1,$D583&lt;=$B$7),IF($B$5=1,Calculator!$C$9*POWER(1+Calculator!$C$14/100,$D583/12),Calculator!$C$9),"")</f>
        <v/>
      </c>
      <c r="G583" s="14">
        <f>G582*(1+$B$4)+Calculator!$C$25</f>
        <v>341768.47654654586</v>
      </c>
      <c r="H583" s="14">
        <f>IF($B$5=1,Calculator!$C$9*POWER(1+Calculator!$C$14/100,$D583/12),Calculator!$C$9)</f>
        <v>10000</v>
      </c>
      <c r="J583" s="14">
        <f t="shared" si="53"/>
        <v>1</v>
      </c>
      <c r="K583" s="14" t="e">
        <f t="shared" si="48"/>
        <v>#N/A</v>
      </c>
      <c r="L583" s="14" t="e">
        <f t="shared" si="49"/>
        <v>#N/A</v>
      </c>
      <c r="M583" s="14" t="e">
        <f t="shared" si="50"/>
        <v>#N/A</v>
      </c>
      <c r="N583" s="14" t="e">
        <f t="shared" si="51"/>
        <v>#N/A</v>
      </c>
    </row>
    <row r="584" spans="4:14" ht="16.5" x14ac:dyDescent="0.25">
      <c r="D584" s="14">
        <v>544</v>
      </c>
      <c r="E584" s="14" t="str">
        <f t="shared" si="52"/>
        <v/>
      </c>
      <c r="F584" s="14" t="str">
        <f>IF(AND($B$8=1,$D584&lt;=$B$7),IF($B$5=1,Calculator!$C$9*POWER(1+Calculator!$C$14/100,$D584/12),Calculator!$C$9),"")</f>
        <v/>
      </c>
      <c r="G584" s="14">
        <f>G583*(1+$B$4)+Calculator!$C$25</f>
        <v>342911.36980937887</v>
      </c>
      <c r="H584" s="14">
        <f>IF($B$5=1,Calculator!$C$9*POWER(1+Calculator!$C$14/100,$D584/12),Calculator!$C$9)</f>
        <v>10000</v>
      </c>
      <c r="J584" s="14">
        <f t="shared" si="53"/>
        <v>1</v>
      </c>
      <c r="K584" s="14" t="e">
        <f t="shared" si="48"/>
        <v>#N/A</v>
      </c>
      <c r="L584" s="14" t="e">
        <f t="shared" si="49"/>
        <v>#N/A</v>
      </c>
      <c r="M584" s="14" t="e">
        <f t="shared" si="50"/>
        <v>#N/A</v>
      </c>
      <c r="N584" s="14" t="e">
        <f t="shared" si="51"/>
        <v>#N/A</v>
      </c>
    </row>
    <row r="585" spans="4:14" ht="16.5" x14ac:dyDescent="0.25">
      <c r="D585" s="14">
        <v>545</v>
      </c>
      <c r="E585" s="14" t="str">
        <f t="shared" si="52"/>
        <v/>
      </c>
      <c r="F585" s="14" t="str">
        <f>IF(AND($B$8=1,$D585&lt;=$B$7),IF($B$5=1,Calculator!$C$9*POWER(1+Calculator!$C$14/100,$D585/12),Calculator!$C$9),"")</f>
        <v/>
      </c>
      <c r="G585" s="14">
        <f>G584*(1+$B$4)+Calculator!$C$25</f>
        <v>344057.08175531897</v>
      </c>
      <c r="H585" s="14">
        <f>IF($B$5=1,Calculator!$C$9*POWER(1+Calculator!$C$14/100,$D585/12),Calculator!$C$9)</f>
        <v>10000</v>
      </c>
      <c r="J585" s="14">
        <f t="shared" si="53"/>
        <v>1</v>
      </c>
      <c r="K585" s="14" t="e">
        <f t="shared" si="48"/>
        <v>#N/A</v>
      </c>
      <c r="L585" s="14" t="e">
        <f t="shared" si="49"/>
        <v>#N/A</v>
      </c>
      <c r="M585" s="14" t="e">
        <f t="shared" si="50"/>
        <v>#N/A</v>
      </c>
      <c r="N585" s="14" t="e">
        <f t="shared" si="51"/>
        <v>#N/A</v>
      </c>
    </row>
    <row r="586" spans="4:14" ht="16.5" x14ac:dyDescent="0.25">
      <c r="D586" s="14">
        <v>546</v>
      </c>
      <c r="E586" s="14" t="str">
        <f t="shared" si="52"/>
        <v/>
      </c>
      <c r="F586" s="14" t="str">
        <f>IF(AND($B$8=1,$D586&lt;=$B$7),IF($B$5=1,Calculator!$C$9*POWER(1+Calculator!$C$14/100,$D586/12),Calculator!$C$9),"")</f>
        <v/>
      </c>
      <c r="G586" s="14">
        <f>G585*(1+$B$4)+Calculator!$C$25</f>
        <v>345205.61933599913</v>
      </c>
      <c r="H586" s="14">
        <f>IF($B$5=1,Calculator!$C$9*POWER(1+Calculator!$C$14/100,$D586/12),Calculator!$C$9)</f>
        <v>10000</v>
      </c>
      <c r="J586" s="14">
        <f t="shared" si="53"/>
        <v>1</v>
      </c>
      <c r="K586" s="14" t="e">
        <f t="shared" si="48"/>
        <v>#N/A</v>
      </c>
      <c r="L586" s="14" t="e">
        <f t="shared" si="49"/>
        <v>#N/A</v>
      </c>
      <c r="M586" s="14" t="e">
        <f t="shared" si="50"/>
        <v>#N/A</v>
      </c>
      <c r="N586" s="14" t="e">
        <f t="shared" si="51"/>
        <v>#N/A</v>
      </c>
    </row>
    <row r="587" spans="4:14" ht="16.5" x14ac:dyDescent="0.25">
      <c r="D587" s="14">
        <v>547</v>
      </c>
      <c r="E587" s="14" t="str">
        <f t="shared" si="52"/>
        <v/>
      </c>
      <c r="F587" s="14" t="str">
        <f>IF(AND($B$8=1,$D587&lt;=$B$7),IF($B$5=1,Calculator!$C$9*POWER(1+Calculator!$C$14/100,$D587/12),Calculator!$C$9),"")</f>
        <v/>
      </c>
      <c r="G587" s="14">
        <f>G586*(1+$B$4)+Calculator!$C$25</f>
        <v>346356.98952019686</v>
      </c>
      <c r="H587" s="14">
        <f>IF($B$5=1,Calculator!$C$9*POWER(1+Calculator!$C$14/100,$D587/12),Calculator!$C$9)</f>
        <v>10000</v>
      </c>
      <c r="J587" s="14">
        <f t="shared" si="53"/>
        <v>1</v>
      </c>
      <c r="K587" s="14" t="e">
        <f t="shared" si="48"/>
        <v>#N/A</v>
      </c>
      <c r="L587" s="14" t="e">
        <f t="shared" si="49"/>
        <v>#N/A</v>
      </c>
      <c r="M587" s="14" t="e">
        <f t="shared" si="50"/>
        <v>#N/A</v>
      </c>
      <c r="N587" s="14" t="e">
        <f t="shared" si="51"/>
        <v>#N/A</v>
      </c>
    </row>
    <row r="588" spans="4:14" ht="16.5" x14ac:dyDescent="0.25">
      <c r="D588" s="14">
        <v>548</v>
      </c>
      <c r="E588" s="14" t="str">
        <f t="shared" si="52"/>
        <v/>
      </c>
      <c r="F588" s="14" t="str">
        <f>IF(AND($B$8=1,$D588&lt;=$B$7),IF($B$5=1,Calculator!$C$9*POWER(1+Calculator!$C$14/100,$D588/12),Calculator!$C$9),"")</f>
        <v/>
      </c>
      <c r="G588" s="14">
        <f>G587*(1+$B$4)+Calculator!$C$25</f>
        <v>347511.19929387665</v>
      </c>
      <c r="H588" s="14">
        <f>IF($B$5=1,Calculator!$C$9*POWER(1+Calculator!$C$14/100,$D588/12),Calculator!$C$9)</f>
        <v>10000</v>
      </c>
      <c r="J588" s="14">
        <f t="shared" si="53"/>
        <v>1</v>
      </c>
      <c r="K588" s="14" t="e">
        <f t="shared" si="48"/>
        <v>#N/A</v>
      </c>
      <c r="L588" s="14" t="e">
        <f t="shared" si="49"/>
        <v>#N/A</v>
      </c>
      <c r="M588" s="14" t="e">
        <f t="shared" si="50"/>
        <v>#N/A</v>
      </c>
      <c r="N588" s="14" t="e">
        <f t="shared" si="51"/>
        <v>#N/A</v>
      </c>
    </row>
    <row r="589" spans="4:14" ht="16.5" x14ac:dyDescent="0.25">
      <c r="D589" s="14">
        <v>549</v>
      </c>
      <c r="E589" s="14" t="str">
        <f t="shared" si="52"/>
        <v/>
      </c>
      <c r="F589" s="14" t="str">
        <f>IF(AND($B$8=1,$D589&lt;=$B$7),IF($B$5=1,Calculator!$C$9*POWER(1+Calculator!$C$14/100,$D589/12),Calculator!$C$9),"")</f>
        <v/>
      </c>
      <c r="G589" s="14">
        <f>G588*(1+$B$4)+Calculator!$C$25</f>
        <v>348668.25566023216</v>
      </c>
      <c r="H589" s="14">
        <f>IF($B$5=1,Calculator!$C$9*POWER(1+Calculator!$C$14/100,$D589/12),Calculator!$C$9)</f>
        <v>10000</v>
      </c>
      <c r="J589" s="14">
        <f t="shared" si="53"/>
        <v>1</v>
      </c>
      <c r="K589" s="14" t="e">
        <f t="shared" si="48"/>
        <v>#N/A</v>
      </c>
      <c r="L589" s="14" t="e">
        <f t="shared" si="49"/>
        <v>#N/A</v>
      </c>
      <c r="M589" s="14" t="e">
        <f t="shared" si="50"/>
        <v>#N/A</v>
      </c>
      <c r="N589" s="14" t="e">
        <f t="shared" si="51"/>
        <v>#N/A</v>
      </c>
    </row>
    <row r="590" spans="4:14" ht="16.5" x14ac:dyDescent="0.25">
      <c r="D590" s="14">
        <v>550</v>
      </c>
      <c r="E590" s="14" t="str">
        <f t="shared" si="52"/>
        <v/>
      </c>
      <c r="F590" s="14" t="str">
        <f>IF(AND($B$8=1,$D590&lt;=$B$7),IF($B$5=1,Calculator!$C$9*POWER(1+Calculator!$C$14/100,$D590/12),Calculator!$C$9),"")</f>
        <v/>
      </c>
      <c r="G590" s="14">
        <f>G589*(1+$B$4)+Calculator!$C$25</f>
        <v>349828.16563972883</v>
      </c>
      <c r="H590" s="14">
        <f>IF($B$5=1,Calculator!$C$9*POWER(1+Calculator!$C$14/100,$D590/12),Calculator!$C$9)</f>
        <v>10000</v>
      </c>
      <c r="J590" s="14">
        <f t="shared" si="53"/>
        <v>1</v>
      </c>
      <c r="K590" s="14" t="e">
        <f t="shared" si="48"/>
        <v>#N/A</v>
      </c>
      <c r="L590" s="14" t="e">
        <f t="shared" si="49"/>
        <v>#N/A</v>
      </c>
      <c r="M590" s="14" t="e">
        <f t="shared" si="50"/>
        <v>#N/A</v>
      </c>
      <c r="N590" s="14" t="e">
        <f t="shared" si="51"/>
        <v>#N/A</v>
      </c>
    </row>
    <row r="591" spans="4:14" ht="16.5" x14ac:dyDescent="0.25">
      <c r="D591" s="14">
        <v>551</v>
      </c>
      <c r="E591" s="14" t="str">
        <f t="shared" si="52"/>
        <v/>
      </c>
      <c r="F591" s="14" t="str">
        <f>IF(AND($B$8=1,$D591&lt;=$B$7),IF($B$5=1,Calculator!$C$9*POWER(1+Calculator!$C$14/100,$D591/12),Calculator!$C$9),"")</f>
        <v/>
      </c>
      <c r="G591" s="14">
        <f>G590*(1+$B$4)+Calculator!$C$25</f>
        <v>350990.93627014651</v>
      </c>
      <c r="H591" s="14">
        <f>IF($B$5=1,Calculator!$C$9*POWER(1+Calculator!$C$14/100,$D591/12),Calculator!$C$9)</f>
        <v>10000</v>
      </c>
      <c r="J591" s="14">
        <f t="shared" si="53"/>
        <v>1</v>
      </c>
      <c r="K591" s="14" t="e">
        <f t="shared" si="48"/>
        <v>#N/A</v>
      </c>
      <c r="L591" s="14" t="e">
        <f t="shared" si="49"/>
        <v>#N/A</v>
      </c>
      <c r="M591" s="14" t="e">
        <f t="shared" si="50"/>
        <v>#N/A</v>
      </c>
      <c r="N591" s="14" t="e">
        <f t="shared" si="51"/>
        <v>#N/A</v>
      </c>
    </row>
    <row r="592" spans="4:14" ht="16.5" x14ac:dyDescent="0.25">
      <c r="D592" s="14">
        <v>552</v>
      </c>
      <c r="E592" s="14" t="str">
        <f t="shared" si="52"/>
        <v/>
      </c>
      <c r="F592" s="14" t="str">
        <f>IF(AND($B$8=1,$D592&lt;=$B$7),IF($B$5=1,Calculator!$C$9*POWER(1+Calculator!$C$14/100,$D592/12),Calculator!$C$9),"")</f>
        <v/>
      </c>
      <c r="G592" s="14">
        <f>G591*(1+$B$4)+Calculator!$C$25</f>
        <v>352156.57460662216</v>
      </c>
      <c r="H592" s="14">
        <f>IF($B$5=1,Calculator!$C$9*POWER(1+Calculator!$C$14/100,$D592/12),Calculator!$C$9)</f>
        <v>10000</v>
      </c>
      <c r="J592" s="14">
        <f t="shared" si="53"/>
        <v>1</v>
      </c>
      <c r="K592" s="14" t="e">
        <f t="shared" si="48"/>
        <v>#N/A</v>
      </c>
      <c r="L592" s="14" t="e">
        <f t="shared" si="49"/>
        <v>#N/A</v>
      </c>
      <c r="M592" s="14" t="e">
        <f t="shared" si="50"/>
        <v>#N/A</v>
      </c>
      <c r="N592" s="14" t="e">
        <f t="shared" si="51"/>
        <v>#N/A</v>
      </c>
    </row>
    <row r="593" spans="4:14" ht="16.5" x14ac:dyDescent="0.25">
      <c r="D593" s="14">
        <v>553</v>
      </c>
      <c r="E593" s="14" t="str">
        <f t="shared" si="52"/>
        <v/>
      </c>
      <c r="F593" s="14" t="str">
        <f>IF(AND($B$8=1,$D593&lt;=$B$7),IF($B$5=1,Calculator!$C$9*POWER(1+Calculator!$C$14/100,$D593/12),Calculator!$C$9),"")</f>
        <v/>
      </c>
      <c r="G593" s="14">
        <f>G592*(1+$B$4)+Calculator!$C$25</f>
        <v>353325.08772169246</v>
      </c>
      <c r="H593" s="14">
        <f>IF($B$5=1,Calculator!$C$9*POWER(1+Calculator!$C$14/100,$D593/12),Calculator!$C$9)</f>
        <v>10000</v>
      </c>
      <c r="J593" s="14">
        <f t="shared" si="53"/>
        <v>1</v>
      </c>
      <c r="K593" s="14" t="e">
        <f t="shared" si="48"/>
        <v>#N/A</v>
      </c>
      <c r="L593" s="14" t="e">
        <f t="shared" si="49"/>
        <v>#N/A</v>
      </c>
      <c r="M593" s="14" t="e">
        <f t="shared" si="50"/>
        <v>#N/A</v>
      </c>
      <c r="N593" s="14" t="e">
        <f t="shared" si="51"/>
        <v>#N/A</v>
      </c>
    </row>
    <row r="594" spans="4:14" ht="16.5" x14ac:dyDescent="0.25">
      <c r="D594" s="14">
        <v>554</v>
      </c>
      <c r="E594" s="14" t="str">
        <f t="shared" si="52"/>
        <v/>
      </c>
      <c r="F594" s="14" t="str">
        <f>IF(AND($B$8=1,$D594&lt;=$B$7),IF($B$5=1,Calculator!$C$9*POWER(1+Calculator!$C$14/100,$D594/12),Calculator!$C$9),"")</f>
        <v/>
      </c>
      <c r="G594" s="14">
        <f>G593*(1+$B$4)+Calculator!$C$25</f>
        <v>354496.482705337</v>
      </c>
      <c r="H594" s="14">
        <f>IF($B$5=1,Calculator!$C$9*POWER(1+Calculator!$C$14/100,$D594/12),Calculator!$C$9)</f>
        <v>10000</v>
      </c>
      <c r="J594" s="14">
        <f t="shared" si="53"/>
        <v>1</v>
      </c>
      <c r="K594" s="14" t="e">
        <f t="shared" si="48"/>
        <v>#N/A</v>
      </c>
      <c r="L594" s="14" t="e">
        <f t="shared" si="49"/>
        <v>#N/A</v>
      </c>
      <c r="M594" s="14" t="e">
        <f t="shared" si="50"/>
        <v>#N/A</v>
      </c>
      <c r="N594" s="14" t="e">
        <f t="shared" si="51"/>
        <v>#N/A</v>
      </c>
    </row>
    <row r="595" spans="4:14" ht="16.5" x14ac:dyDescent="0.25">
      <c r="D595" s="14">
        <v>555</v>
      </c>
      <c r="E595" s="14" t="str">
        <f t="shared" si="52"/>
        <v/>
      </c>
      <c r="F595" s="14" t="str">
        <f>IF(AND($B$8=1,$D595&lt;=$B$7),IF($B$5=1,Calculator!$C$9*POWER(1+Calculator!$C$14/100,$D595/12),Calculator!$C$9),"")</f>
        <v/>
      </c>
      <c r="G595" s="14">
        <f>G594*(1+$B$4)+Calculator!$C$25</f>
        <v>355670.76666502113</v>
      </c>
      <c r="H595" s="14">
        <f>IF($B$5=1,Calculator!$C$9*POWER(1+Calculator!$C$14/100,$D595/12),Calculator!$C$9)</f>
        <v>10000</v>
      </c>
      <c r="J595" s="14">
        <f t="shared" si="53"/>
        <v>1</v>
      </c>
      <c r="K595" s="14" t="e">
        <f t="shared" si="48"/>
        <v>#N/A</v>
      </c>
      <c r="L595" s="14" t="e">
        <f t="shared" si="49"/>
        <v>#N/A</v>
      </c>
      <c r="M595" s="14" t="e">
        <f t="shared" si="50"/>
        <v>#N/A</v>
      </c>
      <c r="N595" s="14" t="e">
        <f t="shared" si="51"/>
        <v>#N/A</v>
      </c>
    </row>
    <row r="596" spans="4:14" ht="16.5" x14ac:dyDescent="0.25">
      <c r="D596" s="14">
        <v>556</v>
      </c>
      <c r="E596" s="14" t="str">
        <f t="shared" si="52"/>
        <v/>
      </c>
      <c r="F596" s="14" t="str">
        <f>IF(AND($B$8=1,$D596&lt;=$B$7),IF($B$5=1,Calculator!$C$9*POWER(1+Calculator!$C$14/100,$D596/12),Calculator!$C$9),"")</f>
        <v/>
      </c>
      <c r="G596" s="14">
        <f>G595*(1+$B$4)+Calculator!$C$25</f>
        <v>356847.94672573917</v>
      </c>
      <c r="H596" s="14">
        <f>IF($B$5=1,Calculator!$C$9*POWER(1+Calculator!$C$14/100,$D596/12),Calculator!$C$9)</f>
        <v>10000</v>
      </c>
      <c r="J596" s="14">
        <f t="shared" si="53"/>
        <v>1</v>
      </c>
      <c r="K596" s="14" t="e">
        <f t="shared" si="48"/>
        <v>#N/A</v>
      </c>
      <c r="L596" s="14" t="e">
        <f t="shared" si="49"/>
        <v>#N/A</v>
      </c>
      <c r="M596" s="14" t="e">
        <f t="shared" si="50"/>
        <v>#N/A</v>
      </c>
      <c r="N596" s="14" t="e">
        <f t="shared" si="51"/>
        <v>#N/A</v>
      </c>
    </row>
    <row r="597" spans="4:14" ht="16.5" x14ac:dyDescent="0.25">
      <c r="D597" s="14">
        <v>557</v>
      </c>
      <c r="E597" s="14" t="str">
        <f t="shared" si="52"/>
        <v/>
      </c>
      <c r="F597" s="14" t="str">
        <f>IF(AND($B$8=1,$D597&lt;=$B$7),IF($B$5=1,Calculator!$C$9*POWER(1+Calculator!$C$14/100,$D597/12),Calculator!$C$9),"")</f>
        <v/>
      </c>
      <c r="G597" s="14">
        <f>G596*(1+$B$4)+Calculator!$C$25</f>
        <v>358028.03003005747</v>
      </c>
      <c r="H597" s="14">
        <f>IF($B$5=1,Calculator!$C$9*POWER(1+Calculator!$C$14/100,$D597/12),Calculator!$C$9)</f>
        <v>10000</v>
      </c>
      <c r="J597" s="14">
        <f t="shared" si="53"/>
        <v>1</v>
      </c>
      <c r="K597" s="14" t="e">
        <f t="shared" si="48"/>
        <v>#N/A</v>
      </c>
      <c r="L597" s="14" t="e">
        <f t="shared" si="49"/>
        <v>#N/A</v>
      </c>
      <c r="M597" s="14" t="e">
        <f t="shared" si="50"/>
        <v>#N/A</v>
      </c>
      <c r="N597" s="14" t="e">
        <f t="shared" si="51"/>
        <v>#N/A</v>
      </c>
    </row>
    <row r="598" spans="4:14" ht="16.5" x14ac:dyDescent="0.25">
      <c r="D598" s="14">
        <v>558</v>
      </c>
      <c r="E598" s="14" t="str">
        <f t="shared" si="52"/>
        <v/>
      </c>
      <c r="F598" s="14" t="str">
        <f>IF(AND($B$8=1,$D598&lt;=$B$7),IF($B$5=1,Calculator!$C$9*POWER(1+Calculator!$C$14/100,$D598/12),Calculator!$C$9),"")</f>
        <v/>
      </c>
      <c r="G598" s="14">
        <f>G597*(1+$B$4)+Calculator!$C$25</f>
        <v>359211.02373815805</v>
      </c>
      <c r="H598" s="14">
        <f>IF($B$5=1,Calculator!$C$9*POWER(1+Calculator!$C$14/100,$D598/12),Calculator!$C$9)</f>
        <v>10000</v>
      </c>
      <c r="J598" s="14">
        <f t="shared" si="53"/>
        <v>1</v>
      </c>
      <c r="K598" s="14" t="e">
        <f t="shared" si="48"/>
        <v>#N/A</v>
      </c>
      <c r="L598" s="14" t="e">
        <f t="shared" si="49"/>
        <v>#N/A</v>
      </c>
      <c r="M598" s="14" t="e">
        <f t="shared" si="50"/>
        <v>#N/A</v>
      </c>
      <c r="N598" s="14" t="e">
        <f t="shared" si="51"/>
        <v>#N/A</v>
      </c>
    </row>
    <row r="599" spans="4:14" ht="16.5" x14ac:dyDescent="0.25">
      <c r="D599" s="14">
        <v>559</v>
      </c>
      <c r="E599" s="14" t="str">
        <f t="shared" si="52"/>
        <v/>
      </c>
      <c r="F599" s="14" t="str">
        <f>IF(AND($B$8=1,$D599&lt;=$B$7),IF($B$5=1,Calculator!$C$9*POWER(1+Calculator!$C$14/100,$D599/12),Calculator!$C$9),"")</f>
        <v/>
      </c>
      <c r="G599" s="14">
        <f>G598*(1+$B$4)+Calculator!$C$25</f>
        <v>360396.93502788176</v>
      </c>
      <c r="H599" s="14">
        <f>IF($B$5=1,Calculator!$C$9*POWER(1+Calculator!$C$14/100,$D599/12),Calculator!$C$9)</f>
        <v>10000</v>
      </c>
      <c r="J599" s="14">
        <f t="shared" si="53"/>
        <v>1</v>
      </c>
      <c r="K599" s="14" t="e">
        <f t="shared" si="48"/>
        <v>#N/A</v>
      </c>
      <c r="L599" s="14" t="e">
        <f t="shared" si="49"/>
        <v>#N/A</v>
      </c>
      <c r="M599" s="14" t="e">
        <f t="shared" si="50"/>
        <v>#N/A</v>
      </c>
      <c r="N599" s="14" t="e">
        <f t="shared" si="51"/>
        <v>#N/A</v>
      </c>
    </row>
    <row r="600" spans="4:14" ht="16.5" x14ac:dyDescent="0.25">
      <c r="D600" s="14">
        <v>560</v>
      </c>
      <c r="E600" s="14" t="str">
        <f t="shared" si="52"/>
        <v/>
      </c>
      <c r="F600" s="14" t="str">
        <f>IF(AND($B$8=1,$D600&lt;=$B$7),IF($B$5=1,Calculator!$C$9*POWER(1+Calculator!$C$14/100,$D600/12),Calculator!$C$9),"")</f>
        <v/>
      </c>
      <c r="G600" s="14">
        <f>G599*(1+$B$4)+Calculator!$C$25</f>
        <v>361585.77109477192</v>
      </c>
      <c r="H600" s="14">
        <f>IF($B$5=1,Calculator!$C$9*POWER(1+Calculator!$C$14/100,$D600/12),Calculator!$C$9)</f>
        <v>10000</v>
      </c>
      <c r="J600" s="14">
        <f t="shared" si="53"/>
        <v>1</v>
      </c>
      <c r="K600" s="14" t="e">
        <f t="shared" si="48"/>
        <v>#N/A</v>
      </c>
      <c r="L600" s="14" t="e">
        <f t="shared" si="49"/>
        <v>#N/A</v>
      </c>
      <c r="M600" s="14" t="e">
        <f t="shared" si="50"/>
        <v>#N/A</v>
      </c>
      <c r="N600" s="14" t="e">
        <f t="shared" si="51"/>
        <v>#N/A</v>
      </c>
    </row>
    <row r="601" spans="4:14" ht="16.5" x14ac:dyDescent="0.25">
      <c r="D601" s="14">
        <v>561</v>
      </c>
      <c r="E601" s="14" t="str">
        <f t="shared" si="52"/>
        <v/>
      </c>
      <c r="F601" s="14" t="str">
        <f>IF(AND($B$8=1,$D601&lt;=$B$7),IF($B$5=1,Calculator!$C$9*POWER(1+Calculator!$C$14/100,$D601/12),Calculator!$C$9),"")</f>
        <v/>
      </c>
      <c r="G601" s="14">
        <f>G600*(1+$B$4)+Calculator!$C$25</f>
        <v>362777.53915211809</v>
      </c>
      <c r="H601" s="14">
        <f>IF($B$5=1,Calculator!$C$9*POWER(1+Calculator!$C$14/100,$D601/12),Calculator!$C$9)</f>
        <v>10000</v>
      </c>
      <c r="J601" s="14">
        <f t="shared" si="53"/>
        <v>1</v>
      </c>
      <c r="K601" s="14" t="e">
        <f t="shared" si="48"/>
        <v>#N/A</v>
      </c>
      <c r="L601" s="14" t="e">
        <f t="shared" si="49"/>
        <v>#N/A</v>
      </c>
      <c r="M601" s="14" t="e">
        <f t="shared" si="50"/>
        <v>#N/A</v>
      </c>
      <c r="N601" s="14" t="e">
        <f t="shared" si="51"/>
        <v>#N/A</v>
      </c>
    </row>
    <row r="602" spans="4:14" ht="16.5" x14ac:dyDescent="0.25">
      <c r="D602" s="14">
        <v>562</v>
      </c>
      <c r="E602" s="14" t="str">
        <f t="shared" si="52"/>
        <v/>
      </c>
      <c r="F602" s="14" t="str">
        <f>IF(AND($B$8=1,$D602&lt;=$B$7),IF($B$5=1,Calculator!$C$9*POWER(1+Calculator!$C$14/100,$D602/12),Calculator!$C$9),"")</f>
        <v/>
      </c>
      <c r="G602" s="14">
        <f>G601*(1+$B$4)+Calculator!$C$25</f>
        <v>363972.24643099966</v>
      </c>
      <c r="H602" s="14">
        <f>IF($B$5=1,Calculator!$C$9*POWER(1+Calculator!$C$14/100,$D602/12),Calculator!$C$9)</f>
        <v>10000</v>
      </c>
      <c r="J602" s="14">
        <f t="shared" si="53"/>
        <v>1</v>
      </c>
      <c r="K602" s="14" t="e">
        <f t="shared" si="48"/>
        <v>#N/A</v>
      </c>
      <c r="L602" s="14" t="e">
        <f t="shared" si="49"/>
        <v>#N/A</v>
      </c>
      <c r="M602" s="14" t="e">
        <f t="shared" si="50"/>
        <v>#N/A</v>
      </c>
      <c r="N602" s="14" t="e">
        <f t="shared" si="51"/>
        <v>#N/A</v>
      </c>
    </row>
    <row r="603" spans="4:14" ht="16.5" x14ac:dyDescent="0.25">
      <c r="D603" s="14">
        <v>563</v>
      </c>
      <c r="E603" s="14" t="str">
        <f t="shared" si="52"/>
        <v/>
      </c>
      <c r="F603" s="14" t="str">
        <f>IF(AND($B$8=1,$D603&lt;=$B$7),IF($B$5=1,Calculator!$C$9*POWER(1+Calculator!$C$14/100,$D603/12),Calculator!$C$9),"")</f>
        <v/>
      </c>
      <c r="G603" s="14">
        <f>G602*(1+$B$4)+Calculator!$C$25</f>
        <v>365169.90018032992</v>
      </c>
      <c r="H603" s="14">
        <f>IF($B$5=1,Calculator!$C$9*POWER(1+Calculator!$C$14/100,$D603/12),Calculator!$C$9)</f>
        <v>10000</v>
      </c>
      <c r="J603" s="14">
        <f t="shared" si="53"/>
        <v>1</v>
      </c>
      <c r="K603" s="14" t="e">
        <f t="shared" si="48"/>
        <v>#N/A</v>
      </c>
      <c r="L603" s="14" t="e">
        <f t="shared" si="49"/>
        <v>#N/A</v>
      </c>
      <c r="M603" s="14" t="e">
        <f t="shared" si="50"/>
        <v>#N/A</v>
      </c>
      <c r="N603" s="14" t="e">
        <f t="shared" si="51"/>
        <v>#N/A</v>
      </c>
    </row>
    <row r="604" spans="4:14" ht="16.5" x14ac:dyDescent="0.25">
      <c r="D604" s="14">
        <v>564</v>
      </c>
      <c r="E604" s="14" t="str">
        <f t="shared" si="52"/>
        <v/>
      </c>
      <c r="F604" s="14" t="str">
        <f>IF(AND($B$8=1,$D604&lt;=$B$7),IF($B$5=1,Calculator!$C$9*POWER(1+Calculator!$C$14/100,$D604/12),Calculator!$C$9),"")</f>
        <v/>
      </c>
      <c r="G604" s="14">
        <f>G603*(1+$B$4)+Calculator!$C$25</f>
        <v>366370.50766689982</v>
      </c>
      <c r="H604" s="14">
        <f>IF($B$5=1,Calculator!$C$9*POWER(1+Calculator!$C$14/100,$D604/12),Calculator!$C$9)</f>
        <v>10000</v>
      </c>
      <c r="J604" s="14">
        <f t="shared" si="53"/>
        <v>1</v>
      </c>
      <c r="K604" s="14" t="e">
        <f t="shared" si="48"/>
        <v>#N/A</v>
      </c>
      <c r="L604" s="14" t="e">
        <f t="shared" si="49"/>
        <v>#N/A</v>
      </c>
      <c r="M604" s="14" t="e">
        <f t="shared" si="50"/>
        <v>#N/A</v>
      </c>
      <c r="N604" s="14" t="e">
        <f t="shared" si="51"/>
        <v>#N/A</v>
      </c>
    </row>
    <row r="605" spans="4:14" ht="16.5" x14ac:dyDescent="0.25">
      <c r="D605" s="14">
        <v>565</v>
      </c>
      <c r="E605" s="14" t="str">
        <f t="shared" si="52"/>
        <v/>
      </c>
      <c r="F605" s="14" t="str">
        <f>IF(AND($B$8=1,$D605&lt;=$B$7),IF($B$5=1,Calculator!$C$9*POWER(1+Calculator!$C$14/100,$D605/12),Calculator!$C$9),"")</f>
        <v/>
      </c>
      <c r="G605" s="14">
        <f>G604*(1+$B$4)+Calculator!$C$25</f>
        <v>367574.07617542223</v>
      </c>
      <c r="H605" s="14">
        <f>IF($B$5=1,Calculator!$C$9*POWER(1+Calculator!$C$14/100,$D605/12),Calculator!$C$9)</f>
        <v>10000</v>
      </c>
      <c r="J605" s="14">
        <f t="shared" si="53"/>
        <v>1</v>
      </c>
      <c r="K605" s="14" t="e">
        <f t="shared" si="48"/>
        <v>#N/A</v>
      </c>
      <c r="L605" s="14" t="e">
        <f t="shared" si="49"/>
        <v>#N/A</v>
      </c>
      <c r="M605" s="14" t="e">
        <f t="shared" si="50"/>
        <v>#N/A</v>
      </c>
      <c r="N605" s="14" t="e">
        <f t="shared" si="51"/>
        <v>#N/A</v>
      </c>
    </row>
    <row r="606" spans="4:14" ht="16.5" x14ac:dyDescent="0.25">
      <c r="D606" s="14">
        <v>566</v>
      </c>
      <c r="E606" s="14" t="str">
        <f t="shared" si="52"/>
        <v/>
      </c>
      <c r="F606" s="14" t="str">
        <f>IF(AND($B$8=1,$D606&lt;=$B$7),IF($B$5=1,Calculator!$C$9*POWER(1+Calculator!$C$14/100,$D606/12),Calculator!$C$9),"")</f>
        <v/>
      </c>
      <c r="G606" s="14">
        <f>G605*(1+$B$4)+Calculator!$C$25</f>
        <v>368780.61300857615</v>
      </c>
      <c r="H606" s="14">
        <f>IF($B$5=1,Calculator!$C$9*POWER(1+Calculator!$C$14/100,$D606/12),Calculator!$C$9)</f>
        <v>10000</v>
      </c>
      <c r="J606" s="14">
        <f t="shared" si="53"/>
        <v>1</v>
      </c>
      <c r="K606" s="14" t="e">
        <f t="shared" si="48"/>
        <v>#N/A</v>
      </c>
      <c r="L606" s="14" t="e">
        <f t="shared" si="49"/>
        <v>#N/A</v>
      </c>
      <c r="M606" s="14" t="e">
        <f t="shared" si="50"/>
        <v>#N/A</v>
      </c>
      <c r="N606" s="14" t="e">
        <f t="shared" si="51"/>
        <v>#N/A</v>
      </c>
    </row>
    <row r="607" spans="4:14" ht="16.5" x14ac:dyDescent="0.25">
      <c r="D607" s="14">
        <v>567</v>
      </c>
      <c r="E607" s="14" t="str">
        <f t="shared" si="52"/>
        <v/>
      </c>
      <c r="F607" s="14" t="str">
        <f>IF(AND($B$8=1,$D607&lt;=$B$7),IF($B$5=1,Calculator!$C$9*POWER(1+Calculator!$C$14/100,$D607/12),Calculator!$C$9),"")</f>
        <v/>
      </c>
      <c r="G607" s="14">
        <f>G606*(1+$B$4)+Calculator!$C$25</f>
        <v>369990.12548705086</v>
      </c>
      <c r="H607" s="14">
        <f>IF($B$5=1,Calculator!$C$9*POWER(1+Calculator!$C$14/100,$D607/12),Calculator!$C$9)</f>
        <v>10000</v>
      </c>
      <c r="J607" s="14">
        <f t="shared" si="53"/>
        <v>1</v>
      </c>
      <c r="K607" s="14" t="e">
        <f t="shared" si="48"/>
        <v>#N/A</v>
      </c>
      <c r="L607" s="14" t="e">
        <f t="shared" si="49"/>
        <v>#N/A</v>
      </c>
      <c r="M607" s="14" t="e">
        <f t="shared" si="50"/>
        <v>#N/A</v>
      </c>
      <c r="N607" s="14" t="e">
        <f t="shared" si="51"/>
        <v>#N/A</v>
      </c>
    </row>
    <row r="608" spans="4:14" ht="16.5" x14ac:dyDescent="0.25">
      <c r="D608" s="14">
        <v>568</v>
      </c>
      <c r="E608" s="14" t="str">
        <f t="shared" si="52"/>
        <v/>
      </c>
      <c r="F608" s="14" t="str">
        <f>IF(AND($B$8=1,$D608&lt;=$B$7),IF($B$5=1,Calculator!$C$9*POWER(1+Calculator!$C$14/100,$D608/12),Calculator!$C$9),"")</f>
        <v/>
      </c>
      <c r="G608" s="14">
        <f>G607*(1+$B$4)+Calculator!$C$25</f>
        <v>371202.6209495904</v>
      </c>
      <c r="H608" s="14">
        <f>IF($B$5=1,Calculator!$C$9*POWER(1+Calculator!$C$14/100,$D608/12),Calculator!$C$9)</f>
        <v>10000</v>
      </c>
      <c r="J608" s="14">
        <f t="shared" si="53"/>
        <v>1</v>
      </c>
      <c r="K608" s="14" t="e">
        <f t="shared" si="48"/>
        <v>#N/A</v>
      </c>
      <c r="L608" s="14" t="e">
        <f t="shared" si="49"/>
        <v>#N/A</v>
      </c>
      <c r="M608" s="14" t="e">
        <f t="shared" si="50"/>
        <v>#N/A</v>
      </c>
      <c r="N608" s="14" t="e">
        <f t="shared" si="51"/>
        <v>#N/A</v>
      </c>
    </row>
    <row r="609" spans="4:14" ht="16.5" x14ac:dyDescent="0.25">
      <c r="D609" s="14">
        <v>569</v>
      </c>
      <c r="E609" s="14" t="str">
        <f t="shared" si="52"/>
        <v/>
      </c>
      <c r="F609" s="14" t="str">
        <f>IF(AND($B$8=1,$D609&lt;=$B$7),IF($B$5=1,Calculator!$C$9*POWER(1+Calculator!$C$14/100,$D609/12),Calculator!$C$9),"")</f>
        <v/>
      </c>
      <c r="G609" s="14">
        <f>G608*(1+$B$4)+Calculator!$C$25</f>
        <v>372418.1067530383</v>
      </c>
      <c r="H609" s="14">
        <f>IF($B$5=1,Calculator!$C$9*POWER(1+Calculator!$C$14/100,$D609/12),Calculator!$C$9)</f>
        <v>10000</v>
      </c>
      <c r="J609" s="14">
        <f t="shared" si="53"/>
        <v>1</v>
      </c>
      <c r="K609" s="14" t="e">
        <f t="shared" si="48"/>
        <v>#N/A</v>
      </c>
      <c r="L609" s="14" t="e">
        <f t="shared" si="49"/>
        <v>#N/A</v>
      </c>
      <c r="M609" s="14" t="e">
        <f t="shared" si="50"/>
        <v>#N/A</v>
      </c>
      <c r="N609" s="14" t="e">
        <f t="shared" si="51"/>
        <v>#N/A</v>
      </c>
    </row>
    <row r="610" spans="4:14" ht="16.5" x14ac:dyDescent="0.25">
      <c r="D610" s="14">
        <v>570</v>
      </c>
      <c r="E610" s="14" t="str">
        <f t="shared" si="52"/>
        <v/>
      </c>
      <c r="F610" s="14" t="str">
        <f>IF(AND($B$8=1,$D610&lt;=$B$7),IF($B$5=1,Calculator!$C$9*POWER(1+Calculator!$C$14/100,$D610/12),Calculator!$C$9),"")</f>
        <v/>
      </c>
      <c r="G610" s="14">
        <f>G609*(1+$B$4)+Calculator!$C$25</f>
        <v>373636.5902723819</v>
      </c>
      <c r="H610" s="14">
        <f>IF($B$5=1,Calculator!$C$9*POWER(1+Calculator!$C$14/100,$D610/12),Calculator!$C$9)</f>
        <v>10000</v>
      </c>
      <c r="J610" s="14">
        <f t="shared" si="53"/>
        <v>1</v>
      </c>
      <c r="K610" s="14" t="e">
        <f t="shared" si="48"/>
        <v>#N/A</v>
      </c>
      <c r="L610" s="14" t="e">
        <f t="shared" si="49"/>
        <v>#N/A</v>
      </c>
      <c r="M610" s="14" t="e">
        <f t="shared" si="50"/>
        <v>#N/A</v>
      </c>
      <c r="N610" s="14" t="e">
        <f t="shared" si="51"/>
        <v>#N/A</v>
      </c>
    </row>
    <row r="611" spans="4:14" ht="16.5" x14ac:dyDescent="0.25">
      <c r="D611" s="14">
        <v>571</v>
      </c>
      <c r="E611" s="14" t="str">
        <f t="shared" si="52"/>
        <v/>
      </c>
      <c r="F611" s="14" t="str">
        <f>IF(AND($B$8=1,$D611&lt;=$B$7),IF($B$5=1,Calculator!$C$9*POWER(1+Calculator!$C$14/100,$D611/12),Calculator!$C$9),"")</f>
        <v/>
      </c>
      <c r="G611" s="14">
        <f>G610*(1+$B$4)+Calculator!$C$25</f>
        <v>374858.07890079729</v>
      </c>
      <c r="H611" s="14">
        <f>IF($B$5=1,Calculator!$C$9*POWER(1+Calculator!$C$14/100,$D611/12),Calculator!$C$9)</f>
        <v>10000</v>
      </c>
      <c r="J611" s="14">
        <f t="shared" si="53"/>
        <v>1</v>
      </c>
      <c r="K611" s="14" t="e">
        <f t="shared" si="48"/>
        <v>#N/A</v>
      </c>
      <c r="L611" s="14" t="e">
        <f t="shared" si="49"/>
        <v>#N/A</v>
      </c>
      <c r="M611" s="14" t="e">
        <f t="shared" si="50"/>
        <v>#N/A</v>
      </c>
      <c r="N611" s="14" t="e">
        <f t="shared" si="51"/>
        <v>#N/A</v>
      </c>
    </row>
    <row r="612" spans="4:14" ht="16.5" x14ac:dyDescent="0.25">
      <c r="D612" s="14">
        <v>572</v>
      </c>
      <c r="E612" s="14" t="str">
        <f t="shared" si="52"/>
        <v/>
      </c>
      <c r="F612" s="14" t="str">
        <f>IF(AND($B$8=1,$D612&lt;=$B$7),IF($B$5=1,Calculator!$C$9*POWER(1+Calculator!$C$14/100,$D612/12),Calculator!$C$9),"")</f>
        <v/>
      </c>
      <c r="G612" s="14">
        <f>G611*(1+$B$4)+Calculator!$C$25</f>
        <v>376082.58004969417</v>
      </c>
      <c r="H612" s="14">
        <f>IF($B$5=1,Calculator!$C$9*POWER(1+Calculator!$C$14/100,$D612/12),Calculator!$C$9)</f>
        <v>10000</v>
      </c>
      <c r="J612" s="14">
        <f t="shared" si="53"/>
        <v>1</v>
      </c>
      <c r="K612" s="14" t="e">
        <f t="shared" si="48"/>
        <v>#N/A</v>
      </c>
      <c r="L612" s="14" t="e">
        <f t="shared" si="49"/>
        <v>#N/A</v>
      </c>
      <c r="M612" s="14" t="e">
        <f t="shared" si="50"/>
        <v>#N/A</v>
      </c>
      <c r="N612" s="14" t="e">
        <f t="shared" si="51"/>
        <v>#N/A</v>
      </c>
    </row>
    <row r="613" spans="4:14" ht="16.5" x14ac:dyDescent="0.25">
      <c r="D613" s="14">
        <v>573</v>
      </c>
      <c r="E613" s="14" t="str">
        <f t="shared" si="52"/>
        <v/>
      </c>
      <c r="F613" s="14" t="str">
        <f>IF(AND($B$8=1,$D613&lt;=$B$7),IF($B$5=1,Calculator!$C$9*POWER(1+Calculator!$C$14/100,$D613/12),Calculator!$C$9),"")</f>
        <v/>
      </c>
      <c r="G613" s="14">
        <f>G612*(1+$B$4)+Calculator!$C$25</f>
        <v>377310.1011487607</v>
      </c>
      <c r="H613" s="14">
        <f>IF($B$5=1,Calculator!$C$9*POWER(1+Calculator!$C$14/100,$D613/12),Calculator!$C$9)</f>
        <v>10000</v>
      </c>
      <c r="J613" s="14">
        <f t="shared" si="53"/>
        <v>1</v>
      </c>
      <c r="K613" s="14" t="e">
        <f t="shared" si="48"/>
        <v>#N/A</v>
      </c>
      <c r="L613" s="14" t="e">
        <f t="shared" si="49"/>
        <v>#N/A</v>
      </c>
      <c r="M613" s="14" t="e">
        <f t="shared" si="50"/>
        <v>#N/A</v>
      </c>
      <c r="N613" s="14" t="e">
        <f t="shared" si="51"/>
        <v>#N/A</v>
      </c>
    </row>
    <row r="614" spans="4:14" ht="16.5" x14ac:dyDescent="0.25">
      <c r="D614" s="14">
        <v>574</v>
      </c>
      <c r="E614" s="14" t="str">
        <f t="shared" si="52"/>
        <v/>
      </c>
      <c r="F614" s="14" t="str">
        <f>IF(AND($B$8=1,$D614&lt;=$B$7),IF($B$5=1,Calculator!$C$9*POWER(1+Calculator!$C$14/100,$D614/12),Calculator!$C$9),"")</f>
        <v/>
      </c>
      <c r="G614" s="14">
        <f>G613*(1+$B$4)+Calculator!$C$25</f>
        <v>378540.64964600874</v>
      </c>
      <c r="H614" s="14">
        <f>IF($B$5=1,Calculator!$C$9*POWER(1+Calculator!$C$14/100,$D614/12),Calculator!$C$9)</f>
        <v>10000</v>
      </c>
      <c r="J614" s="14">
        <f t="shared" si="53"/>
        <v>1</v>
      </c>
      <c r="K614" s="14" t="e">
        <f t="shared" si="48"/>
        <v>#N/A</v>
      </c>
      <c r="L614" s="14" t="e">
        <f t="shared" si="49"/>
        <v>#N/A</v>
      </c>
      <c r="M614" s="14" t="e">
        <f t="shared" si="50"/>
        <v>#N/A</v>
      </c>
      <c r="N614" s="14" t="e">
        <f t="shared" si="51"/>
        <v>#N/A</v>
      </c>
    </row>
    <row r="615" spans="4:14" ht="16.5" x14ac:dyDescent="0.25">
      <c r="D615" s="14">
        <v>575</v>
      </c>
      <c r="E615" s="14" t="str">
        <f t="shared" si="52"/>
        <v/>
      </c>
      <c r="F615" s="14" t="str">
        <f>IF(AND($B$8=1,$D615&lt;=$B$7),IF($B$5=1,Calculator!$C$9*POWER(1+Calculator!$C$14/100,$D615/12),Calculator!$C$9),"")</f>
        <v/>
      </c>
      <c r="G615" s="14">
        <f>G614*(1+$B$4)+Calculator!$C$25</f>
        <v>379774.23300781887</v>
      </c>
      <c r="H615" s="14">
        <f>IF($B$5=1,Calculator!$C$9*POWER(1+Calculator!$C$14/100,$D615/12),Calculator!$C$9)</f>
        <v>10000</v>
      </c>
      <c r="J615" s="14">
        <f t="shared" si="53"/>
        <v>1</v>
      </c>
      <c r="K615" s="14" t="e">
        <f t="shared" si="48"/>
        <v>#N/A</v>
      </c>
      <c r="L615" s="14" t="e">
        <f t="shared" si="49"/>
        <v>#N/A</v>
      </c>
      <c r="M615" s="14" t="e">
        <f t="shared" si="50"/>
        <v>#N/A</v>
      </c>
      <c r="N615" s="14" t="e">
        <f t="shared" si="51"/>
        <v>#N/A</v>
      </c>
    </row>
    <row r="616" spans="4:14" ht="16.5" x14ac:dyDescent="0.25">
      <c r="D616" s="14">
        <v>576</v>
      </c>
      <c r="E616" s="14" t="str">
        <f t="shared" si="52"/>
        <v/>
      </c>
      <c r="F616" s="14" t="str">
        <f>IF(AND($B$8=1,$D616&lt;=$B$7),IF($B$5=1,Calculator!$C$9*POWER(1+Calculator!$C$14/100,$D616/12),Calculator!$C$9),"")</f>
        <v/>
      </c>
      <c r="G616" s="14">
        <f>G615*(1+$B$4)+Calculator!$C$25</f>
        <v>381010.85871898587</v>
      </c>
      <c r="H616" s="14">
        <f>IF($B$5=1,Calculator!$C$9*POWER(1+Calculator!$C$14/100,$D616/12),Calculator!$C$9)</f>
        <v>10000</v>
      </c>
      <c r="J616" s="14">
        <f t="shared" si="53"/>
        <v>1</v>
      </c>
      <c r="K616" s="14" t="e">
        <f t="shared" ref="K616:K640" si="54">IF($D616&lt;=$B$23,E616,NA())</f>
        <v>#N/A</v>
      </c>
      <c r="L616" s="14" t="e">
        <f t="shared" ref="L616:L640" si="55">IF($D616&lt;=$B$23,F616,NA())</f>
        <v>#N/A</v>
      </c>
      <c r="M616" s="14" t="e">
        <f t="shared" ref="M616:M640" si="56">IF($D616&lt;=$B$24,G616,NA())</f>
        <v>#N/A</v>
      </c>
      <c r="N616" s="14" t="e">
        <f t="shared" ref="N616:N640" si="57">IF($D616&lt;=$B$24,H616,NA())</f>
        <v>#N/A</v>
      </c>
    </row>
    <row r="617" spans="4:14" ht="16.5" x14ac:dyDescent="0.25">
      <c r="D617" s="14">
        <v>577</v>
      </c>
      <c r="E617" s="14" t="str">
        <f t="shared" ref="E617:E640" si="58">IF(AND($B$8=1,$D617&lt;=$B$7),E616*(1+$B$4)+$B$11,"")</f>
        <v/>
      </c>
      <c r="F617" s="14" t="str">
        <f>IF(AND($B$8=1,$D617&lt;=$B$7),IF($B$5=1,Calculator!$C$9*POWER(1+Calculator!$C$14/100,$D617/12),Calculator!$C$9),"")</f>
        <v/>
      </c>
      <c r="G617" s="14">
        <f>G616*(1+$B$4)+Calculator!$C$25</f>
        <v>382250.53428276395</v>
      </c>
      <c r="H617" s="14">
        <f>IF($B$5=1,Calculator!$C$9*POWER(1+Calculator!$C$14/100,$D617/12),Calculator!$C$9)</f>
        <v>10000</v>
      </c>
      <c r="J617" s="14">
        <f t="shared" ref="J617:J640" si="59">IF(G617&gt;=H617,1,0)</f>
        <v>1</v>
      </c>
      <c r="K617" s="14" t="e">
        <f t="shared" si="54"/>
        <v>#N/A</v>
      </c>
      <c r="L617" s="14" t="e">
        <f t="shared" si="55"/>
        <v>#N/A</v>
      </c>
      <c r="M617" s="14" t="e">
        <f t="shared" si="56"/>
        <v>#N/A</v>
      </c>
      <c r="N617" s="14" t="e">
        <f t="shared" si="57"/>
        <v>#N/A</v>
      </c>
    </row>
    <row r="618" spans="4:14" ht="16.5" x14ac:dyDescent="0.25">
      <c r="D618" s="14">
        <v>578</v>
      </c>
      <c r="E618" s="14" t="str">
        <f t="shared" si="58"/>
        <v/>
      </c>
      <c r="F618" s="14" t="str">
        <f>IF(AND($B$8=1,$D618&lt;=$B$7),IF($B$5=1,Calculator!$C$9*POWER(1+Calculator!$C$14/100,$D618/12),Calculator!$C$9),"")</f>
        <v/>
      </c>
      <c r="G618" s="14">
        <f>G617*(1+$B$4)+Calculator!$C$25</f>
        <v>383493.26722091244</v>
      </c>
      <c r="H618" s="14">
        <f>IF($B$5=1,Calculator!$C$9*POWER(1+Calculator!$C$14/100,$D618/12),Calculator!$C$9)</f>
        <v>10000</v>
      </c>
      <c r="J618" s="14">
        <f t="shared" si="59"/>
        <v>1</v>
      </c>
      <c r="K618" s="14" t="e">
        <f t="shared" si="54"/>
        <v>#N/A</v>
      </c>
      <c r="L618" s="14" t="e">
        <f t="shared" si="55"/>
        <v>#N/A</v>
      </c>
      <c r="M618" s="14" t="e">
        <f t="shared" si="56"/>
        <v>#N/A</v>
      </c>
      <c r="N618" s="14" t="e">
        <f t="shared" si="57"/>
        <v>#N/A</v>
      </c>
    </row>
    <row r="619" spans="4:14" ht="16.5" x14ac:dyDescent="0.25">
      <c r="D619" s="14">
        <v>579</v>
      </c>
      <c r="E619" s="14" t="str">
        <f t="shared" si="58"/>
        <v/>
      </c>
      <c r="F619" s="14" t="str">
        <f>IF(AND($B$8=1,$D619&lt;=$B$7),IF($B$5=1,Calculator!$C$9*POWER(1+Calculator!$C$14/100,$D619/12),Calculator!$C$9),"")</f>
        <v/>
      </c>
      <c r="G619" s="14">
        <f>G618*(1+$B$4)+Calculator!$C$25</f>
        <v>384739.06507374137</v>
      </c>
      <c r="H619" s="14">
        <f>IF($B$5=1,Calculator!$C$9*POWER(1+Calculator!$C$14/100,$D619/12),Calculator!$C$9)</f>
        <v>10000</v>
      </c>
      <c r="J619" s="14">
        <f t="shared" si="59"/>
        <v>1</v>
      </c>
      <c r="K619" s="14" t="e">
        <f t="shared" si="54"/>
        <v>#N/A</v>
      </c>
      <c r="L619" s="14" t="e">
        <f t="shared" si="55"/>
        <v>#N/A</v>
      </c>
      <c r="M619" s="14" t="e">
        <f t="shared" si="56"/>
        <v>#N/A</v>
      </c>
      <c r="N619" s="14" t="e">
        <f t="shared" si="57"/>
        <v>#N/A</v>
      </c>
    </row>
    <row r="620" spans="4:14" ht="16.5" x14ac:dyDescent="0.25">
      <c r="D620" s="14">
        <v>580</v>
      </c>
      <c r="E620" s="14" t="str">
        <f t="shared" si="58"/>
        <v/>
      </c>
      <c r="F620" s="14" t="str">
        <f>IF(AND($B$8=1,$D620&lt;=$B$7),IF($B$5=1,Calculator!$C$9*POWER(1+Calculator!$C$14/100,$D620/12),Calculator!$C$9),"")</f>
        <v/>
      </c>
      <c r="G620" s="14">
        <f>G619*(1+$B$4)+Calculator!$C$25</f>
        <v>385987.93540015712</v>
      </c>
      <c r="H620" s="14">
        <f>IF($B$5=1,Calculator!$C$9*POWER(1+Calculator!$C$14/100,$D620/12),Calculator!$C$9)</f>
        <v>10000</v>
      </c>
      <c r="J620" s="14">
        <f t="shared" si="59"/>
        <v>1</v>
      </c>
      <c r="K620" s="14" t="e">
        <f t="shared" si="54"/>
        <v>#N/A</v>
      </c>
      <c r="L620" s="14" t="e">
        <f t="shared" si="55"/>
        <v>#N/A</v>
      </c>
      <c r="M620" s="14" t="e">
        <f t="shared" si="56"/>
        <v>#N/A</v>
      </c>
      <c r="N620" s="14" t="e">
        <f t="shared" si="57"/>
        <v>#N/A</v>
      </c>
    </row>
    <row r="621" spans="4:14" ht="16.5" x14ac:dyDescent="0.25">
      <c r="D621" s="14">
        <v>581</v>
      </c>
      <c r="E621" s="14" t="str">
        <f t="shared" si="58"/>
        <v/>
      </c>
      <c r="F621" s="14" t="str">
        <f>IF(AND($B$8=1,$D621&lt;=$B$7),IF($B$5=1,Calculator!$C$9*POWER(1+Calculator!$C$14/100,$D621/12),Calculator!$C$9),"")</f>
        <v/>
      </c>
      <c r="G621" s="14">
        <f>G620*(1+$B$4)+Calculator!$C$25</f>
        <v>387239.88577770843</v>
      </c>
      <c r="H621" s="14">
        <f>IF($B$5=1,Calculator!$C$9*POWER(1+Calculator!$C$14/100,$D621/12),Calculator!$C$9)</f>
        <v>10000</v>
      </c>
      <c r="J621" s="14">
        <f t="shared" si="59"/>
        <v>1</v>
      </c>
      <c r="K621" s="14" t="e">
        <f t="shared" si="54"/>
        <v>#N/A</v>
      </c>
      <c r="L621" s="14" t="e">
        <f t="shared" si="55"/>
        <v>#N/A</v>
      </c>
      <c r="M621" s="14" t="e">
        <f t="shared" si="56"/>
        <v>#N/A</v>
      </c>
      <c r="N621" s="14" t="e">
        <f t="shared" si="57"/>
        <v>#N/A</v>
      </c>
    </row>
    <row r="622" spans="4:14" ht="16.5" x14ac:dyDescent="0.25">
      <c r="D622" s="14">
        <v>582</v>
      </c>
      <c r="E622" s="14" t="str">
        <f t="shared" si="58"/>
        <v/>
      </c>
      <c r="F622" s="14" t="str">
        <f>IF(AND($B$8=1,$D622&lt;=$B$7),IF($B$5=1,Calculator!$C$9*POWER(1+Calculator!$C$14/100,$D622/12),Calculator!$C$9),"")</f>
        <v/>
      </c>
      <c r="G622" s="14">
        <f>G621*(1+$B$4)+Calculator!$C$25</f>
        <v>388494.92380263231</v>
      </c>
      <c r="H622" s="14">
        <f>IF($B$5=1,Calculator!$C$9*POWER(1+Calculator!$C$14/100,$D622/12),Calculator!$C$9)</f>
        <v>10000</v>
      </c>
      <c r="J622" s="14">
        <f t="shared" si="59"/>
        <v>1</v>
      </c>
      <c r="K622" s="14" t="e">
        <f t="shared" si="54"/>
        <v>#N/A</v>
      </c>
      <c r="L622" s="14" t="e">
        <f t="shared" si="55"/>
        <v>#N/A</v>
      </c>
      <c r="M622" s="14" t="e">
        <f t="shared" si="56"/>
        <v>#N/A</v>
      </c>
      <c r="N622" s="14" t="e">
        <f t="shared" si="57"/>
        <v>#N/A</v>
      </c>
    </row>
    <row r="623" spans="4:14" ht="16.5" x14ac:dyDescent="0.25">
      <c r="D623" s="14">
        <v>583</v>
      </c>
      <c r="E623" s="14" t="str">
        <f t="shared" si="58"/>
        <v/>
      </c>
      <c r="F623" s="14" t="str">
        <f>IF(AND($B$8=1,$D623&lt;=$B$7),IF($B$5=1,Calculator!$C$9*POWER(1+Calculator!$C$14/100,$D623/12),Calculator!$C$9),"")</f>
        <v/>
      </c>
      <c r="G623" s="14">
        <f>G622*(1+$B$4)+Calculator!$C$25</f>
        <v>389753.05708990019</v>
      </c>
      <c r="H623" s="14">
        <f>IF($B$5=1,Calculator!$C$9*POWER(1+Calculator!$C$14/100,$D623/12),Calculator!$C$9)</f>
        <v>10000</v>
      </c>
      <c r="J623" s="14">
        <f t="shared" si="59"/>
        <v>1</v>
      </c>
      <c r="K623" s="14" t="e">
        <f t="shared" si="54"/>
        <v>#N/A</v>
      </c>
      <c r="L623" s="14" t="e">
        <f t="shared" si="55"/>
        <v>#N/A</v>
      </c>
      <c r="M623" s="14" t="e">
        <f t="shared" si="56"/>
        <v>#N/A</v>
      </c>
      <c r="N623" s="14" t="e">
        <f t="shared" si="57"/>
        <v>#N/A</v>
      </c>
    </row>
    <row r="624" spans="4:14" ht="16.5" x14ac:dyDescent="0.25">
      <c r="D624" s="14">
        <v>584</v>
      </c>
      <c r="E624" s="14" t="str">
        <f t="shared" si="58"/>
        <v/>
      </c>
      <c r="F624" s="14" t="str">
        <f>IF(AND($B$8=1,$D624&lt;=$B$7),IF($B$5=1,Calculator!$C$9*POWER(1+Calculator!$C$14/100,$D624/12),Calculator!$C$9),"")</f>
        <v/>
      </c>
      <c r="G624" s="14">
        <f>G623*(1+$B$4)+Calculator!$C$25</f>
        <v>391014.29327326396</v>
      </c>
      <c r="H624" s="14">
        <f>IF($B$5=1,Calculator!$C$9*POWER(1+Calculator!$C$14/100,$D624/12),Calculator!$C$9)</f>
        <v>10000</v>
      </c>
      <c r="J624" s="14">
        <f t="shared" si="59"/>
        <v>1</v>
      </c>
      <c r="K624" s="14" t="e">
        <f t="shared" si="54"/>
        <v>#N/A</v>
      </c>
      <c r="L624" s="14" t="e">
        <f t="shared" si="55"/>
        <v>#N/A</v>
      </c>
      <c r="M624" s="14" t="e">
        <f t="shared" si="56"/>
        <v>#N/A</v>
      </c>
      <c r="N624" s="14" t="e">
        <f t="shared" si="57"/>
        <v>#N/A</v>
      </c>
    </row>
    <row r="625" spans="4:14" ht="16.5" x14ac:dyDescent="0.25">
      <c r="D625" s="14">
        <v>585</v>
      </c>
      <c r="E625" s="14" t="str">
        <f t="shared" si="58"/>
        <v/>
      </c>
      <c r="F625" s="14" t="str">
        <f>IF(AND($B$8=1,$D625&lt;=$B$7),IF($B$5=1,Calculator!$C$9*POWER(1+Calculator!$C$14/100,$D625/12),Calculator!$C$9),"")</f>
        <v/>
      </c>
      <c r="G625" s="14">
        <f>G624*(1+$B$4)+Calculator!$C$25</f>
        <v>392278.6400053025</v>
      </c>
      <c r="H625" s="14">
        <f>IF($B$5=1,Calculator!$C$9*POWER(1+Calculator!$C$14/100,$D625/12),Calculator!$C$9)</f>
        <v>10000</v>
      </c>
      <c r="J625" s="14">
        <f t="shared" si="59"/>
        <v>1</v>
      </c>
      <c r="K625" s="14" t="e">
        <f t="shared" si="54"/>
        <v>#N/A</v>
      </c>
      <c r="L625" s="14" t="e">
        <f t="shared" si="55"/>
        <v>#N/A</v>
      </c>
      <c r="M625" s="14" t="e">
        <f t="shared" si="56"/>
        <v>#N/A</v>
      </c>
      <c r="N625" s="14" t="e">
        <f t="shared" si="57"/>
        <v>#N/A</v>
      </c>
    </row>
    <row r="626" spans="4:14" ht="16.5" x14ac:dyDescent="0.25">
      <c r="D626" s="14">
        <v>586</v>
      </c>
      <c r="E626" s="14" t="str">
        <f t="shared" si="58"/>
        <v/>
      </c>
      <c r="F626" s="14" t="str">
        <f>IF(AND($B$8=1,$D626&lt;=$B$7),IF($B$5=1,Calculator!$C$9*POWER(1+Calculator!$C$14/100,$D626/12),Calculator!$C$9),"")</f>
        <v/>
      </c>
      <c r="G626" s="14">
        <f>G625*(1+$B$4)+Calculator!$C$25</f>
        <v>393546.10495746799</v>
      </c>
      <c r="H626" s="14">
        <f>IF($B$5=1,Calculator!$C$9*POWER(1+Calculator!$C$14/100,$D626/12),Calculator!$C$9)</f>
        <v>10000</v>
      </c>
      <c r="J626" s="14">
        <f t="shared" si="59"/>
        <v>1</v>
      </c>
      <c r="K626" s="14" t="e">
        <f t="shared" si="54"/>
        <v>#N/A</v>
      </c>
      <c r="L626" s="14" t="e">
        <f t="shared" si="55"/>
        <v>#N/A</v>
      </c>
      <c r="M626" s="14" t="e">
        <f t="shared" si="56"/>
        <v>#N/A</v>
      </c>
      <c r="N626" s="14" t="e">
        <f t="shared" si="57"/>
        <v>#N/A</v>
      </c>
    </row>
    <row r="627" spans="4:14" ht="16.5" x14ac:dyDescent="0.25">
      <c r="D627" s="14">
        <v>587</v>
      </c>
      <c r="E627" s="14" t="str">
        <f t="shared" si="58"/>
        <v/>
      </c>
      <c r="F627" s="14" t="str">
        <f>IF(AND($B$8=1,$D627&lt;=$B$7),IF($B$5=1,Calculator!$C$9*POWER(1+Calculator!$C$14/100,$D627/12),Calculator!$C$9),"")</f>
        <v/>
      </c>
      <c r="G627" s="14">
        <f>G626*(1+$B$4)+Calculator!$C$25</f>
        <v>394816.69582013245</v>
      </c>
      <c r="H627" s="14">
        <f>IF($B$5=1,Calculator!$C$9*POWER(1+Calculator!$C$14/100,$D627/12),Calculator!$C$9)</f>
        <v>10000</v>
      </c>
      <c r="J627" s="14">
        <f t="shared" si="59"/>
        <v>1</v>
      </c>
      <c r="K627" s="14" t="e">
        <f t="shared" si="54"/>
        <v>#N/A</v>
      </c>
      <c r="L627" s="14" t="e">
        <f t="shared" si="55"/>
        <v>#N/A</v>
      </c>
      <c r="M627" s="14" t="e">
        <f t="shared" si="56"/>
        <v>#N/A</v>
      </c>
      <c r="N627" s="14" t="e">
        <f t="shared" si="57"/>
        <v>#N/A</v>
      </c>
    </row>
    <row r="628" spans="4:14" ht="16.5" x14ac:dyDescent="0.25">
      <c r="D628" s="14">
        <v>588</v>
      </c>
      <c r="E628" s="14" t="str">
        <f t="shared" si="58"/>
        <v/>
      </c>
      <c r="F628" s="14" t="str">
        <f>IF(AND($B$8=1,$D628&lt;=$B$7),IF($B$5=1,Calculator!$C$9*POWER(1+Calculator!$C$14/100,$D628/12),Calculator!$C$9),"")</f>
        <v/>
      </c>
      <c r="G628" s="14">
        <f>G627*(1+$B$4)+Calculator!$C$25</f>
        <v>396090.42030263448</v>
      </c>
      <c r="H628" s="14">
        <f>IF($B$5=1,Calculator!$C$9*POWER(1+Calculator!$C$14/100,$D628/12),Calculator!$C$9)</f>
        <v>10000</v>
      </c>
      <c r="J628" s="14">
        <f t="shared" si="59"/>
        <v>1</v>
      </c>
      <c r="K628" s="14" t="e">
        <f t="shared" si="54"/>
        <v>#N/A</v>
      </c>
      <c r="L628" s="14" t="e">
        <f t="shared" si="55"/>
        <v>#N/A</v>
      </c>
      <c r="M628" s="14" t="e">
        <f t="shared" si="56"/>
        <v>#N/A</v>
      </c>
      <c r="N628" s="14" t="e">
        <f t="shared" si="57"/>
        <v>#N/A</v>
      </c>
    </row>
    <row r="629" spans="4:14" ht="16.5" x14ac:dyDescent="0.25">
      <c r="D629" s="14">
        <v>589</v>
      </c>
      <c r="E629" s="14" t="str">
        <f t="shared" si="58"/>
        <v/>
      </c>
      <c r="F629" s="14" t="str">
        <f>IF(AND($B$8=1,$D629&lt;=$B$7),IF($B$5=1,Calculator!$C$9*POWER(1+Calculator!$C$14/100,$D629/12),Calculator!$C$9),"")</f>
        <v/>
      </c>
      <c r="G629" s="14">
        <f>G628*(1+$B$4)+Calculator!$C$25</f>
        <v>397367.28613332595</v>
      </c>
      <c r="H629" s="14">
        <f>IF($B$5=1,Calculator!$C$9*POWER(1+Calculator!$C$14/100,$D629/12),Calculator!$C$9)</f>
        <v>10000</v>
      </c>
      <c r="J629" s="14">
        <f t="shared" si="59"/>
        <v>1</v>
      </c>
      <c r="K629" s="14" t="e">
        <f t="shared" si="54"/>
        <v>#N/A</v>
      </c>
      <c r="L629" s="14" t="e">
        <f t="shared" si="55"/>
        <v>#N/A</v>
      </c>
      <c r="M629" s="14" t="e">
        <f t="shared" si="56"/>
        <v>#N/A</v>
      </c>
      <c r="N629" s="14" t="e">
        <f t="shared" si="57"/>
        <v>#N/A</v>
      </c>
    </row>
    <row r="630" spans="4:14" ht="16.5" x14ac:dyDescent="0.25">
      <c r="D630" s="14">
        <v>590</v>
      </c>
      <c r="E630" s="14" t="str">
        <f t="shared" si="58"/>
        <v/>
      </c>
      <c r="F630" s="14" t="str">
        <f>IF(AND($B$8=1,$D630&lt;=$B$7),IF($B$5=1,Calculator!$C$9*POWER(1+Calculator!$C$14/100,$D630/12),Calculator!$C$9),"")</f>
        <v/>
      </c>
      <c r="G630" s="14">
        <f>G629*(1+$B$4)+Calculator!$C$25</f>
        <v>398647.30105961894</v>
      </c>
      <c r="H630" s="14">
        <f>IF($B$5=1,Calculator!$C$9*POWER(1+Calculator!$C$14/100,$D630/12),Calculator!$C$9)</f>
        <v>10000</v>
      </c>
      <c r="J630" s="14">
        <f t="shared" si="59"/>
        <v>1</v>
      </c>
      <c r="K630" s="14" t="e">
        <f t="shared" si="54"/>
        <v>#N/A</v>
      </c>
      <c r="L630" s="14" t="e">
        <f t="shared" si="55"/>
        <v>#N/A</v>
      </c>
      <c r="M630" s="14" t="e">
        <f t="shared" si="56"/>
        <v>#N/A</v>
      </c>
      <c r="N630" s="14" t="e">
        <f t="shared" si="57"/>
        <v>#N/A</v>
      </c>
    </row>
    <row r="631" spans="4:14" ht="16.5" x14ac:dyDescent="0.25">
      <c r="D631" s="14">
        <v>591</v>
      </c>
      <c r="E631" s="14" t="str">
        <f t="shared" si="58"/>
        <v/>
      </c>
      <c r="F631" s="14" t="str">
        <f>IF(AND($B$8=1,$D631&lt;=$B$7),IF($B$5=1,Calculator!$C$9*POWER(1+Calculator!$C$14/100,$D631/12),Calculator!$C$9),"")</f>
        <v/>
      </c>
      <c r="G631" s="14">
        <f>G630*(1+$B$4)+Calculator!$C$25</f>
        <v>399930.47284803272</v>
      </c>
      <c r="H631" s="14">
        <f>IF($B$5=1,Calculator!$C$9*POWER(1+Calculator!$C$14/100,$D631/12),Calculator!$C$9)</f>
        <v>10000</v>
      </c>
      <c r="J631" s="14">
        <f t="shared" si="59"/>
        <v>1</v>
      </c>
      <c r="K631" s="14" t="e">
        <f t="shared" si="54"/>
        <v>#N/A</v>
      </c>
      <c r="L631" s="14" t="e">
        <f t="shared" si="55"/>
        <v>#N/A</v>
      </c>
      <c r="M631" s="14" t="e">
        <f t="shared" si="56"/>
        <v>#N/A</v>
      </c>
      <c r="N631" s="14" t="e">
        <f t="shared" si="57"/>
        <v>#N/A</v>
      </c>
    </row>
    <row r="632" spans="4:14" ht="16.5" x14ac:dyDescent="0.25">
      <c r="D632" s="14">
        <v>592</v>
      </c>
      <c r="E632" s="14" t="str">
        <f t="shared" si="58"/>
        <v/>
      </c>
      <c r="F632" s="14" t="str">
        <f>IF(AND($B$8=1,$D632&lt;=$B$7),IF($B$5=1,Calculator!$C$9*POWER(1+Calculator!$C$14/100,$D632/12),Calculator!$C$9),"")</f>
        <v/>
      </c>
      <c r="G632" s="14">
        <f>G631*(1+$B$4)+Calculator!$C$25</f>
        <v>401216.80928424094</v>
      </c>
      <c r="H632" s="14">
        <f>IF($B$5=1,Calculator!$C$9*POWER(1+Calculator!$C$14/100,$D632/12),Calculator!$C$9)</f>
        <v>10000</v>
      </c>
      <c r="J632" s="14">
        <f t="shared" si="59"/>
        <v>1</v>
      </c>
      <c r="K632" s="14" t="e">
        <f t="shared" si="54"/>
        <v>#N/A</v>
      </c>
      <c r="L632" s="14" t="e">
        <f t="shared" si="55"/>
        <v>#N/A</v>
      </c>
      <c r="M632" s="14" t="e">
        <f t="shared" si="56"/>
        <v>#N/A</v>
      </c>
      <c r="N632" s="14" t="e">
        <f t="shared" si="57"/>
        <v>#N/A</v>
      </c>
    </row>
    <row r="633" spans="4:14" ht="16.5" x14ac:dyDescent="0.25">
      <c r="D633" s="14">
        <v>593</v>
      </c>
      <c r="E633" s="14" t="str">
        <f t="shared" si="58"/>
        <v/>
      </c>
      <c r="F633" s="14" t="str">
        <f>IF(AND($B$8=1,$D633&lt;=$B$7),IF($B$5=1,Calculator!$C$9*POWER(1+Calculator!$C$14/100,$D633/12),Calculator!$C$9),"")</f>
        <v/>
      </c>
      <c r="G633" s="14">
        <f>G632*(1+$B$4)+Calculator!$C$25</f>
        <v>402506.31817311881</v>
      </c>
      <c r="H633" s="14">
        <f>IF($B$5=1,Calculator!$C$9*POWER(1+Calculator!$C$14/100,$D633/12),Calculator!$C$9)</f>
        <v>10000</v>
      </c>
      <c r="J633" s="14">
        <f t="shared" si="59"/>
        <v>1</v>
      </c>
      <c r="K633" s="14" t="e">
        <f t="shared" si="54"/>
        <v>#N/A</v>
      </c>
      <c r="L633" s="14" t="e">
        <f t="shared" si="55"/>
        <v>#N/A</v>
      </c>
      <c r="M633" s="14" t="e">
        <f t="shared" si="56"/>
        <v>#N/A</v>
      </c>
      <c r="N633" s="14" t="e">
        <f t="shared" si="57"/>
        <v>#N/A</v>
      </c>
    </row>
    <row r="634" spans="4:14" ht="16.5" x14ac:dyDescent="0.25">
      <c r="D634" s="14">
        <v>594</v>
      </c>
      <c r="E634" s="14" t="str">
        <f t="shared" si="58"/>
        <v/>
      </c>
      <c r="F634" s="14" t="str">
        <f>IF(AND($B$8=1,$D634&lt;=$B$7),IF($B$5=1,Calculator!$C$9*POWER(1+Calculator!$C$14/100,$D634/12),Calculator!$C$9),"")</f>
        <v/>
      </c>
      <c r="G634" s="14">
        <f>G633*(1+$B$4)+Calculator!$C$25</f>
        <v>403799.0073387904</v>
      </c>
      <c r="H634" s="14">
        <f>IF($B$5=1,Calculator!$C$9*POWER(1+Calculator!$C$14/100,$D634/12),Calculator!$C$9)</f>
        <v>10000</v>
      </c>
      <c r="J634" s="14">
        <f t="shared" si="59"/>
        <v>1</v>
      </c>
      <c r="K634" s="14" t="e">
        <f t="shared" si="54"/>
        <v>#N/A</v>
      </c>
      <c r="L634" s="14" t="e">
        <f t="shared" si="55"/>
        <v>#N/A</v>
      </c>
      <c r="M634" s="14" t="e">
        <f t="shared" si="56"/>
        <v>#N/A</v>
      </c>
      <c r="N634" s="14" t="e">
        <f t="shared" si="57"/>
        <v>#N/A</v>
      </c>
    </row>
    <row r="635" spans="4:14" ht="16.5" x14ac:dyDescent="0.25">
      <c r="D635" s="14">
        <v>595</v>
      </c>
      <c r="E635" s="14" t="str">
        <f t="shared" si="58"/>
        <v/>
      </c>
      <c r="F635" s="14" t="str">
        <f>IF(AND($B$8=1,$D635&lt;=$B$7),IF($B$5=1,Calculator!$C$9*POWER(1+Calculator!$C$14/100,$D635/12),Calculator!$C$9),"")</f>
        <v/>
      </c>
      <c r="G635" s="14">
        <f>G634*(1+$B$4)+Calculator!$C$25</f>
        <v>405094.88462467631</v>
      </c>
      <c r="H635" s="14">
        <f>IF($B$5=1,Calculator!$C$9*POWER(1+Calculator!$C$14/100,$D635/12),Calculator!$C$9)</f>
        <v>10000</v>
      </c>
      <c r="J635" s="14">
        <f t="shared" si="59"/>
        <v>1</v>
      </c>
      <c r="K635" s="14" t="e">
        <f t="shared" si="54"/>
        <v>#N/A</v>
      </c>
      <c r="L635" s="14" t="e">
        <f t="shared" si="55"/>
        <v>#N/A</v>
      </c>
      <c r="M635" s="14" t="e">
        <f t="shared" si="56"/>
        <v>#N/A</v>
      </c>
      <c r="N635" s="14" t="e">
        <f t="shared" si="57"/>
        <v>#N/A</v>
      </c>
    </row>
    <row r="636" spans="4:14" ht="16.5" x14ac:dyDescent="0.25">
      <c r="D636" s="14">
        <v>596</v>
      </c>
      <c r="E636" s="14" t="str">
        <f t="shared" si="58"/>
        <v/>
      </c>
      <c r="F636" s="14" t="str">
        <f>IF(AND($B$8=1,$D636&lt;=$B$7),IF($B$5=1,Calculator!$C$9*POWER(1+Calculator!$C$14/100,$D636/12),Calculator!$C$9),"")</f>
        <v/>
      </c>
      <c r="G636" s="14">
        <f>G635*(1+$B$4)+Calculator!$C$25</f>
        <v>406393.95789354102</v>
      </c>
      <c r="H636" s="14">
        <f>IF($B$5=1,Calculator!$C$9*POWER(1+Calculator!$C$14/100,$D636/12),Calculator!$C$9)</f>
        <v>10000</v>
      </c>
      <c r="J636" s="14">
        <f t="shared" si="59"/>
        <v>1</v>
      </c>
      <c r="K636" s="14" t="e">
        <f t="shared" si="54"/>
        <v>#N/A</v>
      </c>
      <c r="L636" s="14" t="e">
        <f t="shared" si="55"/>
        <v>#N/A</v>
      </c>
      <c r="M636" s="14" t="e">
        <f t="shared" si="56"/>
        <v>#N/A</v>
      </c>
      <c r="N636" s="14" t="e">
        <f t="shared" si="57"/>
        <v>#N/A</v>
      </c>
    </row>
    <row r="637" spans="4:14" ht="16.5" x14ac:dyDescent="0.25">
      <c r="D637" s="14">
        <v>597</v>
      </c>
      <c r="E637" s="14" t="str">
        <f t="shared" si="58"/>
        <v/>
      </c>
      <c r="F637" s="14" t="str">
        <f>IF(AND($B$8=1,$D637&lt;=$B$7),IF($B$5=1,Calculator!$C$9*POWER(1+Calculator!$C$14/100,$D637/12),Calculator!$C$9),"")</f>
        <v/>
      </c>
      <c r="G637" s="14">
        <f>G636*(1+$B$4)+Calculator!$C$25</f>
        <v>407696.23502754071</v>
      </c>
      <c r="H637" s="14">
        <f>IF($B$5=1,Calculator!$C$9*POWER(1+Calculator!$C$14/100,$D637/12),Calculator!$C$9)</f>
        <v>10000</v>
      </c>
      <c r="J637" s="14">
        <f t="shared" si="59"/>
        <v>1</v>
      </c>
      <c r="K637" s="14" t="e">
        <f t="shared" si="54"/>
        <v>#N/A</v>
      </c>
      <c r="L637" s="14" t="e">
        <f t="shared" si="55"/>
        <v>#N/A</v>
      </c>
      <c r="M637" s="14" t="e">
        <f t="shared" si="56"/>
        <v>#N/A</v>
      </c>
      <c r="N637" s="14" t="e">
        <f t="shared" si="57"/>
        <v>#N/A</v>
      </c>
    </row>
    <row r="638" spans="4:14" ht="16.5" x14ac:dyDescent="0.25">
      <c r="D638" s="14">
        <v>598</v>
      </c>
      <c r="E638" s="14" t="str">
        <f t="shared" si="58"/>
        <v/>
      </c>
      <c r="F638" s="14" t="str">
        <f>IF(AND($B$8=1,$D638&lt;=$B$7),IF($B$5=1,Calculator!$C$9*POWER(1+Calculator!$C$14/100,$D638/12),Calculator!$C$9),"")</f>
        <v/>
      </c>
      <c r="G638" s="14">
        <f>G637*(1+$B$4)+Calculator!$C$25</f>
        <v>409001.72392827115</v>
      </c>
      <c r="H638" s="14">
        <f>IF($B$5=1,Calculator!$C$9*POWER(1+Calculator!$C$14/100,$D638/12),Calculator!$C$9)</f>
        <v>10000</v>
      </c>
      <c r="J638" s="14">
        <f t="shared" si="59"/>
        <v>1</v>
      </c>
      <c r="K638" s="14" t="e">
        <f t="shared" si="54"/>
        <v>#N/A</v>
      </c>
      <c r="L638" s="14" t="e">
        <f t="shared" si="55"/>
        <v>#N/A</v>
      </c>
      <c r="M638" s="14" t="e">
        <f t="shared" si="56"/>
        <v>#N/A</v>
      </c>
      <c r="N638" s="14" t="e">
        <f t="shared" si="57"/>
        <v>#N/A</v>
      </c>
    </row>
    <row r="639" spans="4:14" ht="16.5" x14ac:dyDescent="0.25">
      <c r="D639" s="14">
        <v>599</v>
      </c>
      <c r="E639" s="14" t="str">
        <f t="shared" si="58"/>
        <v/>
      </c>
      <c r="F639" s="14" t="str">
        <f>IF(AND($B$8=1,$D639&lt;=$B$7),IF($B$5=1,Calculator!$C$9*POWER(1+Calculator!$C$14/100,$D639/12),Calculator!$C$9),"")</f>
        <v/>
      </c>
      <c r="G639" s="14">
        <f>G638*(1+$B$4)+Calculator!$C$25</f>
        <v>410310.43251681555</v>
      </c>
      <c r="H639" s="14">
        <f>IF($B$5=1,Calculator!$C$9*POWER(1+Calculator!$C$14/100,$D639/12),Calculator!$C$9)</f>
        <v>10000</v>
      </c>
      <c r="J639" s="14">
        <f t="shared" si="59"/>
        <v>1</v>
      </c>
      <c r="K639" s="14" t="e">
        <f t="shared" si="54"/>
        <v>#N/A</v>
      </c>
      <c r="L639" s="14" t="e">
        <f t="shared" si="55"/>
        <v>#N/A</v>
      </c>
      <c r="M639" s="14" t="e">
        <f t="shared" si="56"/>
        <v>#N/A</v>
      </c>
      <c r="N639" s="14" t="e">
        <f t="shared" si="57"/>
        <v>#N/A</v>
      </c>
    </row>
    <row r="640" spans="4:14" ht="16.5" x14ac:dyDescent="0.25">
      <c r="D640" s="14">
        <v>600</v>
      </c>
      <c r="E640" s="14" t="str">
        <f t="shared" si="58"/>
        <v/>
      </c>
      <c r="F640" s="14" t="str">
        <f>IF(AND($B$8=1,$D640&lt;=$B$7),IF($B$5=1,Calculator!$C$9*POWER(1+Calculator!$C$14/100,$D640/12),Calculator!$C$9),"")</f>
        <v/>
      </c>
      <c r="G640" s="14">
        <f>G639*(1+$B$4)+Calculator!$C$25</f>
        <v>411622.36873379262</v>
      </c>
      <c r="H640" s="14">
        <f>IF($B$5=1,Calculator!$C$9*POWER(1+Calculator!$C$14/100,$D640/12),Calculator!$C$9)</f>
        <v>10000</v>
      </c>
      <c r="J640" s="14">
        <f t="shared" si="59"/>
        <v>1</v>
      </c>
      <c r="K640" s="14" t="e">
        <f t="shared" si="54"/>
        <v>#N/A</v>
      </c>
      <c r="L640" s="14" t="e">
        <f t="shared" si="55"/>
        <v>#N/A</v>
      </c>
      <c r="M640" s="14" t="e">
        <f t="shared" si="56"/>
        <v>#N/A</v>
      </c>
      <c r="N640" s="14" t="e">
        <f t="shared" si="57"/>
        <v>#N/A</v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Breakdown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2026-10-07T15:50:28Z</dcterms:created>
  <dcterms:modified xsi:type="dcterms:W3CDTF">2026-10-07T15:50:32Z</dcterms:modified>
</cp:coreProperties>
</file>